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docProps/core.xml" ContentType="application/vnd.openxmlformats-package.core-properties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5" yWindow="-150" windowWidth="15600" windowHeight="11760" tabRatio="989" firstSheet="2" activeTab="2"/>
  </bookViews>
  <sheets>
    <sheet name="Resumen LTP-PEP" sheetId="6" r:id="rId1"/>
    <sheet name="Pelagicos LTP " sheetId="1" r:id="rId2"/>
    <sheet name="Demersales LTP " sheetId="3" r:id="rId3"/>
    <sheet name="DATOS BIO BIO EXCESOS" sheetId="29" r:id="rId4"/>
    <sheet name="Crustaceos  LTP" sheetId="28" r:id="rId5"/>
    <sheet name="ORP-PS" sheetId="17" r:id="rId6"/>
    <sheet name="Cuotas Regionales Crustaceos" sheetId="4" r:id="rId7"/>
    <sheet name="Cuotas Licitadas  " sheetId="10" r:id="rId8"/>
    <sheet name="Pesca de Investigación" sheetId="15" r:id="rId9"/>
    <sheet name="Cuota Bacalao XV-47° L.S" sheetId="13" r:id="rId10"/>
    <sheet name="Cuota Jibia" sheetId="12" r:id="rId11"/>
    <sheet name="Cuotas Fuera UP " sheetId="5" r:id="rId12"/>
    <sheet name="Cuota Rayas" sheetId="11" r:id="rId13"/>
    <sheet name="CUANTIFICACIÓN CUOTAS IND-ART" sheetId="14" state="hidden" r:id="rId14"/>
  </sheets>
  <definedNames>
    <definedName name="_xlnm._FilterDatabase" localSheetId="9" hidden="1">'Cuota Bacalao XV-47° L.S'!#REF!</definedName>
    <definedName name="_xlnm._FilterDatabase" localSheetId="7" hidden="1">'Cuotas Licitadas  '!$B$127:$O$241</definedName>
    <definedName name="_xlnm._FilterDatabase" localSheetId="5" hidden="1">'ORP-PS'!$A$76:$S$135</definedName>
    <definedName name="_xlnm._FilterDatabase" localSheetId="1" hidden="1">'Pelagicos LTP '!$A$98:$P$180</definedName>
  </definedNames>
  <calcPr calcId="125725"/>
</workbook>
</file>

<file path=xl/calcChain.xml><?xml version="1.0" encoding="utf-8"?>
<calcChain xmlns="http://schemas.openxmlformats.org/spreadsheetml/2006/main">
  <c r="L51" i="3"/>
  <c r="K51"/>
  <c r="K29" i="4"/>
  <c r="K31"/>
  <c r="F75" i="3"/>
  <c r="L19" i="12"/>
  <c r="L18"/>
  <c r="L17"/>
  <c r="L16"/>
  <c r="L15"/>
  <c r="L14"/>
  <c r="L13"/>
  <c r="L12"/>
  <c r="L60" i="28" l="1"/>
  <c r="F60"/>
  <c r="L70"/>
  <c r="F70"/>
  <c r="L64" l="1"/>
  <c r="L56"/>
  <c r="J36" i="4" l="1"/>
  <c r="J24"/>
  <c r="K23"/>
  <c r="H33"/>
  <c r="F36"/>
  <c r="J33"/>
  <c r="I33"/>
  <c r="F33"/>
  <c r="C64" i="29"/>
  <c r="B64"/>
  <c r="M53"/>
  <c r="K53"/>
  <c r="J53"/>
  <c r="L53" s="1"/>
  <c r="F53"/>
  <c r="H53" s="1"/>
  <c r="F54" s="1"/>
  <c r="E53"/>
  <c r="H54" l="1"/>
  <c r="I54"/>
  <c r="N53"/>
  <c r="O53"/>
  <c r="I53"/>
  <c r="M4" l="1"/>
  <c r="J4"/>
  <c r="L4" s="1"/>
  <c r="N4" s="1"/>
  <c r="E4"/>
  <c r="K4" s="1"/>
  <c r="F147" i="3"/>
  <c r="C38" i="29"/>
  <c r="B38"/>
  <c r="C43"/>
  <c r="F161" i="3"/>
  <c r="C47" i="29"/>
  <c r="C48"/>
  <c r="C45"/>
  <c r="C44"/>
  <c r="O4" l="1"/>
  <c r="C49"/>
  <c r="F4"/>
  <c r="G12" i="5"/>
  <c r="G11"/>
  <c r="H4" i="29" l="1"/>
  <c r="F5" s="1"/>
  <c r="I4"/>
  <c r="H5" l="1"/>
  <c r="I5"/>
  <c r="G31" i="4"/>
  <c r="G33" s="1"/>
  <c r="M120" i="28"/>
  <c r="K125"/>
  <c r="P83"/>
  <c r="I82"/>
  <c r="L82"/>
  <c r="K103" s="1"/>
  <c r="K105"/>
  <c r="K33" i="4" l="1"/>
  <c r="K104" i="28"/>
  <c r="K106" s="1"/>
  <c r="AH59" l="1"/>
  <c r="AG56"/>
  <c r="AG55"/>
  <c r="AZ28"/>
  <c r="K19" i="6"/>
  <c r="F217" i="1" l="1"/>
  <c r="F40" l="1"/>
  <c r="F105"/>
  <c r="O241" i="10"/>
  <c r="J74" i="4" l="1"/>
  <c r="K58"/>
  <c r="K59"/>
  <c r="K60"/>
  <c r="K61"/>
  <c r="K62"/>
  <c r="K66"/>
  <c r="K67"/>
  <c r="K68"/>
  <c r="K69"/>
  <c r="K70"/>
  <c r="K71"/>
  <c r="K72"/>
  <c r="K73"/>
  <c r="K74"/>
  <c r="H61" i="3" l="1"/>
  <c r="I8" i="6" l="1"/>
  <c r="F223" i="1" l="1"/>
  <c r="F39" i="3" l="1"/>
  <c r="F41"/>
  <c r="F227" i="1"/>
  <c r="F199"/>
  <c r="F229"/>
  <c r="F215"/>
  <c r="F185"/>
  <c r="F57" i="3"/>
  <c r="H31" i="4" l="1"/>
  <c r="N38" i="13"/>
  <c r="M38"/>
  <c r="L38"/>
  <c r="K38"/>
  <c r="J38"/>
  <c r="I38"/>
  <c r="H38"/>
  <c r="G38"/>
  <c r="F38"/>
  <c r="E38"/>
  <c r="D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K72"/>
  <c r="J72"/>
  <c r="D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72" s="1"/>
  <c r="O38" l="1"/>
  <c r="H109" i="12"/>
  <c r="O116" l="1"/>
  <c r="N128"/>
  <c r="F24" l="1"/>
  <c r="E36"/>
  <c r="O75"/>
  <c r="P63"/>
  <c r="N21" i="28"/>
  <c r="H116" i="3"/>
  <c r="F55" i="1"/>
  <c r="F34"/>
  <c r="F91"/>
  <c r="F43"/>
  <c r="F18"/>
  <c r="F16"/>
  <c r="M57" i="10"/>
  <c r="L72" i="28"/>
  <c r="F301" i="1" l="1"/>
  <c r="F213"/>
  <c r="F155" i="3"/>
  <c r="F144" i="1"/>
  <c r="I29" i="6" l="1"/>
  <c r="F11" i="3"/>
  <c r="F82" i="1"/>
  <c r="H76" i="10" l="1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78" s="1"/>
  <c r="K78" s="1"/>
  <c r="H56"/>
  <c r="H55"/>
  <c r="H54"/>
  <c r="K115"/>
  <c r="K114"/>
  <c r="K113"/>
  <c r="K112"/>
  <c r="K111"/>
  <c r="K110"/>
  <c r="K109"/>
  <c r="K107"/>
  <c r="K106"/>
  <c r="K105"/>
  <c r="K104"/>
  <c r="K103"/>
  <c r="K102"/>
  <c r="K100"/>
  <c r="K99"/>
  <c r="K98"/>
  <c r="K97"/>
  <c r="K96"/>
  <c r="K95"/>
  <c r="K94"/>
  <c r="K93"/>
  <c r="K92"/>
  <c r="F13" i="3" l="1"/>
  <c r="K40" i="6"/>
  <c r="Z100" i="28"/>
  <c r="K27" i="6" s="1"/>
  <c r="I27"/>
  <c r="J27" s="1"/>
  <c r="Y102" i="28"/>
  <c r="Y100"/>
  <c r="I25" i="6"/>
  <c r="J25" s="1"/>
  <c r="G8" i="13" l="1"/>
  <c r="G9"/>
  <c r="M128" i="12" l="1"/>
  <c r="L128"/>
  <c r="K128"/>
  <c r="J128"/>
  <c r="I128"/>
  <c r="H128"/>
  <c r="G128"/>
  <c r="F128"/>
  <c r="E128"/>
  <c r="D128"/>
  <c r="C128"/>
  <c r="O127"/>
  <c r="O126"/>
  <c r="O125"/>
  <c r="O124"/>
  <c r="O123"/>
  <c r="O122"/>
  <c r="O121"/>
  <c r="O120"/>
  <c r="O119"/>
  <c r="O118"/>
  <c r="O117"/>
  <c r="O115"/>
  <c r="O114"/>
  <c r="N109"/>
  <c r="M109"/>
  <c r="L109"/>
  <c r="K109"/>
  <c r="J109"/>
  <c r="I109"/>
  <c r="G109"/>
  <c r="F109"/>
  <c r="E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M75"/>
  <c r="L75"/>
  <c r="K75"/>
  <c r="J75"/>
  <c r="I75"/>
  <c r="H75"/>
  <c r="G75"/>
  <c r="F75"/>
  <c r="E75"/>
  <c r="D75"/>
  <c r="P74"/>
  <c r="P73"/>
  <c r="P72"/>
  <c r="P71"/>
  <c r="P70"/>
  <c r="P69"/>
  <c r="P68"/>
  <c r="P67"/>
  <c r="P66"/>
  <c r="P65"/>
  <c r="P64"/>
  <c r="P62"/>
  <c r="P61"/>
  <c r="P60"/>
  <c r="P59"/>
  <c r="N58"/>
  <c r="N75" s="1"/>
  <c r="P57"/>
  <c r="P56"/>
  <c r="P58" l="1"/>
  <c r="P75" s="1"/>
  <c r="O109"/>
  <c r="O128"/>
  <c r="AP14" i="28"/>
  <c r="F69" i="17" l="1"/>
  <c r="G67" l="1"/>
  <c r="AJ12" i="28"/>
  <c r="L10"/>
  <c r="X10"/>
  <c r="AR15"/>
  <c r="AP15"/>
  <c r="AI15"/>
  <c r="AC15"/>
  <c r="W15"/>
  <c r="Q15"/>
  <c r="K15"/>
  <c r="E15"/>
  <c r="AR14"/>
  <c r="AX14" s="1"/>
  <c r="AK14"/>
  <c r="AM14" s="1"/>
  <c r="AK15" s="1"/>
  <c r="AM15" s="1"/>
  <c r="AJ14"/>
  <c r="AI14"/>
  <c r="AE14"/>
  <c r="AG14" s="1"/>
  <c r="AE15" s="1"/>
  <c r="AG15" s="1"/>
  <c r="AD14"/>
  <c r="AC14"/>
  <c r="X14"/>
  <c r="W14"/>
  <c r="Y14" s="1"/>
  <c r="AA14" s="1"/>
  <c r="R14"/>
  <c r="Q14"/>
  <c r="L14"/>
  <c r="M14" s="1"/>
  <c r="O14" s="1"/>
  <c r="M15" s="1"/>
  <c r="O15" s="1"/>
  <c r="K14"/>
  <c r="F14"/>
  <c r="G14" s="1"/>
  <c r="I14" s="1"/>
  <c r="G15" s="1"/>
  <c r="I15" s="1"/>
  <c r="E14"/>
  <c r="AR51"/>
  <c r="AP51"/>
  <c r="AO51"/>
  <c r="AO50"/>
  <c r="AU50" s="1"/>
  <c r="AN50"/>
  <c r="AM50"/>
  <c r="AK51" s="1"/>
  <c r="AM51" s="1"/>
  <c r="AK50"/>
  <c r="AJ50"/>
  <c r="AR50" s="1"/>
  <c r="AX50" s="1"/>
  <c r="AH50"/>
  <c r="AD50"/>
  <c r="AE50" s="1"/>
  <c r="AG50" s="1"/>
  <c r="AE51" s="1"/>
  <c r="AG51" s="1"/>
  <c r="AB50"/>
  <c r="X50"/>
  <c r="Y50" s="1"/>
  <c r="AA50" s="1"/>
  <c r="Y51" s="1"/>
  <c r="AA51" s="1"/>
  <c r="V50"/>
  <c r="R50"/>
  <c r="S50" s="1"/>
  <c r="U50" s="1"/>
  <c r="S51" s="1"/>
  <c r="U51" s="1"/>
  <c r="M50"/>
  <c r="O50" s="1"/>
  <c r="M51" s="1"/>
  <c r="O51" s="1"/>
  <c r="L50"/>
  <c r="P50" s="1"/>
  <c r="F50"/>
  <c r="AP50" s="1"/>
  <c r="R2"/>
  <c r="J14" l="1"/>
  <c r="P14"/>
  <c r="AV14"/>
  <c r="AO15"/>
  <c r="J50"/>
  <c r="S14"/>
  <c r="U14" s="1"/>
  <c r="S15" s="1"/>
  <c r="U15" s="1"/>
  <c r="AH14"/>
  <c r="AN14"/>
  <c r="Y15"/>
  <c r="AA15" s="1"/>
  <c r="AB14"/>
  <c r="V14"/>
  <c r="AO14"/>
  <c r="AV50"/>
  <c r="AW50" s="1"/>
  <c r="AQ50"/>
  <c r="AS50" s="1"/>
  <c r="AQ51" s="1"/>
  <c r="AS51" s="1"/>
  <c r="G50"/>
  <c r="I50" s="1"/>
  <c r="G51" s="1"/>
  <c r="I51" s="1"/>
  <c r="AT51" l="1"/>
  <c r="AU14"/>
  <c r="AW14" s="1"/>
  <c r="AQ14"/>
  <c r="AY50"/>
  <c r="AZ50"/>
  <c r="AT50"/>
  <c r="AY14" l="1"/>
  <c r="AZ14"/>
  <c r="AS14"/>
  <c r="AQ15" s="1"/>
  <c r="AT14"/>
  <c r="AS15" l="1"/>
  <c r="AT15"/>
  <c r="AD34" l="1"/>
  <c r="R34"/>
  <c r="F28"/>
  <c r="K79"/>
  <c r="K78"/>
  <c r="P78" l="1"/>
  <c r="L78"/>
  <c r="F64"/>
  <c r="F78"/>
  <c r="L198" i="3"/>
  <c r="F150" i="1"/>
  <c r="F114"/>
  <c r="F325"/>
  <c r="H197" i="3" l="1"/>
  <c r="F63" i="17" l="1"/>
  <c r="H58" s="1"/>
  <c r="G58" l="1"/>
  <c r="K60" i="28" l="1"/>
  <c r="M60" s="1"/>
  <c r="O60" s="1"/>
  <c r="N101"/>
  <c r="I44" i="4" s="1"/>
  <c r="H101" i="28"/>
  <c r="I42" i="4" s="1"/>
  <c r="N100" i="28"/>
  <c r="I43" i="4" s="1"/>
  <c r="H100" i="28"/>
  <c r="I41" i="4" s="1"/>
  <c r="T99" i="28"/>
  <c r="R99"/>
  <c r="Q99"/>
  <c r="K99"/>
  <c r="E99"/>
  <c r="T98"/>
  <c r="L98"/>
  <c r="K98"/>
  <c r="P98" s="1"/>
  <c r="F98"/>
  <c r="R98" s="1"/>
  <c r="X98" s="1"/>
  <c r="E98"/>
  <c r="T97"/>
  <c r="R97"/>
  <c r="Q97"/>
  <c r="W96"/>
  <c r="T96"/>
  <c r="Z96" s="1"/>
  <c r="R96"/>
  <c r="Q96"/>
  <c r="P96"/>
  <c r="M96"/>
  <c r="O96" s="1"/>
  <c r="M97" s="1"/>
  <c r="O97" s="1"/>
  <c r="J96"/>
  <c r="G96"/>
  <c r="I96" s="1"/>
  <c r="G97" s="1"/>
  <c r="I97" s="1"/>
  <c r="T95"/>
  <c r="R95"/>
  <c r="K95"/>
  <c r="E95"/>
  <c r="T94"/>
  <c r="P94"/>
  <c r="L94"/>
  <c r="K94"/>
  <c r="F94"/>
  <c r="E94"/>
  <c r="T93"/>
  <c r="R93"/>
  <c r="Q93"/>
  <c r="W92" s="1"/>
  <c r="K93"/>
  <c r="E93"/>
  <c r="T92"/>
  <c r="Z92" s="1"/>
  <c r="R92"/>
  <c r="X92" s="1"/>
  <c r="O92"/>
  <c r="M93" s="1"/>
  <c r="O93" s="1"/>
  <c r="M92"/>
  <c r="K92"/>
  <c r="G92"/>
  <c r="I92" s="1"/>
  <c r="G93" s="1"/>
  <c r="I93" s="1"/>
  <c r="E92"/>
  <c r="Q92" s="1"/>
  <c r="S92" s="1"/>
  <c r="T91"/>
  <c r="R91"/>
  <c r="Q91"/>
  <c r="K91"/>
  <c r="E91"/>
  <c r="T90"/>
  <c r="L90"/>
  <c r="R90" s="1"/>
  <c r="X90" s="1"/>
  <c r="K90"/>
  <c r="F90"/>
  <c r="E90"/>
  <c r="J90" s="1"/>
  <c r="T89"/>
  <c r="R89"/>
  <c r="K89"/>
  <c r="P88" s="1"/>
  <c r="E89"/>
  <c r="T88"/>
  <c r="R88"/>
  <c r="X88" s="1"/>
  <c r="K88"/>
  <c r="M88" s="1"/>
  <c r="O88" s="1"/>
  <c r="E88"/>
  <c r="G88" s="1"/>
  <c r="I88" s="1"/>
  <c r="T87"/>
  <c r="R87"/>
  <c r="K87"/>
  <c r="E87"/>
  <c r="T86"/>
  <c r="T100" s="1"/>
  <c r="R86"/>
  <c r="K86"/>
  <c r="M86" s="1"/>
  <c r="O86" s="1"/>
  <c r="M87" s="1"/>
  <c r="O87" s="1"/>
  <c r="E86"/>
  <c r="G86" s="1"/>
  <c r="I86" s="1"/>
  <c r="N83"/>
  <c r="I32" i="4" s="1"/>
  <c r="H83" i="28"/>
  <c r="I30" i="4" s="1"/>
  <c r="N82" i="28"/>
  <c r="I31" i="4" s="1"/>
  <c r="H82" i="28"/>
  <c r="I29" i="4" s="1"/>
  <c r="J29" s="1"/>
  <c r="T81" i="28"/>
  <c r="R81"/>
  <c r="Q81"/>
  <c r="T80"/>
  <c r="Q80"/>
  <c r="L80"/>
  <c r="M80" s="1"/>
  <c r="O80" s="1"/>
  <c r="M81" s="1"/>
  <c r="O81" s="1"/>
  <c r="J80"/>
  <c r="F80"/>
  <c r="T79"/>
  <c r="R79"/>
  <c r="E79"/>
  <c r="T78"/>
  <c r="Q78"/>
  <c r="G78"/>
  <c r="I78" s="1"/>
  <c r="E78"/>
  <c r="T77"/>
  <c r="R77"/>
  <c r="Q77"/>
  <c r="T76"/>
  <c r="Q76"/>
  <c r="P76"/>
  <c r="M76"/>
  <c r="O76" s="1"/>
  <c r="M77" s="1"/>
  <c r="O77" s="1"/>
  <c r="F76"/>
  <c r="R76" s="1"/>
  <c r="X76" s="1"/>
  <c r="T75"/>
  <c r="R75"/>
  <c r="Q75"/>
  <c r="Z74"/>
  <c r="T74"/>
  <c r="Q74"/>
  <c r="M74"/>
  <c r="O74" s="1"/>
  <c r="M75" s="1"/>
  <c r="O75" s="1"/>
  <c r="L74"/>
  <c r="P74" s="1"/>
  <c r="F74"/>
  <c r="J74" s="1"/>
  <c r="T73"/>
  <c r="R73"/>
  <c r="Q73"/>
  <c r="T72"/>
  <c r="Q72"/>
  <c r="P72"/>
  <c r="F72"/>
  <c r="R72" s="1"/>
  <c r="X72" s="1"/>
  <c r="T71"/>
  <c r="R71"/>
  <c r="K71"/>
  <c r="E71"/>
  <c r="Q71" s="1"/>
  <c r="T70"/>
  <c r="K70"/>
  <c r="E70"/>
  <c r="T69"/>
  <c r="R69"/>
  <c r="Q69"/>
  <c r="T68"/>
  <c r="Q68"/>
  <c r="S68" s="1"/>
  <c r="U68" s="1"/>
  <c r="S69" s="1"/>
  <c r="U69" s="1"/>
  <c r="L68"/>
  <c r="M68" s="1"/>
  <c r="O68" s="1"/>
  <c r="M69" s="1"/>
  <c r="O69" s="1"/>
  <c r="F68"/>
  <c r="R68" s="1"/>
  <c r="X68" s="1"/>
  <c r="T67"/>
  <c r="R67"/>
  <c r="Q67"/>
  <c r="Z66"/>
  <c r="T66"/>
  <c r="Q66"/>
  <c r="L66"/>
  <c r="P66" s="1"/>
  <c r="F66"/>
  <c r="T65"/>
  <c r="R65"/>
  <c r="K65"/>
  <c r="E65"/>
  <c r="T64"/>
  <c r="Z64" s="1"/>
  <c r="Q64"/>
  <c r="M64"/>
  <c r="O64" s="1"/>
  <c r="R64"/>
  <c r="K64"/>
  <c r="G64"/>
  <c r="I64" s="1"/>
  <c r="E64"/>
  <c r="T63"/>
  <c r="R63"/>
  <c r="Q63"/>
  <c r="T62"/>
  <c r="Z62" s="1"/>
  <c r="R62"/>
  <c r="Q62"/>
  <c r="P62"/>
  <c r="M62"/>
  <c r="O62" s="1"/>
  <c r="M63" s="1"/>
  <c r="O63" s="1"/>
  <c r="J62"/>
  <c r="G62"/>
  <c r="I62" s="1"/>
  <c r="G63" s="1"/>
  <c r="I63" s="1"/>
  <c r="T61"/>
  <c r="R61"/>
  <c r="K61"/>
  <c r="E61"/>
  <c r="Q61" s="1"/>
  <c r="T60"/>
  <c r="R60"/>
  <c r="X60" s="1"/>
  <c r="E60"/>
  <c r="J60" s="1"/>
  <c r="T59"/>
  <c r="R59"/>
  <c r="Q59"/>
  <c r="T58"/>
  <c r="Q58"/>
  <c r="W58" s="1"/>
  <c r="P58"/>
  <c r="L58"/>
  <c r="M58" s="1"/>
  <c r="O58" s="1"/>
  <c r="M59" s="1"/>
  <c r="O59" s="1"/>
  <c r="J58"/>
  <c r="F58"/>
  <c r="R58" s="1"/>
  <c r="T57"/>
  <c r="T83" s="1"/>
  <c r="R57"/>
  <c r="K57"/>
  <c r="E57"/>
  <c r="T56"/>
  <c r="K56"/>
  <c r="F56"/>
  <c r="R56" s="1"/>
  <c r="E56"/>
  <c r="AL53"/>
  <c r="I20" i="4" s="1"/>
  <c r="AF53" i="28"/>
  <c r="I18" i="4" s="1"/>
  <c r="Z53" i="28"/>
  <c r="I16" i="4" s="1"/>
  <c r="T53" i="28"/>
  <c r="I14" i="4" s="1"/>
  <c r="N53" i="28"/>
  <c r="I12" i="4" s="1"/>
  <c r="H53" i="28"/>
  <c r="I10" i="4" s="1"/>
  <c r="N52" i="28"/>
  <c r="I11" i="4" s="1"/>
  <c r="H52" i="28"/>
  <c r="I9" i="4" s="1"/>
  <c r="AR49" i="28"/>
  <c r="AP49"/>
  <c r="AO49"/>
  <c r="AX48"/>
  <c r="AR48"/>
  <c r="AP48"/>
  <c r="AO48"/>
  <c r="AN48"/>
  <c r="AK48"/>
  <c r="AM48" s="1"/>
  <c r="AK49" s="1"/>
  <c r="AM49" s="1"/>
  <c r="AH48"/>
  <c r="AE48"/>
  <c r="AG48" s="1"/>
  <c r="AE49" s="1"/>
  <c r="AG49" s="1"/>
  <c r="AB48"/>
  <c r="AA48"/>
  <c r="Y49" s="1"/>
  <c r="AA49" s="1"/>
  <c r="Y48"/>
  <c r="V48"/>
  <c r="U48"/>
  <c r="S49" s="1"/>
  <c r="U49" s="1"/>
  <c r="S48"/>
  <c r="P48"/>
  <c r="M48"/>
  <c r="O48" s="1"/>
  <c r="M49" s="1"/>
  <c r="O49" s="1"/>
  <c r="J48"/>
  <c r="I48"/>
  <c r="G49" s="1"/>
  <c r="I49" s="1"/>
  <c r="G48"/>
  <c r="AR47"/>
  <c r="AP47"/>
  <c r="AO47"/>
  <c r="AE47"/>
  <c r="S47"/>
  <c r="U47" s="1"/>
  <c r="AR46"/>
  <c r="AP46"/>
  <c r="AV46" s="1"/>
  <c r="AO46"/>
  <c r="AN46"/>
  <c r="AK46"/>
  <c r="AM46" s="1"/>
  <c r="AK47" s="1"/>
  <c r="AM47" s="1"/>
  <c r="AH46"/>
  <c r="AE46"/>
  <c r="AB46"/>
  <c r="Y46"/>
  <c r="AA46" s="1"/>
  <c r="Y47" s="1"/>
  <c r="AA47" s="1"/>
  <c r="V46"/>
  <c r="U46"/>
  <c r="S46"/>
  <c r="P46"/>
  <c r="O46"/>
  <c r="M47" s="1"/>
  <c r="O47" s="1"/>
  <c r="M46"/>
  <c r="J46"/>
  <c r="G46"/>
  <c r="I46" s="1"/>
  <c r="G47" s="1"/>
  <c r="I47" s="1"/>
  <c r="AR45"/>
  <c r="AP45"/>
  <c r="AO45"/>
  <c r="AX44"/>
  <c r="AR44"/>
  <c r="AO44"/>
  <c r="AU44" s="1"/>
  <c r="AJ44"/>
  <c r="AN44" s="1"/>
  <c r="AG44"/>
  <c r="AE45" s="1"/>
  <c r="AG45" s="1"/>
  <c r="AE44"/>
  <c r="AD44"/>
  <c r="AH44" s="1"/>
  <c r="AA44"/>
  <c r="Y45" s="1"/>
  <c r="AA45" s="1"/>
  <c r="Y44"/>
  <c r="X44"/>
  <c r="AB44" s="1"/>
  <c r="S44"/>
  <c r="U44" s="1"/>
  <c r="S45" s="1"/>
  <c r="U45" s="1"/>
  <c r="R44"/>
  <c r="V44" s="1"/>
  <c r="M44"/>
  <c r="O44" s="1"/>
  <c r="M45" s="1"/>
  <c r="O45" s="1"/>
  <c r="L44"/>
  <c r="P44" s="1"/>
  <c r="I44"/>
  <c r="G45" s="1"/>
  <c r="I45" s="1"/>
  <c r="G44"/>
  <c r="F44"/>
  <c r="J44" s="1"/>
  <c r="AR43"/>
  <c r="AP43"/>
  <c r="AI43"/>
  <c r="AC43"/>
  <c r="W43"/>
  <c r="AO43" s="1"/>
  <c r="Q43"/>
  <c r="K43"/>
  <c r="AX42"/>
  <c r="AR42"/>
  <c r="AJ42"/>
  <c r="AI42"/>
  <c r="AE42"/>
  <c r="AG42" s="1"/>
  <c r="AE43" s="1"/>
  <c r="AG43" s="1"/>
  <c r="AD42"/>
  <c r="AC42"/>
  <c r="X42"/>
  <c r="W42"/>
  <c r="R42"/>
  <c r="S42" s="1"/>
  <c r="U42" s="1"/>
  <c r="L42"/>
  <c r="K42"/>
  <c r="P42" s="1"/>
  <c r="G42"/>
  <c r="I42" s="1"/>
  <c r="G43" s="1"/>
  <c r="I43" s="1"/>
  <c r="F42"/>
  <c r="J42" s="1"/>
  <c r="AR41"/>
  <c r="AP41"/>
  <c r="AO41"/>
  <c r="AR40"/>
  <c r="AQ40"/>
  <c r="AO40"/>
  <c r="AU40" s="1"/>
  <c r="AM40"/>
  <c r="AK41" s="1"/>
  <c r="AM41" s="1"/>
  <c r="AK40"/>
  <c r="AJ40"/>
  <c r="AN40" s="1"/>
  <c r="AG40"/>
  <c r="AE41" s="1"/>
  <c r="AG41" s="1"/>
  <c r="AE40"/>
  <c r="AD40"/>
  <c r="AH40" s="1"/>
  <c r="AA40"/>
  <c r="Y41" s="1"/>
  <c r="AA41" s="1"/>
  <c r="Y40"/>
  <c r="X40"/>
  <c r="AB40" s="1"/>
  <c r="U40"/>
  <c r="S41" s="1"/>
  <c r="U41" s="1"/>
  <c r="S40"/>
  <c r="R40"/>
  <c r="V40" s="1"/>
  <c r="O40"/>
  <c r="M41" s="1"/>
  <c r="O41" s="1"/>
  <c r="M40"/>
  <c r="L40"/>
  <c r="P40" s="1"/>
  <c r="I40"/>
  <c r="G41" s="1"/>
  <c r="I41" s="1"/>
  <c r="G40"/>
  <c r="F40"/>
  <c r="AP40" s="1"/>
  <c r="AR39"/>
  <c r="AP39"/>
  <c r="AO39"/>
  <c r="AX38"/>
  <c r="AR38"/>
  <c r="AO38"/>
  <c r="AK38"/>
  <c r="AM38" s="1"/>
  <c r="AK39" s="1"/>
  <c r="AM39" s="1"/>
  <c r="AJ38"/>
  <c r="AN38" s="1"/>
  <c r="AD38"/>
  <c r="Y38"/>
  <c r="AA38" s="1"/>
  <c r="Y39" s="1"/>
  <c r="AA39" s="1"/>
  <c r="X38"/>
  <c r="AB38" s="1"/>
  <c r="R38"/>
  <c r="L38"/>
  <c r="P38" s="1"/>
  <c r="F38"/>
  <c r="AR37"/>
  <c r="AP37"/>
  <c r="AO37"/>
  <c r="AR36"/>
  <c r="AO36"/>
  <c r="AU36" s="1"/>
  <c r="AJ36"/>
  <c r="AK36" s="1"/>
  <c r="AM36" s="1"/>
  <c r="AK37" s="1"/>
  <c r="AM37" s="1"/>
  <c r="AH36"/>
  <c r="AG36"/>
  <c r="AE37" s="1"/>
  <c r="AG37" s="1"/>
  <c r="AD36"/>
  <c r="AE36" s="1"/>
  <c r="AB36"/>
  <c r="AA36"/>
  <c r="Y37" s="1"/>
  <c r="AA37" s="1"/>
  <c r="Y36"/>
  <c r="X36"/>
  <c r="V36"/>
  <c r="U36"/>
  <c r="S37" s="1"/>
  <c r="U37" s="1"/>
  <c r="S36"/>
  <c r="R36"/>
  <c r="P36"/>
  <c r="O36"/>
  <c r="M37" s="1"/>
  <c r="O37" s="1"/>
  <c r="M36"/>
  <c r="L36"/>
  <c r="J36"/>
  <c r="I36"/>
  <c r="G37" s="1"/>
  <c r="I37" s="1"/>
  <c r="G36"/>
  <c r="F36"/>
  <c r="AR35"/>
  <c r="AP35"/>
  <c r="AO35"/>
  <c r="AR34"/>
  <c r="AX34" s="1"/>
  <c r="AO34"/>
  <c r="AJ34"/>
  <c r="AN34" s="1"/>
  <c r="AE34"/>
  <c r="AG34" s="1"/>
  <c r="AE35" s="1"/>
  <c r="AG35" s="1"/>
  <c r="AH34"/>
  <c r="X34"/>
  <c r="AB34" s="1"/>
  <c r="S34"/>
  <c r="U34" s="1"/>
  <c r="S35" s="1"/>
  <c r="U35" s="1"/>
  <c r="V34"/>
  <c r="L34"/>
  <c r="P34" s="1"/>
  <c r="G34"/>
  <c r="I34" s="1"/>
  <c r="G35" s="1"/>
  <c r="I35" s="1"/>
  <c r="F34"/>
  <c r="J34" s="1"/>
  <c r="AR33"/>
  <c r="AP33"/>
  <c r="AI33"/>
  <c r="AC33"/>
  <c r="W33"/>
  <c r="Q33"/>
  <c r="K33"/>
  <c r="E33"/>
  <c r="AR32"/>
  <c r="AK32"/>
  <c r="AM32" s="1"/>
  <c r="AK33" s="1"/>
  <c r="AM33" s="1"/>
  <c r="AJ32"/>
  <c r="AI32"/>
  <c r="AG32"/>
  <c r="AE33" s="1"/>
  <c r="AG33" s="1"/>
  <c r="AE32"/>
  <c r="AD32"/>
  <c r="AC32"/>
  <c r="AB32"/>
  <c r="X32"/>
  <c r="W32"/>
  <c r="V32"/>
  <c r="R32"/>
  <c r="Q32"/>
  <c r="L32"/>
  <c r="K32"/>
  <c r="AO32" s="1"/>
  <c r="F32"/>
  <c r="E32"/>
  <c r="AR31"/>
  <c r="AP31"/>
  <c r="AI31"/>
  <c r="AC31"/>
  <c r="W31"/>
  <c r="Q31"/>
  <c r="AO31" s="1"/>
  <c r="K31"/>
  <c r="E31"/>
  <c r="AJ30"/>
  <c r="AI30"/>
  <c r="AK30" s="1"/>
  <c r="AM30" s="1"/>
  <c r="AH30"/>
  <c r="AD30"/>
  <c r="AC30"/>
  <c r="Z30"/>
  <c r="AR30" s="1"/>
  <c r="Y30"/>
  <c r="X30"/>
  <c r="AB30" s="1"/>
  <c r="W30"/>
  <c r="R30"/>
  <c r="Q30"/>
  <c r="L30"/>
  <c r="K30"/>
  <c r="G30"/>
  <c r="I30" s="1"/>
  <c r="G31" s="1"/>
  <c r="I31" s="1"/>
  <c r="F30"/>
  <c r="E30"/>
  <c r="AR29"/>
  <c r="AP29"/>
  <c r="AO29"/>
  <c r="O29"/>
  <c r="AR28"/>
  <c r="AO28"/>
  <c r="AJ28"/>
  <c r="AK28" s="1"/>
  <c r="AM28" s="1"/>
  <c r="AK29" s="1"/>
  <c r="AM29" s="1"/>
  <c r="AD28"/>
  <c r="AB28"/>
  <c r="X28"/>
  <c r="Y28" s="1"/>
  <c r="AA28" s="1"/>
  <c r="Y29" s="1"/>
  <c r="AA29" s="1"/>
  <c r="R28"/>
  <c r="P28"/>
  <c r="L28"/>
  <c r="M28" s="1"/>
  <c r="O28" s="1"/>
  <c r="M29" s="1"/>
  <c r="AR27"/>
  <c r="AP27"/>
  <c r="AO27"/>
  <c r="AR26"/>
  <c r="AX26" s="1"/>
  <c r="AO26"/>
  <c r="AM26"/>
  <c r="AK27" s="1"/>
  <c r="AM27" s="1"/>
  <c r="AK26"/>
  <c r="AJ26"/>
  <c r="AN26" s="1"/>
  <c r="AE26"/>
  <c r="AG26" s="1"/>
  <c r="AE27" s="1"/>
  <c r="AG27" s="1"/>
  <c r="AD26"/>
  <c r="AH26" s="1"/>
  <c r="X26"/>
  <c r="AB26" s="1"/>
  <c r="U26"/>
  <c r="S27" s="1"/>
  <c r="U27" s="1"/>
  <c r="S26"/>
  <c r="R26"/>
  <c r="V26" s="1"/>
  <c r="O26"/>
  <c r="M27" s="1"/>
  <c r="O27" s="1"/>
  <c r="M26"/>
  <c r="L26"/>
  <c r="P26" s="1"/>
  <c r="F26"/>
  <c r="J26" s="1"/>
  <c r="AR25"/>
  <c r="AP25"/>
  <c r="AO25"/>
  <c r="AX24"/>
  <c r="AR24"/>
  <c r="AO24"/>
  <c r="AJ24"/>
  <c r="AN24" s="1"/>
  <c r="AG24"/>
  <c r="AE25" s="1"/>
  <c r="AG25" s="1"/>
  <c r="AE24"/>
  <c r="AD24"/>
  <c r="AH24" s="1"/>
  <c r="Y24"/>
  <c r="AA24" s="1"/>
  <c r="Y25" s="1"/>
  <c r="AA25" s="1"/>
  <c r="X24"/>
  <c r="AB24" s="1"/>
  <c r="R24"/>
  <c r="V24" s="1"/>
  <c r="O24"/>
  <c r="M25" s="1"/>
  <c r="O25" s="1"/>
  <c r="M24"/>
  <c r="L24"/>
  <c r="P24" s="1"/>
  <c r="I24"/>
  <c r="G25" s="1"/>
  <c r="I25" s="1"/>
  <c r="G24"/>
  <c r="F24"/>
  <c r="J24" s="1"/>
  <c r="AR23"/>
  <c r="AP23"/>
  <c r="AO23"/>
  <c r="AR22"/>
  <c r="AP22"/>
  <c r="AV22" s="1"/>
  <c r="AO22"/>
  <c r="AN22"/>
  <c r="AM22"/>
  <c r="AK23" s="1"/>
  <c r="AM23" s="1"/>
  <c r="AK22"/>
  <c r="AH22"/>
  <c r="AE22"/>
  <c r="AG22" s="1"/>
  <c r="AE23" s="1"/>
  <c r="AG23" s="1"/>
  <c r="AB22"/>
  <c r="Y22"/>
  <c r="AA22" s="1"/>
  <c r="Y23" s="1"/>
  <c r="AA23" s="1"/>
  <c r="V22"/>
  <c r="S22"/>
  <c r="U22" s="1"/>
  <c r="S23" s="1"/>
  <c r="U23" s="1"/>
  <c r="P22"/>
  <c r="O22"/>
  <c r="M23" s="1"/>
  <c r="O23" s="1"/>
  <c r="M22"/>
  <c r="J22"/>
  <c r="I22"/>
  <c r="G23" s="1"/>
  <c r="I23" s="1"/>
  <c r="G22"/>
  <c r="AR21"/>
  <c r="AP21"/>
  <c r="AI21"/>
  <c r="AC21"/>
  <c r="W21"/>
  <c r="Q21"/>
  <c r="V20" s="1"/>
  <c r="K21"/>
  <c r="E21"/>
  <c r="AL20"/>
  <c r="AL52" s="1"/>
  <c r="I19" i="4" s="1"/>
  <c r="AJ20" i="28"/>
  <c r="AI20"/>
  <c r="AH20"/>
  <c r="AF20"/>
  <c r="AF52" s="1"/>
  <c r="I17" i="4" s="1"/>
  <c r="AD20" i="28"/>
  <c r="AC20"/>
  <c r="AE20" s="1"/>
  <c r="AG20" s="1"/>
  <c r="AE21" s="1"/>
  <c r="AG21" s="1"/>
  <c r="Z20"/>
  <c r="X20"/>
  <c r="W20"/>
  <c r="T20"/>
  <c r="T52" s="1"/>
  <c r="I13" i="4" s="1"/>
  <c r="R20" i="28"/>
  <c r="Q20"/>
  <c r="M20"/>
  <c r="O20" s="1"/>
  <c r="M21" s="1"/>
  <c r="O21" s="1"/>
  <c r="L20"/>
  <c r="K20"/>
  <c r="F20"/>
  <c r="E20"/>
  <c r="AR19"/>
  <c r="AP19"/>
  <c r="AO19"/>
  <c r="AG19"/>
  <c r="AR18"/>
  <c r="AX18" s="1"/>
  <c r="AP18"/>
  <c r="AO18"/>
  <c r="AQ18" s="1"/>
  <c r="AN18"/>
  <c r="AK18"/>
  <c r="AM18" s="1"/>
  <c r="AK19" s="1"/>
  <c r="AM19" s="1"/>
  <c r="AH18"/>
  <c r="AE18"/>
  <c r="AG18" s="1"/>
  <c r="AE19" s="1"/>
  <c r="AB18"/>
  <c r="AA18"/>
  <c r="Y19" s="1"/>
  <c r="AA19" s="1"/>
  <c r="Y18"/>
  <c r="V18"/>
  <c r="S18"/>
  <c r="U18" s="1"/>
  <c r="S19" s="1"/>
  <c r="U19" s="1"/>
  <c r="P18"/>
  <c r="O18"/>
  <c r="M19" s="1"/>
  <c r="O19" s="1"/>
  <c r="M18"/>
  <c r="J18"/>
  <c r="G18"/>
  <c r="I18" s="1"/>
  <c r="G19" s="1"/>
  <c r="I19" s="1"/>
  <c r="AR17"/>
  <c r="AP17"/>
  <c r="AO17"/>
  <c r="AR16"/>
  <c r="AX16" s="1"/>
  <c r="AO16"/>
  <c r="AU16" s="1"/>
  <c r="AM16"/>
  <c r="AK17" s="1"/>
  <c r="AM17" s="1"/>
  <c r="AK16"/>
  <c r="AJ16"/>
  <c r="AN16" s="1"/>
  <c r="AD16"/>
  <c r="AH16" s="1"/>
  <c r="AA16"/>
  <c r="Y17" s="1"/>
  <c r="AA17" s="1"/>
  <c r="Y16"/>
  <c r="X16"/>
  <c r="AB16" s="1"/>
  <c r="U16"/>
  <c r="S17" s="1"/>
  <c r="U17" s="1"/>
  <c r="S16"/>
  <c r="R16"/>
  <c r="V16" s="1"/>
  <c r="M16"/>
  <c r="O16" s="1"/>
  <c r="M17" s="1"/>
  <c r="O17" s="1"/>
  <c r="L16"/>
  <c r="P16" s="1"/>
  <c r="G16"/>
  <c r="I16" s="1"/>
  <c r="G17" s="1"/>
  <c r="I17" s="1"/>
  <c r="F16"/>
  <c r="J16" s="1"/>
  <c r="AR13"/>
  <c r="AP13"/>
  <c r="AI13"/>
  <c r="AC13"/>
  <c r="W13"/>
  <c r="Q13"/>
  <c r="K13"/>
  <c r="E13"/>
  <c r="AX12"/>
  <c r="AR12"/>
  <c r="AI12"/>
  <c r="AN12" s="1"/>
  <c r="AD12"/>
  <c r="AC12"/>
  <c r="X12"/>
  <c r="W12"/>
  <c r="Y12" s="1"/>
  <c r="AA12" s="1"/>
  <c r="S12"/>
  <c r="U12" s="1"/>
  <c r="R12"/>
  <c r="Q12"/>
  <c r="O12"/>
  <c r="M12"/>
  <c r="L12"/>
  <c r="K12"/>
  <c r="J12"/>
  <c r="F12"/>
  <c r="AP12" s="1"/>
  <c r="AV12" s="1"/>
  <c r="E12"/>
  <c r="AR11"/>
  <c r="AP11"/>
  <c r="AO11"/>
  <c r="AU10"/>
  <c r="AR10"/>
  <c r="AX10" s="1"/>
  <c r="AO10"/>
  <c r="AK10"/>
  <c r="AM10" s="1"/>
  <c r="AK11" s="1"/>
  <c r="AM11" s="1"/>
  <c r="AJ10"/>
  <c r="AN10" s="1"/>
  <c r="AD10"/>
  <c r="AH10" s="1"/>
  <c r="Y10"/>
  <c r="AA10" s="1"/>
  <c r="Y11" s="1"/>
  <c r="AA11" s="1"/>
  <c r="AB10"/>
  <c r="U10"/>
  <c r="S11" s="1"/>
  <c r="U11" s="1"/>
  <c r="S10"/>
  <c r="R10"/>
  <c r="V10" s="1"/>
  <c r="P10"/>
  <c r="O10"/>
  <c r="M11" s="1"/>
  <c r="O11" s="1"/>
  <c r="M10"/>
  <c r="G10"/>
  <c r="I10" s="1"/>
  <c r="G11" s="1"/>
  <c r="I11" s="1"/>
  <c r="F10"/>
  <c r="AP10" s="1"/>
  <c r="AV10" s="1"/>
  <c r="AR9"/>
  <c r="AP9"/>
  <c r="AO9"/>
  <c r="AM9"/>
  <c r="AR8"/>
  <c r="AO8"/>
  <c r="AN8"/>
  <c r="AJ8"/>
  <c r="AK8" s="1"/>
  <c r="AM8" s="1"/>
  <c r="AK9" s="1"/>
  <c r="AH8"/>
  <c r="AD8"/>
  <c r="AE8" s="1"/>
  <c r="AG8" s="1"/>
  <c r="AE9" s="1"/>
  <c r="AG9" s="1"/>
  <c r="AB8"/>
  <c r="X8"/>
  <c r="Y8" s="1"/>
  <c r="AA8" s="1"/>
  <c r="Y9" s="1"/>
  <c r="AA9" s="1"/>
  <c r="V8"/>
  <c r="R8"/>
  <c r="S8" s="1"/>
  <c r="U8" s="1"/>
  <c r="S9" s="1"/>
  <c r="U9" s="1"/>
  <c r="P8"/>
  <c r="L8"/>
  <c r="M8" s="1"/>
  <c r="O8" s="1"/>
  <c r="M9" s="1"/>
  <c r="O9" s="1"/>
  <c r="J8"/>
  <c r="F8"/>
  <c r="AR7"/>
  <c r="AP7"/>
  <c r="AI7"/>
  <c r="AC7"/>
  <c r="W7"/>
  <c r="Q7"/>
  <c r="K7"/>
  <c r="E7"/>
  <c r="AR6"/>
  <c r="AN6"/>
  <c r="AJ6"/>
  <c r="AI6"/>
  <c r="AD6"/>
  <c r="AD52" s="1"/>
  <c r="AC6"/>
  <c r="AE6" s="1"/>
  <c r="AG6" s="1"/>
  <c r="X6"/>
  <c r="W6"/>
  <c r="AB6" s="1"/>
  <c r="R6"/>
  <c r="Q6"/>
  <c r="L6"/>
  <c r="L52" s="1"/>
  <c r="K6"/>
  <c r="F6"/>
  <c r="E6"/>
  <c r="J6" s="1"/>
  <c r="S72" l="1"/>
  <c r="U72" s="1"/>
  <c r="S73" s="1"/>
  <c r="U73" s="1"/>
  <c r="AS18"/>
  <c r="AQ19" s="1"/>
  <c r="AT18"/>
  <c r="AQ26"/>
  <c r="AS26" s="1"/>
  <c r="AQ27" s="1"/>
  <c r="X58"/>
  <c r="S58"/>
  <c r="Y58"/>
  <c r="AP24"/>
  <c r="AV24" s="1"/>
  <c r="AU26"/>
  <c r="P6"/>
  <c r="AJ52"/>
  <c r="AP20"/>
  <c r="AV20" s="1"/>
  <c r="AA30"/>
  <c r="Y31" s="1"/>
  <c r="AA31" s="1"/>
  <c r="AN30"/>
  <c r="AP34"/>
  <c r="AV34" s="1"/>
  <c r="Y42"/>
  <c r="AA42" s="1"/>
  <c r="Y43" s="1"/>
  <c r="AA43" s="1"/>
  <c r="M65"/>
  <c r="O65" s="1"/>
  <c r="J68"/>
  <c r="P68"/>
  <c r="J72"/>
  <c r="G36" i="4"/>
  <c r="K35" s="1"/>
  <c r="X86" i="28"/>
  <c r="P90"/>
  <c r="G6"/>
  <c r="I6" s="1"/>
  <c r="Y6"/>
  <c r="AA6" s="1"/>
  <c r="F52"/>
  <c r="S6"/>
  <c r="U6" s="1"/>
  <c r="S7" s="1"/>
  <c r="U7" s="1"/>
  <c r="X52"/>
  <c r="AO6"/>
  <c r="AE10"/>
  <c r="AG10" s="1"/>
  <c r="AE11" s="1"/>
  <c r="AG11" s="1"/>
  <c r="P12"/>
  <c r="AK12"/>
  <c r="AM12" s="1"/>
  <c r="AE16"/>
  <c r="AG16" s="1"/>
  <c r="AE17" s="1"/>
  <c r="AG17" s="1"/>
  <c r="AQ17"/>
  <c r="AT17" s="1"/>
  <c r="S24"/>
  <c r="U24" s="1"/>
  <c r="S25" s="1"/>
  <c r="U25" s="1"/>
  <c r="AK24"/>
  <c r="AM24" s="1"/>
  <c r="AK25" s="1"/>
  <c r="AM25" s="1"/>
  <c r="G26"/>
  <c r="I26" s="1"/>
  <c r="G27" s="1"/>
  <c r="I27" s="1"/>
  <c r="Y26"/>
  <c r="AA26" s="1"/>
  <c r="Y27" s="1"/>
  <c r="AA27" s="1"/>
  <c r="AP26"/>
  <c r="AN28"/>
  <c r="J30"/>
  <c r="Y32"/>
  <c r="AA32" s="1"/>
  <c r="AX32"/>
  <c r="M34"/>
  <c r="O34" s="1"/>
  <c r="M35" s="1"/>
  <c r="O35" s="1"/>
  <c r="Y34"/>
  <c r="AA34" s="1"/>
  <c r="Y35" s="1"/>
  <c r="AA35" s="1"/>
  <c r="AK34"/>
  <c r="AM34" s="1"/>
  <c r="AK35" s="1"/>
  <c r="AM35" s="1"/>
  <c r="AP36"/>
  <c r="AN36"/>
  <c r="M38"/>
  <c r="O38" s="1"/>
  <c r="M39" s="1"/>
  <c r="O39" s="1"/>
  <c r="J40"/>
  <c r="AK42"/>
  <c r="AM42" s="1"/>
  <c r="AK43" s="1"/>
  <c r="AM43" s="1"/>
  <c r="AK44"/>
  <c r="AM44" s="1"/>
  <c r="AK45" s="1"/>
  <c r="AM45" s="1"/>
  <c r="P60"/>
  <c r="M66"/>
  <c r="O66" s="1"/>
  <c r="M67" s="1"/>
  <c r="O67" s="1"/>
  <c r="G68"/>
  <c r="I68" s="1"/>
  <c r="G69" s="1"/>
  <c r="I69" s="1"/>
  <c r="G72"/>
  <c r="I72" s="1"/>
  <c r="G73" s="1"/>
  <c r="I73" s="1"/>
  <c r="M72"/>
  <c r="O72" s="1"/>
  <c r="M73" s="1"/>
  <c r="O73" s="1"/>
  <c r="G76"/>
  <c r="I76" s="1"/>
  <c r="G77" s="1"/>
  <c r="I77" s="1"/>
  <c r="P80"/>
  <c r="M89"/>
  <c r="O89" s="1"/>
  <c r="M90"/>
  <c r="O90" s="1"/>
  <c r="M91" s="1"/>
  <c r="O91" s="1"/>
  <c r="Y13"/>
  <c r="AA13" s="1"/>
  <c r="AU18"/>
  <c r="W68"/>
  <c r="W72"/>
  <c r="Y72" s="1"/>
  <c r="Z52"/>
  <c r="I15" i="4" s="1"/>
  <c r="G24" s="1"/>
  <c r="AP44" i="28"/>
  <c r="M70"/>
  <c r="O70" s="1"/>
  <c r="M71" s="1"/>
  <c r="O71" s="1"/>
  <c r="J76"/>
  <c r="R52"/>
  <c r="J10"/>
  <c r="AE12"/>
  <c r="AG12" s="1"/>
  <c r="AE13" s="1"/>
  <c r="AG13" s="1"/>
  <c r="AP16"/>
  <c r="AQ16" s="1"/>
  <c r="AS16" s="1"/>
  <c r="P20"/>
  <c r="S30"/>
  <c r="U30" s="1"/>
  <c r="S31" s="1"/>
  <c r="U31" s="1"/>
  <c r="AO33"/>
  <c r="AV40"/>
  <c r="AH42"/>
  <c r="Q57"/>
  <c r="G58"/>
  <c r="I58" s="1"/>
  <c r="G59" s="1"/>
  <c r="I59" s="1"/>
  <c r="X64"/>
  <c r="R70"/>
  <c r="X70" s="1"/>
  <c r="G74"/>
  <c r="I74" s="1"/>
  <c r="G75" s="1"/>
  <c r="I75" s="1"/>
  <c r="R74"/>
  <c r="X74" s="1"/>
  <c r="J78"/>
  <c r="P86"/>
  <c r="J88"/>
  <c r="P92"/>
  <c r="M98"/>
  <c r="O98" s="1"/>
  <c r="M99" s="1"/>
  <c r="O99" s="1"/>
  <c r="AQ10"/>
  <c r="AS10" s="1"/>
  <c r="AQ11" s="1"/>
  <c r="AT11" s="1"/>
  <c r="AS17"/>
  <c r="AS11"/>
  <c r="AB20"/>
  <c r="Y20"/>
  <c r="AA20" s="1"/>
  <c r="Y21" s="1"/>
  <c r="AA21" s="1"/>
  <c r="AP32"/>
  <c r="AV32" s="1"/>
  <c r="M32"/>
  <c r="O32" s="1"/>
  <c r="M33" s="1"/>
  <c r="O33" s="1"/>
  <c r="G32"/>
  <c r="I32" s="1"/>
  <c r="G33" s="1"/>
  <c r="I33" s="1"/>
  <c r="Z70"/>
  <c r="AO20"/>
  <c r="G20"/>
  <c r="I20" s="1"/>
  <c r="G21" s="1"/>
  <c r="I21" s="1"/>
  <c r="AX22"/>
  <c r="AT22"/>
  <c r="S28"/>
  <c r="U28" s="1"/>
  <c r="S29" s="1"/>
  <c r="U29" s="1"/>
  <c r="V28"/>
  <c r="AX40"/>
  <c r="AT40"/>
  <c r="AU46"/>
  <c r="AW46" s="1"/>
  <c r="AQ46"/>
  <c r="AS46" s="1"/>
  <c r="W76"/>
  <c r="Y76" s="1"/>
  <c r="S76"/>
  <c r="U76" s="1"/>
  <c r="S77" s="1"/>
  <c r="R94"/>
  <c r="X94" s="1"/>
  <c r="G94"/>
  <c r="I94" s="1"/>
  <c r="G7"/>
  <c r="I7" s="1"/>
  <c r="AO7"/>
  <c r="AX8"/>
  <c r="AX6"/>
  <c r="AP8"/>
  <c r="AV8" s="1"/>
  <c r="G8"/>
  <c r="I8" s="1"/>
  <c r="G9" s="1"/>
  <c r="I9" s="1"/>
  <c r="AU8"/>
  <c r="AQ8"/>
  <c r="AS8" s="1"/>
  <c r="AQ9" s="1"/>
  <c r="AO12"/>
  <c r="G12"/>
  <c r="I12" s="1"/>
  <c r="G13" s="1"/>
  <c r="I13" s="1"/>
  <c r="AN20"/>
  <c r="AK20"/>
  <c r="AM20" s="1"/>
  <c r="AK21" s="1"/>
  <c r="AM21" s="1"/>
  <c r="AU22"/>
  <c r="AW22" s="1"/>
  <c r="AQ22"/>
  <c r="AS22" s="1"/>
  <c r="AT26"/>
  <c r="AU28"/>
  <c r="V38"/>
  <c r="S38"/>
  <c r="U38" s="1"/>
  <c r="S39" s="1"/>
  <c r="U39" s="1"/>
  <c r="Q65"/>
  <c r="G65"/>
  <c r="I65" s="1"/>
  <c r="W66"/>
  <c r="S66"/>
  <c r="AT23"/>
  <c r="AW10"/>
  <c r="AY10" s="1"/>
  <c r="S13"/>
  <c r="U13" s="1"/>
  <c r="AO13"/>
  <c r="AQ47"/>
  <c r="AE7"/>
  <c r="AG7" s="1"/>
  <c r="AH12"/>
  <c r="J20"/>
  <c r="AR20"/>
  <c r="AQ23"/>
  <c r="AS23" s="1"/>
  <c r="AP6"/>
  <c r="AV6" s="1"/>
  <c r="V6"/>
  <c r="AK6"/>
  <c r="AM6" s="1"/>
  <c r="AK7" s="1"/>
  <c r="AM7" s="1"/>
  <c r="V12"/>
  <c r="M13"/>
  <c r="O13" s="1"/>
  <c r="AK13"/>
  <c r="AM13" s="1"/>
  <c r="AV18"/>
  <c r="AW18" s="1"/>
  <c r="S20"/>
  <c r="U20" s="1"/>
  <c r="AU24"/>
  <c r="AW24" s="1"/>
  <c r="AY24" s="1"/>
  <c r="J32"/>
  <c r="AP28"/>
  <c r="AV28" s="1"/>
  <c r="G28"/>
  <c r="I28" s="1"/>
  <c r="G29" s="1"/>
  <c r="I29" s="1"/>
  <c r="J28"/>
  <c r="AH38"/>
  <c r="AE38"/>
  <c r="AG38" s="1"/>
  <c r="AE39" s="1"/>
  <c r="AG39" s="1"/>
  <c r="W62"/>
  <c r="S62"/>
  <c r="Q70"/>
  <c r="G70"/>
  <c r="I70" s="1"/>
  <c r="G71" s="1"/>
  <c r="I71" s="1"/>
  <c r="J70"/>
  <c r="Z72"/>
  <c r="Z80"/>
  <c r="U92"/>
  <c r="S93" s="1"/>
  <c r="V92"/>
  <c r="Z98"/>
  <c r="M30"/>
  <c r="O30" s="1"/>
  <c r="M31" s="1"/>
  <c r="O31" s="1"/>
  <c r="P30"/>
  <c r="AU32"/>
  <c r="AU38"/>
  <c r="AE28"/>
  <c r="AG28" s="1"/>
  <c r="AE29" s="1"/>
  <c r="AG29" s="1"/>
  <c r="AH28"/>
  <c r="J38"/>
  <c r="AP38"/>
  <c r="AV38" s="1"/>
  <c r="G38"/>
  <c r="I38" s="1"/>
  <c r="G39" s="1"/>
  <c r="I39" s="1"/>
  <c r="S43"/>
  <c r="U43" s="1"/>
  <c r="V42"/>
  <c r="J66"/>
  <c r="R66"/>
  <c r="X66" s="1"/>
  <c r="G66"/>
  <c r="I66" s="1"/>
  <c r="G67" s="1"/>
  <c r="I67" s="1"/>
  <c r="Q79"/>
  <c r="W78" s="1"/>
  <c r="G79"/>
  <c r="I79" s="1"/>
  <c r="Q87"/>
  <c r="G87"/>
  <c r="I87" s="1"/>
  <c r="J86"/>
  <c r="X96"/>
  <c r="Y96" s="1"/>
  <c r="S96"/>
  <c r="Y7"/>
  <c r="AA7" s="1"/>
  <c r="S21"/>
  <c r="U21" s="1"/>
  <c r="AO21"/>
  <c r="M6"/>
  <c r="O6" s="1"/>
  <c r="M7" s="1"/>
  <c r="O7" s="1"/>
  <c r="P32"/>
  <c r="AH6"/>
  <c r="AB12"/>
  <c r="X56"/>
  <c r="Y56" s="1"/>
  <c r="AU34"/>
  <c r="AW34" s="1"/>
  <c r="AY34" s="1"/>
  <c r="Q56"/>
  <c r="G56"/>
  <c r="I56" s="1"/>
  <c r="G57" s="1"/>
  <c r="I57" s="1"/>
  <c r="Z78"/>
  <c r="R80"/>
  <c r="X80" s="1"/>
  <c r="G80"/>
  <c r="I80" s="1"/>
  <c r="G81" s="1"/>
  <c r="I81" s="1"/>
  <c r="Q95"/>
  <c r="G95"/>
  <c r="I95" s="1"/>
  <c r="AX30"/>
  <c r="AX46"/>
  <c r="AT46"/>
  <c r="K82"/>
  <c r="M56"/>
  <c r="O56" s="1"/>
  <c r="M57" s="1"/>
  <c r="O57" s="1"/>
  <c r="Q60"/>
  <c r="G60"/>
  <c r="I60" s="1"/>
  <c r="G61" s="1"/>
  <c r="I61" s="1"/>
  <c r="Z60"/>
  <c r="Q89"/>
  <c r="G89"/>
  <c r="I89" s="1"/>
  <c r="Z94"/>
  <c r="Q98"/>
  <c r="G98"/>
  <c r="I98" s="1"/>
  <c r="G99" s="1"/>
  <c r="I99" s="1"/>
  <c r="AS40"/>
  <c r="AQ41" s="1"/>
  <c r="AS41" s="1"/>
  <c r="V69"/>
  <c r="Y92"/>
  <c r="J94"/>
  <c r="AV26"/>
  <c r="AW26" s="1"/>
  <c r="AE30"/>
  <c r="AG30" s="1"/>
  <c r="AE31" s="1"/>
  <c r="AG31" s="1"/>
  <c r="S32"/>
  <c r="U32" s="1"/>
  <c r="S33" s="1"/>
  <c r="U33" s="1"/>
  <c r="Y33"/>
  <c r="AA33" s="1"/>
  <c r="AT41"/>
  <c r="AN42"/>
  <c r="AP42"/>
  <c r="AV42" s="1"/>
  <c r="AV48"/>
  <c r="U58"/>
  <c r="S59" s="1"/>
  <c r="U59" s="1"/>
  <c r="J64"/>
  <c r="P64"/>
  <c r="Y68"/>
  <c r="P70"/>
  <c r="Z90"/>
  <c r="M94"/>
  <c r="O94" s="1"/>
  <c r="M95" s="1"/>
  <c r="O95" s="1"/>
  <c r="T82"/>
  <c r="Z56"/>
  <c r="Z58"/>
  <c r="V58"/>
  <c r="W74"/>
  <c r="S74"/>
  <c r="W80"/>
  <c r="Y80" s="1"/>
  <c r="AA80" s="1"/>
  <c r="Z86"/>
  <c r="AX28"/>
  <c r="AX36"/>
  <c r="AU48"/>
  <c r="AW48" s="1"/>
  <c r="AY48" s="1"/>
  <c r="AQ48"/>
  <c r="S64"/>
  <c r="Z68"/>
  <c r="AB68" s="1"/>
  <c r="V68"/>
  <c r="Z76"/>
  <c r="Z88"/>
  <c r="Q90"/>
  <c r="G90"/>
  <c r="I90" s="1"/>
  <c r="G91" s="1"/>
  <c r="I91" s="1"/>
  <c r="M78"/>
  <c r="O78" s="1"/>
  <c r="M79" s="1"/>
  <c r="O79" s="1"/>
  <c r="Q88"/>
  <c r="AP30"/>
  <c r="AV30" s="1"/>
  <c r="V30"/>
  <c r="AK31"/>
  <c r="AM31" s="1"/>
  <c r="AH32"/>
  <c r="AN32"/>
  <c r="AW40"/>
  <c r="M42"/>
  <c r="O42" s="1"/>
  <c r="M43" s="1"/>
  <c r="O43" s="1"/>
  <c r="AB42"/>
  <c r="AO42"/>
  <c r="J56"/>
  <c r="P56"/>
  <c r="V59"/>
  <c r="M61"/>
  <c r="O61" s="1"/>
  <c r="X62"/>
  <c r="R78"/>
  <c r="X78" s="1"/>
  <c r="Q86"/>
  <c r="W86" s="1"/>
  <c r="T101"/>
  <c r="Q94"/>
  <c r="J98"/>
  <c r="AO30"/>
  <c r="J92"/>
  <c r="I37" i="15"/>
  <c r="H122" i="10"/>
  <c r="H121"/>
  <c r="O82" i="28" l="1"/>
  <c r="AA72"/>
  <c r="V72"/>
  <c r="AS19"/>
  <c r="AT19"/>
  <c r="AA92"/>
  <c r="AV44"/>
  <c r="AW44" s="1"/>
  <c r="AY44" s="1"/>
  <c r="AQ44"/>
  <c r="AV36"/>
  <c r="AW36" s="1"/>
  <c r="AZ36" s="1"/>
  <c r="AQ36"/>
  <c r="AY40"/>
  <c r="AB58"/>
  <c r="AW38"/>
  <c r="AY38" s="1"/>
  <c r="AW28"/>
  <c r="AY22"/>
  <c r="AQ34"/>
  <c r="AV16"/>
  <c r="AW16" s="1"/>
  <c r="AY16" s="1"/>
  <c r="AT16"/>
  <c r="X100"/>
  <c r="AY46"/>
  <c r="AQ24"/>
  <c r="AB76"/>
  <c r="Y74"/>
  <c r="AZ24"/>
  <c r="Y62"/>
  <c r="AQ6"/>
  <c r="AT8"/>
  <c r="U93"/>
  <c r="V93"/>
  <c r="AT10"/>
  <c r="Y78"/>
  <c r="S78"/>
  <c r="U78" s="1"/>
  <c r="S79" s="1"/>
  <c r="AA96"/>
  <c r="AB96"/>
  <c r="AS9"/>
  <c r="AT9"/>
  <c r="AY26"/>
  <c r="AZ26"/>
  <c r="U77"/>
  <c r="V77"/>
  <c r="AY18"/>
  <c r="AZ18"/>
  <c r="Q82"/>
  <c r="S56"/>
  <c r="W56"/>
  <c r="AX20"/>
  <c r="S86"/>
  <c r="AT34"/>
  <c r="AS34"/>
  <c r="AQ35" s="1"/>
  <c r="AS27"/>
  <c r="AT27"/>
  <c r="AU12"/>
  <c r="AW12" s="1"/>
  <c r="AQ12"/>
  <c r="W88"/>
  <c r="Y88" s="1"/>
  <c r="S88"/>
  <c r="V64"/>
  <c r="U64"/>
  <c r="S65" s="1"/>
  <c r="U74"/>
  <c r="S75" s="1"/>
  <c r="V74"/>
  <c r="W70"/>
  <c r="Y70" s="1"/>
  <c r="AA70" s="1"/>
  <c r="S70"/>
  <c r="AB88"/>
  <c r="AA58"/>
  <c r="AY28"/>
  <c r="AZ34"/>
  <c r="AZ48"/>
  <c r="V76"/>
  <c r="V73"/>
  <c r="AZ38"/>
  <c r="AQ32"/>
  <c r="AB92"/>
  <c r="Y66"/>
  <c r="AW8"/>
  <c r="AY8" s="1"/>
  <c r="AA76"/>
  <c r="AZ40"/>
  <c r="AZ22"/>
  <c r="AQ30"/>
  <c r="AU30"/>
  <c r="AW30" s="1"/>
  <c r="AY30" s="1"/>
  <c r="AU42"/>
  <c r="AW42" s="1"/>
  <c r="AQ42"/>
  <c r="U96"/>
  <c r="S97" s="1"/>
  <c r="V96"/>
  <c r="U66"/>
  <c r="S67" s="1"/>
  <c r="V66"/>
  <c r="W94"/>
  <c r="Y94" s="1"/>
  <c r="AA94" s="1"/>
  <c r="S94"/>
  <c r="AT48"/>
  <c r="AS48"/>
  <c r="AQ49" s="1"/>
  <c r="AU20"/>
  <c r="AW20" s="1"/>
  <c r="AQ20"/>
  <c r="AS20" s="1"/>
  <c r="AQ21" s="1"/>
  <c r="W90"/>
  <c r="Y90" s="1"/>
  <c r="AA90" s="1"/>
  <c r="S90"/>
  <c r="Z82"/>
  <c r="K26" i="6" s="1"/>
  <c r="W98" i="28"/>
  <c r="Y98" s="1"/>
  <c r="AA98" s="1"/>
  <c r="S98"/>
  <c r="S60"/>
  <c r="W60"/>
  <c r="Y60" s="1"/>
  <c r="AA60" s="1"/>
  <c r="U62"/>
  <c r="S63" s="1"/>
  <c r="V62"/>
  <c r="AS47"/>
  <c r="AT47"/>
  <c r="AU6"/>
  <c r="S80"/>
  <c r="AA68"/>
  <c r="AQ38"/>
  <c r="AB98"/>
  <c r="W64"/>
  <c r="Y64" s="1"/>
  <c r="Y82" s="1"/>
  <c r="AB90"/>
  <c r="AY36"/>
  <c r="AZ46"/>
  <c r="X82"/>
  <c r="I26" i="6" s="1"/>
  <c r="J26" s="1"/>
  <c r="AZ16" i="28"/>
  <c r="AZ10"/>
  <c r="AW32"/>
  <c r="AB72"/>
  <c r="AQ28"/>
  <c r="F35" i="3"/>
  <c r="F51"/>
  <c r="F33"/>
  <c r="F138"/>
  <c r="F56"/>
  <c r="F121"/>
  <c r="F149"/>
  <c r="AA62" i="28" l="1"/>
  <c r="AB62"/>
  <c r="AS24"/>
  <c r="AQ25" s="1"/>
  <c r="AT24"/>
  <c r="AZ20"/>
  <c r="AZ30"/>
  <c r="AV52"/>
  <c r="AT44"/>
  <c r="AS44"/>
  <c r="AQ45" s="1"/>
  <c r="AS6"/>
  <c r="AQ7" s="1"/>
  <c r="AT6"/>
  <c r="AA88"/>
  <c r="AA74"/>
  <c r="AB74"/>
  <c r="AS36"/>
  <c r="AQ37" s="1"/>
  <c r="AT36"/>
  <c r="AB94"/>
  <c r="AB70"/>
  <c r="AT20"/>
  <c r="AX52"/>
  <c r="K25" i="6" s="1"/>
  <c r="AB78" i="28"/>
  <c r="AA78"/>
  <c r="V78"/>
  <c r="U65"/>
  <c r="V65"/>
  <c r="AS38"/>
  <c r="AQ39" s="1"/>
  <c r="AT38"/>
  <c r="AS30"/>
  <c r="AQ31" s="1"/>
  <c r="AT30"/>
  <c r="AY12"/>
  <c r="AZ12"/>
  <c r="AU52"/>
  <c r="AW6"/>
  <c r="AS49"/>
  <c r="AT49"/>
  <c r="AA66"/>
  <c r="AB66"/>
  <c r="AS32"/>
  <c r="AQ33" s="1"/>
  <c r="AT32"/>
  <c r="AS35"/>
  <c r="AT35"/>
  <c r="U79"/>
  <c r="V79"/>
  <c r="U80"/>
  <c r="S81" s="1"/>
  <c r="V80"/>
  <c r="V63"/>
  <c r="U63"/>
  <c r="AY32"/>
  <c r="AZ32"/>
  <c r="AA64"/>
  <c r="AB64"/>
  <c r="U98"/>
  <c r="S99" s="1"/>
  <c r="V98"/>
  <c r="U94"/>
  <c r="S95" s="1"/>
  <c r="V94"/>
  <c r="AT42"/>
  <c r="AS42"/>
  <c r="AQ43" s="1"/>
  <c r="U70"/>
  <c r="S71" s="1"/>
  <c r="V70"/>
  <c r="U88"/>
  <c r="S89" s="1"/>
  <c r="V88"/>
  <c r="U86"/>
  <c r="S87" s="1"/>
  <c r="V86"/>
  <c r="W82"/>
  <c r="AB60"/>
  <c r="AS21"/>
  <c r="AT21"/>
  <c r="U60"/>
  <c r="S61" s="1"/>
  <c r="V60"/>
  <c r="U97"/>
  <c r="V97"/>
  <c r="U90"/>
  <c r="S91" s="1"/>
  <c r="V90"/>
  <c r="AS12"/>
  <c r="AQ13" s="1"/>
  <c r="AT12"/>
  <c r="AS28"/>
  <c r="AQ29" s="1"/>
  <c r="AT28"/>
  <c r="V67"/>
  <c r="U67"/>
  <c r="AY42"/>
  <c r="AZ42"/>
  <c r="U75"/>
  <c r="V75"/>
  <c r="W100"/>
  <c r="Y86"/>
  <c r="U56"/>
  <c r="S57" s="1"/>
  <c r="V56"/>
  <c r="AY20"/>
  <c r="AZ8"/>
  <c r="F27" i="3"/>
  <c r="F25"/>
  <c r="F152"/>
  <c r="AS45" i="28" l="1"/>
  <c r="AT45"/>
  <c r="AT7"/>
  <c r="AS7"/>
  <c r="AS25"/>
  <c r="AT25"/>
  <c r="AS37"/>
  <c r="AT37"/>
  <c r="AW52"/>
  <c r="AZ52" s="1"/>
  <c r="AY6"/>
  <c r="AY52" s="1"/>
  <c r="AZ6"/>
  <c r="U91"/>
  <c r="V91"/>
  <c r="U61"/>
  <c r="V61"/>
  <c r="U87"/>
  <c r="V87"/>
  <c r="U71"/>
  <c r="V71"/>
  <c r="U99"/>
  <c r="V99"/>
  <c r="U81"/>
  <c r="V81"/>
  <c r="AS33"/>
  <c r="AT33"/>
  <c r="AT39"/>
  <c r="AS39"/>
  <c r="AA86"/>
  <c r="AA100" s="1"/>
  <c r="AB100"/>
  <c r="AB86"/>
  <c r="U57"/>
  <c r="V57"/>
  <c r="AS13"/>
  <c r="AT13"/>
  <c r="AB82"/>
  <c r="AA56"/>
  <c r="AA82" s="1"/>
  <c r="AB56"/>
  <c r="U89"/>
  <c r="V89"/>
  <c r="U95"/>
  <c r="V95"/>
  <c r="AS31"/>
  <c r="AT31"/>
  <c r="AS29"/>
  <c r="AT29"/>
  <c r="AS43"/>
  <c r="AT43"/>
  <c r="I31" i="12" l="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D50"/>
  <c r="E50"/>
  <c r="F50"/>
  <c r="G50"/>
  <c r="H50"/>
  <c r="I50" l="1"/>
  <c r="F181" i="3" l="1"/>
  <c r="F156" i="1"/>
  <c r="F132"/>
  <c r="F126"/>
  <c r="F129"/>
  <c r="F123"/>
  <c r="F177"/>
  <c r="F174"/>
  <c r="F168"/>
  <c r="F165"/>
  <c r="F113"/>
  <c r="F108"/>
  <c r="F99"/>
  <c r="E180"/>
  <c r="F54" i="17" l="1"/>
  <c r="H49" s="1"/>
  <c r="F255" i="1"/>
  <c r="F19" i="17"/>
  <c r="G23" i="4"/>
  <c r="I38" i="15"/>
  <c r="F187" i="1"/>
  <c r="F7"/>
  <c r="J39" i="10"/>
  <c r="G49" i="17" l="1"/>
  <c r="F319" i="1"/>
  <c r="I62" i="4" l="1"/>
  <c r="F115" i="3" l="1"/>
  <c r="F337" i="1"/>
  <c r="F281"/>
  <c r="L281" s="1"/>
  <c r="F283"/>
  <c r="F279"/>
  <c r="F339"/>
  <c r="K281"/>
  <c r="N281"/>
  <c r="N287"/>
  <c r="L287"/>
  <c r="K287"/>
  <c r="E289"/>
  <c r="N285"/>
  <c r="L285"/>
  <c r="K285"/>
  <c r="N241"/>
  <c r="L241"/>
  <c r="K241"/>
  <c r="G241"/>
  <c r="I241" s="1"/>
  <c r="G242" s="1"/>
  <c r="N239"/>
  <c r="L239"/>
  <c r="K239"/>
  <c r="G239"/>
  <c r="I239" s="1"/>
  <c r="G240" s="1"/>
  <c r="N237"/>
  <c r="L237"/>
  <c r="K237"/>
  <c r="G237"/>
  <c r="I237" s="1"/>
  <c r="G238" s="1"/>
  <c r="N235"/>
  <c r="K235"/>
  <c r="L235"/>
  <c r="G283"/>
  <c r="J283" s="1"/>
  <c r="K283"/>
  <c r="L283"/>
  <c r="N283"/>
  <c r="M281" l="1"/>
  <c r="P281" s="1"/>
  <c r="M287"/>
  <c r="P287" s="1"/>
  <c r="M285"/>
  <c r="O285" s="1"/>
  <c r="M235"/>
  <c r="P235" s="1"/>
  <c r="J237"/>
  <c r="M239"/>
  <c r="M241"/>
  <c r="P241" s="1"/>
  <c r="I242"/>
  <c r="J242"/>
  <c r="J239"/>
  <c r="J241"/>
  <c r="M283"/>
  <c r="O283" s="1"/>
  <c r="J240"/>
  <c r="I240"/>
  <c r="M237"/>
  <c r="O237" s="1"/>
  <c r="J238"/>
  <c r="I238"/>
  <c r="I283"/>
  <c r="G284" s="1"/>
  <c r="F45" i="17"/>
  <c r="F36"/>
  <c r="F27"/>
  <c r="I74" i="4"/>
  <c r="J116" i="10"/>
  <c r="H40" i="17" l="1"/>
  <c r="G31"/>
  <c r="G22"/>
  <c r="G40"/>
  <c r="O281" i="1"/>
  <c r="O287"/>
  <c r="P285"/>
  <c r="O235"/>
  <c r="O239"/>
  <c r="P283"/>
  <c r="P239"/>
  <c r="O241"/>
  <c r="P237"/>
  <c r="I284"/>
  <c r="J284"/>
  <c r="H31" i="17"/>
  <c r="H22"/>
  <c r="I10" i="11" l="1"/>
  <c r="F21"/>
  <c r="F22"/>
  <c r="I41"/>
  <c r="G41"/>
  <c r="F41"/>
  <c r="E41"/>
  <c r="F23"/>
  <c r="I22"/>
  <c r="I23"/>
  <c r="E23"/>
  <c r="H188" i="1"/>
  <c r="F189"/>
  <c r="D116" i="10" l="1"/>
  <c r="E116"/>
  <c r="F116"/>
  <c r="G116"/>
  <c r="H116"/>
  <c r="I116"/>
  <c r="K116" l="1"/>
  <c r="I24" i="15" l="1"/>
  <c r="G35" i="4"/>
  <c r="I35" s="1"/>
  <c r="G47"/>
  <c r="I47" s="1"/>
  <c r="I23"/>
  <c r="I28" i="15"/>
  <c r="F247" i="1" l="1"/>
  <c r="F209"/>
  <c r="G48" i="4" l="1"/>
  <c r="F109" i="3"/>
  <c r="F47"/>
  <c r="L47" s="1"/>
  <c r="K47"/>
  <c r="N47"/>
  <c r="G47" l="1"/>
  <c r="J47" s="1"/>
  <c r="M47"/>
  <c r="O47" s="1"/>
  <c r="I47" l="1"/>
  <c r="G48" s="1"/>
  <c r="I48" s="1"/>
  <c r="P47"/>
  <c r="J48" l="1"/>
  <c r="N43" l="1"/>
  <c r="L43"/>
  <c r="K43"/>
  <c r="G43"/>
  <c r="I43" s="1"/>
  <c r="G44" s="1"/>
  <c r="N137"/>
  <c r="L137"/>
  <c r="K137"/>
  <c r="G137"/>
  <c r="J137" s="1"/>
  <c r="F131"/>
  <c r="H180" i="1"/>
  <c r="I137" i="3" l="1"/>
  <c r="G138" s="1"/>
  <c r="J138" s="1"/>
  <c r="M137"/>
  <c r="O137" s="1"/>
  <c r="M43"/>
  <c r="P43" s="1"/>
  <c r="I44"/>
  <c r="J44"/>
  <c r="J43"/>
  <c r="H31"/>
  <c r="I138" l="1"/>
  <c r="P137"/>
  <c r="O43"/>
  <c r="K8" i="13"/>
  <c r="L8"/>
  <c r="M8" l="1"/>
  <c r="N8"/>
  <c r="H66" i="3" l="1"/>
  <c r="F26" i="5" l="1"/>
  <c r="F24"/>
  <c r="F22"/>
  <c r="F299" i="1" l="1"/>
  <c r="F141" l="1"/>
  <c r="F73"/>
  <c r="F46"/>
  <c r="F76"/>
  <c r="F133" i="3"/>
  <c r="G28" i="11" l="1"/>
  <c r="F129" i="3" l="1"/>
  <c r="F151"/>
  <c r="G24" i="12" l="1"/>
  <c r="G11" l="1"/>
  <c r="G14" i="17" l="1"/>
  <c r="H14"/>
  <c r="H11" i="6"/>
  <c r="E221" i="1" l="1"/>
  <c r="E341"/>
  <c r="E191" l="1"/>
  <c r="L185" l="1"/>
  <c r="N189"/>
  <c r="L189"/>
  <c r="K189"/>
  <c r="G189"/>
  <c r="J189" s="1"/>
  <c r="M189" l="1"/>
  <c r="O189" s="1"/>
  <c r="I189"/>
  <c r="G190" s="1"/>
  <c r="I190" s="1"/>
  <c r="P189" l="1"/>
  <c r="J190"/>
  <c r="E48" i="10" l="1"/>
  <c r="E11"/>
  <c r="K49" i="15"/>
  <c r="K48"/>
  <c r="K47"/>
  <c r="K46"/>
  <c r="K45"/>
  <c r="K44"/>
  <c r="J49"/>
  <c r="J48"/>
  <c r="J47"/>
  <c r="J46"/>
  <c r="J45"/>
  <c r="J44"/>
  <c r="I29"/>
  <c r="H40" i="6"/>
  <c r="H29" i="4" l="1"/>
  <c r="G11"/>
  <c r="E24" l="1"/>
  <c r="H11"/>
  <c r="G23" i="11"/>
  <c r="F154" i="1"/>
  <c r="F155"/>
  <c r="F153"/>
  <c r="F148"/>
  <c r="F149"/>
  <c r="F147"/>
  <c r="F139"/>
  <c r="F140"/>
  <c r="F138"/>
  <c r="G138" s="1"/>
  <c r="F80"/>
  <c r="F81"/>
  <c r="F79"/>
  <c r="F90"/>
  <c r="F89"/>
  <c r="F88"/>
  <c r="F72"/>
  <c r="F71"/>
  <c r="F70"/>
  <c r="H24" i="12" l="1"/>
  <c r="E12"/>
  <c r="G12" s="1"/>
  <c r="E13" s="1"/>
  <c r="E11"/>
  <c r="G10"/>
  <c r="E10"/>
  <c r="H10" s="1"/>
  <c r="G9"/>
  <c r="E9"/>
  <c r="H9" s="1"/>
  <c r="G8"/>
  <c r="E8"/>
  <c r="H8" s="1"/>
  <c r="J78" i="10"/>
  <c r="H139" i="3"/>
  <c r="L13" i="6"/>
  <c r="H11" i="12" l="1"/>
  <c r="G13"/>
  <c r="E14" s="1"/>
  <c r="H13"/>
  <c r="H12"/>
  <c r="K35" i="15"/>
  <c r="J35"/>
  <c r="K25"/>
  <c r="J25"/>
  <c r="K39"/>
  <c r="J39"/>
  <c r="K38"/>
  <c r="J38"/>
  <c r="J37"/>
  <c r="K36"/>
  <c r="J36"/>
  <c r="K34"/>
  <c r="J34"/>
  <c r="G14" i="12" l="1"/>
  <c r="E15" s="1"/>
  <c r="H14"/>
  <c r="K37" i="15"/>
  <c r="G15" i="12" l="1"/>
  <c r="E16" s="1"/>
  <c r="H15"/>
  <c r="G43" i="4"/>
  <c r="E48" l="1"/>
  <c r="H43"/>
  <c r="K43" s="1"/>
  <c r="E36"/>
  <c r="G16" i="12"/>
  <c r="E17" s="1"/>
  <c r="H16"/>
  <c r="H71" i="3"/>
  <c r="G17" i="12" l="1"/>
  <c r="E18" s="1"/>
  <c r="H17"/>
  <c r="J9" i="15"/>
  <c r="J7"/>
  <c r="G18" i="12" l="1"/>
  <c r="E19" s="1"/>
  <c r="G19" s="1"/>
  <c r="H18"/>
  <c r="H19" l="1"/>
  <c r="E20"/>
  <c r="H20" l="1"/>
  <c r="G20"/>
  <c r="E21" s="1"/>
  <c r="F11" i="17"/>
  <c r="F71" s="1"/>
  <c r="H92" i="1"/>
  <c r="G6" i="17" l="1"/>
  <c r="G21" i="12"/>
  <c r="E22" s="1"/>
  <c r="H21"/>
  <c r="H6" i="17"/>
  <c r="H22" i="12" l="1"/>
  <c r="G22"/>
  <c r="E23" s="1"/>
  <c r="G23" l="1"/>
  <c r="H23"/>
  <c r="F102" i="1"/>
  <c r="E97" l="1"/>
  <c r="G285"/>
  <c r="J285" s="1"/>
  <c r="I285" l="1"/>
  <c r="G286" s="1"/>
  <c r="H86" i="10"/>
  <c r="G86"/>
  <c r="I286" i="1" l="1"/>
  <c r="J286"/>
  <c r="L12" i="6" l="1"/>
  <c r="K11"/>
  <c r="F291" i="1" l="1"/>
  <c r="N46" l="1"/>
  <c r="N49"/>
  <c r="N52"/>
  <c r="N94"/>
  <c r="K94"/>
  <c r="L94"/>
  <c r="N17" i="3"/>
  <c r="L17"/>
  <c r="K17"/>
  <c r="G17"/>
  <c r="J17" s="1"/>
  <c r="N45"/>
  <c r="L45"/>
  <c r="K45"/>
  <c r="G45"/>
  <c r="J45" s="1"/>
  <c r="N121"/>
  <c r="L121"/>
  <c r="K121"/>
  <c r="G121"/>
  <c r="J121" s="1"/>
  <c r="M94" i="1" l="1"/>
  <c r="O94" s="1"/>
  <c r="G94"/>
  <c r="M17" i="3"/>
  <c r="O17" s="1"/>
  <c r="I17"/>
  <c r="G18" s="1"/>
  <c r="M45"/>
  <c r="O45" s="1"/>
  <c r="I45"/>
  <c r="G46" s="1"/>
  <c r="M121"/>
  <c r="I121"/>
  <c r="G122" s="1"/>
  <c r="O121" l="1"/>
  <c r="P94" i="1"/>
  <c r="I94"/>
  <c r="G95" s="1"/>
  <c r="J94"/>
  <c r="P17" i="3"/>
  <c r="I18"/>
  <c r="J18"/>
  <c r="P45"/>
  <c r="I46"/>
  <c r="J46"/>
  <c r="I122"/>
  <c r="J122"/>
  <c r="J95" i="1" l="1"/>
  <c r="I95"/>
  <c r="G96" s="1"/>
  <c r="I96" l="1"/>
  <c r="J96"/>
  <c r="K19" i="15" l="1"/>
  <c r="K18"/>
  <c r="K17"/>
  <c r="K16"/>
  <c r="K24"/>
  <c r="K28"/>
  <c r="K29"/>
  <c r="K26"/>
  <c r="K27"/>
  <c r="G11" i="10" l="1"/>
  <c r="G12"/>
  <c r="F11"/>
  <c r="F12"/>
  <c r="G48" l="1"/>
  <c r="G49"/>
  <c r="F48"/>
  <c r="F49"/>
  <c r="I39" l="1"/>
  <c r="E13" l="1"/>
  <c r="G13" s="1"/>
  <c r="H97" i="1"/>
  <c r="F355" l="1"/>
  <c r="F113" i="3" l="1"/>
  <c r="F85"/>
  <c r="L133"/>
  <c r="N91" i="1" l="1"/>
  <c r="G123" i="10" l="1"/>
  <c r="F123"/>
  <c r="E123"/>
  <c r="D123"/>
  <c r="C123"/>
  <c r="H123" l="1"/>
  <c r="I78"/>
  <c r="G78"/>
  <c r="F78"/>
  <c r="E78"/>
  <c r="D78"/>
  <c r="E39" l="1"/>
  <c r="G39"/>
  <c r="D39"/>
  <c r="F39"/>
  <c r="H39" l="1"/>
  <c r="K39" l="1"/>
  <c r="E10"/>
  <c r="G10" s="1"/>
  <c r="D13"/>
  <c r="F10" l="1"/>
  <c r="F13"/>
  <c r="H41" i="6"/>
  <c r="J40" l="1"/>
  <c r="I40"/>
  <c r="H39"/>
  <c r="I39"/>
  <c r="J39"/>
  <c r="L40" l="1"/>
  <c r="N40" s="1"/>
  <c r="E50" i="10"/>
  <c r="E47" s="1"/>
  <c r="G47" s="1"/>
  <c r="I41" i="6"/>
  <c r="J41"/>
  <c r="K41"/>
  <c r="F47" i="10" l="1"/>
  <c r="L41" i="6"/>
  <c r="F50" i="10"/>
  <c r="G50"/>
  <c r="F87"/>
  <c r="F85" s="1"/>
  <c r="H85" l="1"/>
  <c r="G85"/>
  <c r="G87"/>
  <c r="H87"/>
  <c r="F175" i="3"/>
  <c r="F157"/>
  <c r="F367" i="1"/>
  <c r="J16" i="15" l="1"/>
  <c r="J17"/>
  <c r="J18"/>
  <c r="J19"/>
  <c r="J29" l="1"/>
  <c r="J28"/>
  <c r="J27"/>
  <c r="J26"/>
  <c r="J24"/>
  <c r="G27" i="3" l="1"/>
  <c r="H11" i="5" l="1"/>
  <c r="K24" i="6" l="1"/>
  <c r="H22"/>
  <c r="H195" i="3"/>
  <c r="N337" i="1"/>
  <c r="L337"/>
  <c r="K337"/>
  <c r="G337"/>
  <c r="I337" s="1"/>
  <c r="G338" s="1"/>
  <c r="F77" i="3"/>
  <c r="G281" i="1"/>
  <c r="I281" l="1"/>
  <c r="G282" s="1"/>
  <c r="J282" s="1"/>
  <c r="J281"/>
  <c r="M337"/>
  <c r="O337" s="1"/>
  <c r="J338"/>
  <c r="I338"/>
  <c r="J337"/>
  <c r="N55" i="3"/>
  <c r="N57"/>
  <c r="I282" i="1" l="1"/>
  <c r="P337"/>
  <c r="K7" i="6" l="1"/>
  <c r="L217" i="1" l="1"/>
  <c r="K217"/>
  <c r="M217" l="1"/>
  <c r="H217" l="1"/>
  <c r="H341" s="1"/>
  <c r="N217" l="1"/>
  <c r="P217" s="1"/>
  <c r="H13" i="6"/>
  <c r="K8"/>
  <c r="O217" i="1" l="1"/>
  <c r="N205" l="1"/>
  <c r="D43" i="4" l="1"/>
  <c r="F8" i="11"/>
  <c r="F9"/>
  <c r="H9" s="1"/>
  <c r="F10"/>
  <c r="F11"/>
  <c r="I11" s="1"/>
  <c r="F12"/>
  <c r="F13"/>
  <c r="H13" s="1"/>
  <c r="F14"/>
  <c r="F15"/>
  <c r="I15" s="1"/>
  <c r="F16"/>
  <c r="F17"/>
  <c r="I17" s="1"/>
  <c r="F18"/>
  <c r="F19"/>
  <c r="H19" s="1"/>
  <c r="F20"/>
  <c r="H21"/>
  <c r="F26"/>
  <c r="I26" s="1"/>
  <c r="F27"/>
  <c r="F28"/>
  <c r="H28" s="1"/>
  <c r="F29"/>
  <c r="F30"/>
  <c r="H30" s="1"/>
  <c r="F31"/>
  <c r="F32"/>
  <c r="I32" s="1"/>
  <c r="F33"/>
  <c r="F34"/>
  <c r="F35"/>
  <c r="I35" s="1"/>
  <c r="F36"/>
  <c r="I36" s="1"/>
  <c r="F37"/>
  <c r="F38"/>
  <c r="F39"/>
  <c r="F40"/>
  <c r="H40" s="1"/>
  <c r="H24" i="6"/>
  <c r="N193" i="3"/>
  <c r="L193"/>
  <c r="K193"/>
  <c r="G193"/>
  <c r="J193" s="1"/>
  <c r="G339" i="1"/>
  <c r="J339" s="1"/>
  <c r="G155" i="3"/>
  <c r="J155" s="1"/>
  <c r="G33"/>
  <c r="I20" i="6"/>
  <c r="H14" i="5"/>
  <c r="H39" i="11"/>
  <c r="I39"/>
  <c r="I37"/>
  <c r="H37"/>
  <c r="H36"/>
  <c r="H35"/>
  <c r="H34"/>
  <c r="I33"/>
  <c r="H33"/>
  <c r="H32"/>
  <c r="H31"/>
  <c r="I31"/>
  <c r="I30"/>
  <c r="H29"/>
  <c r="I28"/>
  <c r="I27"/>
  <c r="H27"/>
  <c r="H26"/>
  <c r="H22"/>
  <c r="I21"/>
  <c r="I20"/>
  <c r="H20"/>
  <c r="I19"/>
  <c r="H18"/>
  <c r="H17"/>
  <c r="I16"/>
  <c r="H16"/>
  <c r="H15"/>
  <c r="H14"/>
  <c r="I13"/>
  <c r="I12"/>
  <c r="H12"/>
  <c r="H11"/>
  <c r="H10"/>
  <c r="H8"/>
  <c r="I8"/>
  <c r="I40"/>
  <c r="I14"/>
  <c r="I18"/>
  <c r="I29"/>
  <c r="I34"/>
  <c r="F321" i="1"/>
  <c r="G321" s="1"/>
  <c r="F249"/>
  <c r="L249" s="1"/>
  <c r="G220"/>
  <c r="I220" s="1"/>
  <c r="F81" i="3"/>
  <c r="F114"/>
  <c r="L91" i="1"/>
  <c r="G52"/>
  <c r="N191" i="3"/>
  <c r="L191"/>
  <c r="K191"/>
  <c r="G191"/>
  <c r="J191" s="1"/>
  <c r="G189"/>
  <c r="I189" s="1"/>
  <c r="G190" s="1"/>
  <c r="K189"/>
  <c r="L189"/>
  <c r="N189"/>
  <c r="F167"/>
  <c r="L167" s="1"/>
  <c r="D41" i="4"/>
  <c r="H9" i="5"/>
  <c r="I9" s="1"/>
  <c r="H10"/>
  <c r="I10" s="1"/>
  <c r="I11"/>
  <c r="H12"/>
  <c r="I12" s="1"/>
  <c r="H13"/>
  <c r="I13" s="1"/>
  <c r="H8"/>
  <c r="I8" s="1"/>
  <c r="H16" i="6"/>
  <c r="H19"/>
  <c r="H23"/>
  <c r="H9"/>
  <c r="H8"/>
  <c r="L149" i="3"/>
  <c r="G181"/>
  <c r="N187"/>
  <c r="L187"/>
  <c r="K187"/>
  <c r="G187"/>
  <c r="J187" s="1"/>
  <c r="L151"/>
  <c r="N367" i="1"/>
  <c r="L367"/>
  <c r="K367"/>
  <c r="G367"/>
  <c r="J367" s="1"/>
  <c r="N28"/>
  <c r="L28"/>
  <c r="K28"/>
  <c r="G28"/>
  <c r="J28" s="1"/>
  <c r="F8" i="13"/>
  <c r="I8" s="1"/>
  <c r="F7"/>
  <c r="I7" s="1"/>
  <c r="K10" i="6"/>
  <c r="K291" i="1"/>
  <c r="H12" i="6"/>
  <c r="K183" i="1"/>
  <c r="K9" i="6"/>
  <c r="L131" i="3"/>
  <c r="L161"/>
  <c r="N219" i="1"/>
  <c r="L219"/>
  <c r="K219"/>
  <c r="G219"/>
  <c r="I219" s="1"/>
  <c r="K12" i="6"/>
  <c r="I12"/>
  <c r="F127" i="3"/>
  <c r="F102"/>
  <c r="F101"/>
  <c r="G101" s="1"/>
  <c r="I19" i="6"/>
  <c r="F104" i="3"/>
  <c r="F103"/>
  <c r="G103" s="1"/>
  <c r="N119"/>
  <c r="K119"/>
  <c r="L119"/>
  <c r="G115"/>
  <c r="L75"/>
  <c r="F156"/>
  <c r="G119"/>
  <c r="I119" s="1"/>
  <c r="G120" s="1"/>
  <c r="I120" s="1"/>
  <c r="N177" i="1"/>
  <c r="L177"/>
  <c r="K177"/>
  <c r="G177"/>
  <c r="J177" s="1"/>
  <c r="N174"/>
  <c r="L174"/>
  <c r="K174"/>
  <c r="G174"/>
  <c r="J174" s="1"/>
  <c r="N171"/>
  <c r="L171"/>
  <c r="K171"/>
  <c r="G171"/>
  <c r="J171" s="1"/>
  <c r="N168"/>
  <c r="L168"/>
  <c r="K168"/>
  <c r="G168"/>
  <c r="J168" s="1"/>
  <c r="N165"/>
  <c r="L165"/>
  <c r="K165"/>
  <c r="G165"/>
  <c r="J165" s="1"/>
  <c r="N162"/>
  <c r="L162"/>
  <c r="K162"/>
  <c r="G162"/>
  <c r="J162" s="1"/>
  <c r="N159"/>
  <c r="L159"/>
  <c r="K159"/>
  <c r="G159"/>
  <c r="J159" s="1"/>
  <c r="G335"/>
  <c r="J335" s="1"/>
  <c r="K76"/>
  <c r="K181" i="3"/>
  <c r="K183"/>
  <c r="K185"/>
  <c r="K179"/>
  <c r="G185"/>
  <c r="L185"/>
  <c r="N185"/>
  <c r="G186"/>
  <c r="G183"/>
  <c r="N183"/>
  <c r="G184"/>
  <c r="L183"/>
  <c r="F135"/>
  <c r="F136"/>
  <c r="G136" s="1"/>
  <c r="J136" s="1"/>
  <c r="L99"/>
  <c r="L95"/>
  <c r="N40" i="1"/>
  <c r="N105"/>
  <c r="N102"/>
  <c r="N37"/>
  <c r="N99"/>
  <c r="N34"/>
  <c r="K99"/>
  <c r="K34"/>
  <c r="L99"/>
  <c r="L34"/>
  <c r="G91"/>
  <c r="J91" s="1"/>
  <c r="G34"/>
  <c r="I34" s="1"/>
  <c r="G35" s="1"/>
  <c r="G16"/>
  <c r="I16" s="1"/>
  <c r="G17" s="1"/>
  <c r="G14"/>
  <c r="I14" s="1"/>
  <c r="G15" s="1"/>
  <c r="I15" s="1"/>
  <c r="G132"/>
  <c r="I132" s="1"/>
  <c r="G133" s="1"/>
  <c r="G129"/>
  <c r="I129" s="1"/>
  <c r="G130" s="1"/>
  <c r="N135" i="3"/>
  <c r="F117"/>
  <c r="L117" s="1"/>
  <c r="N117"/>
  <c r="K117"/>
  <c r="F97"/>
  <c r="G95" s="1"/>
  <c r="L147"/>
  <c r="L157"/>
  <c r="L159"/>
  <c r="L163"/>
  <c r="L169"/>
  <c r="L177"/>
  <c r="G177"/>
  <c r="I177" s="1"/>
  <c r="G178" s="1"/>
  <c r="G180"/>
  <c r="J180" s="1"/>
  <c r="G182"/>
  <c r="N181"/>
  <c r="L102" i="1"/>
  <c r="L117"/>
  <c r="L120"/>
  <c r="L135"/>
  <c r="L156"/>
  <c r="G77" i="3"/>
  <c r="J77" s="1"/>
  <c r="G75"/>
  <c r="I75" s="1"/>
  <c r="G76" s="1"/>
  <c r="G97"/>
  <c r="J97" s="1"/>
  <c r="F98"/>
  <c r="N10" i="1"/>
  <c r="K10"/>
  <c r="L10"/>
  <c r="F359"/>
  <c r="F360"/>
  <c r="F365"/>
  <c r="G365" s="1"/>
  <c r="F366"/>
  <c r="L6"/>
  <c r="L8"/>
  <c r="L14"/>
  <c r="L16"/>
  <c r="L18"/>
  <c r="L20"/>
  <c r="L22"/>
  <c r="L24"/>
  <c r="L26"/>
  <c r="L30"/>
  <c r="L201"/>
  <c r="L61"/>
  <c r="N111"/>
  <c r="N385" s="1"/>
  <c r="K339"/>
  <c r="N339"/>
  <c r="N156"/>
  <c r="K156"/>
  <c r="G156"/>
  <c r="I156" s="1"/>
  <c r="G157" s="1"/>
  <c r="K91"/>
  <c r="H9" i="4"/>
  <c r="H13"/>
  <c r="H15"/>
  <c r="H17"/>
  <c r="H19"/>
  <c r="H58"/>
  <c r="H60"/>
  <c r="H41"/>
  <c r="H66"/>
  <c r="H68"/>
  <c r="H70"/>
  <c r="H72"/>
  <c r="G105" i="1"/>
  <c r="I105" s="1"/>
  <c r="G106" s="1"/>
  <c r="G161" i="3"/>
  <c r="J161" s="1"/>
  <c r="N144" i="1"/>
  <c r="N151" i="3"/>
  <c r="K151"/>
  <c r="N113"/>
  <c r="N111"/>
  <c r="N109"/>
  <c r="N193" i="1"/>
  <c r="G277"/>
  <c r="I277" s="1"/>
  <c r="G278" s="1"/>
  <c r="K150"/>
  <c r="N335"/>
  <c r="N307"/>
  <c r="K323"/>
  <c r="L203"/>
  <c r="K213"/>
  <c r="K16" i="6"/>
  <c r="N33" i="3"/>
  <c r="L79"/>
  <c r="K21" i="6"/>
  <c r="H21"/>
  <c r="K22"/>
  <c r="L165" i="3"/>
  <c r="L67"/>
  <c r="K115"/>
  <c r="N115"/>
  <c r="L229" i="1"/>
  <c r="N9" i="3"/>
  <c r="N7"/>
  <c r="K63"/>
  <c r="L171"/>
  <c r="L173"/>
  <c r="L175"/>
  <c r="L179"/>
  <c r="L143"/>
  <c r="L145"/>
  <c r="L153"/>
  <c r="L141"/>
  <c r="L129"/>
  <c r="L125"/>
  <c r="L107"/>
  <c r="L109"/>
  <c r="L111"/>
  <c r="L83"/>
  <c r="L89"/>
  <c r="L91"/>
  <c r="L93"/>
  <c r="L73"/>
  <c r="L65"/>
  <c r="L69"/>
  <c r="L63"/>
  <c r="L53"/>
  <c r="L57"/>
  <c r="L55"/>
  <c r="L59"/>
  <c r="L35"/>
  <c r="L41"/>
  <c r="L37"/>
  <c r="L23"/>
  <c r="L25"/>
  <c r="L27"/>
  <c r="L29"/>
  <c r="L21"/>
  <c r="L9"/>
  <c r="L11"/>
  <c r="L13"/>
  <c r="L15"/>
  <c r="L7"/>
  <c r="K143"/>
  <c r="K141"/>
  <c r="M141" s="1"/>
  <c r="K173"/>
  <c r="K175"/>
  <c r="K177"/>
  <c r="K145"/>
  <c r="K153"/>
  <c r="K155"/>
  <c r="K157"/>
  <c r="K159"/>
  <c r="M159" s="1"/>
  <c r="K161"/>
  <c r="K163"/>
  <c r="K165"/>
  <c r="K167"/>
  <c r="K169"/>
  <c r="K171"/>
  <c r="K127"/>
  <c r="K129"/>
  <c r="K131"/>
  <c r="K133"/>
  <c r="K125"/>
  <c r="K75"/>
  <c r="K77"/>
  <c r="K79"/>
  <c r="K81"/>
  <c r="K83"/>
  <c r="K85"/>
  <c r="K87"/>
  <c r="K89"/>
  <c r="M89" s="1"/>
  <c r="K91"/>
  <c r="K93"/>
  <c r="K95"/>
  <c r="K97"/>
  <c r="K99"/>
  <c r="K101"/>
  <c r="K103"/>
  <c r="K105"/>
  <c r="K107"/>
  <c r="K109"/>
  <c r="K111"/>
  <c r="K113"/>
  <c r="K73"/>
  <c r="K65"/>
  <c r="K67"/>
  <c r="M67" s="1"/>
  <c r="K69"/>
  <c r="K59"/>
  <c r="M59" s="1"/>
  <c r="K55"/>
  <c r="K57"/>
  <c r="K53"/>
  <c r="K39"/>
  <c r="K37"/>
  <c r="K41"/>
  <c r="K35"/>
  <c r="K33"/>
  <c r="K29"/>
  <c r="K27"/>
  <c r="K25"/>
  <c r="K23"/>
  <c r="M23" s="1"/>
  <c r="K21"/>
  <c r="K15"/>
  <c r="K13"/>
  <c r="K11"/>
  <c r="K9"/>
  <c r="M9" s="1"/>
  <c r="K7"/>
  <c r="N18" i="1"/>
  <c r="N16"/>
  <c r="N14"/>
  <c r="N8"/>
  <c r="N6"/>
  <c r="L353"/>
  <c r="L355"/>
  <c r="L357"/>
  <c r="L361"/>
  <c r="L363"/>
  <c r="L347"/>
  <c r="L345"/>
  <c r="L343"/>
  <c r="L105"/>
  <c r="L108"/>
  <c r="L114"/>
  <c r="L123"/>
  <c r="L126"/>
  <c r="L129"/>
  <c r="L132"/>
  <c r="L138"/>
  <c r="L141"/>
  <c r="L147"/>
  <c r="L150"/>
  <c r="L153"/>
  <c r="L325"/>
  <c r="L331"/>
  <c r="L327"/>
  <c r="L329"/>
  <c r="L311"/>
  <c r="L319"/>
  <c r="L293"/>
  <c r="L297"/>
  <c r="L299"/>
  <c r="L301"/>
  <c r="L291"/>
  <c r="L227"/>
  <c r="L265"/>
  <c r="L275"/>
  <c r="L277"/>
  <c r="L245"/>
  <c r="L247"/>
  <c r="L251"/>
  <c r="L255"/>
  <c r="L261"/>
  <c r="L257"/>
  <c r="L259"/>
  <c r="L279"/>
  <c r="L223"/>
  <c r="L195"/>
  <c r="L197"/>
  <c r="L199"/>
  <c r="L207"/>
  <c r="L209"/>
  <c r="L211"/>
  <c r="L213"/>
  <c r="L215"/>
  <c r="L193"/>
  <c r="L187"/>
  <c r="L183"/>
  <c r="L55"/>
  <c r="L49"/>
  <c r="L46"/>
  <c r="L40"/>
  <c r="L82"/>
  <c r="L85"/>
  <c r="L88"/>
  <c r="L67"/>
  <c r="L70"/>
  <c r="L73"/>
  <c r="L79"/>
  <c r="L64"/>
  <c r="K353"/>
  <c r="K355"/>
  <c r="K357"/>
  <c r="K359"/>
  <c r="K361"/>
  <c r="K363"/>
  <c r="M363" s="1"/>
  <c r="K365"/>
  <c r="K351"/>
  <c r="K345"/>
  <c r="K347"/>
  <c r="K343"/>
  <c r="K102"/>
  <c r="K105"/>
  <c r="K108"/>
  <c r="K111"/>
  <c r="K114"/>
  <c r="K117"/>
  <c r="K120"/>
  <c r="K123"/>
  <c r="K126"/>
  <c r="K129"/>
  <c r="K132"/>
  <c r="K135"/>
  <c r="K138"/>
  <c r="K141"/>
  <c r="K144"/>
  <c r="K147"/>
  <c r="K153"/>
  <c r="K293"/>
  <c r="K295"/>
  <c r="K297"/>
  <c r="K299"/>
  <c r="K301"/>
  <c r="K303"/>
  <c r="K333"/>
  <c r="K305"/>
  <c r="K307"/>
  <c r="K309"/>
  <c r="K311"/>
  <c r="K313"/>
  <c r="K315"/>
  <c r="K335"/>
  <c r="K317"/>
  <c r="K319"/>
  <c r="K321"/>
  <c r="K325"/>
  <c r="K331"/>
  <c r="K327"/>
  <c r="K329"/>
  <c r="M329" s="1"/>
  <c r="K225"/>
  <c r="K227"/>
  <c r="K229"/>
  <c r="K231"/>
  <c r="K271"/>
  <c r="K267"/>
  <c r="K269"/>
  <c r="K265"/>
  <c r="K273"/>
  <c r="K275"/>
  <c r="K277"/>
  <c r="K233"/>
  <c r="K243"/>
  <c r="K245"/>
  <c r="K247"/>
  <c r="K249"/>
  <c r="K251"/>
  <c r="K253"/>
  <c r="K255"/>
  <c r="K261"/>
  <c r="K257"/>
  <c r="K259"/>
  <c r="K263"/>
  <c r="K279"/>
  <c r="K223"/>
  <c r="K195"/>
  <c r="K197"/>
  <c r="K199"/>
  <c r="K201"/>
  <c r="K203"/>
  <c r="K205"/>
  <c r="K207"/>
  <c r="K209"/>
  <c r="K211"/>
  <c r="K215"/>
  <c r="K193"/>
  <c r="K185"/>
  <c r="K187"/>
  <c r="K88"/>
  <c r="K85"/>
  <c r="K37"/>
  <c r="K40"/>
  <c r="K43"/>
  <c r="K46"/>
  <c r="K49"/>
  <c r="K52"/>
  <c r="K55"/>
  <c r="K58"/>
  <c r="K61"/>
  <c r="K64"/>
  <c r="K67"/>
  <c r="K70"/>
  <c r="K73"/>
  <c r="K79"/>
  <c r="K82"/>
  <c r="K30"/>
  <c r="K26"/>
  <c r="K16"/>
  <c r="K18"/>
  <c r="K20"/>
  <c r="K22"/>
  <c r="K24"/>
  <c r="K14"/>
  <c r="K8"/>
  <c r="K6"/>
  <c r="L243"/>
  <c r="L111"/>
  <c r="N233"/>
  <c r="N255"/>
  <c r="N247"/>
  <c r="N243"/>
  <c r="N229"/>
  <c r="N227"/>
  <c r="N225"/>
  <c r="N223"/>
  <c r="N30"/>
  <c r="L205"/>
  <c r="L77" i="3"/>
  <c r="G113"/>
  <c r="J113" s="1"/>
  <c r="N147"/>
  <c r="N179"/>
  <c r="L315" i="1"/>
  <c r="D58" i="4"/>
  <c r="D72"/>
  <c r="D70"/>
  <c r="D68"/>
  <c r="D66"/>
  <c r="D60"/>
  <c r="D31"/>
  <c r="D29"/>
  <c r="N123" i="1"/>
  <c r="G123"/>
  <c r="J123" s="1"/>
  <c r="N303"/>
  <c r="G303"/>
  <c r="J303" s="1"/>
  <c r="N88"/>
  <c r="N55"/>
  <c r="G55"/>
  <c r="I55" s="1"/>
  <c r="G56" s="1"/>
  <c r="K23" i="6"/>
  <c r="G39" i="3"/>
  <c r="N153" i="1"/>
  <c r="G153"/>
  <c r="I153" s="1"/>
  <c r="G154" s="1"/>
  <c r="K13" i="6"/>
  <c r="N261" i="1"/>
  <c r="N257"/>
  <c r="N259"/>
  <c r="N263"/>
  <c r="N279"/>
  <c r="G261"/>
  <c r="J261" s="1"/>
  <c r="G257"/>
  <c r="I257" s="1"/>
  <c r="G258" s="1"/>
  <c r="J258" s="1"/>
  <c r="G259"/>
  <c r="J259" s="1"/>
  <c r="G263"/>
  <c r="J263" s="1"/>
  <c r="G279"/>
  <c r="J279" s="1"/>
  <c r="N149" i="3"/>
  <c r="N153"/>
  <c r="N155"/>
  <c r="N157"/>
  <c r="N159"/>
  <c r="N161"/>
  <c r="N163"/>
  <c r="N165"/>
  <c r="N167"/>
  <c r="N169"/>
  <c r="N171"/>
  <c r="N173"/>
  <c r="N175"/>
  <c r="N177"/>
  <c r="H14" i="6"/>
  <c r="G255" i="1"/>
  <c r="J255" s="1"/>
  <c r="G223"/>
  <c r="I223" s="1"/>
  <c r="G224" s="1"/>
  <c r="G65" i="3"/>
  <c r="J65" s="1"/>
  <c r="G35"/>
  <c r="J35" s="1"/>
  <c r="G9"/>
  <c r="I9" s="1"/>
  <c r="G10" s="1"/>
  <c r="G73"/>
  <c r="I73" s="1"/>
  <c r="G74" s="1"/>
  <c r="G79"/>
  <c r="I79" s="1"/>
  <c r="G80" s="1"/>
  <c r="G20" i="1"/>
  <c r="I20" s="1"/>
  <c r="G21" s="1"/>
  <c r="G141" i="3"/>
  <c r="J141" s="1"/>
  <c r="G133"/>
  <c r="I133" s="1"/>
  <c r="G134" s="1"/>
  <c r="G85"/>
  <c r="I85" s="1"/>
  <c r="G86" s="1"/>
  <c r="G79" i="1"/>
  <c r="J79" s="1"/>
  <c r="G141"/>
  <c r="J141" s="1"/>
  <c r="G83" i="3"/>
  <c r="I83" s="1"/>
  <c r="G84" s="1"/>
  <c r="G233" i="1"/>
  <c r="J138"/>
  <c r="G40"/>
  <c r="I40" s="1"/>
  <c r="G41" s="1"/>
  <c r="G99" i="3"/>
  <c r="I99" s="1"/>
  <c r="G100" s="1"/>
  <c r="G171"/>
  <c r="J171" s="1"/>
  <c r="G43" i="1"/>
  <c r="J43" s="1"/>
  <c r="G317"/>
  <c r="I317" s="1"/>
  <c r="G318" s="1"/>
  <c r="J318" s="1"/>
  <c r="G295"/>
  <c r="J295" s="1"/>
  <c r="G315"/>
  <c r="J315" s="1"/>
  <c r="G111"/>
  <c r="I111" s="1"/>
  <c r="G112" s="1"/>
  <c r="I112" s="1"/>
  <c r="G113" s="1"/>
  <c r="H7" i="6"/>
  <c r="D15" i="4"/>
  <c r="D17"/>
  <c r="D19"/>
  <c r="D13"/>
  <c r="D11"/>
  <c r="D9"/>
  <c r="G82" i="1"/>
  <c r="I82" s="1"/>
  <c r="G83" s="1"/>
  <c r="G144"/>
  <c r="I144" s="1"/>
  <c r="G145" s="1"/>
  <c r="N150"/>
  <c r="N253"/>
  <c r="N327"/>
  <c r="G143" i="3"/>
  <c r="J143" s="1"/>
  <c r="G157"/>
  <c r="J157" s="1"/>
  <c r="G87"/>
  <c r="J87" s="1"/>
  <c r="G61" i="1"/>
  <c r="J61" s="1"/>
  <c r="G325"/>
  <c r="I325" s="1"/>
  <c r="G326" s="1"/>
  <c r="G108"/>
  <c r="J108" s="1"/>
  <c r="G114"/>
  <c r="J114" s="1"/>
  <c r="G147"/>
  <c r="J147" s="1"/>
  <c r="N365"/>
  <c r="G145" i="3"/>
  <c r="I145" s="1"/>
  <c r="G146" s="1"/>
  <c r="N251" i="1"/>
  <c r="G251"/>
  <c r="J251" s="1"/>
  <c r="K15" i="6"/>
  <c r="K20"/>
  <c r="K18"/>
  <c r="K17"/>
  <c r="H15"/>
  <c r="H20"/>
  <c r="H18"/>
  <c r="H17"/>
  <c r="N143" i="3"/>
  <c r="N145"/>
  <c r="N141"/>
  <c r="N127"/>
  <c r="N129"/>
  <c r="N131"/>
  <c r="N133"/>
  <c r="N125"/>
  <c r="N75"/>
  <c r="N77"/>
  <c r="N79"/>
  <c r="N81"/>
  <c r="N83"/>
  <c r="N85"/>
  <c r="N87"/>
  <c r="N89"/>
  <c r="N91"/>
  <c r="N93"/>
  <c r="N95"/>
  <c r="N97"/>
  <c r="N99"/>
  <c r="N101"/>
  <c r="N103"/>
  <c r="N105"/>
  <c r="N107"/>
  <c r="N73"/>
  <c r="N65"/>
  <c r="N67"/>
  <c r="N69"/>
  <c r="N63"/>
  <c r="N53"/>
  <c r="N59"/>
  <c r="N51"/>
  <c r="N35"/>
  <c r="N41"/>
  <c r="N37"/>
  <c r="N39"/>
  <c r="N23"/>
  <c r="N25"/>
  <c r="N27"/>
  <c r="N29"/>
  <c r="N21"/>
  <c r="N15"/>
  <c r="N13"/>
  <c r="N11"/>
  <c r="G153"/>
  <c r="I153" s="1"/>
  <c r="G154" s="1"/>
  <c r="G165"/>
  <c r="J165" s="1"/>
  <c r="G179"/>
  <c r="I179" s="1"/>
  <c r="G91"/>
  <c r="I91" s="1"/>
  <c r="G92" s="1"/>
  <c r="G105"/>
  <c r="I105" s="1"/>
  <c r="G106" s="1"/>
  <c r="G67"/>
  <c r="J67" s="1"/>
  <c r="G53"/>
  <c r="G57"/>
  <c r="G55"/>
  <c r="G59"/>
  <c r="G41"/>
  <c r="G23"/>
  <c r="I23" s="1"/>
  <c r="G24" s="1"/>
  <c r="G25"/>
  <c r="J25" s="1"/>
  <c r="G29"/>
  <c r="I29" s="1"/>
  <c r="G30" s="1"/>
  <c r="G21"/>
  <c r="I21" s="1"/>
  <c r="G22" s="1"/>
  <c r="G11"/>
  <c r="J11" s="1"/>
  <c r="G13"/>
  <c r="I13" s="1"/>
  <c r="G14" s="1"/>
  <c r="G15"/>
  <c r="J15" s="1"/>
  <c r="N353" i="1"/>
  <c r="N355"/>
  <c r="N357"/>
  <c r="N359"/>
  <c r="N361"/>
  <c r="N363"/>
  <c r="N351"/>
  <c r="G353"/>
  <c r="J353" s="1"/>
  <c r="G361"/>
  <c r="J361" s="1"/>
  <c r="G363"/>
  <c r="I363" s="1"/>
  <c r="G364" s="1"/>
  <c r="J364" s="1"/>
  <c r="N345"/>
  <c r="N347"/>
  <c r="N343"/>
  <c r="G345"/>
  <c r="J345" s="1"/>
  <c r="G347"/>
  <c r="J347" s="1"/>
  <c r="N108"/>
  <c r="N114"/>
  <c r="N388" s="1"/>
  <c r="N117"/>
  <c r="N120"/>
  <c r="N126"/>
  <c r="N129"/>
  <c r="N132"/>
  <c r="N135"/>
  <c r="N138"/>
  <c r="N141"/>
  <c r="N147"/>
  <c r="N309"/>
  <c r="N305"/>
  <c r="N293"/>
  <c r="N295"/>
  <c r="N297"/>
  <c r="N299"/>
  <c r="N301"/>
  <c r="N333"/>
  <c r="N311"/>
  <c r="N313"/>
  <c r="N315"/>
  <c r="N317"/>
  <c r="N319"/>
  <c r="N321"/>
  <c r="N323"/>
  <c r="N325"/>
  <c r="N331"/>
  <c r="N329"/>
  <c r="N291"/>
  <c r="G293"/>
  <c r="J293" s="1"/>
  <c r="G297"/>
  <c r="I297" s="1"/>
  <c r="G298" s="1"/>
  <c r="G299"/>
  <c r="I299" s="1"/>
  <c r="G300" s="1"/>
  <c r="G301"/>
  <c r="J301" s="1"/>
  <c r="G305"/>
  <c r="I305" s="1"/>
  <c r="G306" s="1"/>
  <c r="I306" s="1"/>
  <c r="G307"/>
  <c r="I307" s="1"/>
  <c r="G308" s="1"/>
  <c r="G311"/>
  <c r="J311" s="1"/>
  <c r="G313"/>
  <c r="I313" s="1"/>
  <c r="G314" s="1"/>
  <c r="J314" s="1"/>
  <c r="G323"/>
  <c r="I323" s="1"/>
  <c r="G324" s="1"/>
  <c r="G329"/>
  <c r="J329" s="1"/>
  <c r="G291"/>
  <c r="J291" s="1"/>
  <c r="N231"/>
  <c r="N271"/>
  <c r="N267"/>
  <c r="N269"/>
  <c r="N265"/>
  <c r="N273"/>
  <c r="N275"/>
  <c r="N277"/>
  <c r="N245"/>
  <c r="N249"/>
  <c r="G269"/>
  <c r="J269" s="1"/>
  <c r="G267"/>
  <c r="J267" s="1"/>
  <c r="G231"/>
  <c r="I231" s="1"/>
  <c r="G232" s="1"/>
  <c r="G265"/>
  <c r="I265" s="1"/>
  <c r="G266" s="1"/>
  <c r="J266" s="1"/>
  <c r="G273"/>
  <c r="I273" s="1"/>
  <c r="G274" s="1"/>
  <c r="J274" s="1"/>
  <c r="G287"/>
  <c r="N195"/>
  <c r="N197"/>
  <c r="N199"/>
  <c r="N201"/>
  <c r="N203"/>
  <c r="N207"/>
  <c r="N209"/>
  <c r="N211"/>
  <c r="N213"/>
  <c r="N215"/>
  <c r="G195"/>
  <c r="J195" s="1"/>
  <c r="G197"/>
  <c r="J197" s="1"/>
  <c r="G201"/>
  <c r="J201" s="1"/>
  <c r="G203"/>
  <c r="I203" s="1"/>
  <c r="G204" s="1"/>
  <c r="I204" s="1"/>
  <c r="G205"/>
  <c r="I205" s="1"/>
  <c r="G206" s="1"/>
  <c r="G207"/>
  <c r="J207" s="1"/>
  <c r="G209"/>
  <c r="J209" s="1"/>
  <c r="G211"/>
  <c r="J211" s="1"/>
  <c r="G213"/>
  <c r="I213" s="1"/>
  <c r="G214" s="1"/>
  <c r="G215"/>
  <c r="I215" s="1"/>
  <c r="G216" s="1"/>
  <c r="G193"/>
  <c r="J193" s="1"/>
  <c r="N185"/>
  <c r="N187"/>
  <c r="N183"/>
  <c r="G185"/>
  <c r="I185" s="1"/>
  <c r="G186" s="1"/>
  <c r="I186" s="1"/>
  <c r="G6"/>
  <c r="I6" s="1"/>
  <c r="G7" s="1"/>
  <c r="N85"/>
  <c r="N82"/>
  <c r="N79"/>
  <c r="N76"/>
  <c r="N73"/>
  <c r="N70"/>
  <c r="N67"/>
  <c r="N64"/>
  <c r="N61"/>
  <c r="N58"/>
  <c r="N43"/>
  <c r="N26"/>
  <c r="N24"/>
  <c r="N22"/>
  <c r="N20"/>
  <c r="G46"/>
  <c r="I46" s="1"/>
  <c r="G47" s="1"/>
  <c r="G49"/>
  <c r="I49" s="1"/>
  <c r="G50" s="1"/>
  <c r="G64"/>
  <c r="J64" s="1"/>
  <c r="G73"/>
  <c r="I73" s="1"/>
  <c r="G74" s="1"/>
  <c r="G76"/>
  <c r="I76" s="1"/>
  <c r="G77" s="1"/>
  <c r="G85"/>
  <c r="J85" s="1"/>
  <c r="G24"/>
  <c r="I24" s="1"/>
  <c r="G25" s="1"/>
  <c r="G18"/>
  <c r="J18" s="1"/>
  <c r="G26"/>
  <c r="I26" s="1"/>
  <c r="G27" s="1"/>
  <c r="I27" s="1"/>
  <c r="G8"/>
  <c r="J8" s="1"/>
  <c r="G10"/>
  <c r="I10" s="1"/>
  <c r="G11" s="1"/>
  <c r="G111" i="3"/>
  <c r="J111" s="1"/>
  <c r="G67" i="1"/>
  <c r="I67" s="1"/>
  <c r="G68" s="1"/>
  <c r="G147" i="3"/>
  <c r="J147" s="1"/>
  <c r="G150" i="1"/>
  <c r="I150" s="1"/>
  <c r="G151" s="1"/>
  <c r="G271"/>
  <c r="J271" s="1"/>
  <c r="G88"/>
  <c r="J88" s="1"/>
  <c r="G58"/>
  <c r="I58" s="1"/>
  <c r="G59" s="1"/>
  <c r="G126"/>
  <c r="J126" s="1"/>
  <c r="G163" i="3"/>
  <c r="I163" s="1"/>
  <c r="G164" s="1"/>
  <c r="G169"/>
  <c r="J169" s="1"/>
  <c r="G245" i="1"/>
  <c r="J245" s="1"/>
  <c r="G107" i="3"/>
  <c r="I107" s="1"/>
  <c r="G108" s="1"/>
  <c r="G351" i="1"/>
  <c r="I351" s="1"/>
  <c r="G352" s="1"/>
  <c r="I352" s="1"/>
  <c r="G247"/>
  <c r="J247" s="1"/>
  <c r="G253"/>
  <c r="J253" s="1"/>
  <c r="G22"/>
  <c r="I22" s="1"/>
  <c r="G23" s="1"/>
  <c r="G331"/>
  <c r="J331" s="1"/>
  <c r="G235"/>
  <c r="J235" s="1"/>
  <c r="G327"/>
  <c r="J327" s="1"/>
  <c r="G243"/>
  <c r="I243" s="1"/>
  <c r="G244" s="1"/>
  <c r="J244" s="1"/>
  <c r="G227"/>
  <c r="I227" s="1"/>
  <c r="G228" s="1"/>
  <c r="G99"/>
  <c r="I99" s="1"/>
  <c r="G100" s="1"/>
  <c r="G135"/>
  <c r="J135" s="1"/>
  <c r="G275"/>
  <c r="J275" s="1"/>
  <c r="G120"/>
  <c r="J120" s="1"/>
  <c r="I11" i="6"/>
  <c r="G183" i="1"/>
  <c r="J183" s="1"/>
  <c r="G357"/>
  <c r="J357" s="1"/>
  <c r="G225"/>
  <c r="I225" s="1"/>
  <c r="G226" s="1"/>
  <c r="G199"/>
  <c r="J199" s="1"/>
  <c r="I17" i="6"/>
  <c r="G37" i="3"/>
  <c r="J37" s="1"/>
  <c r="G355" i="1"/>
  <c r="I355" s="1"/>
  <c r="G356" s="1"/>
  <c r="I356" s="1"/>
  <c r="G37"/>
  <c r="I37" s="1"/>
  <c r="G38" s="1"/>
  <c r="G187"/>
  <c r="J187" s="1"/>
  <c r="G333"/>
  <c r="I333" s="1"/>
  <c r="G334" s="1"/>
  <c r="G70"/>
  <c r="J70" s="1"/>
  <c r="G102"/>
  <c r="I102" s="1"/>
  <c r="G103" s="1"/>
  <c r="I18" i="6"/>
  <c r="I27" i="3"/>
  <c r="G28" s="1"/>
  <c r="G173"/>
  <c r="J173" s="1"/>
  <c r="G149"/>
  <c r="J149" s="1"/>
  <c r="G129"/>
  <c r="I129" s="1"/>
  <c r="G130" s="1"/>
  <c r="I7" i="6"/>
  <c r="G159" i="3"/>
  <c r="I159" s="1"/>
  <c r="G160" s="1"/>
  <c r="G117" i="1"/>
  <c r="I117" s="1"/>
  <c r="G118" s="1"/>
  <c r="G89" i="3"/>
  <c r="J89" s="1"/>
  <c r="G7"/>
  <c r="G109"/>
  <c r="J109" s="1"/>
  <c r="G131"/>
  <c r="J131" s="1"/>
  <c r="G175"/>
  <c r="J175" s="1"/>
  <c r="G63"/>
  <c r="I63" s="1"/>
  <c r="G64" s="1"/>
  <c r="G309" i="1"/>
  <c r="I309" s="1"/>
  <c r="G310" s="1"/>
  <c r="I15" i="6"/>
  <c r="G343" i="1"/>
  <c r="J343" s="1"/>
  <c r="G319"/>
  <c r="J319" s="1"/>
  <c r="G93" i="3"/>
  <c r="I93" s="1"/>
  <c r="G94" s="1"/>
  <c r="G125"/>
  <c r="I125" s="1"/>
  <c r="G126" s="1"/>
  <c r="G69"/>
  <c r="I69" s="1"/>
  <c r="G70" s="1"/>
  <c r="L33"/>
  <c r="L267" i="1"/>
  <c r="L85" i="3"/>
  <c r="L305" i="1"/>
  <c r="L105" i="3"/>
  <c r="L233" i="1"/>
  <c r="L269"/>
  <c r="L303"/>
  <c r="L351"/>
  <c r="L253"/>
  <c r="L263"/>
  <c r="L231"/>
  <c r="L313"/>
  <c r="L273"/>
  <c r="L295"/>
  <c r="L323"/>
  <c r="L333"/>
  <c r="J27" i="3"/>
  <c r="L225" i="1"/>
  <c r="K147" i="3"/>
  <c r="K149"/>
  <c r="L87"/>
  <c r="L309" i="1"/>
  <c r="G217"/>
  <c r="L271"/>
  <c r="L317"/>
  <c r="L58"/>
  <c r="L307"/>
  <c r="L335"/>
  <c r="G30"/>
  <c r="J30" s="1"/>
  <c r="L37"/>
  <c r="L76"/>
  <c r="I21" i="6"/>
  <c r="L144" i="1"/>
  <c r="G229"/>
  <c r="J229" s="1"/>
  <c r="M147" i="3" l="1"/>
  <c r="K406" i="1"/>
  <c r="L32"/>
  <c r="J163" i="3"/>
  <c r="M325" i="1"/>
  <c r="P325" s="1"/>
  <c r="M27" i="3"/>
  <c r="P27" s="1"/>
  <c r="M64" i="1"/>
  <c r="O64" s="1"/>
  <c r="M40"/>
  <c r="M138"/>
  <c r="M357"/>
  <c r="P357" s="1"/>
  <c r="K221"/>
  <c r="K97"/>
  <c r="K191"/>
  <c r="L191"/>
  <c r="N97"/>
  <c r="M77" i="3"/>
  <c r="O77" s="1"/>
  <c r="J119"/>
  <c r="I141"/>
  <c r="G142" s="1"/>
  <c r="J142" s="1"/>
  <c r="N71"/>
  <c r="M63"/>
  <c r="O63" s="1"/>
  <c r="M275" i="1"/>
  <c r="P275" s="1"/>
  <c r="K289"/>
  <c r="I287"/>
  <c r="G288" s="1"/>
  <c r="J288" s="1"/>
  <c r="J287"/>
  <c r="M150"/>
  <c r="I61"/>
  <c r="G62" s="1"/>
  <c r="I62" s="1"/>
  <c r="G63" s="1"/>
  <c r="I147"/>
  <c r="G148" s="1"/>
  <c r="I148" s="1"/>
  <c r="G149" s="1"/>
  <c r="I149" s="1"/>
  <c r="J40"/>
  <c r="M82"/>
  <c r="O82" s="1"/>
  <c r="J153"/>
  <c r="M269"/>
  <c r="O269" s="1"/>
  <c r="N391"/>
  <c r="M201"/>
  <c r="P201" s="1"/>
  <c r="M251"/>
  <c r="O251" s="1"/>
  <c r="J186"/>
  <c r="I327"/>
  <c r="G328" s="1"/>
  <c r="J328" s="1"/>
  <c r="M85"/>
  <c r="P85" s="1"/>
  <c r="M193"/>
  <c r="P193" s="1"/>
  <c r="I255"/>
  <c r="G256" s="1"/>
  <c r="J256" s="1"/>
  <c r="M311"/>
  <c r="P311" s="1"/>
  <c r="N409"/>
  <c r="M8"/>
  <c r="P8" s="1"/>
  <c r="L321"/>
  <c r="M321" s="1"/>
  <c r="O321" s="1"/>
  <c r="M247"/>
  <c r="M265"/>
  <c r="O265" s="1"/>
  <c r="M353"/>
  <c r="P353" s="1"/>
  <c r="I258"/>
  <c r="I331"/>
  <c r="G332" s="1"/>
  <c r="J332" s="1"/>
  <c r="J185"/>
  <c r="J363"/>
  <c r="J305"/>
  <c r="J144"/>
  <c r="J227"/>
  <c r="J15"/>
  <c r="I275"/>
  <c r="G276" s="1"/>
  <c r="I276" s="1"/>
  <c r="J231"/>
  <c r="J55"/>
  <c r="I267"/>
  <c r="G268" s="1"/>
  <c r="J268" s="1"/>
  <c r="I295"/>
  <c r="G296" s="1"/>
  <c r="J296" s="1"/>
  <c r="M37"/>
  <c r="O37" s="1"/>
  <c r="L391"/>
  <c r="M20"/>
  <c r="O20" s="1"/>
  <c r="M30"/>
  <c r="O30" s="1"/>
  <c r="M46"/>
  <c r="M199"/>
  <c r="P199" s="1"/>
  <c r="M279"/>
  <c r="M309"/>
  <c r="O309" s="1"/>
  <c r="M108"/>
  <c r="M347"/>
  <c r="O347" s="1"/>
  <c r="M355"/>
  <c r="O355" s="1"/>
  <c r="M257"/>
  <c r="P257" s="1"/>
  <c r="L379"/>
  <c r="L359"/>
  <c r="M359" s="1"/>
  <c r="O359" s="1"/>
  <c r="M291"/>
  <c r="O291" s="1"/>
  <c r="I233"/>
  <c r="G234" s="1"/>
  <c r="J234" s="1"/>
  <c r="J233"/>
  <c r="J102"/>
  <c r="I187"/>
  <c r="G188" s="1"/>
  <c r="J188" s="1"/>
  <c r="I193"/>
  <c r="G194" s="1"/>
  <c r="J194" s="1"/>
  <c r="J16"/>
  <c r="J323"/>
  <c r="I201"/>
  <c r="G202" s="1"/>
  <c r="J202" s="1"/>
  <c r="M323"/>
  <c r="O323" s="1"/>
  <c r="I64"/>
  <c r="G65" s="1"/>
  <c r="J65" s="1"/>
  <c r="I347"/>
  <c r="G348" s="1"/>
  <c r="J348" s="1"/>
  <c r="M14"/>
  <c r="O14" s="1"/>
  <c r="M67"/>
  <c r="O67" s="1"/>
  <c r="M88"/>
  <c r="P88" s="1"/>
  <c r="M205"/>
  <c r="O205" s="1"/>
  <c r="M197"/>
  <c r="O197" s="1"/>
  <c r="M255"/>
  <c r="M315"/>
  <c r="P315" s="1"/>
  <c r="M293"/>
  <c r="O293" s="1"/>
  <c r="M345"/>
  <c r="O345" s="1"/>
  <c r="M245"/>
  <c r="P245" s="1"/>
  <c r="M153"/>
  <c r="O153" s="1"/>
  <c r="M141"/>
  <c r="O141" s="1"/>
  <c r="M343"/>
  <c r="P343" s="1"/>
  <c r="M16"/>
  <c r="I16" i="6"/>
  <c r="J16" s="1"/>
  <c r="N16" s="1"/>
  <c r="M10" i="1"/>
  <c r="P10" s="1"/>
  <c r="L397"/>
  <c r="M303"/>
  <c r="P303" s="1"/>
  <c r="I367"/>
  <c r="G368" s="1"/>
  <c r="J368" s="1"/>
  <c r="J225"/>
  <c r="I318"/>
  <c r="I303"/>
  <c r="G304" s="1"/>
  <c r="J304" s="1"/>
  <c r="I321"/>
  <c r="G322" s="1"/>
  <c r="I322" s="1"/>
  <c r="J321"/>
  <c r="I245"/>
  <c r="G246" s="1"/>
  <c r="I246" s="1"/>
  <c r="J203"/>
  <c r="J6"/>
  <c r="J333"/>
  <c r="M76"/>
  <c r="M207"/>
  <c r="P207" s="1"/>
  <c r="J317"/>
  <c r="I14" i="6"/>
  <c r="J14" s="1"/>
  <c r="J243" i="1"/>
  <c r="I135"/>
  <c r="G136" s="1"/>
  <c r="I136" s="1"/>
  <c r="G137" s="1"/>
  <c r="M273"/>
  <c r="P273" s="1"/>
  <c r="M195"/>
  <c r="O195" s="1"/>
  <c r="M229"/>
  <c r="L400"/>
  <c r="M307"/>
  <c r="O307" s="1"/>
  <c r="M55"/>
  <c r="I253"/>
  <c r="G254" s="1"/>
  <c r="J254" s="1"/>
  <c r="M231"/>
  <c r="P231" s="1"/>
  <c r="N349"/>
  <c r="M70"/>
  <c r="O70" s="1"/>
  <c r="L403"/>
  <c r="J277"/>
  <c r="M26"/>
  <c r="O26" s="1"/>
  <c r="M61"/>
  <c r="O61" s="1"/>
  <c r="M49"/>
  <c r="M209"/>
  <c r="O209" s="1"/>
  <c r="M243"/>
  <c r="O243" s="1"/>
  <c r="K388"/>
  <c r="M117"/>
  <c r="P117" s="1"/>
  <c r="I174"/>
  <c r="G175" s="1"/>
  <c r="I175" s="1"/>
  <c r="G176" s="1"/>
  <c r="J325"/>
  <c r="I335"/>
  <c r="G336" s="1"/>
  <c r="J306"/>
  <c r="I293"/>
  <c r="G294" s="1"/>
  <c r="I294" s="1"/>
  <c r="I211"/>
  <c r="G212" s="1"/>
  <c r="I212" s="1"/>
  <c r="I263"/>
  <c r="G264" s="1"/>
  <c r="J264" s="1"/>
  <c r="I259"/>
  <c r="G260" s="1"/>
  <c r="I261"/>
  <c r="G262" s="1"/>
  <c r="J262" s="1"/>
  <c r="M261"/>
  <c r="O261" s="1"/>
  <c r="I251"/>
  <c r="G252" s="1"/>
  <c r="I252" s="1"/>
  <c r="M233"/>
  <c r="O233" s="1"/>
  <c r="J265"/>
  <c r="I271"/>
  <c r="G272" s="1"/>
  <c r="J272" s="1"/>
  <c r="D48" i="4"/>
  <c r="F48" s="1"/>
  <c r="H48" s="1"/>
  <c r="M213" i="1"/>
  <c r="N123" i="3"/>
  <c r="D24" i="4"/>
  <c r="F24" s="1"/>
  <c r="H24" s="1"/>
  <c r="D36"/>
  <c r="I36" s="1"/>
  <c r="L373" i="1"/>
  <c r="P40"/>
  <c r="M105"/>
  <c r="O105" s="1"/>
  <c r="J105"/>
  <c r="L394"/>
  <c r="J132"/>
  <c r="L412"/>
  <c r="J34"/>
  <c r="N373"/>
  <c r="K19" i="4"/>
  <c r="J133" i="3"/>
  <c r="J79"/>
  <c r="M57"/>
  <c r="M157"/>
  <c r="O157" s="1"/>
  <c r="L155"/>
  <c r="M155" s="1"/>
  <c r="J29"/>
  <c r="M85"/>
  <c r="O85" s="1"/>
  <c r="I67"/>
  <c r="G68" s="1"/>
  <c r="I68" s="1"/>
  <c r="M95"/>
  <c r="P95" s="1"/>
  <c r="O147"/>
  <c r="J125"/>
  <c r="I65"/>
  <c r="G66" s="1"/>
  <c r="I66" s="1"/>
  <c r="M99"/>
  <c r="O99" s="1"/>
  <c r="M109"/>
  <c r="J91"/>
  <c r="J23"/>
  <c r="I143"/>
  <c r="G144" s="1"/>
  <c r="J144" s="1"/>
  <c r="O23"/>
  <c r="M179"/>
  <c r="O179" s="1"/>
  <c r="J153"/>
  <c r="J69"/>
  <c r="I157"/>
  <c r="G158" s="1"/>
  <c r="I158" s="1"/>
  <c r="I23" i="6"/>
  <c r="J23" s="1"/>
  <c r="N23" s="1"/>
  <c r="J129" i="3"/>
  <c r="I171"/>
  <c r="G172" s="1"/>
  <c r="I172" s="1"/>
  <c r="M29"/>
  <c r="O29" s="1"/>
  <c r="M37"/>
  <c r="O37" s="1"/>
  <c r="M79"/>
  <c r="P79" s="1"/>
  <c r="M25"/>
  <c r="O25" s="1"/>
  <c r="M173"/>
  <c r="O173" s="1"/>
  <c r="J73"/>
  <c r="I35"/>
  <c r="G36" s="1"/>
  <c r="J36" s="1"/>
  <c r="O89"/>
  <c r="J177"/>
  <c r="M15"/>
  <c r="P15" s="1"/>
  <c r="M165"/>
  <c r="P165" s="1"/>
  <c r="M185"/>
  <c r="O185" s="1"/>
  <c r="I169"/>
  <c r="G170" s="1"/>
  <c r="J170" s="1"/>
  <c r="J93"/>
  <c r="I111"/>
  <c r="G112" s="1"/>
  <c r="J112" s="1"/>
  <c r="I149"/>
  <c r="G150" s="1"/>
  <c r="I150" s="1"/>
  <c r="J159"/>
  <c r="I37"/>
  <c r="G38" s="1"/>
  <c r="J38" s="1"/>
  <c r="G167"/>
  <c r="J167" s="1"/>
  <c r="I191"/>
  <c r="G192" s="1"/>
  <c r="J192" s="1"/>
  <c r="J179"/>
  <c r="M87"/>
  <c r="P87" s="1"/>
  <c r="I155"/>
  <c r="G156" s="1"/>
  <c r="I156" s="1"/>
  <c r="I87"/>
  <c r="G88" s="1"/>
  <c r="J88" s="1"/>
  <c r="I25"/>
  <c r="G26" s="1"/>
  <c r="I26" s="1"/>
  <c r="J13"/>
  <c r="I97"/>
  <c r="G98" s="1"/>
  <c r="J98" s="1"/>
  <c r="M169"/>
  <c r="L71"/>
  <c r="L97"/>
  <c r="M97" s="1"/>
  <c r="I136"/>
  <c r="M13"/>
  <c r="M203" i="1"/>
  <c r="P203" s="1"/>
  <c r="J204"/>
  <c r="I147" i="3"/>
  <c r="G148" s="1"/>
  <c r="I148" s="1"/>
  <c r="J75"/>
  <c r="I91" i="1"/>
  <c r="G92" s="1"/>
  <c r="I92" s="1"/>
  <c r="G93" s="1"/>
  <c r="I131" i="3"/>
  <c r="G132" s="1"/>
  <c r="J132" s="1"/>
  <c r="J58" i="4"/>
  <c r="H59" s="1"/>
  <c r="J68"/>
  <c r="H69" s="1"/>
  <c r="J69" s="1"/>
  <c r="J156" i="1"/>
  <c r="D62" i="4"/>
  <c r="J43"/>
  <c r="H44" s="1"/>
  <c r="K44" s="1"/>
  <c r="M299" i="1"/>
  <c r="O299" s="1"/>
  <c r="J76"/>
  <c r="M129" i="3"/>
  <c r="N19"/>
  <c r="P9"/>
  <c r="K49"/>
  <c r="M319" i="1"/>
  <c r="O319" s="1"/>
  <c r="M333"/>
  <c r="O333" s="1"/>
  <c r="M301"/>
  <c r="M259"/>
  <c r="P259" s="1"/>
  <c r="L339"/>
  <c r="J213"/>
  <c r="I291"/>
  <c r="G292" s="1"/>
  <c r="I292" s="1"/>
  <c r="I108"/>
  <c r="G109" s="1"/>
  <c r="I109" s="1"/>
  <c r="G110" s="1"/>
  <c r="K400"/>
  <c r="J351"/>
  <c r="I315"/>
  <c r="G316" s="1"/>
  <c r="J316" s="1"/>
  <c r="N400"/>
  <c r="N191"/>
  <c r="I199"/>
  <c r="G200" s="1"/>
  <c r="J200" s="1"/>
  <c r="J352"/>
  <c r="J27"/>
  <c r="J313"/>
  <c r="L365"/>
  <c r="M365" s="1"/>
  <c r="P365" s="1"/>
  <c r="G359"/>
  <c r="I359" s="1"/>
  <c r="G360" s="1"/>
  <c r="J360" s="1"/>
  <c r="J299"/>
  <c r="I311"/>
  <c r="G312" s="1"/>
  <c r="J312" s="1"/>
  <c r="M335"/>
  <c r="O335" s="1"/>
  <c r="M249"/>
  <c r="M267"/>
  <c r="P267" s="1"/>
  <c r="J26"/>
  <c r="J14"/>
  <c r="I43"/>
  <c r="G44" s="1"/>
  <c r="I44" s="1"/>
  <c r="G45" s="1"/>
  <c r="I361"/>
  <c r="G362" s="1"/>
  <c r="I138"/>
  <c r="G139" s="1"/>
  <c r="I139" s="1"/>
  <c r="G140" s="1"/>
  <c r="N406"/>
  <c r="L52"/>
  <c r="J205"/>
  <c r="I269"/>
  <c r="G270" s="1"/>
  <c r="J270" s="1"/>
  <c r="I79"/>
  <c r="G80" s="1"/>
  <c r="I80" s="1"/>
  <c r="G81" s="1"/>
  <c r="I9" i="6"/>
  <c r="J9" s="1"/>
  <c r="M9" s="1"/>
  <c r="J356" i="1"/>
  <c r="J20"/>
  <c r="I279"/>
  <c r="G280" s="1"/>
  <c r="I280" s="1"/>
  <c r="P329"/>
  <c r="M183"/>
  <c r="J150"/>
  <c r="J355"/>
  <c r="M317"/>
  <c r="O317" s="1"/>
  <c r="J257"/>
  <c r="I195"/>
  <c r="G196" s="1"/>
  <c r="J196" s="1"/>
  <c r="M24"/>
  <c r="M79"/>
  <c r="P79" s="1"/>
  <c r="M187"/>
  <c r="M211"/>
  <c r="O211" s="1"/>
  <c r="M277"/>
  <c r="O277" s="1"/>
  <c r="M327"/>
  <c r="P327" s="1"/>
  <c r="M102"/>
  <c r="O102" s="1"/>
  <c r="L349"/>
  <c r="J220"/>
  <c r="J72" i="4"/>
  <c r="H73" s="1"/>
  <c r="J66"/>
  <c r="H67" s="1"/>
  <c r="J41"/>
  <c r="D74"/>
  <c r="J9"/>
  <c r="H10" s="1"/>
  <c r="J60"/>
  <c r="H61" s="1"/>
  <c r="J61" s="1"/>
  <c r="J70"/>
  <c r="H71" s="1"/>
  <c r="K41"/>
  <c r="K9"/>
  <c r="I274" i="1"/>
  <c r="J7" i="3"/>
  <c r="I7"/>
  <c r="G8" s="1"/>
  <c r="I59"/>
  <c r="G60" s="1"/>
  <c r="J59"/>
  <c r="L127"/>
  <c r="M127" s="1"/>
  <c r="L81"/>
  <c r="M81" s="1"/>
  <c r="P81" s="1"/>
  <c r="I24" i="6"/>
  <c r="J24" s="1"/>
  <c r="N24" s="1"/>
  <c r="I41" i="3"/>
  <c r="G42" s="1"/>
  <c r="J42" s="1"/>
  <c r="J41"/>
  <c r="J53"/>
  <c r="I53"/>
  <c r="G54" s="1"/>
  <c r="I39"/>
  <c r="G40" s="1"/>
  <c r="J40" s="1"/>
  <c r="J39"/>
  <c r="I187"/>
  <c r="G188" s="1"/>
  <c r="I188" s="1"/>
  <c r="M55"/>
  <c r="O55" s="1"/>
  <c r="I55"/>
  <c r="G56" s="1"/>
  <c r="J55"/>
  <c r="I339" i="1"/>
  <c r="G340" s="1"/>
  <c r="J340" s="1"/>
  <c r="O329"/>
  <c r="N415"/>
  <c r="J309"/>
  <c r="L406"/>
  <c r="M406" s="1"/>
  <c r="M185"/>
  <c r="O185" s="1"/>
  <c r="M215"/>
  <c r="M223"/>
  <c r="P223" s="1"/>
  <c r="M227"/>
  <c r="M297"/>
  <c r="O297" s="1"/>
  <c r="M331"/>
  <c r="P331" s="1"/>
  <c r="M361"/>
  <c r="O361" s="1"/>
  <c r="M22"/>
  <c r="P22" s="1"/>
  <c r="M6"/>
  <c r="J37"/>
  <c r="M58"/>
  <c r="M271"/>
  <c r="P271" s="1"/>
  <c r="M305"/>
  <c r="P305" s="1"/>
  <c r="M295"/>
  <c r="O295" s="1"/>
  <c r="K397"/>
  <c r="K391"/>
  <c r="M111"/>
  <c r="P111" s="1"/>
  <c r="K349"/>
  <c r="K369"/>
  <c r="M73"/>
  <c r="O73" s="1"/>
  <c r="J145"/>
  <c r="I145"/>
  <c r="G146" s="1"/>
  <c r="I146" s="1"/>
  <c r="J52"/>
  <c r="I52"/>
  <c r="G53" s="1"/>
  <c r="J53" s="1"/>
  <c r="J73"/>
  <c r="I329"/>
  <c r="G330" s="1"/>
  <c r="I330" s="1"/>
  <c r="I70"/>
  <c r="G71" s="1"/>
  <c r="J71" s="1"/>
  <c r="I229"/>
  <c r="G230" s="1"/>
  <c r="J230" s="1"/>
  <c r="I301"/>
  <c r="G302" s="1"/>
  <c r="J302" s="1"/>
  <c r="J49"/>
  <c r="I183"/>
  <c r="G184" s="1"/>
  <c r="J184" s="1"/>
  <c r="J22"/>
  <c r="I141"/>
  <c r="G142" s="1"/>
  <c r="J142" s="1"/>
  <c r="I197"/>
  <c r="G198" s="1"/>
  <c r="I198" s="1"/>
  <c r="I247"/>
  <c r="G248" s="1"/>
  <c r="J248" s="1"/>
  <c r="M225"/>
  <c r="P225" s="1"/>
  <c r="M313"/>
  <c r="O313" s="1"/>
  <c r="M253"/>
  <c r="O253" s="1"/>
  <c r="M351"/>
  <c r="O351" s="1"/>
  <c r="J10"/>
  <c r="I120"/>
  <c r="G121" s="1"/>
  <c r="I121" s="1"/>
  <c r="G122" s="1"/>
  <c r="I122" s="1"/>
  <c r="J129"/>
  <c r="J297"/>
  <c r="J223"/>
  <c r="I353"/>
  <c r="G354" s="1"/>
  <c r="J354" s="1"/>
  <c r="I345"/>
  <c r="G346" s="1"/>
  <c r="L43"/>
  <c r="M43" s="1"/>
  <c r="M91"/>
  <c r="O91" s="1"/>
  <c r="I364"/>
  <c r="I85"/>
  <c r="G86" s="1"/>
  <c r="J46"/>
  <c r="I209"/>
  <c r="G210" s="1"/>
  <c r="J307"/>
  <c r="G249"/>
  <c r="I13" i="6"/>
  <c r="J13" s="1"/>
  <c r="M13" s="1"/>
  <c r="J17"/>
  <c r="N17" s="1"/>
  <c r="J12"/>
  <c r="N12" s="1"/>
  <c r="I18" i="1"/>
  <c r="G19" s="1"/>
  <c r="H8" i="13"/>
  <c r="F9" s="1"/>
  <c r="H7"/>
  <c r="M123" i="1"/>
  <c r="O123" s="1"/>
  <c r="J82"/>
  <c r="J226"/>
  <c r="I226"/>
  <c r="I50"/>
  <c r="G51" s="1"/>
  <c r="J50"/>
  <c r="J7"/>
  <c r="I7"/>
  <c r="I207"/>
  <c r="G208" s="1"/>
  <c r="J208" s="1"/>
  <c r="J215"/>
  <c r="I319"/>
  <c r="G320" s="1"/>
  <c r="I320" s="1"/>
  <c r="J273"/>
  <c r="J58"/>
  <c r="I235"/>
  <c r="G236" s="1"/>
  <c r="I236" s="1"/>
  <c r="J24"/>
  <c r="J67"/>
  <c r="I88"/>
  <c r="G89" s="1"/>
  <c r="J89" s="1"/>
  <c r="M263"/>
  <c r="L12"/>
  <c r="I171"/>
  <c r="G172" s="1"/>
  <c r="J172" s="1"/>
  <c r="J11" i="6"/>
  <c r="N11" s="1"/>
  <c r="J18"/>
  <c r="M18" s="1"/>
  <c r="N369" i="1"/>
  <c r="K12"/>
  <c r="K32"/>
  <c r="N12"/>
  <c r="M34"/>
  <c r="N32"/>
  <c r="J219"/>
  <c r="M219"/>
  <c r="O219" s="1"/>
  <c r="J7" i="6"/>
  <c r="M7" s="1"/>
  <c r="I57" i="3"/>
  <c r="G58" s="1"/>
  <c r="J57"/>
  <c r="H38" i="11"/>
  <c r="J12" i="5"/>
  <c r="J8"/>
  <c r="J13"/>
  <c r="M41" i="6"/>
  <c r="O141" i="3"/>
  <c r="M51"/>
  <c r="L61"/>
  <c r="I182"/>
  <c r="J182"/>
  <c r="I184"/>
  <c r="J184"/>
  <c r="I183"/>
  <c r="J183"/>
  <c r="I185"/>
  <c r="J185"/>
  <c r="K71"/>
  <c r="M183"/>
  <c r="O183" s="1"/>
  <c r="J189"/>
  <c r="I186"/>
  <c r="J186"/>
  <c r="I181"/>
  <c r="J181"/>
  <c r="N61"/>
  <c r="N195"/>
  <c r="K61"/>
  <c r="K195"/>
  <c r="N139"/>
  <c r="I310" i="1"/>
  <c r="J310"/>
  <c r="L180"/>
  <c r="K180"/>
  <c r="N180"/>
  <c r="N289"/>
  <c r="I357"/>
  <c r="G358" s="1"/>
  <c r="I358" s="1"/>
  <c r="I8"/>
  <c r="G9" s="1"/>
  <c r="I9" s="1"/>
  <c r="L289"/>
  <c r="J278"/>
  <c r="I278"/>
  <c r="I343"/>
  <c r="G344" s="1"/>
  <c r="J344" s="1"/>
  <c r="N379"/>
  <c r="J11"/>
  <c r="I11"/>
  <c r="I25"/>
  <c r="J25"/>
  <c r="I59"/>
  <c r="G60" s="1"/>
  <c r="I60" s="1"/>
  <c r="J59"/>
  <c r="J47"/>
  <c r="I47"/>
  <c r="G48" s="1"/>
  <c r="I30"/>
  <c r="G31" s="1"/>
  <c r="M162"/>
  <c r="O162" s="1"/>
  <c r="M168"/>
  <c r="O168" s="1"/>
  <c r="M174"/>
  <c r="O174" s="1"/>
  <c r="M177"/>
  <c r="O177" s="1"/>
  <c r="I28"/>
  <c r="G29" s="1"/>
  <c r="J29" s="1"/>
  <c r="I17"/>
  <c r="J17"/>
  <c r="J77"/>
  <c r="I77"/>
  <c r="G78" s="1"/>
  <c r="I78" s="1"/>
  <c r="O325"/>
  <c r="P363"/>
  <c r="O363"/>
  <c r="I365"/>
  <c r="G366" s="1"/>
  <c r="J365"/>
  <c r="N403"/>
  <c r="N397"/>
  <c r="N394"/>
  <c r="N382"/>
  <c r="K415"/>
  <c r="K409"/>
  <c r="K403"/>
  <c r="K385"/>
  <c r="K376"/>
  <c r="L415"/>
  <c r="L388"/>
  <c r="K412"/>
  <c r="K418"/>
  <c r="M18"/>
  <c r="N376"/>
  <c r="H10" i="6"/>
  <c r="M159" i="1"/>
  <c r="O159" s="1"/>
  <c r="M28"/>
  <c r="P28" s="1"/>
  <c r="M367"/>
  <c r="O367" s="1"/>
  <c r="O357"/>
  <c r="N412"/>
  <c r="K394"/>
  <c r="L409"/>
  <c r="L418"/>
  <c r="M120"/>
  <c r="L39" i="6"/>
  <c r="K39"/>
  <c r="M119" i="3"/>
  <c r="P119" s="1"/>
  <c r="J21" i="6"/>
  <c r="M21" s="1"/>
  <c r="K135" i="3"/>
  <c r="K139" s="1"/>
  <c r="M187"/>
  <c r="O187" s="1"/>
  <c r="K123"/>
  <c r="J157" i="1"/>
  <c r="I157"/>
  <c r="G158" s="1"/>
  <c r="J158" s="1"/>
  <c r="M144"/>
  <c r="J112"/>
  <c r="J99"/>
  <c r="K382"/>
  <c r="L376"/>
  <c r="J117"/>
  <c r="M132"/>
  <c r="P132" s="1"/>
  <c r="M126"/>
  <c r="P126" s="1"/>
  <c r="M114"/>
  <c r="O114" s="1"/>
  <c r="I162"/>
  <c r="G163" s="1"/>
  <c r="M165"/>
  <c r="O165" s="1"/>
  <c r="M135"/>
  <c r="P135" s="1"/>
  <c r="M99"/>
  <c r="M171"/>
  <c r="P171" s="1"/>
  <c r="I133"/>
  <c r="G134" s="1"/>
  <c r="I134" s="1"/>
  <c r="J133"/>
  <c r="I103"/>
  <c r="G104" s="1"/>
  <c r="J103"/>
  <c r="J100"/>
  <c r="I100"/>
  <c r="G101" s="1"/>
  <c r="I101" s="1"/>
  <c r="I113"/>
  <c r="J113"/>
  <c r="I154"/>
  <c r="G155" s="1"/>
  <c r="J155" s="1"/>
  <c r="J154"/>
  <c r="O138"/>
  <c r="P138"/>
  <c r="M156"/>
  <c r="P156" s="1"/>
  <c r="K373"/>
  <c r="I123"/>
  <c r="G124" s="1"/>
  <c r="I126"/>
  <c r="G127" s="1"/>
  <c r="J111"/>
  <c r="I114"/>
  <c r="G115" s="1"/>
  <c r="M147"/>
  <c r="P147" s="1"/>
  <c r="M129"/>
  <c r="P129" s="1"/>
  <c r="I159"/>
  <c r="G160" s="1"/>
  <c r="J160" s="1"/>
  <c r="I177"/>
  <c r="G178" s="1"/>
  <c r="J178" s="1"/>
  <c r="N49" i="3"/>
  <c r="I217" i="1"/>
  <c r="G218" s="1"/>
  <c r="J218" s="1"/>
  <c r="J217"/>
  <c r="J326"/>
  <c r="I326"/>
  <c r="I168"/>
  <c r="G169" s="1"/>
  <c r="I169" s="1"/>
  <c r="G170" s="1"/>
  <c r="I41"/>
  <c r="G42" s="1"/>
  <c r="J42" s="1"/>
  <c r="J41"/>
  <c r="I151"/>
  <c r="G152" s="1"/>
  <c r="J151"/>
  <c r="I314"/>
  <c r="J206"/>
  <c r="I206"/>
  <c r="J21"/>
  <c r="I21"/>
  <c r="I106"/>
  <c r="G107" s="1"/>
  <c r="J106"/>
  <c r="I232"/>
  <c r="J232"/>
  <c r="I334"/>
  <c r="J334"/>
  <c r="I68"/>
  <c r="G69" s="1"/>
  <c r="J68"/>
  <c r="J216"/>
  <c r="I216"/>
  <c r="I298"/>
  <c r="J298"/>
  <c r="I266"/>
  <c r="N341"/>
  <c r="K379"/>
  <c r="L221"/>
  <c r="M11" i="3"/>
  <c r="O11" s="1"/>
  <c r="M41"/>
  <c r="O41" s="1"/>
  <c r="M65"/>
  <c r="P65" s="1"/>
  <c r="M105"/>
  <c r="O105" s="1"/>
  <c r="M93"/>
  <c r="O93" s="1"/>
  <c r="M145"/>
  <c r="O145" s="1"/>
  <c r="M171"/>
  <c r="O171" s="1"/>
  <c r="N418" i="1"/>
  <c r="M163" i="3"/>
  <c r="O163" s="1"/>
  <c r="P89"/>
  <c r="I165" i="1"/>
  <c r="G166" s="1"/>
  <c r="J166" s="1"/>
  <c r="M75" i="3"/>
  <c r="P75" s="1"/>
  <c r="K341" i="1"/>
  <c r="M167" i="3"/>
  <c r="O167" s="1"/>
  <c r="J20" i="6"/>
  <c r="N20" s="1"/>
  <c r="I10"/>
  <c r="J8"/>
  <c r="L101" i="3"/>
  <c r="M101" s="1"/>
  <c r="P101" s="1"/>
  <c r="M151"/>
  <c r="P151" s="1"/>
  <c r="M149"/>
  <c r="P149" s="1"/>
  <c r="J10" i="5"/>
  <c r="J9"/>
  <c r="I9" i="11"/>
  <c r="N41" i="6"/>
  <c r="M40"/>
  <c r="J31" i="4"/>
  <c r="J19"/>
  <c r="H20" s="1"/>
  <c r="K17"/>
  <c r="J17"/>
  <c r="H18" s="1"/>
  <c r="K15"/>
  <c r="J15"/>
  <c r="H16" s="1"/>
  <c r="K13"/>
  <c r="J13"/>
  <c r="H14" s="1"/>
  <c r="K11"/>
  <c r="J11"/>
  <c r="H12" s="1"/>
  <c r="I154" i="3"/>
  <c r="J154"/>
  <c r="J103"/>
  <c r="I103"/>
  <c r="G104" s="1"/>
  <c r="J104" s="1"/>
  <c r="J106"/>
  <c r="I106"/>
  <c r="J92"/>
  <c r="I92"/>
  <c r="M161"/>
  <c r="O161" s="1"/>
  <c r="M175"/>
  <c r="O175" s="1"/>
  <c r="I11"/>
  <c r="G12" s="1"/>
  <c r="I12" s="1"/>
  <c r="I113"/>
  <c r="G114" s="1"/>
  <c r="I114" s="1"/>
  <c r="O9"/>
  <c r="J105"/>
  <c r="P23"/>
  <c r="G117"/>
  <c r="J117" s="1"/>
  <c r="G51"/>
  <c r="J63"/>
  <c r="J85"/>
  <c r="I165"/>
  <c r="G166" s="1"/>
  <c r="J166" s="1"/>
  <c r="J99"/>
  <c r="G81"/>
  <c r="J145"/>
  <c r="I180"/>
  <c r="I161"/>
  <c r="G162" s="1"/>
  <c r="I162" s="1"/>
  <c r="N31"/>
  <c r="K19"/>
  <c r="M33"/>
  <c r="M53"/>
  <c r="P53" s="1"/>
  <c r="M73"/>
  <c r="O73" s="1"/>
  <c r="M111"/>
  <c r="P111" s="1"/>
  <c r="M107"/>
  <c r="P107" s="1"/>
  <c r="M91"/>
  <c r="P91" s="1"/>
  <c r="M83"/>
  <c r="O83" s="1"/>
  <c r="M133"/>
  <c r="M177"/>
  <c r="M143"/>
  <c r="O143" s="1"/>
  <c r="L31"/>
  <c r="M125"/>
  <c r="P125" s="1"/>
  <c r="G135"/>
  <c r="J120"/>
  <c r="L103"/>
  <c r="M103" s="1"/>
  <c r="P103" s="1"/>
  <c r="J19" i="6"/>
  <c r="N19" s="1"/>
  <c r="M131" i="3"/>
  <c r="M191"/>
  <c r="O191" s="1"/>
  <c r="L113"/>
  <c r="M113" s="1"/>
  <c r="P113" s="1"/>
  <c r="I193"/>
  <c r="G194" s="1"/>
  <c r="I194" s="1"/>
  <c r="M193"/>
  <c r="O193" s="1"/>
  <c r="O59"/>
  <c r="P59"/>
  <c r="P67"/>
  <c r="O67"/>
  <c r="J95"/>
  <c r="I95"/>
  <c r="G96" s="1"/>
  <c r="J96" s="1"/>
  <c r="I115"/>
  <c r="G116" s="1"/>
  <c r="I116" s="1"/>
  <c r="J115"/>
  <c r="J101"/>
  <c r="I101"/>
  <c r="G102" s="1"/>
  <c r="I33"/>
  <c r="G34" s="1"/>
  <c r="J34" s="1"/>
  <c r="J33"/>
  <c r="J83"/>
  <c r="I173"/>
  <c r="G174" s="1"/>
  <c r="M21"/>
  <c r="O21" s="1"/>
  <c r="I109"/>
  <c r="G110" s="1"/>
  <c r="J110" s="1"/>
  <c r="L115"/>
  <c r="M115" s="1"/>
  <c r="M7"/>
  <c r="O159"/>
  <c r="I15"/>
  <c r="G16" s="1"/>
  <c r="J16" s="1"/>
  <c r="J107"/>
  <c r="I89"/>
  <c r="G90" s="1"/>
  <c r="I90" s="1"/>
  <c r="J21"/>
  <c r="G127"/>
  <c r="G151"/>
  <c r="J9"/>
  <c r="I77"/>
  <c r="G78" s="1"/>
  <c r="I78" s="1"/>
  <c r="K31"/>
  <c r="M35"/>
  <c r="P35" s="1"/>
  <c r="M69"/>
  <c r="O69" s="1"/>
  <c r="M153"/>
  <c r="O153" s="1"/>
  <c r="L19"/>
  <c r="L39"/>
  <c r="M39" s="1"/>
  <c r="L181"/>
  <c r="M181" s="1"/>
  <c r="M117"/>
  <c r="P117" s="1"/>
  <c r="I22" i="6"/>
  <c r="J22" s="1"/>
  <c r="M22" s="1"/>
  <c r="M189" i="3"/>
  <c r="O189" s="1"/>
  <c r="J130"/>
  <c r="I130"/>
  <c r="J24"/>
  <c r="I24"/>
  <c r="I70"/>
  <c r="J70"/>
  <c r="I64"/>
  <c r="J64"/>
  <c r="J100"/>
  <c r="I100"/>
  <c r="I28"/>
  <c r="J28"/>
  <c r="I14"/>
  <c r="J14"/>
  <c r="J22"/>
  <c r="I22"/>
  <c r="I30"/>
  <c r="J30"/>
  <c r="I146"/>
  <c r="J146"/>
  <c r="J10"/>
  <c r="I10"/>
  <c r="J76"/>
  <c r="I76"/>
  <c r="J178"/>
  <c r="I178"/>
  <c r="J190"/>
  <c r="I190"/>
  <c r="J126"/>
  <c r="I126"/>
  <c r="I94"/>
  <c r="J94"/>
  <c r="I160"/>
  <c r="J160"/>
  <c r="I108"/>
  <c r="J108"/>
  <c r="J164"/>
  <c r="I164"/>
  <c r="J84"/>
  <c r="I84"/>
  <c r="I80"/>
  <c r="J80"/>
  <c r="I74"/>
  <c r="J74"/>
  <c r="I175"/>
  <c r="G176" s="1"/>
  <c r="I86"/>
  <c r="J86"/>
  <c r="J134"/>
  <c r="I134"/>
  <c r="J11" i="5"/>
  <c r="I118" i="1"/>
  <c r="G119" s="1"/>
  <c r="J118"/>
  <c r="I23"/>
  <c r="J23"/>
  <c r="J324"/>
  <c r="I324"/>
  <c r="J308"/>
  <c r="I308"/>
  <c r="I83"/>
  <c r="G84" s="1"/>
  <c r="J83"/>
  <c r="I38"/>
  <c r="G39" s="1"/>
  <c r="J38"/>
  <c r="J74"/>
  <c r="I74"/>
  <c r="G75" s="1"/>
  <c r="J56"/>
  <c r="I56"/>
  <c r="G57" s="1"/>
  <c r="I130"/>
  <c r="G131" s="1"/>
  <c r="J130"/>
  <c r="I35"/>
  <c r="G36" s="1"/>
  <c r="J35"/>
  <c r="I244"/>
  <c r="N221"/>
  <c r="J15" i="6"/>
  <c r="M15" s="1"/>
  <c r="I300" i="1"/>
  <c r="J300"/>
  <c r="J228"/>
  <c r="I228"/>
  <c r="I224"/>
  <c r="J224"/>
  <c r="I214"/>
  <c r="J214"/>
  <c r="H32" i="4" l="1"/>
  <c r="J32" s="1"/>
  <c r="P6" i="1"/>
  <c r="M12"/>
  <c r="P147" i="3"/>
  <c r="P18" i="1"/>
  <c r="M32"/>
  <c r="M33" s="1"/>
  <c r="O40"/>
  <c r="O301"/>
  <c r="O120"/>
  <c r="P120"/>
  <c r="O43"/>
  <c r="O27" i="3"/>
  <c r="O31" s="1"/>
  <c r="K421" i="1"/>
  <c r="I142" i="3"/>
  <c r="N421" i="1"/>
  <c r="L97"/>
  <c r="P183"/>
  <c r="M191"/>
  <c r="P191" s="1"/>
  <c r="I48" i="4"/>
  <c r="P63" i="3"/>
  <c r="P77"/>
  <c r="P131"/>
  <c r="P127"/>
  <c r="P129"/>
  <c r="I88"/>
  <c r="O133"/>
  <c r="P51"/>
  <c r="P185"/>
  <c r="J121" i="1"/>
  <c r="O275"/>
  <c r="P249"/>
  <c r="I288"/>
  <c r="O315"/>
  <c r="P82"/>
  <c r="P150"/>
  <c r="O150"/>
  <c r="O201"/>
  <c r="O85"/>
  <c r="O311"/>
  <c r="J62"/>
  <c r="P251"/>
  <c r="O193"/>
  <c r="I29"/>
  <c r="J292"/>
  <c r="O247"/>
  <c r="J139"/>
  <c r="J149"/>
  <c r="I328"/>
  <c r="P37"/>
  <c r="L341"/>
  <c r="J148"/>
  <c r="P269"/>
  <c r="O8"/>
  <c r="I256"/>
  <c r="P265"/>
  <c r="I332"/>
  <c r="P20"/>
  <c r="I360"/>
  <c r="P277"/>
  <c r="P345"/>
  <c r="O257"/>
  <c r="O353"/>
  <c r="M391"/>
  <c r="O391" s="1"/>
  <c r="P247"/>
  <c r="P347"/>
  <c r="O273"/>
  <c r="O135"/>
  <c r="P233"/>
  <c r="J60"/>
  <c r="I188"/>
  <c r="P323"/>
  <c r="P309"/>
  <c r="I202"/>
  <c r="O10"/>
  <c r="M403"/>
  <c r="O403" s="1"/>
  <c r="P197"/>
  <c r="P307"/>
  <c r="P30"/>
  <c r="J322"/>
  <c r="I234"/>
  <c r="O207"/>
  <c r="P141"/>
  <c r="P195"/>
  <c r="I296"/>
  <c r="O76"/>
  <c r="P321"/>
  <c r="O46"/>
  <c r="M397"/>
  <c r="O397" s="1"/>
  <c r="P291"/>
  <c r="I348"/>
  <c r="P293"/>
  <c r="O171"/>
  <c r="P355"/>
  <c r="P76"/>
  <c r="P255"/>
  <c r="P46"/>
  <c r="P14"/>
  <c r="P67"/>
  <c r="O343"/>
  <c r="O349" s="1"/>
  <c r="I194"/>
  <c r="O255"/>
  <c r="M349"/>
  <c r="P349" s="1"/>
  <c r="J276"/>
  <c r="O231"/>
  <c r="J246"/>
  <c r="J358"/>
  <c r="I89"/>
  <c r="G90" s="1"/>
  <c r="I90" s="1"/>
  <c r="O28"/>
  <c r="M412"/>
  <c r="O412" s="1"/>
  <c r="P26"/>
  <c r="P153"/>
  <c r="P279"/>
  <c r="P174"/>
  <c r="J109"/>
  <c r="O16"/>
  <c r="I160"/>
  <c r="G161" s="1"/>
  <c r="J161" s="1"/>
  <c r="I254"/>
  <c r="P209"/>
  <c r="O229"/>
  <c r="O147"/>
  <c r="O88"/>
  <c r="O199"/>
  <c r="I200"/>
  <c r="I65"/>
  <c r="G66" s="1"/>
  <c r="J66" s="1"/>
  <c r="O279"/>
  <c r="O108"/>
  <c r="O303"/>
  <c r="M400"/>
  <c r="P400" s="1"/>
  <c r="M379"/>
  <c r="P379" s="1"/>
  <c r="P16"/>
  <c r="O245"/>
  <c r="J175"/>
  <c r="P108"/>
  <c r="J330"/>
  <c r="O225"/>
  <c r="P205"/>
  <c r="I268"/>
  <c r="J176"/>
  <c r="I176"/>
  <c r="I158"/>
  <c r="J9"/>
  <c r="I272"/>
  <c r="P333"/>
  <c r="P351"/>
  <c r="M373"/>
  <c r="O373" s="1"/>
  <c r="I71"/>
  <c r="G72" s="1"/>
  <c r="J72" s="1"/>
  <c r="I368"/>
  <c r="I142"/>
  <c r="G143" s="1"/>
  <c r="I143" s="1"/>
  <c r="I354"/>
  <c r="N7" i="6"/>
  <c r="M409" i="1"/>
  <c r="P409" s="1"/>
  <c r="L369"/>
  <c r="P102"/>
  <c r="J359"/>
  <c r="O271"/>
  <c r="P406"/>
  <c r="I304"/>
  <c r="M376"/>
  <c r="O376" s="1"/>
  <c r="M339"/>
  <c r="O339" s="1"/>
  <c r="I42"/>
  <c r="P219"/>
  <c r="M394"/>
  <c r="O394" s="1"/>
  <c r="P243"/>
  <c r="O79"/>
  <c r="O49"/>
  <c r="J252"/>
  <c r="J137"/>
  <c r="I137"/>
  <c r="O55"/>
  <c r="P73"/>
  <c r="P187"/>
  <c r="I344"/>
  <c r="P229"/>
  <c r="P211"/>
  <c r="P295"/>
  <c r="J136"/>
  <c r="M388"/>
  <c r="P70"/>
  <c r="P55"/>
  <c r="O22"/>
  <c r="P301"/>
  <c r="P105"/>
  <c r="O223"/>
  <c r="I196"/>
  <c r="I184"/>
  <c r="P367"/>
  <c r="M418"/>
  <c r="O418" s="1"/>
  <c r="J80"/>
  <c r="J198"/>
  <c r="O267"/>
  <c r="O58"/>
  <c r="P297"/>
  <c r="O259"/>
  <c r="O327"/>
  <c r="O331"/>
  <c r="P319"/>
  <c r="P335"/>
  <c r="J336"/>
  <c r="I336"/>
  <c r="I316"/>
  <c r="P313"/>
  <c r="I312"/>
  <c r="I302"/>
  <c r="J294"/>
  <c r="P215"/>
  <c r="J212"/>
  <c r="I264"/>
  <c r="J260"/>
  <c r="I260"/>
  <c r="I262"/>
  <c r="P261"/>
  <c r="O249"/>
  <c r="J236"/>
  <c r="P227"/>
  <c r="J59" i="4"/>
  <c r="J62" s="1"/>
  <c r="O57" i="3"/>
  <c r="J10" i="4"/>
  <c r="P213" i="1"/>
  <c r="O213"/>
  <c r="O187"/>
  <c r="I24" i="4"/>
  <c r="H36"/>
  <c r="H42"/>
  <c r="J42" s="1"/>
  <c r="P34" i="1"/>
  <c r="L382"/>
  <c r="M382" s="1"/>
  <c r="O382" s="1"/>
  <c r="P43"/>
  <c r="J92"/>
  <c r="I53"/>
  <c r="G54" s="1"/>
  <c r="J54" s="1"/>
  <c r="O24"/>
  <c r="J169"/>
  <c r="P168"/>
  <c r="P114"/>
  <c r="O126"/>
  <c r="O111"/>
  <c r="O406"/>
  <c r="I248"/>
  <c r="O75" i="3"/>
  <c r="H9" i="13"/>
  <c r="I9"/>
  <c r="P109" i="3"/>
  <c r="P183"/>
  <c r="I36"/>
  <c r="J68"/>
  <c r="I170"/>
  <c r="I192"/>
  <c r="M11" i="6"/>
  <c r="O15" i="3"/>
  <c r="O107"/>
  <c r="P179"/>
  <c r="P105"/>
  <c r="P37"/>
  <c r="O87"/>
  <c r="O135"/>
  <c r="L139"/>
  <c r="M23" i="6"/>
  <c r="J66" i="3"/>
  <c r="O129"/>
  <c r="P85"/>
  <c r="P57"/>
  <c r="J188"/>
  <c r="O165"/>
  <c r="J158"/>
  <c r="P29"/>
  <c r="P25"/>
  <c r="O109"/>
  <c r="P155"/>
  <c r="O155"/>
  <c r="O95"/>
  <c r="I96"/>
  <c r="I104"/>
  <c r="O79"/>
  <c r="I8"/>
  <c r="J8"/>
  <c r="I144"/>
  <c r="O169"/>
  <c r="I110"/>
  <c r="I112"/>
  <c r="J194"/>
  <c r="O127"/>
  <c r="J26"/>
  <c r="P99"/>
  <c r="J78"/>
  <c r="J12"/>
  <c r="J150"/>
  <c r="I42"/>
  <c r="O101"/>
  <c r="I38"/>
  <c r="P69"/>
  <c r="J172"/>
  <c r="P173"/>
  <c r="M135"/>
  <c r="P135" s="1"/>
  <c r="P11"/>
  <c r="P55"/>
  <c r="O151"/>
  <c r="J162"/>
  <c r="I132"/>
  <c r="O35"/>
  <c r="N13" i="6"/>
  <c r="O97" i="3"/>
  <c r="P97"/>
  <c r="I40"/>
  <c r="P153"/>
  <c r="I16"/>
  <c r="O119"/>
  <c r="I98"/>
  <c r="J156"/>
  <c r="O117"/>
  <c r="J90"/>
  <c r="P187"/>
  <c r="I167"/>
  <c r="G168" s="1"/>
  <c r="J168" s="1"/>
  <c r="N18" i="6"/>
  <c r="O13" i="3"/>
  <c r="P13"/>
  <c r="J148"/>
  <c r="O203" i="1"/>
  <c r="M12" i="6"/>
  <c r="J116" i="3"/>
  <c r="P91" i="1"/>
  <c r="M17" i="6"/>
  <c r="J73" i="4"/>
  <c r="J44"/>
  <c r="J67"/>
  <c r="O227" i="1"/>
  <c r="P299"/>
  <c r="P361"/>
  <c r="M16" i="6"/>
  <c r="P24" i="1"/>
  <c r="J78"/>
  <c r="O131" i="3"/>
  <c r="K10" i="4"/>
  <c r="I81" i="1"/>
  <c r="J81"/>
  <c r="M52"/>
  <c r="M97" s="1"/>
  <c r="L385"/>
  <c r="M385" s="1"/>
  <c r="P385" s="1"/>
  <c r="I362"/>
  <c r="J362"/>
  <c r="I340"/>
  <c r="I208"/>
  <c r="J280"/>
  <c r="P162"/>
  <c r="P317"/>
  <c r="P253"/>
  <c r="I270"/>
  <c r="P359"/>
  <c r="I178"/>
  <c r="G179" s="1"/>
  <c r="J179" s="1"/>
  <c r="I172"/>
  <c r="G173" s="1"/>
  <c r="I173" s="1"/>
  <c r="O365"/>
  <c r="J146"/>
  <c r="J122"/>
  <c r="J101"/>
  <c r="I155"/>
  <c r="P123"/>
  <c r="O129"/>
  <c r="I230"/>
  <c r="O132"/>
  <c r="J44"/>
  <c r="O305"/>
  <c r="O183"/>
  <c r="M221"/>
  <c r="P221" s="1"/>
  <c r="M289"/>
  <c r="P289" s="1"/>
  <c r="O215"/>
  <c r="I166"/>
  <c r="G167" s="1"/>
  <c r="I167" s="1"/>
  <c r="P177"/>
  <c r="P159"/>
  <c r="P12"/>
  <c r="O6"/>
  <c r="J71" i="4"/>
  <c r="I54" i="3"/>
  <c r="J54"/>
  <c r="I60"/>
  <c r="J60"/>
  <c r="O113"/>
  <c r="O91"/>
  <c r="O111"/>
  <c r="O53"/>
  <c r="O65"/>
  <c r="O71" s="1"/>
  <c r="O81"/>
  <c r="I56"/>
  <c r="J56"/>
  <c r="I51"/>
  <c r="G52" s="1"/>
  <c r="I52" s="1"/>
  <c r="J51"/>
  <c r="H30" i="4"/>
  <c r="N9" i="6"/>
  <c r="P185" i="1"/>
  <c r="J346"/>
  <c r="I346"/>
  <c r="J249"/>
  <c r="I249"/>
  <c r="G250" s="1"/>
  <c r="J210"/>
  <c r="I210"/>
  <c r="J86"/>
  <c r="I86"/>
  <c r="G87" s="1"/>
  <c r="J320"/>
  <c r="I19"/>
  <c r="J19"/>
  <c r="O18"/>
  <c r="I166" i="3"/>
  <c r="J134" i="1"/>
  <c r="J10" i="6"/>
  <c r="M10" s="1"/>
  <c r="P165" i="1"/>
  <c r="O117"/>
  <c r="I51"/>
  <c r="J51"/>
  <c r="O263"/>
  <c r="P263"/>
  <c r="P99"/>
  <c r="N21" i="6"/>
  <c r="O34" i="1"/>
  <c r="J93"/>
  <c r="I93"/>
  <c r="I218"/>
  <c r="I58" i="3"/>
  <c r="J58"/>
  <c r="P161"/>
  <c r="P175"/>
  <c r="O149"/>
  <c r="M369" i="1"/>
  <c r="P369" s="1"/>
  <c r="O51" i="3"/>
  <c r="M61"/>
  <c r="P61" s="1"/>
  <c r="M71"/>
  <c r="P71" s="1"/>
  <c r="O125"/>
  <c r="L195"/>
  <c r="L200" s="1"/>
  <c r="M195"/>
  <c r="P195" s="1"/>
  <c r="O99" i="1"/>
  <c r="M180"/>
  <c r="P180" s="1"/>
  <c r="J45"/>
  <c r="I45"/>
  <c r="I31"/>
  <c r="J31"/>
  <c r="J48"/>
  <c r="I48"/>
  <c r="I366"/>
  <c r="J366"/>
  <c r="M415"/>
  <c r="N39" i="6"/>
  <c r="M39"/>
  <c r="O33" i="3"/>
  <c r="M49"/>
  <c r="P49" s="1"/>
  <c r="M123"/>
  <c r="P123" s="1"/>
  <c r="L123"/>
  <c r="L49"/>
  <c r="P191"/>
  <c r="I34"/>
  <c r="P73"/>
  <c r="P33"/>
  <c r="P167"/>
  <c r="N22" i="6"/>
  <c r="I163" i="1"/>
  <c r="G164" s="1"/>
  <c r="J163"/>
  <c r="O144"/>
  <c r="P144"/>
  <c r="J115"/>
  <c r="I115"/>
  <c r="G116" s="1"/>
  <c r="I127"/>
  <c r="G128" s="1"/>
  <c r="J127"/>
  <c r="J124"/>
  <c r="I124"/>
  <c r="G125" s="1"/>
  <c r="O156"/>
  <c r="I104"/>
  <c r="J104"/>
  <c r="M20" i="6"/>
  <c r="M19"/>
  <c r="O177" i="3"/>
  <c r="M24" i="6"/>
  <c r="I110" i="1"/>
  <c r="J110"/>
  <c r="N8" i="6"/>
  <c r="M8"/>
  <c r="P41" i="3"/>
  <c r="J69" i="1"/>
  <c r="I69"/>
  <c r="I63"/>
  <c r="J63"/>
  <c r="I140"/>
  <c r="J140"/>
  <c r="P193" i="3"/>
  <c r="P133"/>
  <c r="P145"/>
  <c r="I117"/>
  <c r="G118" s="1"/>
  <c r="J118" s="1"/>
  <c r="J114"/>
  <c r="P93"/>
  <c r="J107" i="1"/>
  <c r="I107"/>
  <c r="J152"/>
  <c r="I152"/>
  <c r="K20" i="4"/>
  <c r="J20"/>
  <c r="K18"/>
  <c r="J18"/>
  <c r="K16"/>
  <c r="J16"/>
  <c r="K14"/>
  <c r="J14"/>
  <c r="K12"/>
  <c r="J12"/>
  <c r="O103" i="3"/>
  <c r="J135"/>
  <c r="I135"/>
  <c r="J81"/>
  <c r="I81"/>
  <c r="G82" s="1"/>
  <c r="P83"/>
  <c r="O181"/>
  <c r="P181"/>
  <c r="O39"/>
  <c r="P39"/>
  <c r="J151"/>
  <c r="I151"/>
  <c r="G152" s="1"/>
  <c r="I127"/>
  <c r="G128" s="1"/>
  <c r="J127"/>
  <c r="M19"/>
  <c r="P19" s="1"/>
  <c r="O7"/>
  <c r="O115"/>
  <c r="P115"/>
  <c r="M31"/>
  <c r="P31" s="1"/>
  <c r="P21"/>
  <c r="I174"/>
  <c r="J174"/>
  <c r="I102"/>
  <c r="J102"/>
  <c r="P189"/>
  <c r="P7"/>
  <c r="J176"/>
  <c r="I176"/>
  <c r="N15" i="6"/>
  <c r="J36" i="1"/>
  <c r="I36"/>
  <c r="I131"/>
  <c r="J131"/>
  <c r="J39"/>
  <c r="I39"/>
  <c r="I170"/>
  <c r="J170"/>
  <c r="J84"/>
  <c r="I84"/>
  <c r="I119"/>
  <c r="J119"/>
  <c r="I57"/>
  <c r="J57"/>
  <c r="J75"/>
  <c r="I75"/>
  <c r="K32" i="4" l="1"/>
  <c r="P32" i="1"/>
  <c r="L421"/>
  <c r="P388"/>
  <c r="M421"/>
  <c r="P421" s="1"/>
  <c r="P97"/>
  <c r="O289"/>
  <c r="O369"/>
  <c r="O409"/>
  <c r="I161"/>
  <c r="O400"/>
  <c r="P397"/>
  <c r="J143"/>
  <c r="P391"/>
  <c r="O379"/>
  <c r="O12"/>
  <c r="P412"/>
  <c r="P339"/>
  <c r="P403"/>
  <c r="J90"/>
  <c r="I66"/>
  <c r="P373"/>
  <c r="O388"/>
  <c r="P376"/>
  <c r="P394"/>
  <c r="M341"/>
  <c r="P341" s="1"/>
  <c r="P418"/>
  <c r="I72"/>
  <c r="J173"/>
  <c r="O341"/>
  <c r="K30" i="4"/>
  <c r="O191" i="1"/>
  <c r="K42" i="4"/>
  <c r="I54" i="1"/>
  <c r="O32"/>
  <c r="I168" i="3"/>
  <c r="O61"/>
  <c r="M139"/>
  <c r="P139" s="1"/>
  <c r="O19"/>
  <c r="I118"/>
  <c r="O139"/>
  <c r="O221" i="1"/>
  <c r="P382"/>
  <c r="N10" i="6"/>
  <c r="O49" i="3"/>
  <c r="N25" i="6"/>
  <c r="O52" i="1"/>
  <c r="O97" s="1"/>
  <c r="J167"/>
  <c r="I179"/>
  <c r="O385"/>
  <c r="N27" i="6"/>
  <c r="N26"/>
  <c r="M26"/>
  <c r="J30" i="4"/>
  <c r="J87" i="1"/>
  <c r="I87"/>
  <c r="J250"/>
  <c r="I250"/>
  <c r="O123" i="3"/>
  <c r="M27" i="6"/>
  <c r="O195" i="3"/>
  <c r="O180" i="1"/>
  <c r="O415"/>
  <c r="P415"/>
  <c r="J164"/>
  <c r="I164"/>
  <c r="I125"/>
  <c r="J125"/>
  <c r="J128"/>
  <c r="I128"/>
  <c r="I116"/>
  <c r="J116"/>
  <c r="J82" i="3"/>
  <c r="I82"/>
  <c r="J52"/>
  <c r="J128"/>
  <c r="I128"/>
  <c r="J152"/>
  <c r="I152"/>
  <c r="O421" i="1" l="1"/>
  <c r="M25" i="6"/>
  <c r="K14" l="1"/>
  <c r="M14" s="1"/>
  <c r="N14" l="1"/>
</calcChain>
</file>

<file path=xl/comments1.xml><?xml version="1.0" encoding="utf-8"?>
<comments xmlns="http://schemas.openxmlformats.org/spreadsheetml/2006/main">
  <authors>
    <author>rgarcia</author>
  </authors>
  <commentList>
    <comment ref="H10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D.EX 904/18-11-2016, Modifico cuota (70750) establecida por D.EX. 943/2015 (61191),  modificada por D.EX. 346/2016 (70375)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Captura en  subzona 170 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Captura en  subzona 171
</t>
        </r>
      </text>
    </comment>
    <comment ref="L14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Captura en  subzona 172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(D) Descuento por Exceso 2013 de 33,39 t. (Resol. N° 1837 de 10.06.16)</t>
        </r>
      </text>
    </comment>
  </commentList>
</comments>
</file>

<file path=xl/comments2.xml><?xml version="1.0" encoding="utf-8"?>
<comments xmlns="http://schemas.openxmlformats.org/spreadsheetml/2006/main">
  <authors>
    <author>dcatalan</author>
    <author>mmendoza</author>
    <author>rgarcia</author>
    <author>sherrerar</author>
  </authors>
  <commentList>
    <comment ref="F7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Cede 4530,964 ton a artesanales XV (Res N° 3464-16)</t>
        </r>
      </text>
    </comment>
    <comment ref="F16" authorId="1">
      <text>
        <r>
          <rPr>
            <b/>
            <sz val="14"/>
            <color indexed="81"/>
            <rFont val="Tahoma"/>
            <family val="2"/>
          </rPr>
          <t>mmendoza:</t>
        </r>
        <r>
          <rPr>
            <sz val="14"/>
            <color indexed="81"/>
            <rFont val="Tahoma"/>
            <family val="2"/>
          </rPr>
          <t xml:space="preserve">
(C IND-ART) Cede coef 0,2779133 (3554,512 ton) a Artesanales III Reg. (Res N°556/19-02-2016)
(</t>
        </r>
        <r>
          <rPr>
            <strike/>
            <sz val="14"/>
            <color indexed="81"/>
            <rFont val="Tahoma"/>
            <family val="2"/>
          </rPr>
          <t xml:space="preserve">CV) Incrementa 2727,309 ton desde BLUMAR S.A.(Res N° 1895/15-06-16)
</t>
        </r>
        <r>
          <rPr>
            <b/>
            <sz val="14"/>
            <color indexed="81"/>
            <rFont val="Tahoma"/>
            <family val="2"/>
          </rPr>
          <t>SE MODIFICA CUOTA POR D.EX. 474/17-06-2016</t>
        </r>
        <r>
          <rPr>
            <strike/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10"/>
            <rFont val="Tahoma"/>
            <family val="2"/>
          </rPr>
          <t>(C IND-ART) Cede coef. 0,1244072 (2147,8903 t) a Artesanales III Reg. (Res N°2356/28-07-2016)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F1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 xml:space="preserve">(Arr) Arrienda 1,406 t  a LANDES S.A III-IV (cert N° 45)
</t>
        </r>
        <r>
          <rPr>
            <sz val="14"/>
            <color indexed="81"/>
            <rFont val="Tahoma"/>
            <family val="2"/>
          </rPr>
          <t xml:space="preserve">Cert N° 76 Deja sin efecto Certf. N° 45-2016
</t>
        </r>
        <r>
          <rPr>
            <b/>
            <sz val="14"/>
            <color indexed="10"/>
            <rFont val="Tahoma"/>
            <family val="2"/>
          </rPr>
          <t xml:space="preserve">(C IND-ART) Cede coef. 0,2132384 (2727,319 t.) a ARMADORES ARTESANALES CALDERA III REGION (Res Ex. N° 1104/14-04-2016) consultar con la SSP, si las cesiones se descuantan de la cuota asignada???? 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 xml:space="preserve">(C-V) Vende 1,406 t  a LANDES S.A III-IV (Res.Ex.N° 1473/12-05-16)
(C-V) Vende 0,2132376 (2727,309 t) a PESQUERA BAHIA CALDERA S.A. (Res.Ex.N° 1895/15-06-2016)
</t>
        </r>
        <r>
          <rPr>
            <b/>
            <sz val="14"/>
            <color indexed="81"/>
            <rFont val="Tahoma"/>
            <family val="2"/>
          </rPr>
          <t xml:space="preserve">SE MODIFICA CUOTA POR D.EX. 474/17-06-2016
</t>
        </r>
      </text>
    </comment>
    <comment ref="F22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(Co) comodato de totalidad 197,266 tons a Pesquera Litoral SpA III-IV (cert N° 139)</t>
        </r>
        <r>
          <rPr>
            <sz val="12"/>
            <color indexed="81"/>
            <rFont val="Tahoma"/>
            <family val="2"/>
          </rPr>
          <t xml:space="preserve">
Cert M° 141/ 23-12-2016 Deja sin efecto Certf. N° 138-139-140-141-142-143-144 y 145/2015, Comodatos 
[CV) VENDE 187,403 ton a PESQUERA LITORAL. SPA  (Res N° 4102/28-12-16)</t>
        </r>
      </text>
    </comment>
    <comment ref="F24" authorId="2">
      <text>
        <r>
          <rPr>
            <b/>
            <sz val="16"/>
            <color indexed="81"/>
            <rFont val="Tahoma"/>
            <family val="2"/>
          </rPr>
          <t>rgarcia:</t>
        </r>
        <r>
          <rPr>
            <sz val="16"/>
            <color indexed="81"/>
            <rFont val="Tahoma"/>
            <family val="2"/>
          </rPr>
          <t xml:space="preserve">
(C IND-ART) Res. 2405/08-08.2016 autoriza Cesion de 6765 t, a ARMADORES ARTESANALES IV REGION </t>
        </r>
      </text>
    </comment>
    <comment ref="F2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(Arr) incrementa 1,406 t dedes BLUMAR S.A III-IV (cert N° 45)
Cert N° 76 Deja sin efecto Certf. N° 45-2016
(C-V) Incrementa 1,406 t desde BLUMAR S.A III-IV (Res.Ex.N° 1473-16)</t>
        </r>
      </text>
    </comment>
    <comment ref="F30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(co) incremento de 197,266 tons desde Inversiones Pesqueras SpA III-IV (cert N° 139)</t>
        </r>
        <r>
          <rPr>
            <sz val="14"/>
            <color indexed="81"/>
            <rFont val="Tahoma"/>
            <family val="2"/>
          </rPr>
          <t xml:space="preserve">
Cert M° 141/ 23-12-2016 Deja sin efecto Certf. N° 138-139-140-141-142-143-144 y 145/2015, Comodatos 
[CV) Incrementa 187,403 ton desde INVERSIONES PESQ. SPA  (Res N° 4102/28-12-16)</t>
        </r>
      </text>
    </comment>
    <comment ref="F34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(C. Ind-Art) Cede 0,0547592 (</t>
        </r>
        <r>
          <rPr>
            <sz val="14"/>
            <color indexed="10"/>
            <rFont val="Tahoma"/>
            <family val="2"/>
          </rPr>
          <t>469,505</t>
        </r>
        <r>
          <rPr>
            <sz val="14"/>
            <color indexed="81"/>
            <rFont val="Tahoma"/>
            <family val="2"/>
          </rPr>
          <t xml:space="preserve"> t), a Artesanales VIII Reg. (Res N° 870/22-03-2016)
</t>
        </r>
        <r>
          <rPr>
            <b/>
            <sz val="14"/>
            <color indexed="81"/>
            <rFont val="Tahoma"/>
            <family val="2"/>
          </rPr>
          <t xml:space="preserve">SE MODIFICA CUOTA POR D.EX. 346/09-05-2016
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(C. Ind-Art) Cede 0,0452531 (</t>
        </r>
        <r>
          <rPr>
            <strike/>
            <sz val="14"/>
            <color indexed="10"/>
            <rFont val="Tahoma"/>
            <family val="2"/>
          </rPr>
          <t>388</t>
        </r>
        <r>
          <rPr>
            <strike/>
            <sz val="14"/>
            <color indexed="81"/>
            <rFont val="Tahoma"/>
            <family val="2"/>
          </rPr>
          <t xml:space="preserve"> t.) a  PATRICIO VEGA VELASQUEZ (Doc.N° 2057/29-06-2016).</t>
        </r>
        <r>
          <rPr>
            <sz val="14"/>
            <color indexed="81"/>
            <rFont val="Tahoma"/>
            <family val="2"/>
          </rPr>
          <t xml:space="preserve">Res 3589 de 2016 deja sin efecto Res. N° 2057 </t>
        </r>
        <r>
          <rPr>
            <strike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12"/>
            <rFont val="Tahoma"/>
            <family val="2"/>
          </rPr>
          <t>(C. Art-Ind-) Incrementa por Cesion 44,339 tons. desde ARPESCA AG, RAG 429-8, TALCAHUANO VIII (Doc.N° 2124/05-07-2016). No esta en registro LTP-SSP</t>
        </r>
        <r>
          <rPr>
            <sz val="14"/>
            <color indexed="81"/>
            <rFont val="Tahoma"/>
            <family val="2"/>
          </rPr>
          <t xml:space="preserve">
(Arr) incrementa 35,36 t. desde MAR PROFUNDO S.A. SOC. PESQ.V-X (cert N° 103/14-07-2016)
(Arr) incrementa 71,045 t. desde ISLA QUIHUA S.A. PESQ..V-X (cert N° 104/14-07-2016)
(Arr) incrementa 196,135 t. desde SOCIEDAD PESQ. SAN ANTONIO S.A.V-X (cert N° 107/14-07-2016)
(C. Ind-Art) Cesion de </t>
        </r>
        <r>
          <rPr>
            <sz val="14"/>
            <color indexed="10"/>
            <rFont val="Tahoma"/>
            <family val="2"/>
          </rPr>
          <t>411,22</t>
        </r>
        <r>
          <rPr>
            <sz val="14"/>
            <color indexed="81"/>
            <rFont val="Tahoma"/>
            <family val="2"/>
          </rPr>
          <t xml:space="preserve"> tons. a ARMADORES ARTESANALES VIII REGION  (Doc.N° 2743/07-09-2016)
(C. Ind-Art) Cesion de </t>
        </r>
        <r>
          <rPr>
            <sz val="14"/>
            <color indexed="10"/>
            <rFont val="Tahoma"/>
            <family val="2"/>
          </rPr>
          <t>157</t>
        </r>
        <r>
          <rPr>
            <sz val="14"/>
            <color indexed="81"/>
            <rFont val="Tahoma"/>
            <family val="2"/>
          </rPr>
          <t xml:space="preserve"> tons. a  EMBARCACION FLORENCIA RPA 950995 (Doc.N° 3037/11-10-2016)
TOTAL CESIONES: -469,505+523,88 
TOTAL NO TRASLATICIOS:+302,540
TOTAL MOVIMIENTOS: --690,846
</t>
        </r>
      </text>
    </comment>
    <comment ref="F37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 xml:space="preserve">(Arr) cede 25,885 tons a Lota Protein V-X (cert N° 68/2013)
Deja sin efecto N°68-13, arriendo de 25.885 ton (Cert N°35-16)
(CV) Vende 25.885 ton a Lota Protein (Res N°601-16)
</t>
        </r>
      </text>
    </comment>
    <comment ref="F40" authorId="2">
      <text>
        <r>
          <rPr>
            <b/>
            <sz val="12"/>
            <color indexed="81"/>
            <rFont val="Verdana"/>
            <family val="2"/>
          </rPr>
          <t>rgarcia:</t>
        </r>
        <r>
          <rPr>
            <sz val="12"/>
            <color indexed="81"/>
            <rFont val="Verdana"/>
            <family val="2"/>
          </rPr>
          <t xml:space="preserve">
</t>
        </r>
        <r>
          <rPr>
            <b/>
            <sz val="12"/>
            <color indexed="10"/>
            <rFont val="Verdana"/>
            <family val="2"/>
          </rPr>
          <t>(C IND-ART) Cede 85 ton a Armadores Artesanales XIV (Res N°985/05-04-16)</t>
        </r>
        <r>
          <rPr>
            <sz val="12"/>
            <color indexed="81"/>
            <rFont val="Verdana"/>
            <family val="2"/>
          </rPr>
          <t xml:space="preserve">
</t>
        </r>
        <r>
          <rPr>
            <b/>
            <sz val="12"/>
            <color indexed="81"/>
            <rFont val="Verdana"/>
            <family val="2"/>
          </rPr>
          <t>(C IND-ART) Cede 10 a Armadores Artesanales IX (Res N°1039/07-04-16)</t>
        </r>
        <r>
          <rPr>
            <sz val="12"/>
            <color indexed="81"/>
            <rFont val="Verdana"/>
            <family val="2"/>
          </rPr>
          <t xml:space="preserve">
Cert N°  76 de 10-05-2016; Deja sin efecto Cert N° 45 de 17-03-2016 arriendo de 1,406
</t>
        </r>
        <r>
          <rPr>
            <b/>
            <sz val="12"/>
            <color indexed="81"/>
            <rFont val="Verdana"/>
            <family val="2"/>
          </rPr>
          <t>SE MODIFICA CUOTA POR D.EX. 346/09-05-2016</t>
        </r>
        <r>
          <rPr>
            <sz val="12"/>
            <color indexed="81"/>
            <rFont val="Verdana"/>
            <family val="2"/>
          </rPr>
          <t xml:space="preserve">
(C IND-ART) Cede</t>
        </r>
        <r>
          <rPr>
            <b/>
            <sz val="12"/>
            <color indexed="81"/>
            <rFont val="Verdana"/>
            <family val="2"/>
          </rPr>
          <t xml:space="preserve"> -1100</t>
        </r>
        <r>
          <rPr>
            <sz val="12"/>
            <color indexed="81"/>
            <rFont val="Verdana"/>
            <family val="2"/>
          </rPr>
          <t xml:space="preserve"> a Armadores Artesanales XIV (Res N°3672/07-12-2016)
</t>
        </r>
      </text>
    </comment>
    <comment ref="F43" authorId="1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 IND-ART) Cede coef. 0,0047374 (35) ton a artesanales IX-XIV (Res N°742/10-03-16)</t>
        </r>
        <r>
          <rPr>
            <b/>
            <sz val="14"/>
            <color indexed="81"/>
            <rFont val="Tahoma"/>
            <family val="2"/>
          </rPr>
          <t xml:space="preserve">
SE MODIFICA CUOTA POR D.EX. 346/09-05-2016</t>
        </r>
        <r>
          <rPr>
            <sz val="14"/>
            <color indexed="81"/>
            <rFont val="Tahoma"/>
            <family val="2"/>
          </rPr>
          <t xml:space="preserve">
(C ART-IND) Incrementa 34 ton desde ARTESANALES VIII REGION  (Res N°3014/06-10-2016)
(C ART-IND) Incrementa 85,98 ton desde ARTESANALES VIII REGION  (Res N°3143/18-10-2016)
</t>
        </r>
      </text>
    </comment>
    <comment ref="F46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 ART-IND) Res. Ex. N° 2406/08-08-2016 Autoriza cesión 48,9 t, desde Artesanales VIII Región
(C ART-IND) Res. Ex. N° 2775/12-09-2016 Autoriza cesión 20 t, desde Artesanales X Región</t>
        </r>
      </text>
    </comment>
    <comment ref="F4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(CV) Vende total LTP  de 91,061 ton a PESQUERA LITORAL SPA. (Res N°2978/05-10-2-16)</t>
        </r>
      </text>
    </comment>
    <comment ref="F52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(co) cede 0,0106105 (90,974 t.) a Pesquera Litoral SpA V-X (cert N° 25)
Cert N° 43-16, Deja sin efecto cert N° 25, comodato de 78,39 ton a Pesquera Litoral SpA V-X 
Cert N° 53, RECTIFICA Certificado N°43 en el sentido que dejo por error sin efecto los certificados 25, 26, y 27, por  tanto, se encuentran vigentes
</t>
        </r>
      </text>
    </comment>
    <comment ref="F5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 xml:space="preserve">(C IND-ART) Cede coef.0,0021657 (16 ton) a Armadores Artesanales VIII (Res N°1261/16). Se consulta a SSP si se actualiza segun los coeficientes 
(C IND-ART) Cede coef 0,0308609 (228 ton) a Armadores Artesanales VIII (Res N°1263/126-04-16)
SE MODIFICA CUOTA POR D.EX. 346/09-05-2016
</t>
        </r>
        <r>
          <rPr>
            <sz val="14"/>
            <color indexed="81"/>
            <rFont val="Tahoma"/>
            <family val="2"/>
          </rPr>
          <t xml:space="preserve">Res. 3846 Modifica Res. Ex. N° 1263-2016 Autoriza Cesión Anchoveta y Sardina común VIII Region, respecto a la embarcacion cesionaria 
(C IND-ART) Cede 37 ton a Armadores Artesanales VIII. Res N°3822/16-12-2016
</t>
        </r>
      </text>
    </comment>
    <comment ref="F58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cede 2,239 tons a Lota Protein V-X (cert N° 58/2013)</t>
        </r>
      </text>
    </comment>
    <comment ref="F6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(a) cede 6,934 t. a Lota Protein V-X (cert N° 343/2014)
</t>
        </r>
      </text>
    </comment>
    <comment ref="F6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(co) cede 0,0096003 coeficiente equivalente a la totalidad LTP  a Pesquera Litoral SpA V-X (cert N° 140)</t>
        </r>
        <r>
          <rPr>
            <sz val="12"/>
            <color indexed="81"/>
            <rFont val="Tahoma"/>
            <family val="2"/>
          </rPr>
          <t xml:space="preserve">
Cert M° 141/ 23-12-2016 Deja sin efecto Certf. N° 138-139-140-141-142-143-144 y 145/2015, Comodatos 
[CV) VENDE 82,313  ton a PESQUERA LITORAL SPA Res N° 4100/28-12-16</t>
        </r>
      </text>
    </comment>
    <comment ref="F6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Comodato de 0,.429 tons. a PAOLA POBLETE NOVOA (Doc.N° 92/21-06-2016)</t>
        </r>
      </text>
    </comment>
    <comment ref="F7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arrienda 71,045 t. a ALIMENTOS MARINOS S.A.V-X (cert N° 105/14-07-2016)</t>
        </r>
      </text>
    </comment>
    <comment ref="F73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 ART-IND) Res. Ex. N° 1252/26-04-2016 Autoriza cesión 5 t, desde Artesanales VIII Región
Cert N°  76 de 10-05-2016; Deja sin efecto Cert N° 45 de 17-03-2016 arriendo de 1,406
(C ART-IND) Res. Ex. N° 2149/07-07-2016 Autoriza cesión 34,767 t, desde Artesanales VIII Región
(C ART-IND) Res. Ex. N° 2304/26-07-2016 Autoriza cesión 16,21 t, desde Artesanales VIII Región
(C ART-IND) Res. Ex. N° 2304/24-08-2016 Autoriza cesión 63 t, desde Artesanales VIII Región</t>
        </r>
      </text>
    </comment>
    <comment ref="F76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Incrementa 2,239 t. desde Genmar Ltda.Soc V-X (cert N° 58/2013).
</t>
        </r>
        <r>
          <rPr>
            <strike/>
            <sz val="14"/>
            <color indexed="81"/>
            <rFont val="Tahoma"/>
            <family val="2"/>
          </rPr>
          <t>(Arr) Incrementa 25,885 t. desde Berta Elena Ltda.Soc V-X (cert N° 68/2013).</t>
        </r>
        <r>
          <rPr>
            <sz val="14"/>
            <color indexed="81"/>
            <rFont val="Tahoma"/>
            <family val="2"/>
          </rPr>
          <t xml:space="preserve">
(Arr) Incrementa 6,934 t. desde Pelantaro Inostroza V-X (cert N° 343/2014)
Deja sin efecto N° 68-13, arriendo de 25.885 ton (Cert N°35-16)
</t>
        </r>
        <r>
          <rPr>
            <strike/>
            <sz val="14"/>
            <color indexed="81"/>
            <rFont val="Tahoma"/>
            <family val="2"/>
          </rPr>
          <t>(CV) Incrementa 25.885 t. de SOC. PESQUERA BERTA ELENA LDTA.(Res N°601/16)</t>
        </r>
        <r>
          <rPr>
            <sz val="14"/>
            <color indexed="81"/>
            <rFont val="Tahoma"/>
            <family val="2"/>
          </rPr>
          <t xml:space="preserve">
(C ART-IND) Incrementa 87 t. de ARTESANAL A.G. ITALMAR, VIII.(Res N°815/16.03.16)
(C ART-IND) Incrementa 150 t. de ARTESANAL Armar AG VIII (Res N°966//2016)
(C ART-IND) Res. Ex. N° 2319/27-07-2016 Autoriza cesión 18,58 t, desde Artesanales VIII Región</t>
        </r>
      </text>
    </comment>
    <comment ref="F79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arrienda 35,36 t. a ALIMENTOS MARINOS S.A.V-X (cert N° 103/14-07-2016)</t>
        </r>
      </text>
    </comment>
    <comment ref="F82" authorId="2">
      <text>
        <r>
          <rPr>
            <b/>
            <sz val="14"/>
            <color indexed="81"/>
            <rFont val="Tahoma"/>
            <family val="2"/>
          </rPr>
          <t xml:space="preserve">rgarcia:
</t>
        </r>
        <r>
          <rPr>
            <sz val="14"/>
            <color indexed="81"/>
            <rFont val="Tahoma"/>
            <family val="2"/>
          </rPr>
          <t>(C ART-IND) Incrementa 4,297 t. de Armadores Artesanales VIII (Res N°3577/01-12-2016)
(C IND-ART) Cede 150 t. a Armadores Artesanales X (Res N°3745/14-12-2016)
(C IND-ART) Cede 50 t. a Armadores Artesanales X (Res N°4038/26-12-2016)</t>
        </r>
      </text>
    </comment>
    <comment ref="F85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(CV) Vende total LTP  de 34,633 ton a PESQUERA LITORAL SPA. (Res N°2979/05-10-2-16</t>
        </r>
      </text>
    </comment>
    <comment ref="F8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arrienda 196,135 t. a ALIMENTOS MARINOS S.A.V-X (cert N° 107/14-07-2016)</t>
        </r>
      </text>
    </comment>
    <comment ref="F9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b/>
            <strike/>
            <sz val="12"/>
            <color indexed="81"/>
            <rFont val="Tahoma"/>
            <family val="2"/>
          </rPr>
          <t>(co) Incrementa  0,0096003 (82,313 t.) desde INVERSIONES PESQUERAS S.A.V-X (cert N° 140-2015).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(co) Incremento  0,0106105 (90,974 t.) tons desde CENTRO SUR S.A V-X (cert N° 25-2016).</t>
        </r>
        <r>
          <rPr>
            <sz val="12"/>
            <color indexed="81"/>
            <rFont val="Tahoma"/>
            <family val="2"/>
          </rPr>
          <t xml:space="preserve">
Cert N° 43-16, Deja sin efecto cert N° 25, comodato de 78,39 ton desde CENTRO SUR S.A V-X V-X 
Cert N° 53, RECTIFICA Certificado N°43 que dejo por error sin efecto los certificados 25, 26, y 27, por tanto, se encuentran vigentes
</t>
        </r>
        <r>
          <rPr>
            <b/>
            <sz val="12"/>
            <color indexed="81"/>
            <rFont val="Tahoma"/>
            <family val="2"/>
          </rPr>
          <t>(CV) Incrementa total LTP  de 91,061 ton desde OPERACIONES ARANDU SPA. (Res N°2978/05-10-2-16)
(CV) Incrementa total LTP  de 34,633 ton desde INVERSIONES SANTANA SPA. (Res N°2979/05-10-2-16)
Cert M° 141/ 23-12-2016 Deja sin efecto Certf. N° 138-139-140-141-142-143-144 y 145/2015, Comodatos 
[CV) Incrementa 82,313 ton desde INVERSIONES PESQ. SPA  (Res N° 4100/28-12-16)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H9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imouta Nave JAVIER de PESQUERA CENTRO SUR SpA.y FRANCISCO de Inversiones pesq. S.A.</t>
        </r>
      </text>
    </comment>
    <comment ref="F9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Incrementa por Comodato 0.429 tons. desde BURITA INVERSIONES SpA (Doc.N° 92/21-06-2016)</t>
        </r>
      </text>
    </comment>
    <comment ref="F9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(C IND-ART) Cede </t>
        </r>
        <r>
          <rPr>
            <b/>
            <sz val="11"/>
            <color indexed="81"/>
            <rFont val="Tahoma"/>
            <family val="2"/>
          </rPr>
          <t>3350,744</t>
        </r>
        <r>
          <rPr>
            <sz val="11"/>
            <color indexed="81"/>
            <rFont val="Tahoma"/>
            <family val="2"/>
          </rPr>
          <t xml:space="preserve"> ton  a ARMADORES ARTESANALES VIII REGION (Res. 870/22.03.2016)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81"/>
            <rFont val="Tahoma"/>
            <family val="2"/>
          </rPr>
          <t xml:space="preserve">(C IND-ART) Cede coef 0,0055133  </t>
        </r>
        <r>
          <rPr>
            <b/>
            <strike/>
            <sz val="11"/>
            <color indexed="81"/>
            <rFont val="Tahoma"/>
            <family val="2"/>
          </rPr>
          <t>(388 t.)</t>
        </r>
        <r>
          <rPr>
            <strike/>
            <sz val="11"/>
            <color indexed="81"/>
            <rFont val="Tahoma"/>
            <family val="2"/>
          </rPr>
          <t xml:space="preserve"> a ARTESANAL PATRICIO VEGA V.(Doc.N° 2057/29-06-2016)</t>
        </r>
        <r>
          <rPr>
            <sz val="11"/>
            <color indexed="81"/>
            <rFont val="Tahoma"/>
            <family val="2"/>
          </rPr>
          <t xml:space="preserve">
Res 3589 de 2016 deja sin efecto Res. N° 2057 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(C ART-IND) Res.Ex. N° 2124/05-07-2016) Incremento de </t>
        </r>
        <r>
          <rPr>
            <b/>
            <sz val="11"/>
            <color indexed="81"/>
            <rFont val="Tahoma"/>
            <family val="2"/>
          </rPr>
          <t>912.712</t>
        </r>
        <r>
          <rPr>
            <sz val="11"/>
            <color indexed="81"/>
            <rFont val="Tahoma"/>
            <family val="2"/>
          </rPr>
          <t xml:space="preserve"> tons. desde Artesanales, VIII 
(C ART-IND) Res. Ex. N° 2148/07-07-2016 Incremento de </t>
        </r>
        <r>
          <rPr>
            <b/>
            <sz val="11"/>
            <color indexed="81"/>
            <rFont val="Tahoma"/>
            <family val="2"/>
          </rPr>
          <t>350</t>
        </r>
        <r>
          <rPr>
            <sz val="11"/>
            <color indexed="81"/>
            <rFont val="Tahoma"/>
            <family val="2"/>
          </rPr>
          <t xml:space="preserve"> t, desde Artesanales VIII Región
(C ART-IND) Res. Ex. N° 2162/07-07-2016 Incremento de </t>
        </r>
        <r>
          <rPr>
            <b/>
            <sz val="11"/>
            <color indexed="81"/>
            <rFont val="Tahoma"/>
            <family val="2"/>
          </rPr>
          <t>800</t>
        </r>
        <r>
          <rPr>
            <sz val="11"/>
            <color indexed="81"/>
            <rFont val="Tahoma"/>
            <family val="2"/>
          </rPr>
          <t xml:space="preserve"> t, desde Artesanales VIII Región
(C ART-IND) Res. Ex. N° 2163/07-07-2016 Incremento de  </t>
        </r>
        <r>
          <rPr>
            <b/>
            <sz val="11"/>
            <color indexed="81"/>
            <rFont val="Tahoma"/>
            <family val="2"/>
          </rPr>
          <t xml:space="preserve">434 </t>
        </r>
        <r>
          <rPr>
            <sz val="11"/>
            <color indexed="81"/>
            <rFont val="Tahoma"/>
            <family val="2"/>
          </rPr>
          <t xml:space="preserve">t, desde Artesanales VIII Región
(Arr) Incrementa </t>
        </r>
        <r>
          <rPr>
            <b/>
            <sz val="11"/>
            <color indexed="81"/>
            <rFont val="Tahoma"/>
            <family val="2"/>
          </rPr>
          <t>213,828</t>
        </r>
        <r>
          <rPr>
            <sz val="11"/>
            <color indexed="81"/>
            <rFont val="Tahoma"/>
            <family val="2"/>
          </rPr>
          <t xml:space="preserve"> t. desde MAR PROFUNDO S.A. SOC. PESQ.V-X (cert N° 102/14-07-2016)
(Arr) Incrementa </t>
        </r>
        <r>
          <rPr>
            <b/>
            <sz val="11"/>
            <color indexed="81"/>
            <rFont val="Tahoma"/>
            <family val="2"/>
          </rPr>
          <t>262,291</t>
        </r>
        <r>
          <rPr>
            <sz val="11"/>
            <color indexed="81"/>
            <rFont val="Tahoma"/>
            <family val="2"/>
          </rPr>
          <t xml:space="preserve"> t. desde ISLA QUIHUA S.A. PESQ..V-X (cert N° 104/14-07-2016)
(Arr) Incrementa </t>
        </r>
        <r>
          <rPr>
            <b/>
            <sz val="11"/>
            <color indexed="81"/>
            <rFont val="Tahoma"/>
            <family val="2"/>
          </rPr>
          <t>223,973</t>
        </r>
        <r>
          <rPr>
            <sz val="11"/>
            <color indexed="81"/>
            <rFont val="Tahoma"/>
            <family val="2"/>
          </rPr>
          <t xml:space="preserve"> t. desde SOCIEDAD PESQ. SAN ANTONIO S.A.V-X (cert N° 106/14-07-2016) 
(C ART-IND) Res. Ex. N° 3313/07-11-2016 Incremento de </t>
        </r>
        <r>
          <rPr>
            <b/>
            <sz val="11"/>
            <color indexed="81"/>
            <rFont val="Tahoma"/>
            <family val="2"/>
          </rPr>
          <t xml:space="preserve">100 </t>
        </r>
        <r>
          <rPr>
            <sz val="11"/>
            <color indexed="81"/>
            <rFont val="Tahoma"/>
            <family val="2"/>
          </rPr>
          <t xml:space="preserve">t, desde Artesanales VIII Región
</t>
        </r>
        <r>
          <rPr>
            <b/>
            <sz val="11"/>
            <color indexed="81"/>
            <rFont val="Tahoma"/>
            <family val="2"/>
          </rPr>
          <t>SE MODIFICA CUOTA A 70750 TON. POR  D.EX 904/18-11-2016</t>
        </r>
      </text>
    </comment>
    <comment ref="F102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10"/>
            <rFont val="Tahoma"/>
            <family val="2"/>
          </rPr>
          <t>(ARR) cede 903,954 tons a Lota Protein S.A. V-X (cert N° 69/2013</t>
        </r>
        <r>
          <rPr>
            <sz val="12"/>
            <color indexed="10"/>
            <rFont val="Tahoma"/>
            <family val="2"/>
          </rPr>
          <t xml:space="preserve">
Deja sin efecto N°69-13, arriendo de 903.954 ton (Cert N°35-16)</t>
        </r>
        <r>
          <rPr>
            <sz val="12"/>
            <color indexed="81"/>
            <rFont val="Tahoma"/>
            <family val="2"/>
          </rPr>
          <t xml:space="preserve">
(CV) Cede 903.957  ton a Lota Protein (Res N°600/23-02-16).</t>
        </r>
      </text>
    </comment>
    <comment ref="F10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</t>
        </r>
        <r>
          <rPr>
            <sz val="11"/>
            <color indexed="81"/>
            <rFont val="Tahoma"/>
            <family val="2"/>
          </rPr>
          <t>C Ind-Art) Cede -5270 a Armadores Artesanales XIV (Res N°985/16)
(C Ind-Art) Cede -600 ton a Armadores Artesanales IX (Res N°1039/16)
(C Ind-Art) Cede -72 ton a Armadores Artesanales XIV REGIÓN (Res N°3672/09-12-2016)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F108" authorId="1">
      <text>
        <r>
          <rPr>
            <b/>
            <sz val="11"/>
            <color indexed="17"/>
            <rFont val="Tahoma"/>
            <family val="2"/>
          </rPr>
          <t xml:space="preserve">rgarcia:
</t>
        </r>
        <r>
          <rPr>
            <sz val="11"/>
            <color indexed="17"/>
            <rFont val="Tahoma"/>
            <family val="2"/>
          </rPr>
          <t>(C IND-ART) Cede 2065 ton a artesanales IX-XIV (Res N°742).
(C ART-IND) Res. Ex N°1301//2016) Autoriza cesión 1352,403 t. desde Artesanales VIII Región 
(C ART-IND) Res. Ex N°1372/2016 Autoriza cesión 2450 t. desde Artesanales X Región
(C ART-IND) Res. Ex. N° 2161/07-07-2016 Autoriza cesión 400 t, desde Artesanales VIII Región
(C ART-IND) Res. Ex. N° 2204/07-07-2016 Autoriza cesión 300 t, desde Artesanales VIII Región
(C ART-IND) Res. Ex. N° 2239/07-07-2016 Autoriza cesión 306,084 t, desde Artesanales VIII Región
(C ART-IND) Res. Ex. N° 2270/20-07-2016 Autoriza cesión 660 t, desde Artesanales VIII Región
(C ART-IND) Res. Ex. N° 2406/08-08-2016 Autoriza cesión 404,1 t, desde Artesanales VIII Región
(C ART-IND) Res. Ex. N° 2554/24-08-2016 Autoriza cesión 292 t, desde Artesanales VIII Región
(C ART-IND) Res. Ex. N° 2655/30-08-2016 Autoriza cesión 541,5 t, desde Artesanales VIII Región
(C ART-IND) Res. Ex. N° 2775/12-09-2016 Autoriza cesión 450 t, desde Artesanales X Región
(C ART-IND) Res. Ex. N° 3014/06-10-2016 Autoriza cesión 532 t, desde Artesanales VIII Región
(C ART-IND) Res. Ex. N° 3143/18-10-2016 Autoriza cesión 264,64 t, desde Artesanales VIII Región
(C ART-IND) Res. Ex. N° 3151/18-10-2016 Autoriza cesión 328 t, desde Artesanales VIII Región</t>
        </r>
      </text>
    </comment>
    <comment ref="F11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 xml:space="preserve">(CO) Cede de </t>
        </r>
        <r>
          <rPr>
            <b/>
            <sz val="12"/>
            <color indexed="17"/>
            <rFont val="Tahoma"/>
            <family val="2"/>
          </rPr>
          <t>569,035</t>
        </r>
        <r>
          <rPr>
            <sz val="12"/>
            <color indexed="17"/>
            <rFont val="Tahoma"/>
            <family val="2"/>
          </rPr>
          <t xml:space="preserve"> tons a PESQUERA LITORAL SPA, V-X (Cert N° 26-2016).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 xml:space="preserve">Cert N° 43-16, Deja sin efecto cert N° 26, comodato desde CENTRO SUR S.A V-X V-X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Cert N° 53, RECTIFICA Certificado N° 43-16 que dejo por error sin efecto los certificados 25, 26, y 27, por  tanto, se encuentran vigentes</t>
        </r>
      </text>
    </comment>
    <comment ref="F11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 IND-ART)  Cede 84 ton a Armadores Artesanales VIII (Res N°1261/26-04-16)
(C IND-ART)  Cede 1184 ton a Armadores Artesanales VIII (Res N°1263/26-04-16)
(C IND-ART) Cede 75 ton a Armadores Artesanales VIII. (Res N°3822/16-12-2016)</t>
        </r>
      </text>
    </comment>
    <comment ref="F117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(a) Cede coef 0,0002885 (20,411 tons) a Lota Protein S.A. V-X (cert N° 59/2013).</t>
        </r>
      </text>
    </comment>
    <comment ref="F12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(a) Cede coef 0,0015375 (108,778 tons) a Lota Protein S.A. V-X (Cert N° 339/2014).</t>
        </r>
      </text>
    </comment>
    <comment ref="F123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 xml:space="preserve">(C IND-ART) Cede 512,377 t, a ARMADORes ARTESANALES VIII (Res.ex.N° 1259-2016).
(CV) Cede 76,9 ton a PESQ. LITORAL (Res N° 3204-16). </t>
        </r>
        <r>
          <rPr>
            <sz val="9"/>
            <color indexed="17"/>
            <rFont val="Tahoma"/>
            <family val="2"/>
          </rPr>
          <t xml:space="preserve">Solo cede parte de la compraventa porque antes habia arrendado a artesanales.  </t>
        </r>
      </text>
    </comment>
    <comment ref="F126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 IND-ART) Cede 512,377, a ARMADORes ARTESANALES VIII (Res.ex.N° 1259-2016).
(CV) Cede 76,9 ton a PESQ. LITORAL (Res N° 3206-16). Solo cede parte de la compraventa porque antes habia arrendado a artesanales</t>
        </r>
      </text>
    </comment>
    <comment ref="F129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 IND-ART) Cede 512,377 t, a ARMADORes ARTESANALES VIII (Res.ex.N° 1259-2016).
(CV) Cede 76,9 ton a PESQ. LITORAL (Res N° 3205-16). Solo cede parte de la compraventa porque antes habia arrendado a artesanales</t>
        </r>
      </text>
    </comment>
    <comment ref="F132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 IND-ART) Cede 512,168 t, a ARMADORES ARTESANALES VIII (Res.ex.N° 1506/29-06-2016).
(CV) Cede 77,11 ton a PESQ. LITORAL (Res N° 3207-16)</t>
        </r>
        <r>
          <rPr>
            <sz val="12"/>
            <color indexed="17"/>
            <rFont val="Tahoma"/>
            <family val="2"/>
          </rPr>
          <t xml:space="preserve">. </t>
        </r>
        <r>
          <rPr>
            <sz val="9"/>
            <color indexed="17"/>
            <rFont val="Tahoma"/>
            <family val="2"/>
          </rPr>
          <t>Solo cede parte de la compraventa porque antes habia arrendado a artesanales</t>
        </r>
      </text>
    </comment>
    <comment ref="F135" authorId="2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7"/>
            <rFont val="Tahoma"/>
            <family val="2"/>
          </rPr>
          <t xml:space="preserve">(co) Cede 567,167  tons a Pesquera Litoral SpA V-X (Cert N° 145-15). </t>
        </r>
        <r>
          <rPr>
            <sz val="11"/>
            <color indexed="17"/>
            <rFont val="Tahoma"/>
            <family val="2"/>
          </rPr>
          <t xml:space="preserve">
Cert M° 141/ 23-12-2016 Deja sin efecto Certf. N° 138-139-140-141-142-143-144 y 145/2015, Comodatos 
[CV) Vende 567,167 ton a PESQ. LITORAL (Res N°4099/28-12-16).
</t>
        </r>
      </text>
    </comment>
    <comment ref="F13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17"/>
            <rFont val="Tahoma"/>
            <family val="2"/>
          </rPr>
          <t>(Arr) arrienda 262,291 t. a ALIMENTOS MARINOS S.A.V-X (cert N° 104/14-07-2016)</t>
        </r>
      </text>
    </comment>
    <comment ref="F14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 ART-IND) Incrementa 41 t. de ARTESANAL Armar  AG DE ARMADORES CALETA COLIUMO,VIII (Res N°1252//2016)
(C ART-IND) Incrementa 402 t. de  STI "CALETA TUMBES-TALCAHUANO", RSU 8050057 (Res N°1357/2016)
(C ART-IND) Incrementa 2000 t. de  "STI "SARPE", RSU 8050398 (Res N°1603/20.05.2016)
(C ART-IND) Incrementa 250 t. de  "A.G. ARMADORES "ARPESCA", VIII REGIÓN (Res N°1765/02.06.2016)
(C ART-IND) Incrementa 300 t. de A.G. ARMADORES "ARPESCA", VIII REGIÓN (Res N°1809/09.06.2016)
(C ART-IND) Incrementa 962,18 t. de  "STI SIPAR GENTE DE MAR, RSU 8070326"(Res N°1817/09.06.2016)
(C ART-IND Res. Ex. N° 1880/14-06-2016 Autoriza cesión 1000 t sardina común, desde Artesanales VIII Región.
(C ART-IND Res. Ex. N° 1953/17-06-2016 Autoriza cesión 1200 t sardina común, desde Artesanales VIII Región.
(C ART-IND Res. Ex. N° 1981/22-06-2016 Autoriza cesión 455 t sardina común, desde Artesanales VIII Región
(C ART-IND Res. Ex. N° 2015/24-06-2016 Autoriza cesión 600 t sardina común, desde Artesanales VIII Región
(C ART-IND Res. Ex. N° 2016/24-06-2016 Autoriza cesión 200 t sardina común, desde Artesanales VIII Región
(C ART-IND Res. Ex. N° 2017/24-06-2016 Autoriza cesión 372 t sardina común, desde Artesanales VIII Región
(C ART-IND Res. Ex. N° 2122/05-07-2016 Autoriza cesión 158 t sardina común, desde Artesanales VIII Región
(C ART-IND Res. Ex. N° 2149/07-07-2016 Autoriza cesión 103,296 t sardina común, desde Artesanales VIII Región
(C ART-IND Res. Ex. N° 2304/26-07-2016 Autoriza cesión 966,74 t sardina común, desde Artesanales VIII Región
(C ART-IND) Res. Ex. N° 2350/28-07-2016 Autoriza cesión 15 t, desde Artesanales VIII Región
(C ART-IND) Res. Ex. N° 2354/01-08-2016 Autoriza cesión 800 t, desde Artesanales VIII Región
(C ART-IND) Res. Ex. N° 2365/01-08-2016 Autoriza cesión 1676 t, desde Artesanales VIII Región
(C ART-IND) Res. Ex. N° 2398/08-08-2016 Autoriza cesión 500 t, desde Artesanales VIII Región
(C ART-IND) Res. Ex. N° 2412/09-08-2016 Autoriza cesión 368 t, desde Artesanales VIII Región
(C ART-IND) Res. Ex. N° 2555/24-08-2016 Autoriza cesión 189 t, desde Artesanales VIII Región</t>
        </r>
      </text>
    </comment>
    <comment ref="H14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incluye captura 402 descarte Rsol Res N°1467 P.Investigación Descarte S.común V-X, 2014</t>
        </r>
      </text>
    </comment>
    <comment ref="F14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(ARR) Incrementa coef 0,0002885 (20,411 tons) tons desde .GENMAR  V-X (cert N° 59/22-11-2013)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>(ARR) incrementa 903,954 tons desde BERTA ELENA. V-X (cert N° 69/25-11-2013)
Deja sin efecto N° 69-13, arriendo de 903.954 ton (Cert N°35-16)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(ARR) Incrementa</t>
        </r>
        <r>
          <rPr>
            <b/>
            <sz val="11"/>
            <color indexed="17"/>
            <rFont val="Tahoma"/>
            <family val="2"/>
          </rPr>
          <t xml:space="preserve"> </t>
        </r>
        <r>
          <rPr>
            <sz val="11"/>
            <color indexed="17"/>
            <rFont val="Tahoma"/>
            <family val="2"/>
          </rPr>
          <t>coef 0,0015375 (108,778 tons)desde INOSTROZA CONCHA PELANTARO V-X (cert N° 339/16-12-14)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>(CV) Compra LTP de 903.957 t. de BERTA ELENA. V-X  (Res N°600/23-02-16)</t>
        </r>
        <r>
          <rPr>
            <strike/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 IND-ART) Cede 150 tons a ARTESANALES VIII REGION (Res.N° 1049/08-04-2016)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 xml:space="preserve">(C ART-IND) Res. Ex. N° 2319/27-07-2016 Autoriza cesión </t>
        </r>
        <r>
          <rPr>
            <b/>
            <sz val="11"/>
            <color indexed="17"/>
            <rFont val="Tahoma"/>
            <family val="2"/>
          </rPr>
          <t xml:space="preserve">311 </t>
        </r>
        <r>
          <rPr>
            <sz val="11"/>
            <color indexed="17"/>
            <rFont val="Tahoma"/>
            <family val="2"/>
          </rPr>
          <t>t, desde Artesanales VIII Región
(C ART-IND) Res. Ex. N° 3219/25-10-2016 Autoriza cesión 597,14  t, desde Artesanales VIII Región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F14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(Arr) Arrienda 213,828 t. a ALIMENTOS MARINOS S.A.V-X (cert N° 102/14-07-2016)</t>
        </r>
      </text>
    </comment>
    <comment ref="F150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17"/>
            <rFont val="Tahoma"/>
            <family val="2"/>
          </rPr>
          <t xml:space="preserve">(C ART-IND) Res. Ex. N° 2050/29-06-2016 Autoriza cesión 500 t, desde Artesanales VIII Región
(C ART-IND) Res. Ex. N° 2051/29-06-2016 Autoriza cesión 550 t, desde Artesanales VIII Región
(C ART-IND) Res. Ex. N° 2052/29-06-2016 Autoriza cesión 500 t, desde Artesanales VIII Región
(C ART-IND) Res. Ex. N° 2053/29-06-2016 Autoriza cesión 437 t, desde Artesanales VIII Región
(C ART-IND) Res. Ex. N° 2058/29-06-2016 Autoriza cesión 470 t, desde Artesanales VIII Región
(C ART-IND) Res. Ex. N° 2150/07-07-2016 Autoriza cesión 614 t, desde Artesanales VIII Región
(C ART-IND) Res. Ex. N° 2164/07-07-2016 Autoriza cesión 700 t, desde Artesanales VIII Región
(C ART-IND) Res. Ex. N° 2238/18-07-2016 Autoriza cesión 533 t, desde Artesanales VIII Región
(C ART-IND) Res. Ex. N° 2306/26-07-2016 Autoriza cesión 1209,449 t, desde Artesanales VIII Región
(C ART-IND) Res. Ex. N° 2659/31-08-2016 Autoriza cesión 120 t, desde Artesanales VIII Región
(C ART-IND) Res. Ex. N° 3217/24-10-2016 Autoriza cesión 92 t, desde Artesanales VIII Región
(C ART-IND) Res. Ex. N° 3233/27-10-2016 Autoriza cesión 369 t, desde Artesanales VIII Región
(C ART-IND) Res. Ex. N° 3312/07-11-2016 Autoriza cesión 370 t, desde Artesanales VIII Región
(C ART-IND) Res. Ex. N° 3518/24-11-2016 Autoriza cesion 350 t, desde artesanales VIII Región
(C ART-IND) Res. Ex. N° 3519/24-11-2016 Autoriza cesión 106 t, desde artesanales VIII Región
(C ART-IND) Res. Ex. N° 3577/01-12-2016 Autoriza cesión 33,378 t, desde artesanales VIII Región
(C ART-IND) Res. Ex. N° 3579/01-12-2016 Autoriza cesión 514 t desde artesanales VIII Región
(C ART-IND) Res. Ex. N° 3666/09-12-2016 Autoriza cesion 120 t, desde artesanales X Región
(C ART-IND) Res. Ex. N° 3713/12-12-2016 Autoriza cesión 450 t, desde artesanales VIII Región
(C ART-IND) Res. Ex. N° 3716/12-12-2016 Autoriza cesión 230 t, desde artesanales VIII Región
(C ART-IND) Res. Ex. N° 3718/12-12-2016 Autoriza cesión 360 t desde artesanales VIII Región
(C ART-IND) Res. Ex. N° 3847/19-12-2016 Autoriza cesión 68 t desde artesanales VIII Región
</t>
        </r>
      </text>
    </comment>
    <comment ref="F153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(Arr) Arrienda 223,973 t. a ALIMENTOS MARINOS S.A.V-X (cert N° 106/14-07-2016)</t>
        </r>
      </text>
    </comment>
    <comment ref="F156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1"/>
            <color indexed="17"/>
            <rFont val="Tahoma"/>
            <family val="2"/>
          </rPr>
          <t xml:space="preserve">(co) incremento </t>
        </r>
        <r>
          <rPr>
            <b/>
            <strike/>
            <sz val="11"/>
            <color indexed="17"/>
            <rFont val="Tahoma"/>
            <family val="2"/>
          </rPr>
          <t>567,167</t>
        </r>
        <r>
          <rPr>
            <strike/>
            <sz val="11"/>
            <color indexed="17"/>
            <rFont val="Tahoma"/>
            <family val="2"/>
          </rPr>
          <t xml:space="preserve"> tons desde Inversiones Pesqueras SpA V-X (Cert N° 145-15). 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 xml:space="preserve">(co) incremento de </t>
        </r>
        <r>
          <rPr>
            <b/>
            <sz val="11"/>
            <color indexed="17"/>
            <rFont val="Tahoma"/>
            <family val="2"/>
          </rPr>
          <t xml:space="preserve">569,035 </t>
        </r>
        <r>
          <rPr>
            <sz val="11"/>
            <color indexed="17"/>
            <rFont val="Tahoma"/>
            <family val="2"/>
          </rPr>
          <t>tons desde CENTRO SUR S.A V-X (cert N° 26-2016).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>Cert N° 43-16, Deja sin efecto cert N° 26, comodato de</t>
        </r>
        <r>
          <rPr>
            <b/>
            <strike/>
            <sz val="11"/>
            <color indexed="10"/>
            <rFont val="Tahoma"/>
            <family val="2"/>
          </rPr>
          <t xml:space="preserve"> </t>
        </r>
        <r>
          <rPr>
            <strike/>
            <sz val="11"/>
            <color indexed="10"/>
            <rFont val="Tahoma"/>
            <family val="2"/>
          </rPr>
          <t xml:space="preserve">ton desde CENTRO SUR S.A V-X V-X 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Cert N° 53, RECTIFICA Certificado N° 43-16 que dejo por error sin efecto los certificados 25, 26, y 27, por  tanto, se encuentran vigentes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 xml:space="preserve">(C-V) Incrementa </t>
        </r>
        <r>
          <rPr>
            <b/>
            <strike/>
            <sz val="11"/>
            <color indexed="10"/>
            <rFont val="Tahoma"/>
            <family val="2"/>
          </rPr>
          <t>589,3488</t>
        </r>
        <r>
          <rPr>
            <strike/>
            <sz val="11"/>
            <color indexed="10"/>
            <rFont val="Tahoma"/>
            <family val="2"/>
          </rPr>
          <t xml:space="preserve"> tons desde SOC. DE INVERSIONES PREDI SPA (R.Ex. N°1899/15-06-2016).
(C-V) Incrementa </t>
        </r>
        <r>
          <rPr>
            <b/>
            <strike/>
            <sz val="11"/>
            <color indexed="10"/>
            <rFont val="Tahoma"/>
            <family val="2"/>
          </rPr>
          <t>589,3488</t>
        </r>
        <r>
          <rPr>
            <strike/>
            <sz val="11"/>
            <color indexed="10"/>
            <rFont val="Tahoma"/>
            <family val="2"/>
          </rPr>
          <t xml:space="preserve">  tons desde DIAPO INVERSIONES SPA(R.Ex. N°1900/15-06-2016).
(C-V) Incrementa </t>
        </r>
        <r>
          <rPr>
            <b/>
            <strike/>
            <sz val="11"/>
            <color indexed="10"/>
            <rFont val="Tahoma"/>
            <family val="2"/>
          </rPr>
          <t>589,3488</t>
        </r>
        <r>
          <rPr>
            <strike/>
            <sz val="11"/>
            <color indexed="10"/>
            <rFont val="Tahoma"/>
            <family val="2"/>
          </rPr>
          <t xml:space="preserve"> tons desde INVERSIONES ARAL SPA (R.Ex. N°1901/15-06-2016).
</t>
        </r>
        <r>
          <rPr>
            <sz val="11"/>
            <color indexed="10"/>
            <rFont val="Tahoma"/>
            <family val="2"/>
          </rPr>
          <t>Resoluciones 1899; 1900; 1901, incorporadas como cuota asignada cuando se modifica la cuota (Res N° 3598-16)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 xml:space="preserve">(C-V) Incrementa </t>
        </r>
        <r>
          <rPr>
            <b/>
            <strike/>
            <sz val="11"/>
            <color indexed="10"/>
            <rFont val="Tahoma"/>
            <family val="2"/>
          </rPr>
          <t>645,898</t>
        </r>
        <r>
          <rPr>
            <strike/>
            <sz val="11"/>
            <color indexed="10"/>
            <rFont val="Tahoma"/>
            <family val="2"/>
          </rPr>
          <t xml:space="preserve"> tons desde INVERSIONES LONDRINA SPA (R.Ex. N°1902/15-06-2016).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 xml:space="preserve">(C-V) Incrementa </t>
        </r>
        <r>
          <rPr>
            <b/>
            <strike/>
            <sz val="11"/>
            <color indexed="10"/>
            <rFont val="Tahoma"/>
            <family val="2"/>
          </rPr>
          <t>477,563</t>
        </r>
        <r>
          <rPr>
            <strike/>
            <sz val="11"/>
            <color indexed="10"/>
            <rFont val="Tahoma"/>
            <family val="2"/>
          </rPr>
          <t xml:space="preserve"> tons desde PROCESOS TECNOLOGICOS DEL BIO-BIO S.A. (R.Ex. N° 2926-2927-2928/30-09-2016).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 xml:space="preserve">(C ART-IND) Incrementa </t>
        </r>
        <r>
          <rPr>
            <b/>
            <sz val="11"/>
            <color indexed="17"/>
            <rFont val="Tahoma"/>
            <family val="2"/>
          </rPr>
          <t>260 ton</t>
        </r>
        <r>
          <rPr>
            <sz val="11"/>
            <color indexed="17"/>
            <rFont val="Tahoma"/>
            <family val="2"/>
          </rPr>
          <t xml:space="preserve"> desde ARTESANALES VIII REGION  (Res N°3130/17-10-2016).
(CV) Incremento de 76,9 ton desde VISTA INVERSIONES (Res N° 3204-16). Solo Recibe parte de la compravente porque el cedente ya arrendo a artesanales.
(CV) Incremento de 76,9 ton desde SC INVERSIONES SPA (Res N° 3205-16). Solo Recibe parte de la compravente porque el cedente ya arrendo a artesanales.
(CV) Incremento de 76,9 ton desde INVERSIONES BOREBI SPA (Res N° 3206-16). Solo Recibe parte de la compravente porque el cedente ya arrendo a artesanales.
(CV) Incremento de 77,11 ton desde OPERACIONES CALUBI SPA (Res N° 3207-16). Solo Recibe parte de la compravente porque el cedente ya arrendo a artesanales.
Cert M° 141/ 23-12-2016 Deja sin efecto Certf. N° 138-139-140-141-142-143-144 y 145/2015, Comodatos 
[CV) Incrementa 567,167 ton desde INVERSIONES PESQ. SPA  (Res N° 1099/28-12-16).
</t>
        </r>
      </text>
    </comment>
    <comment ref="H15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captura de la nave FRANCISCO del armador RPI INVERSIONES PESQUERAS SpA  y JAVIER, ARMADOR RPI CENTRO SUR SPA</t>
        </r>
      </text>
    </comment>
    <comment ref="F15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(C) Cede  826,079 t a ARMADOR ARTESANAL CRISTIAN CLAUDIO SILVA LORCA, RUT 11,986,287-6 (Res. 821-2016 rectificada por Res N° 868-16).</t>
        </r>
      </text>
    </comment>
    <comment ref="F162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(C) Cede 137,68 t, a ARMADOR ARTESANAL XIV (Res. 814/16.03.2016).</t>
        </r>
      </text>
    </comment>
    <comment ref="F165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(C) Cede 550,719 t, a ARMADOR ARTESANAL GONZALO DELFIN GALDAMES SANTIBAÑEZ,, RUT 10,922,218-6 (Res. 850/18.03.2016).</t>
        </r>
      </text>
    </comment>
    <comment ref="F16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(Ind-Art) Cede 275,36 t a Armadores Artesanales XIV (Res N°1038/16).</t>
        </r>
      </text>
    </comment>
    <comment ref="F174" authorId="3">
      <text>
        <r>
          <rPr>
            <b/>
            <sz val="12"/>
            <color indexed="81"/>
            <rFont val="Tahoma"/>
            <family val="2"/>
          </rPr>
          <t>sherrerar: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(Ind-Art) Cede 826,083 ton</t>
        </r>
        <r>
          <rPr>
            <sz val="12"/>
            <color indexed="17"/>
            <rFont val="Tahoma"/>
            <family val="2"/>
          </rPr>
          <t xml:space="preserve"> A ARMADORES ARTESANALES XIV REGION  (Res. Ex. N° 1105-16).</t>
        </r>
      </text>
    </comment>
    <comment ref="F17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(C) Cede 137,68 ton a ARMADOR ARTESANAL SUSAN MARISELA MONSALVE SALAS, RUT 12,979,571-9 (Res. 813/16.03.2016)</t>
        </r>
      </text>
    </comment>
    <comment ref="F185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(A) Arriendo de 2001.077 tons. a CAMANCHACA PESCA SUR S.A. V a IX Región (Doc.N° 100/07-07-2016)
(A) Arriendo de 500.062 tons. a CAMANCHACA PESCA SUR S.A. . V a IX Región (Doc.N° 124/27-10-2016)
(A) Arriendo de 1099,971 tons. a CAMANCHACA PESCA SUR S.A. . V a IX Región (Doc.N° 138/14-12-2016)
(A) Arriendo de 226,209 tons. a CAMANCHACA PESCA SUR S.A. . V a IX Región (Doc.N° 140/23-12-2016)</t>
        </r>
      </text>
    </comment>
    <comment ref="F18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10"/>
            <rFont val="Tahoma"/>
            <family val="2"/>
          </rPr>
          <t xml:space="preserve">(C. Ind-Art) Cede de 2000 ton a Armadores Artesanales IV (Res N°1004/07-04-2016)
(C. Ind-Art) Cede de 2000 ton a Armadores Artesanales III REGION (RES. Ex. N° 1106/14-04-2016)
</t>
        </r>
        <r>
          <rPr>
            <b/>
            <sz val="14"/>
            <color indexed="10"/>
            <rFont val="Tahoma"/>
            <family val="2"/>
          </rPr>
          <t>(C. Ind-Art) Cede coef 0,0482742 (2000 ton) a Armadores Artesanales IV (Res N°1643/25-05-2016)</t>
        </r>
        <r>
          <rPr>
            <sz val="14"/>
            <color indexed="10"/>
            <rFont val="Tahoma"/>
            <family val="2"/>
          </rPr>
          <t xml:space="preserve">
</t>
        </r>
        <r>
          <rPr>
            <strike/>
            <sz val="14"/>
            <color indexed="10"/>
            <rFont val="Tahoma"/>
            <family val="2"/>
          </rPr>
          <t>(C. Ind-Art) Cede de 1500 ton a Armadores Artesanales IIII (Res N°1813/09-06-2016)</t>
        </r>
        <r>
          <rPr>
            <sz val="14"/>
            <color indexed="81"/>
            <rFont val="Tahoma"/>
            <family val="2"/>
          </rPr>
          <t xml:space="preserve">
(C-V) Vende 5499,998 ton a ORIZON S.A XV-II (Res N°2326/27-07-16)
 (C Ind-Art) Deja sin efecto Res N° 1813 (Res N° 3492/22-11-20169)</t>
        </r>
      </text>
    </comment>
    <comment ref="H188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la captura de la nave LIBAS, ARRENDADA A ORIZON S.A.</t>
        </r>
      </text>
    </comment>
    <comment ref="F18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Se Descuenta por Traspaso 5500 tons. a ORIZON S.A/V-IX Región (Doc.N° 108/25-07-2016)
(C-V) Se adjudica 5499,998 ton desde CORPESCA S.A XV-II (Res N°2326/27-07-16) 
</t>
        </r>
      </text>
    </comment>
    <comment ref="H18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Se imputa la captura de la nave LIBAS a CORPESCA S.A  </t>
        </r>
      </text>
    </comment>
    <comment ref="F19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Incrementa 4000 tons desde BLUMAR S.A., V-IX (cert N° 63/28.03.2016)
Cert. N° 77 de 12-05-2016; Deja sin efecto Certf. N° 63/03-05-2016 traspaso de 4000 t.
(T) Traspaso de 1000 tons a BLUMAR S.A., V-IX (cert N° 91/15-06-2016)
(T) Traspaso de 150 tons a BLUMAR S.A., V-IX (cert N° 139/23-12-2016)</t>
        </r>
      </text>
    </comment>
    <comment ref="F20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(A) Cede de  153,370 t a Camanchaca Pesca Sur V-IX (Certificado Nº 261).</t>
        </r>
      </text>
    </comment>
    <comment ref="F203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Traspaso del total 59,56 tons a FOODCORP S.A., V-IX (cert N° 118/05-10-06-2016)</t>
        </r>
      </text>
    </comment>
    <comment ref="F205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(co) cede 99,865  tons a Pesquera Litoral SpA III-IV (cert N° 141)</t>
        </r>
        <r>
          <rPr>
            <sz val="12"/>
            <color indexed="81"/>
            <rFont val="Tahoma"/>
            <family val="2"/>
          </rPr>
          <t xml:space="preserve">
Cert M° 141/ 23-12-2016 Deja sin efecto Certf. N° 138-139-140-141-142-143-144 y 145/2015, Comodatos 
[CV) VENDE 99,864 ton PESQUERA LITORAL SPA Res N° 4104/28-12-2016</t>
        </r>
      </text>
    </comment>
    <comment ref="F20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Incrementa 500,74 ton desde SOCIEDAD PESQUERA LANDES S.A., V-IX  REGIÓN (Cert 65/16)
Cert. N° 86 de 07-06-2016; Deja sin efecto Certf. N° 65 de 31-03-2016 traspaso de 500,74 t
(T) Traspasa 50,05 ton a LANDES S.A.,V A IX REGIÓN (Cert 89/10-06-2016)
(T) Traspasa 16,02 ton a LANDES S.A.,V A IX REGIÓN (Cert 123/24-10-2016)</t>
        </r>
      </text>
    </comment>
    <comment ref="F211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LOTA PROTEIN S.A.</t>
        </r>
      </text>
    </comment>
    <comment ref="F213" authorId="1">
      <text>
        <r>
          <rPr>
            <b/>
            <sz val="12"/>
            <color indexed="81"/>
            <rFont val="Calibri"/>
            <family val="2"/>
            <scheme val="minor"/>
          </rPr>
          <t>rgarcia 
(valores actualizados conforme a nueva cuota):</t>
        </r>
        <r>
          <rPr>
            <sz val="12"/>
            <color indexed="81"/>
            <rFont val="Calibri"/>
            <family val="2"/>
            <scheme val="minor"/>
          </rPr>
          <t xml:space="preserve">
(T) Incremento de </t>
        </r>
        <r>
          <rPr>
            <b/>
            <sz val="12"/>
            <color indexed="81"/>
            <rFont val="Calibri"/>
            <family val="2"/>
            <scheme val="minor"/>
          </rPr>
          <t>2999,998</t>
        </r>
        <r>
          <rPr>
            <sz val="12"/>
            <color indexed="81"/>
            <rFont val="Calibri"/>
            <family val="2"/>
            <scheme val="minor"/>
          </rPr>
          <t xml:space="preserve"> ton desde Orizon V-IX, Cert N° 37/11-03-2016
</t>
        </r>
        <r>
          <rPr>
            <strike/>
            <sz val="12"/>
            <color indexed="81"/>
            <rFont val="Calibri"/>
            <family val="2"/>
            <scheme val="minor"/>
          </rPr>
          <t>(T) Incremento de 4999,99 ton desde Orizon V-IX, Cert N° 41/15-03-2016</t>
        </r>
        <r>
          <rPr>
            <sz val="12"/>
            <color indexed="81"/>
            <rFont val="Calibri"/>
            <family val="2"/>
            <scheme val="minor"/>
          </rPr>
          <t xml:space="preserve">
(T) Incremento de 3500 t desde ORIZON SA. V-IX REGIÓN (0,0266588 coef), Cert.N° 95/23-06-2016 modifica a Cert. N° 41-16) 
(T) Cede  3000 ton a Orizon  XIV-X REGIÓN (Cert N° 72/29-04-2016).
(T) Cede 150 ton a Orizon V-IX Región (Cert N° 133/25-11-16)
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F215" authorId="1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(T) Traspasa 560 tons. a CAMANCHACA PESCA SUR . XIV - X Región (Doc.N° 94/21-06-2016)
(T) Incrementa 200 t desde  CAMANCHACA PESCA SUR  V-IX (Certificado Nº 110/10-08-2016)
(T) Incrementa 999.806 ton de Camanchaca SA. V-IX (Cert N°39)
</t>
        </r>
      </text>
    </comment>
    <comment ref="F217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(co) incremento de 99,865 tons desde Inversiones Pesqueras SpA III-IV (cert N° 141-15)</t>
        </r>
        <r>
          <rPr>
            <sz val="12"/>
            <color indexed="81"/>
            <rFont val="Tahoma"/>
            <family val="2"/>
          </rPr>
          <t xml:space="preserve">
(T) traspasa 70 ton a Pesquera Litoral Spa V-IX (Cert N°74/04-05-2016)Cert M° 141/ 23-12-2016 Deja sin efecto Certf. N° 138-139-140-141-142-143-144 y 145/2015, Comodatos 
[CV) Incrementa 99,864 ton desde INVERSIONES PESQ. SPA  (Res N° 4104/28-12-16)</t>
        </r>
      </text>
    </comment>
    <comment ref="H21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Se imputa captura de la nave</t>
        </r>
        <r>
          <rPr>
            <sz val="16"/>
            <color indexed="48"/>
            <rFont val="Tahoma"/>
            <family val="2"/>
          </rPr>
          <t xml:space="preserve"> FRANCISCO </t>
        </r>
        <r>
          <rPr>
            <sz val="16"/>
            <color indexed="81"/>
            <rFont val="Tahoma"/>
            <family val="2"/>
          </rPr>
          <t xml:space="preserve">del armador RPI INVERSIONES PESQUERAS SpA  y </t>
        </r>
        <r>
          <rPr>
            <sz val="16"/>
            <color indexed="12"/>
            <rFont val="Tahoma"/>
            <family val="2"/>
          </rPr>
          <t>JAVIER</t>
        </r>
        <r>
          <rPr>
            <sz val="16"/>
            <color indexed="81"/>
            <rFont val="Tahoma"/>
            <family val="2"/>
          </rPr>
          <t>, ARMADOR RPI CENTRO SUR SPA</t>
        </r>
      </text>
    </comment>
    <comment ref="F223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Incrementa 1530,374 t desde ISLA QUIHUA S.A. PESQ. V-IX (Certificado Nº 29/2016).Cert 101/13-07-16, modifica ARR coef a 0,0081496 (</t>
        </r>
        <r>
          <rPr>
            <b/>
            <sz val="14"/>
            <color indexed="81"/>
            <rFont val="Tahoma"/>
            <family val="2"/>
          </rPr>
          <t>1528,498 t)</t>
        </r>
        <r>
          <rPr>
            <sz val="14"/>
            <color indexed="81"/>
            <rFont val="Tahoma"/>
            <family val="2"/>
          </rPr>
          <t xml:space="preserve"> 
(ARR) Incrementa </t>
        </r>
        <r>
          <rPr>
            <b/>
            <sz val="14"/>
            <color indexed="81"/>
            <rFont val="Tahoma"/>
            <family val="2"/>
          </rPr>
          <t>553,719</t>
        </r>
        <r>
          <rPr>
            <sz val="14"/>
            <color indexed="81"/>
            <rFont val="Tahoma"/>
            <family val="2"/>
          </rPr>
          <t xml:space="preserve"> t desde SAN ANTONIO S.A. PESQ.. V-IX (Certificado Nº 30/17-02-2016).
(ARR) Incrementa </t>
        </r>
        <r>
          <rPr>
            <b/>
            <sz val="14"/>
            <color indexed="81"/>
            <rFont val="Tahoma"/>
            <family val="2"/>
          </rPr>
          <t>2588,803</t>
        </r>
        <r>
          <rPr>
            <sz val="14"/>
            <color indexed="81"/>
            <rFont val="Tahoma"/>
            <family val="2"/>
          </rPr>
          <t xml:space="preserve"> t desde MAR PROFUNDO S.A. SOC. PESQ. V-IX (Certificado Nº32/2016)
(C ART-IND) Incremento 2110 t desde ARTESANALES V Reg (Resol N°733/2016)
(C ART-IND) Incrementa 388 ton de Jurel Artesanal V de AG SAN ANTONIO" (Res N°2026/24-06-2016
(C ART-IND) Incrementa 100 ton desde ARTESANALES X (Res N°3721/09-12-2016. Modifica Res. Ex. N° 3576-2016 en unidad pesqueria)</t>
        </r>
      </text>
    </comment>
    <comment ref="E225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Cert N° 66-2013: (A) Arriendo 282,589 tons a Lota Protein S.A. V-IX 
Cert N° 35-16: Deja sin efecto Cert N° 66/13 del arriendo de 282,589 t
Res N° 602-16: (CV) Vende LTP 282,589 ton a Lota Protein V-IX </t>
        </r>
      </text>
    </comment>
    <comment ref="F227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(Ind-Art) Cede 0,0255626 (</t>
        </r>
        <r>
          <rPr>
            <b/>
            <strike/>
            <sz val="14"/>
            <color indexed="81"/>
            <rFont val="Tahoma"/>
            <family val="2"/>
          </rPr>
          <t>4794,3934</t>
        </r>
        <r>
          <rPr>
            <strike/>
            <sz val="14"/>
            <color indexed="81"/>
            <rFont val="Tahoma"/>
            <family val="2"/>
          </rPr>
          <t xml:space="preserve">) de </t>
        </r>
        <r>
          <rPr>
            <b/>
            <strike/>
            <sz val="14"/>
            <color indexed="81"/>
            <rFont val="Tahoma"/>
            <family val="2"/>
          </rPr>
          <t>5000</t>
        </r>
        <r>
          <rPr>
            <strike/>
            <sz val="14"/>
            <color indexed="81"/>
            <rFont val="Tahoma"/>
            <family val="2"/>
          </rPr>
          <t xml:space="preserve"> ton a Armadores Artesanales III (Res N°476)</t>
        </r>
        <r>
          <rPr>
            <sz val="14"/>
            <color indexed="81"/>
            <rFont val="Tahoma"/>
            <family val="2"/>
          </rPr>
          <t xml:space="preserve">
Res. N° 2778/12-09-16, modifica Res N°476 cesion Ind-Art, Cede 0,0137506 (</t>
        </r>
        <r>
          <rPr>
            <b/>
            <sz val="14"/>
            <color indexed="81"/>
            <rFont val="Tahoma"/>
            <family val="2"/>
          </rPr>
          <t>2579</t>
        </r>
        <r>
          <rPr>
            <sz val="14"/>
            <color indexed="81"/>
            <rFont val="Tahoma"/>
            <family val="2"/>
          </rPr>
          <t xml:space="preserve"> t) a Armadores Artesanales III ()
</t>
        </r>
        <r>
          <rPr>
            <strike/>
            <sz val="14"/>
            <color indexed="81"/>
            <rFont val="Tahoma"/>
            <family val="2"/>
          </rPr>
          <t>(T) Cede 4000 tons a BLUMAR S.A., III-IV (cert N° 63/28.03.2016)</t>
        </r>
        <r>
          <rPr>
            <sz val="14"/>
            <color indexed="81"/>
            <rFont val="Tahoma"/>
            <family val="2"/>
          </rPr>
          <t xml:space="preserve">
(C-V) Vende 1,87555 tons a BIO BIO S.A. PESQ.., V-IX (Res.1304-16)
(Co) Cede en comodato 1,876 tons a CONGELADOS DEL PACIFICO S.A., V-IX (cert N° 69/15-04-2016)
Cert. N° 77 de 12-05-2016; Deja sin efecto Certf. N° 63/03-05-2016 traspaso de 4000 t.
(T) Incrementa por Traspaso 2500 ton desde BLUMAR S.A., XIV-X REGIÓN (Cert 87/07-06-2016)(T)
(T) Incrementa 1000 tons desde BLUMAR S.A., III-IV (cert N° 91/15-06-2016)
(T) Incrementa 400 ton desde BLUMAR S.A.,XIV-X REGIÓN (Cert 115/28-09-2016)
(T) Incrementa 150 tons desde BLUMAR S.A., III-IV (cert N° 139/23-12-2016)
</t>
        </r>
      </text>
    </comment>
    <comment ref="F22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(A) Incremento de 149,539 t desde CAMANCHACA S.A XIV-X (Certificado Nº 259).
(A) Incremento de 522,209 t desde CAMANCHACA S.A. V-IX (Certificado Nº 260/2014).
(A) Incremento de 153,370 t desde CAMANCHACA S.A III-IV (Certificado Nº261-2014)
(A Incrementa  de 2001.077 tons. desde CAMANCHACA S.A. XV a II Región (Doc.N° 100/07-07-2016)
(T) Traspasa 200 t a CAMANCHACA PESCA SUR  III-IV (Certificado Nº 110/10-08-2016)
(T) Traspasa 150 t a CAMANCHACA PESCA SUR  XIV A X (Certificado Nº 111/10-08-2016)
(A) Incremento de 500.062 tons. desde CAMANCHACA S.A. XV a II Región (Doc.N° 124/27-10-2016)
(A) Incremento de 1099,971 tons. desde CAMANCHACA S.A. XV a II Región (Doc.N° 138/14-12-2016)
(A) Incremento de 226,209 tons. desde CAMANCHACA S.A. . XV-II Región (Doc.N° 140/23-12-2016)</t>
        </r>
      </text>
    </comment>
    <comment ref="F231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(A) Cede 522,209 t a Camanchaca Pesca Sur V-IX (certificado Nº 260/2014).</t>
        </r>
      </text>
    </comment>
    <comment ref="F233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(C_V) Vende LTP de 1041,01 t. a PESQUERA LITORAL SPA (Res N° 885/23.03.2016)</t>
        </r>
      </text>
    </comment>
    <comment ref="F23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6,318 tons a LOTA PROTEIN  V-IX (cert N° 10/2016)</t>
        </r>
      </text>
    </comment>
    <comment ref="H23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ver % de fa MC</t>
        </r>
      </text>
    </comment>
    <comment ref="F23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24,382  tons a LOTA PROTEIN  V-IX (cert N° 05/2016)</t>
        </r>
      </text>
    </comment>
    <comment ref="F23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Incrementa por Traspaso 59,56 tons desde FOODCORP S.A., III-IV (cert N° 118/05-10-06-2016)</t>
        </r>
      </text>
    </comment>
    <comment ref="H24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ver imputacion ORP</t>
        </r>
      </text>
    </comment>
    <comment ref="F241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28,321 tons a Lota Protein S.A. V-IX (cert N° 56/2013)</t>
        </r>
      </text>
    </comment>
    <comment ref="F243" authorId="2">
      <text>
        <r>
          <rPr>
            <b/>
            <sz val="16"/>
            <color indexed="81"/>
            <rFont val="Tahoma"/>
            <family val="2"/>
          </rPr>
          <t>rgarcia: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trike/>
            <sz val="16"/>
            <color indexed="81"/>
            <rFont val="Sylfaen"/>
            <family val="1"/>
          </rPr>
          <t>(co) cede 935,918 tons a Pesquera Litoral SpA V-IX (cert N° 142/2015)</t>
        </r>
        <r>
          <rPr>
            <sz val="16"/>
            <color indexed="81"/>
            <rFont val="Tahoma"/>
            <family val="2"/>
          </rPr>
          <t xml:space="preserve">
Cert M° 141/ 23-12-2016 Deja sin efecto Certf. N° 138-139-140-141-142-143-144 y 145/2015, Comodatos 
[CV) Vende 935,918 ton PESQUERA LITORAL. SPA  (Res N° 4105/28-12-16)</t>
        </r>
      </text>
    </comment>
    <comment ref="F245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arrienda 1530,374 tons a ALIMAR S.A  V-IX (cert N° 29/2016)
Cert 101/13-07-16, modifica ARR coef a 0,0081496 ( 1528,498) </t>
        </r>
      </text>
    </comment>
    <comment ref="F247" authorId="1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 ART-IND) Incrementa 2434 ton desde Artesanales X Reg (Res N°754)
(C ART-IND) Incrementa 66,8 ton Jurel Artesanal V Reg- STI "CALETA EL EMBARCADERO DE QUINTERO"(Res N°997)
</t>
        </r>
        <r>
          <rPr>
            <sz val="14"/>
            <color indexed="10"/>
            <rFont val="Tahoma"/>
            <family val="2"/>
          </rPr>
          <t>(</t>
        </r>
        <r>
          <rPr>
            <strike/>
            <sz val="14"/>
            <color indexed="10"/>
            <rFont val="Tahoma"/>
            <family val="2"/>
          </rPr>
          <t>T) Traspasa 500,74 ton a SOCIEDAD PESQUERA LANDES S.A., III A IV REGIÓN (Cert 65/16)</t>
        </r>
        <r>
          <rPr>
            <sz val="14"/>
            <color indexed="81"/>
            <rFont val="Tahoma"/>
            <family val="2"/>
          </rPr>
          <t xml:space="preserve">
Cert. N° 86 de 07-06-2016; Deja sin efecto Certf. N° 65 de 31-03-2016 traspaso de 500,74 t
(T) Incrementa por Traspaso 50,05 ton desde LANDES S.A.,III A IV REGIÓN (Cert 89/10-06-2016)
(T) Incrementa por Traspaso 120,15 ton desde LANDES S.A.,XIV-X REGIÓN (Cert 122/24-10-2016)
(T) Incrementa por Traspaso 16,02 ton desde LANDES S.A.,III-IV REGIÓN (Cert 123/24-10-2016)</t>
        </r>
      </text>
    </comment>
    <comment ref="F249" authorId="2">
      <text>
        <r>
          <rPr>
            <b/>
            <sz val="12"/>
            <color indexed="81"/>
            <rFont val="Tahoma"/>
            <family val="2"/>
          </rPr>
          <t xml:space="preserve">rgarcia (Se actualizan valores deacuerdo nueva cuota):
</t>
        </r>
        <r>
          <rPr>
            <b/>
            <strike/>
            <sz val="12"/>
            <color indexed="81"/>
            <rFont val="Tahoma"/>
            <family val="2"/>
          </rPr>
          <t>(C_V) Incrementa LTP 0,0015067 (282,589 t.) desde SOC. PESQUERA BERTA ELENA LDTA.(Res N° 602/23.02.2016)</t>
        </r>
        <r>
          <rPr>
            <sz val="12"/>
            <color indexed="81"/>
            <rFont val="Tahoma"/>
            <family val="2"/>
          </rPr>
          <t xml:space="preserve">
(Arr) Incrementa 28,321 t. desde Genmar Ltda Soc. V-IX (cert N° 56/2013).
</t>
        </r>
        <r>
          <rPr>
            <strike/>
            <sz val="12"/>
            <color indexed="81"/>
            <rFont val="Tahoma"/>
            <family val="2"/>
          </rPr>
          <t>(Arr) Incrementa 294,708 t. (282,589) desde Berta Elena Ltda. Socr Ltda Soc. V-IX</t>
        </r>
        <r>
          <rPr>
            <b/>
            <strike/>
            <sz val="12"/>
            <color indexed="81"/>
            <rFont val="Tahoma"/>
            <family val="2"/>
          </rPr>
          <t xml:space="preserve"> (cert N° 66/2013).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(Arr) Incrementa 33,516 t. desde Inostroza C. V-IX (Cert Nº 341/2014)</t>
        </r>
        <r>
          <rPr>
            <sz val="12"/>
            <color indexed="81"/>
            <rFont val="Tahoma"/>
            <family val="2"/>
          </rPr>
          <t xml:space="preserve">
(Arr) Incrementa 24,382  t. desde  Enfemar Ltda.  V-IX (cert N° 05/2016)
(Arr) Incrementa 13,898 t. desde  Nordio ltda. Soc.  V-IX (cert N° 08/2016)
(Arr) Incrementa 6,058 t. desde DA VENECIA RETAMALES ANTONIO  V-IX (cert N° 10/2016)
</t>
        </r>
        <r>
          <rPr>
            <b/>
            <sz val="12"/>
            <color indexed="81"/>
            <rFont val="Tahoma"/>
            <family val="2"/>
          </rPr>
          <t xml:space="preserve">Deja sin efecto N°66-13, arriendo de 294.708 ton (Cert N°35-16)
</t>
        </r>
        <r>
          <rPr>
            <sz val="12"/>
            <color indexed="81"/>
            <rFont val="Tahoma"/>
            <family val="2"/>
          </rPr>
          <t xml:space="preserve">
(Arr) Incrementa 1033,559 t. desde PESQUERA LITORAL SPA,  V-IX (cert N° 54/28.03.2016)
(Arr) Incrementa 1127,243 t. desde PESQUERA LITORAL SPA,  V-IX (cert N° 55/28.03.2016)
(Arr) Incrementa 1033,559 t. desde PESQUERA LITORAL SPA,  V-IX (cert N° 56/28.03.2016)
(Arr) Incrementa 1041,005 t. desde PESQUERA LITORAL SPA,  V-IX (cert N° 57/28.03.2016)
(Arr) Incrementa 940,288 t. desde PESQUERA LITORAL SPA,  V-IX (cert N° 58/28.03.2016)
</t>
        </r>
      </text>
    </comment>
    <comment ref="F25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Arrienda 2588,803 t a ALIMAR S.A. V-IX (Certificado Nº32/2016)</t>
        </r>
      </text>
    </comment>
    <comment ref="F25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14,494 tons a LOTA PROTEIN  V-IX (cert N° 08/2016)</t>
        </r>
      </text>
    </comment>
    <comment ref="F255" authorId="1">
      <text>
        <r>
          <rPr>
            <b/>
            <sz val="14"/>
            <color indexed="81"/>
            <rFont val="Tahoma"/>
            <family val="2"/>
          </rPr>
          <t xml:space="preserve">rgarcia 
</t>
        </r>
        <r>
          <rPr>
            <sz val="11"/>
            <color indexed="81"/>
            <rFont val="Tahoma"/>
            <family val="2"/>
          </rPr>
          <t xml:space="preserve">(valores actualizados conforme a cuota actual):
</t>
        </r>
        <r>
          <rPr>
            <sz val="11"/>
            <color indexed="8"/>
            <rFont val="Tahoma"/>
            <family val="2"/>
          </rPr>
          <t>(T) Cede 2999,998 ton a Orizon III-IV (Cert N°37/2016)</t>
        </r>
        <r>
          <rPr>
            <sz val="11"/>
            <color indexed="10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>(T) cede 4999,991 ton a Orizon III-Iv (Cert N°41/2016)</t>
        </r>
        <r>
          <rPr>
            <sz val="11"/>
            <color indexed="81"/>
            <rFont val="Tahoma"/>
            <family val="2"/>
          </rPr>
          <t xml:space="preserve">
(T) Cede 3500 tons. a ORIZON III-IV (Cert.N° 95/23-06-2016 que modifica Cert. N° 41-16). 
(T) Incrementa de 2000 tons. desde ORIZON S.A/XIV a X Región (Cert.N° 93/21-06-2016)
(T) Incrementa de 5500 tons. desde ORIZON S.A/XV-II Región (Cert.N° 108/25-07-2016).
(T) Incrementa de  1900 tons. desde ORIZON S.A/XIV- X Región (Doc.N° 112/12-08-2016).
(T) Incremento de 100 ton desde ORIZON S.A.XIV-X Región (Cert. N° 132-16).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(T) Incremento de 150 ton desde Orizon III-IV Regiones (Cert. N° 133-16).</t>
        </r>
        <r>
          <rPr>
            <b/>
            <sz val="11"/>
            <color indexed="81"/>
            <rFont val="Tahoma"/>
            <family val="2"/>
          </rPr>
          <t xml:space="preserve">
</t>
        </r>
      </text>
    </comment>
    <comment ref="F257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Arrienda coef 0,0029523 (553,719)  t a ALIMAR S.A. V-IX (Certificado Nº30/17-02-2016)</t>
        </r>
      </text>
    </comment>
    <comment ref="F261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(C_V) Vende LTP de 940,29 t. a PESQUERA LITORAL SPA (Res N° 886/23.03.2016)</t>
        </r>
      </text>
    </comment>
    <comment ref="F263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(C_V) Vende LTP de 1127,24 t. a PESQUERA LITORAL SPA (Res N° 888/23.03.2016)</t>
        </r>
      </text>
    </comment>
    <comment ref="F26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co)  cede 1033,559  tons a PESQ. LITORAL V-IX (cert N° 2).</t>
        </r>
      </text>
    </comment>
    <comment ref="F26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co)  cede 1033,559  tons a PESQ. LITORAL V-IX (cert N° 159/15).</t>
        </r>
      </text>
    </comment>
    <comment ref="F269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co)  cede 1033,559  tons desde Inversiones PESQ. LITORAL V-IX (cert N° 3/2016).</t>
        </r>
      </text>
    </comment>
    <comment ref="F271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co)  cede 1033,559 tons a PESQ. LITORAL V-IX (cert N° 12).</t>
        </r>
      </text>
    </comment>
    <comment ref="F273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trike/>
            <sz val="14"/>
            <color indexed="81"/>
            <rFont val="Tahoma"/>
            <family val="2"/>
          </rPr>
          <t xml:space="preserve">
(Co)  cede el total 1033,559  tons a PESQ. LITORAL V-IX (cert N° 13).</t>
        </r>
        <r>
          <rPr>
            <sz val="14"/>
            <color indexed="81"/>
            <rFont val="Tahoma"/>
            <family val="2"/>
          </rPr>
          <t xml:space="preserve">
Modifica Certifcado N° 13 de 2016 cede 1031,684 tons. a PESQUERA LITORAL SpA (Doc.N° 97/29-06-2016)
(Co) Comodato de 1.876 tons. a PAOLA POBLETE NOVOA (Doc.N° 99/01-07-2016)</t>
        </r>
      </text>
    </comment>
    <comment ref="F27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(co) cede 1033,559  tons a PESQUERA LITORAL, V-IX (cert N° 14).</t>
        </r>
        <r>
          <rPr>
            <sz val="9"/>
            <color indexed="81"/>
            <rFont val="Tahoma"/>
            <family val="2"/>
          </rPr>
          <t xml:space="preserve">
Cert N°43-16: Deja sin efecto comodatos de Cert N°, 14, 15 y 23 
(C_V) Vende LTP de 1033,559 t. a PESQUERA LITORAL SPA (Res N° 888/23.03.2016)</t>
        </r>
      </text>
    </comment>
    <comment ref="F277" authorId="2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(co) cede 1033,559  tons as a PESQUERA LITORAL, V-IX (cert N° 15).
Cert N°43-16: Deja sin efecto comodatos de Cert N°, 14, 15 y 23 
(C_V) Vende LTP de 1033,559 t. a PESQUERA LITORAL SPA (Res N° 887/23.03.2016)</t>
        </r>
      </text>
    </comment>
    <comment ref="F27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 xml:space="preserve">(co) Incrementa  </t>
        </r>
        <r>
          <rPr>
            <b/>
            <strike/>
            <sz val="14"/>
            <color indexed="81"/>
            <rFont val="Tahoma"/>
            <family val="2"/>
          </rPr>
          <t>935,918</t>
        </r>
        <r>
          <rPr>
            <strike/>
            <sz val="14"/>
            <color indexed="81"/>
            <rFont val="Tahoma"/>
            <family val="2"/>
          </rPr>
          <t xml:space="preserve"> tons desde Inversiones Pesqueras SpA V-IX (cert N° 142).</t>
        </r>
        <r>
          <rPr>
            <sz val="14"/>
            <color indexed="81"/>
            <rFont val="Tahoma"/>
            <family val="2"/>
          </rPr>
          <t xml:space="preserve">
(co) Incrementa  </t>
        </r>
        <r>
          <rPr>
            <b/>
            <sz val="14"/>
            <color indexed="81"/>
            <rFont val="Tahoma"/>
            <family val="2"/>
          </rPr>
          <t xml:space="preserve">1033,559 </t>
        </r>
        <r>
          <rPr>
            <sz val="14"/>
            <color indexed="81"/>
            <rFont val="Tahoma"/>
            <family val="2"/>
          </rPr>
          <t xml:space="preserve">tons desde Cabo Austral V-IX (cert N° 159).
(co) Incrementa  </t>
        </r>
        <r>
          <rPr>
            <b/>
            <sz val="14"/>
            <color indexed="81"/>
            <rFont val="Tahoma"/>
            <family val="2"/>
          </rPr>
          <t>1033,559</t>
        </r>
        <r>
          <rPr>
            <sz val="14"/>
            <color indexed="81"/>
            <rFont val="Tahoma"/>
            <family val="2"/>
          </rPr>
          <t xml:space="preserve"> tons desde ME INVERSIONES SPA, V-IX (cert N° 2).
(co) Incrementa  </t>
        </r>
        <r>
          <rPr>
            <b/>
            <sz val="14"/>
            <color indexed="81"/>
            <rFont val="Tahoma"/>
            <family val="2"/>
          </rPr>
          <t>1033,559</t>
        </r>
        <r>
          <rPr>
            <sz val="14"/>
            <color indexed="81"/>
            <rFont val="Tahoma"/>
            <family val="2"/>
          </rPr>
          <t xml:space="preserve"> tons desde OPERACIONES BRAGA SPA, V-IX (cert N° 3).
(co) Incrementa  </t>
        </r>
        <r>
          <rPr>
            <b/>
            <sz val="14"/>
            <color indexed="81"/>
            <rFont val="Tahoma"/>
            <family val="2"/>
          </rPr>
          <t>1033,559</t>
        </r>
        <r>
          <rPr>
            <sz val="14"/>
            <color indexed="81"/>
            <rFont val="Tahoma"/>
            <family val="2"/>
          </rPr>
          <t xml:space="preserve"> tons desde MV INVERSIONES SPA, V-IX (cert N° 12).
</t>
        </r>
        <r>
          <rPr>
            <strike/>
            <sz val="14"/>
            <color indexed="81"/>
            <rFont val="Tahoma"/>
            <family val="2"/>
          </rPr>
          <t xml:space="preserve">(co) Incrementa </t>
        </r>
        <r>
          <rPr>
            <b/>
            <strike/>
            <sz val="14"/>
            <color indexed="81"/>
            <rFont val="Tahoma"/>
            <family val="2"/>
          </rPr>
          <t xml:space="preserve"> </t>
        </r>
        <r>
          <rPr>
            <strike/>
            <sz val="14"/>
            <color indexed="81"/>
            <rFont val="Tahoma"/>
            <family val="2"/>
          </rPr>
          <t>1033,559 tons desde LM INVERSIONES SPA, V-IX (cert N° 13).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(co) Incrementa  1033,559 tons desde CE INVERSIONES SPA, V-IX (cert N° 14).
(co) Incrementa  1033,559 tons desde OPERACIONES SANSE SPA, V-IX (cert N° 15).
(co) Incrementa  1041,005 tons desde CENTRO SUR SpA PESQ., V-IX (cert N° 23)</t>
        </r>
        <r>
          <rPr>
            <sz val="14"/>
            <color indexed="81"/>
            <rFont val="Tahoma"/>
            <family val="2"/>
          </rPr>
          <t xml:space="preserve">.
Cert N°43-16: Deja sin efecto comodatos de Cert N°, 14, 15 y 23 
Cett N° 97: Resciliación Parcial Certificado N° 13 de 2016, mantiene vigencia sólo </t>
        </r>
        <r>
          <rPr>
            <b/>
            <sz val="14"/>
            <color indexed="81"/>
            <rFont val="Tahoma"/>
            <family val="2"/>
          </rPr>
          <t>1031,684</t>
        </r>
        <r>
          <rPr>
            <sz val="14"/>
            <color indexed="81"/>
            <rFont val="Tahoma"/>
            <family val="2"/>
          </rPr>
          <t xml:space="preserve"> t
(CV) Incrementa </t>
        </r>
        <r>
          <rPr>
            <b/>
            <sz val="14"/>
            <color indexed="81"/>
            <rFont val="Tahoma"/>
            <family val="2"/>
          </rPr>
          <t>1041,005</t>
        </r>
        <r>
          <rPr>
            <sz val="14"/>
            <color indexed="81"/>
            <rFont val="Tahoma"/>
            <family val="2"/>
          </rPr>
          <t xml:space="preserve"> tons desde PESQUERA CENTRO SUR SPA (Res.Ex. N° 885/23-03-2016)
(CV) Incrementa </t>
        </r>
        <r>
          <rPr>
            <b/>
            <sz val="14"/>
            <color indexed="81"/>
            <rFont val="Tahoma"/>
            <family val="2"/>
          </rPr>
          <t xml:space="preserve">940,288 </t>
        </r>
        <r>
          <rPr>
            <sz val="14"/>
            <color indexed="81"/>
            <rFont val="Tahoma"/>
            <family val="2"/>
          </rPr>
          <t xml:space="preserve">tons desde INVERSIONES SANTA VICTORIA SpA (Res.Ex. N° 886/23-03-2016)
(CV) Incrementa </t>
        </r>
        <r>
          <rPr>
            <b/>
            <sz val="14"/>
            <color indexed="81"/>
            <rFont val="Tahoma"/>
            <family val="2"/>
          </rPr>
          <t>1033,559</t>
        </r>
        <r>
          <rPr>
            <sz val="14"/>
            <color indexed="81"/>
            <rFont val="Tahoma"/>
            <family val="2"/>
          </rPr>
          <t xml:space="preserve"> tons desde OPERACIONES SANSE SpA (Res.Ex. N° 887/23-03-2016)
(CV) Incrementa </t>
        </r>
        <r>
          <rPr>
            <b/>
            <sz val="14"/>
            <color indexed="81"/>
            <rFont val="Tahoma"/>
            <family val="2"/>
          </rPr>
          <t>1127,243</t>
        </r>
        <r>
          <rPr>
            <sz val="14"/>
            <color indexed="81"/>
            <rFont val="Tahoma"/>
            <family val="2"/>
          </rPr>
          <t xml:space="preserve"> tons desde ADUSTINAS INVERSIONES SPA (Res.Ex. N° 888/23-03-2016)
(CV) Incrementa </t>
        </r>
        <r>
          <rPr>
            <b/>
            <sz val="14"/>
            <color indexed="81"/>
            <rFont val="Tahoma"/>
            <family val="2"/>
          </rPr>
          <t>1033,559</t>
        </r>
        <r>
          <rPr>
            <sz val="14"/>
            <color indexed="81"/>
            <rFont val="Tahoma"/>
            <family val="2"/>
          </rPr>
          <t xml:space="preserve"> tons desde CE INVERSIONES SpA (Res.Ex. N° 889/23-03-2016)
(Arr) Cede 1033,559 tons a LOTA PROTEIN S.A., V-IX (cert N° 54/28.03.2016)
(Arr) Cede 1127,243 tons a LOTA PROTEIN S.A., V-IX (cert N° 55/28.03.2016)
(Arr) Cede 1033,559 tons a LOTA PROTEIN S.A., V-IX (cert N° 56/28.03.2016)
(Arr) Cede 1041,005 tons a LOTA PROTEIN S.A., V-IX (cert N° 57/28.03.2016)
(Arr) Cede   940,288 tons a LOTA PROTEIN S.A., V-IX (cert N° 58/28.03.2016)
(C Art-Ind)  incrementa 247,703 t. desde ARTESANALES X REGION (Res. N° 991/05-04-2016)
(T) incrementa por traspaso de 70 t. desde PESQ. LITORAL S.A. III-IV (Cert. N° 74/04-05-2016)
Cert M° 141/ 23-12-2016 Deja sin efecto Certf. N° 138-139-140-141-142-143-144 y 145/2015, Comodatos 
[CV) Incrementa 935,918 ton desde INVERSIONES PESQ. SPA  (Res N° 4105/28-12-16)</t>
        </r>
      </text>
    </comment>
    <comment ref="H279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captura de la nave FRANCISCO y JAVIER</t>
        </r>
      </text>
    </comment>
    <comment ref="F281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(C-V) Incrementa 1,87555 tons desde BLUMAR S.A. (Res.1304-16)
(Co) Cede en comodato 1,876 tons a CONGELADOS DEL PACIFICO S.A., V-IX (cert N° 126/11-11-2016)</t>
        </r>
      </text>
    </comment>
    <comment ref="F283" authorId="2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(Co) Incrementa en comodato 1,876 tons desde BLUMAR S.A., V-IX (cert N° 69/15-04-2016)
(Co) Incrementa en comodato 1,876 tons desde BIO BIO SA., V-IX (cert N° 126/11-11-2016)</t>
        </r>
      </text>
    </comment>
    <comment ref="F28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 C) Incrementa por Comodato 1.876 tons. desde LM INVERSIONES SpA (Doc.N° 99/01-07-2016)</t>
        </r>
      </text>
    </comment>
    <comment ref="F28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33,516 a Lota Protein V-IX (Certificado Nº 341).</t>
        </r>
      </text>
    </comment>
    <comment ref="F291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 ART-IND) Incrementa 350 ton desde Artesanales X Reg (Res N°753)
(C ART-IND)  Incrementa 1300 ton desde Artesanales X Reg (Res N°755)
(Arr) Incrementa 57,797 ton desde SAN ANTONIO S.A. PESQ. XIV-X Reg (CERT 31-16)
(C ART-IND) Incrementa 130 ton de Jurel Artesanal X Reg-STI "PECERCAL", EMBARCACIÓN EUGENIO 953658 (Res N°992)
(C ART-IND) Incrementa 62 ton de Jurel Artesanal X ASOGFER AG" (Res N°1435/11-05-2016)
Res. N° 3721/12-12-2016, Modifica cesión -100 t . autorizada por Res. Ex. N° 3576-2016, Se modifica la unidad pesqueria</t>
        </r>
      </text>
    </comment>
    <comment ref="E29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Cert N° 67-13)(a) cede 24,008 tons a Lota Protein S.A. XIV-X 
Cert N° 35-16:Deja sin efecto N° 67-13, arriendo de 24,008  ton 
Res N° 599-16: (CV) Vende 24,008  ton a Lota Protein XIV-X </t>
        </r>
      </text>
    </comment>
    <comment ref="F29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(a) cede 24,072 tons a Lota Protein S.A. XIV-X (cert N° 67/2013)
Cert N°35-16:Deja sin efecto N°67-13, arriendo de 24,072 ton 
(CV) Vende 24,072 ton a Lota Protein XIV-X (Res N° 599-16)</t>
        </r>
      </text>
    </comment>
    <comment ref="F297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Cede en comodato 0,261 tons a CONGELADOS DEL PACIFICO S.A., V-IX (cert N° 127/15-11-2016)</t>
        </r>
      </text>
    </comment>
    <comment ref="F29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Cede en comodato 0,261 tons CONGELADOS DEL PACIFICO S.A., XIV-X(cert N° 69/15-04-2016)
(T) Traspasa 2500 ton a BLUMAR S.A.,V A IX REGIÓN (Cert 87/07-06-2016)
(T) Traspasa 400 ton a BLUMAR S.A.,V A IX REGIÓN (Cert 115/28-09-2016)</t>
        </r>
      </text>
    </comment>
    <comment ref="F301" authorId="1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Cede 999.806 ton a Camanchaca PS III-IV (Cert N°39)
</t>
        </r>
        <r>
          <rPr>
            <b/>
            <sz val="14"/>
            <color indexed="81"/>
            <rFont val="Tahoma"/>
            <family val="2"/>
          </rPr>
          <t xml:space="preserve">(T) Incrementa 560 tons. desde CAMANCHACA PESCA SUR S.A. III -IV (Doc.N° 94/21-06-2016). </t>
        </r>
        <r>
          <rPr>
            <sz val="14"/>
            <color indexed="81"/>
            <rFont val="Tahoma"/>
            <family val="2"/>
          </rPr>
          <t xml:space="preserve">
(T) Incrementa 150 t desde CAMANCHACA PESCA SUR V-IX (Certificado Nº 111/10-08-2016)
Hay diferenciaas, el Doc.N° 94/21-06-2016, no se encuentra registrado en el Registro LTP de SSP</t>
        </r>
      </text>
    </comment>
    <comment ref="F30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149,139 t a Camanchaca Pesca Sur V-IX (Certificado Nº 259/2014).</t>
        </r>
      </text>
    </comment>
    <comment ref="F305" authorId="2">
      <text>
        <r>
          <rPr>
            <b/>
            <sz val="12"/>
            <color indexed="81"/>
            <rFont val="Tahoma"/>
            <family val="2"/>
          </rPr>
          <t xml:space="preserve">rgarcia:
</t>
        </r>
        <r>
          <rPr>
            <sz val="12"/>
            <color indexed="81"/>
            <rFont val="Tahoma"/>
            <family val="2"/>
          </rPr>
          <t>Cert N°43-16: Deja sin efecto Cert N° 4, comodato de 476,985 ton a Pesquera lLitoral Spa.
(C_V) Vende LTP de 476,99 t. a PESQUERA LITORAL SPA (Res N° 892/23.03.2016)</t>
        </r>
      </text>
    </comment>
    <comment ref="F30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2,275 tons a LOTA PROTEIN  XIV-X (cert N° 11/2016)</t>
        </r>
      </text>
    </comment>
    <comment ref="F309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6,778 tons a LOTA PROTEIN  XIV-X (cert N° 16/2016</t>
        </r>
      </text>
    </comment>
    <comment ref="E31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7,365 tons a Lota Protein S.A. XIV-X (cert N° 57/2013)</t>
        </r>
      </text>
    </comment>
    <comment ref="F31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7,365 tons a Lota Protein S.A. XIV-X (cert N° 57/2013)</t>
        </r>
      </text>
    </comment>
    <comment ref="E31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7,828 t a Lota Protein XIV-X (Certificado Nº 340/2014).</t>
        </r>
      </text>
    </comment>
    <comment ref="F31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7,828 t a Lota Protein XIV-X (Certificado Nº 340/2014).</t>
        </r>
      </text>
    </comment>
    <comment ref="F317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(co) cede 133,584 tons a Pesquera Litoral SpA XIV-X (cert N° 143)
Cert M° 141/ 23-12-2016 Deja sin efecto Certf. N° 138-139-140-141-142-143-144 y 145/2015, Comodatos 
</t>
        </r>
      </text>
    </comment>
    <comment ref="F319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(T) Traspasa 120,15 ton a SOCIEDAD PESQUERA LANDES S.A., XIV-X REGIÓN (Cert 122/24-10-16)
</t>
        </r>
      </text>
    </comment>
    <comment ref="E32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(CV) Se incorpora LTP de 25.206 ton desde Berla Elena XIV-X (Res N° 599-16)</t>
        </r>
      </text>
    </comment>
    <comment ref="F32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incrementa 7,365 t. desde Genmar Ltda.Soc. XIV-X (cert N° 57/2013)
(</t>
        </r>
        <r>
          <rPr>
            <strike/>
            <sz val="12"/>
            <color indexed="81"/>
            <rFont val="Tahoma"/>
            <family val="2"/>
          </rPr>
          <t>Arr) incrementa 24,008 t. desde Berta Elene Ltda.S.A.. XIV-X (cert N° 67/2013).</t>
        </r>
        <r>
          <rPr>
            <sz val="12"/>
            <color indexed="81"/>
            <rFont val="Tahoma"/>
            <family val="2"/>
          </rPr>
          <t xml:space="preserve">
(Arr) Incrementa 7,828 t. desde Inostroza C. XIV-X (Certificado Nº 340).
(Arr) Incremanta 5,276 t. desde Nordio ltda.Soc.  XIV-X (cert N° 09/2016)
(Arr) Incremanta 2,275 t. desde Da Venecia Retamales XIV-X (cert N° 11/2016)
(Arr) Incrementa 6,778 t. desde Soc. Pesq. Enfermar XIV-X (cert N° 16/2016)
Cert N°35-16:Deja sin efecto N° 67-13, arriendo de 24,072 ton 
(Arr) Incrementa 134,630 t. desde PESQUERA LITORAL SPA,  XIV-X (cert N° 59/28.03.2016)
(Arr) Incrementa 476,985 t. desde PESQUERA LITORAL SPA,  XIV-X (cert N° 60/28.03.2016)
(Arr) Incrementa 476,985 t. desde PESQUERA LITORAL SPA,  XIV-X (cert N° 61/28.03.2016)
(Arr) Incrementa 173,977 t. desde PESQUERA LITORAL SPA,  XIV-X (cert N° 62/28.03.2016)</t>
        </r>
      </text>
    </comment>
    <comment ref="E32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5,2090 tons a LOTA PROTEIN  XIV-X (cert N° 09/2016)</t>
        </r>
      </text>
    </comment>
    <comment ref="F32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5,2090 tons a LOTA PROTEIN  XIV-X (cert N° 09/2016)</t>
        </r>
      </text>
    </comment>
    <comment ref="F32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(T) Incrementa de 3000 ton desde Orizon III-IV (Cert N°72/2016)
(T) Cede por Traspaso de 2000 tons. a ORIZON S.A / V a IX Región (Cert.N° 93/21-06-2016)
(T) Cede por Traspaso 1900 tons. a ORIZON S.A/V-IX Región (Cert.N° 112/12-08-2016).
(T) Cede por Traspaso 100 tons. a ORIZON S.A. V-IX (Cert. N° 132-16).
(C ART-IND) Incrementa  35 ton desde ARTESANALES (Res N°3668/09-12-2016)</t>
        </r>
      </text>
    </comment>
    <comment ref="F327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Cede 57,797 ton a ALIMENTOS MARINIOS S.A. XIV-X Reg (CERT 31-16)</t>
        </r>
      </text>
    </comment>
    <comment ref="E331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(C_V) Vende LTP de 173,98 t. a PESQUERA LITORAL SPA (Res N° 893/23.03.2016)</t>
        </r>
      </text>
    </comment>
    <comment ref="F331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(co) cede 173,997 tons a Pesquera Litoral SpA XIV-X (cert N° 158)</t>
        </r>
        <r>
          <rPr>
            <sz val="12"/>
            <color indexed="81"/>
            <rFont val="Tahoma"/>
            <family val="2"/>
          </rPr>
          <t xml:space="preserve">
Cert N°43-16:Deja sin efecto Cert N° 158, comodato  
</t>
        </r>
      </text>
    </comment>
    <comment ref="F333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Cert N°43-16: Deja sin efecto Cert N° 4, comodato de 476,985 ton a Pesquera lLitoral Spa. 
(C_V) Vende LTP de 476,99 t. a PESQUERA LITORAL SPA (Res N° 891/23.03.2016)</t>
        </r>
      </text>
    </comment>
    <comment ref="F335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(C_V) Vende LTP de 134,63 t. a PESQUERA LITORAL SPA (Res N° 890/23.03.2016)</t>
        </r>
      </text>
    </comment>
    <comment ref="F337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Incrementa en comodato 0,261 tons desde BLUMAR S.A., XIV-X (cert N° 68/15-04-2016)
(Co) Incrementa en comodato 0,261 tons desde BIO BIO S.A. PESQ., XIV-X (cert N° 127/15-11-2016)</t>
        </r>
      </text>
    </comment>
    <comment ref="F33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incrementa </t>
        </r>
        <r>
          <rPr>
            <b/>
            <sz val="14"/>
            <color indexed="81"/>
            <rFont val="Tahoma"/>
            <family val="2"/>
          </rPr>
          <t>133,583</t>
        </r>
        <r>
          <rPr>
            <sz val="14"/>
            <color indexed="81"/>
            <rFont val="Tahoma"/>
            <family val="2"/>
          </rPr>
          <t xml:space="preserve"> tons desde Inversiones Pesqueras SpA XIV-X (cert N° 143)
(Co)</t>
        </r>
        <r>
          <rPr>
            <strike/>
            <sz val="14"/>
            <color indexed="81"/>
            <rFont val="Tahoma"/>
            <family val="2"/>
          </rPr>
          <t xml:space="preserve"> incrementa 173,977 tons desde Inversiones Delta SpA XIV-X (cert N° 158)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(Co) incrementa 476,985 tons desde INVERSIONES GARO SPA XIV-X (cert N° 4-2016)
(Co) incrementa 476,985 tons desde CENTRO SUR SpA PESQ. XIV-X (cert N° 24-2016)</t>
        </r>
        <r>
          <rPr>
            <sz val="14"/>
            <color indexed="81"/>
            <rFont val="Tahoma"/>
            <family val="2"/>
          </rPr>
          <t xml:space="preserve">
Cert N° 43-16: Deja sin efecto comodatos de Certificados N° 158, 4 y 24
(CV) Incrementa </t>
        </r>
        <r>
          <rPr>
            <b/>
            <sz val="14"/>
            <color indexed="81"/>
            <rFont val="Tahoma"/>
            <family val="2"/>
          </rPr>
          <t>134,630</t>
        </r>
        <r>
          <rPr>
            <sz val="14"/>
            <color indexed="81"/>
            <rFont val="Tahoma"/>
            <family val="2"/>
          </rPr>
          <t xml:space="preserve"> tons desde INVERSIONES PROGRESO SpA XIV-X (Res.Ex. N° 890/23-03-2016)
(CV) Incrementa </t>
        </r>
        <r>
          <rPr>
            <b/>
            <sz val="14"/>
            <color indexed="81"/>
            <rFont val="Tahoma"/>
            <family val="2"/>
          </rPr>
          <t>476,985</t>
        </r>
        <r>
          <rPr>
            <sz val="14"/>
            <color indexed="81"/>
            <rFont val="Tahoma"/>
            <family val="2"/>
          </rPr>
          <t xml:space="preserve"> tons desde INVERSIONES GARO SPA XIV-X (Res.Ex. N° 891/23-03-2016)
(CV) Incrementa </t>
        </r>
        <r>
          <rPr>
            <b/>
            <sz val="14"/>
            <color indexed="81"/>
            <rFont val="Tahoma"/>
            <family val="2"/>
          </rPr>
          <t>476,985</t>
        </r>
        <r>
          <rPr>
            <sz val="14"/>
            <color indexed="81"/>
            <rFont val="Tahoma"/>
            <family val="2"/>
          </rPr>
          <t xml:space="preserve"> tons desde CENTRO SUR SpA PESQ. XIV-X (Res.Ex. N° 892/23-03-2016)
(CV) Incrementa </t>
        </r>
        <r>
          <rPr>
            <b/>
            <sz val="14"/>
            <color indexed="81"/>
            <rFont val="Tahoma"/>
            <family val="2"/>
          </rPr>
          <t>173,977</t>
        </r>
        <r>
          <rPr>
            <sz val="14"/>
            <color indexed="81"/>
            <rFont val="Tahoma"/>
            <family val="2"/>
          </rPr>
          <t xml:space="preserve"> tons desde INVERSIONES DELTA SpA XIV-X (Res.Ex. N° 893/23-03-2016)
(Arr) Cede 134,630 tons a LOTA PROTEIN S.A., XIV-X (cert N° 59/28.03.2016)
(Arr) Cede 476,985 tons a LOTA PROTEIN S.A., XIV-X (cert N° 60/28.03.2016)
(Arr) Cede 476,985 tons a LOTA PROTEIN S.A., XIV-X (cert N° 61/28.03.2016)
(Arr) Cede 173,977 tons a LOTA PROTEIN S.A., XIV-X (cert N° 62/28.03.2016)
(C ART-IND) Incrementa </t>
        </r>
        <r>
          <rPr>
            <b/>
            <sz val="14"/>
            <color indexed="81"/>
            <rFont val="Tahoma"/>
            <family val="2"/>
          </rPr>
          <t>247,703</t>
        </r>
        <r>
          <rPr>
            <sz val="14"/>
            <color indexed="81"/>
            <rFont val="Tahoma"/>
            <family val="2"/>
          </rPr>
          <t xml:space="preserve"> t. de Jurel Artesanal V Region, STI "PECERCAL" (R.Ex.N° 991/05-04-16)Cert 
Cert N° 141/ 23-12-2016 Deja sin efecto Certf. N° 138-139-140-141-142-143-144 y 145/2015, Comodatos </t>
        </r>
      </text>
    </comment>
    <comment ref="F353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(CV) Incrementa 143,601 ton desde BLUMAR S.A.(Res N° 1897/15-06-16)</t>
        </r>
      </text>
    </comment>
    <comment ref="F35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cede 1,023 tons a LANDES S.A III-IV (cert N° 44/21.03.16)
(C-V) Vende 1,024 tons a LANDES S.A III-IV (Res.Ex.N° 1471-16)
Certificado N° 75 Deja sin efecto Certf. N° 44-2016
(C-V) vende 143,601 tons a PESQUERA BAHIA CALDERA S.A. (Res.Ex.N° 1897/15-06-16)</t>
        </r>
      </text>
    </comment>
    <comment ref="F359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(co) cede 1,7364375 tons a Pesquera Litoral SpA III-IV (cert N° 138)</t>
        </r>
        <r>
          <rPr>
            <sz val="14"/>
            <color indexed="81"/>
            <rFont val="Tahoma"/>
            <family val="2"/>
          </rPr>
          <t xml:space="preserve">
Cert M° 141/ 23-12-2016 Deja sin efecto Certf. N° 138-139-140-141-142-143-144 y 145/2015, Comodatos 
[CV) Vende 1,736 ton a PESQUERA LITORAL. SPA  (Res N° 4101/28-12-16)</t>
        </r>
      </text>
    </comment>
    <comment ref="F361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 IND-ART) Res. 2405/08-08.2016 autoriza Cesion de 100 t, a ARMADORES ARTESANALES IV REGION </t>
        </r>
      </text>
    </comment>
    <comment ref="F365" authorId="2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trike/>
            <sz val="11"/>
            <color indexed="81"/>
            <rFont val="Tahoma"/>
            <family val="2"/>
          </rPr>
          <t>(co) cede 1,7364375 tons a Pesquera Litoral SpA III-IV (cert N° 138)</t>
        </r>
        <r>
          <rPr>
            <sz val="11"/>
            <color indexed="81"/>
            <rFont val="Tahoma"/>
            <family val="2"/>
          </rPr>
          <t xml:space="preserve">
Cert M° 141/ 23-12-2016 Deja sin efecto Certf. N° 138-139-140-141-142-143-144 y 145/2015, Comodatos 
[CV) Incrementa 1,736  ton desde INVERSIONES PESQ. SPA  (Res N° 4101/28-12-16)</t>
        </r>
      </text>
    </comment>
    <comment ref="F367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1,023 tons desde BLUMAR S.A. III-IV (cert N° 44/21.03.16)
(C-V) Incrementa 1,024 tons desde BLUMAR S.A III-IV (Res.Ex.N° 1471-16
Certificado n° 75 Deja sin efecto Certf. N° 44-2016</t>
        </r>
      </text>
    </comment>
  </commentList>
</comments>
</file>

<file path=xl/comments3.xml><?xml version="1.0" encoding="utf-8"?>
<comments xmlns="http://schemas.openxmlformats.org/spreadsheetml/2006/main">
  <authors>
    <author>rgarcia</author>
    <author>mmendoza</author>
    <author>dcatalan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(D) Descuento por Exceso 2013 de 33,39 t. (Resol. N° 1837 de 10.06.16)
</t>
        </r>
        <r>
          <rPr>
            <strike/>
            <sz val="14"/>
            <color indexed="81"/>
            <rFont val="Tahoma"/>
            <family val="2"/>
          </rPr>
          <t xml:space="preserve">(CV) Vende LTP de 23,728 t. a PESCA CISNE S.A. Res. Ex. N° 3202/21-10-16 </t>
        </r>
        <r>
          <rPr>
            <sz val="14"/>
            <color indexed="81"/>
            <rFont val="Tahoma"/>
            <family val="2"/>
          </rPr>
          <t xml:space="preserve">
(CV) Incrementa LTP de 60,001 t. desde PESQUERA SUR AUSTRAL S.A. Res. Ex. N° 3235/27-10-16.
Res. Ex. N° 3478/18-11-2016 Acoge Recurso de Reposición y deja sin efecto Res. Ex. N° 3202 y 3203 por error en las parte vendedora y compradora
(CV) Incrementa  de 23,728 t. desde  PESCA CISNE S.A. Res. Ex. N° 3479/18-11-16</t>
        </r>
      </text>
    </comment>
    <comment ref="F13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Permuta de 0,042 tons. a ALIMENTOS MARINOS S.A. (Doc.N° 1992/22-06-2016)
</t>
        </r>
        <r>
          <rPr>
            <strike/>
            <sz val="14"/>
            <color indexed="81"/>
            <rFont val="Tahoma"/>
            <family val="2"/>
          </rPr>
          <t>(C-V) Incrementa  de 23,728 t. desde DERIS S.A.. Res. Ex. N° 3202/21-10-16</t>
        </r>
        <r>
          <rPr>
            <sz val="14"/>
            <color indexed="81"/>
            <rFont val="Tahoma"/>
            <family val="2"/>
          </rPr>
          <t xml:space="preserve">
Res. Ex. N° 3478/18-11-2016 Acoge Recurso de Reposición y deja sin efecto Res. Ex. N° 3202 y 3203 por error en las parte vendedora y compradora
(C-V) Vende LTP de 23,728 t. a DERIS S.A.. Res. Ex. N° 3479/18-11-16
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(C-V) Vende LTP de 60,001 t. a DERIS S.A.. Res. Ex. N° 3235/27-10-16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Incre,enta por Permuta de 0,042 tons.de Pesca Cisne SA (Doc.N° 1992/22-06-2016)</t>
        </r>
      </text>
    </comment>
    <comment ref="L20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DESCUENTO SANCION Y PERMUTA DE 0,042</t>
        </r>
      </text>
    </comment>
    <comment ref="F25" authorId="1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(CV) Venta de 23,7 ton a Pesca Cisne S.A. (Res N° 3200-16)</t>
        </r>
      </text>
    </comment>
    <comment ref="F27" authorId="1">
      <text>
        <r>
          <rPr>
            <b/>
            <sz val="12"/>
            <color indexed="81"/>
            <rFont val="Tahoma"/>
            <family val="2"/>
          </rPr>
          <t>mmendoza:</t>
        </r>
        <r>
          <rPr>
            <sz val="12"/>
            <color indexed="81"/>
            <rFont val="Tahoma"/>
            <family val="2"/>
          </rPr>
          <t xml:space="preserve">
(CV) Incremento de 23,7 t desde DERIS S.A. (Res N° 3200).</t>
        </r>
      </text>
    </comment>
    <comment ref="F33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(C. Art-Ind) Incremento de 70,83 ton desde Artesanales RAE XI (Res N°405).</t>
        </r>
        <r>
          <rPr>
            <sz val="12"/>
            <color indexed="81"/>
            <rFont val="Tahoma"/>
            <family val="2"/>
          </rPr>
          <t xml:space="preserve">
(C. Art-Ind) Incremento de </t>
        </r>
        <r>
          <rPr>
            <b/>
            <sz val="12"/>
            <color indexed="81"/>
            <rFont val="Tahoma"/>
            <family val="2"/>
          </rPr>
          <t>134,435</t>
        </r>
        <r>
          <rPr>
            <sz val="12"/>
            <color indexed="81"/>
            <rFont val="Tahoma"/>
            <family val="2"/>
          </rPr>
          <t xml:space="preserve"> ton desde Artesanales RAE XI (Res N°477).
(C. Art-Ind) Incremento de </t>
        </r>
        <r>
          <rPr>
            <b/>
            <sz val="12"/>
            <color indexed="81"/>
            <rFont val="Tahoma"/>
            <family val="2"/>
          </rPr>
          <t>55.338</t>
        </r>
        <r>
          <rPr>
            <sz val="12"/>
            <color indexed="81"/>
            <rFont val="Tahoma"/>
            <family val="2"/>
          </rPr>
          <t xml:space="preserve"> ton desde Artesanales XI (Res N°589)
(Arr) Cede </t>
        </r>
        <r>
          <rPr>
            <b/>
            <sz val="12"/>
            <color indexed="81"/>
            <rFont val="Tahoma"/>
            <family val="2"/>
          </rPr>
          <t>500</t>
        </r>
        <r>
          <rPr>
            <sz val="12"/>
            <color indexed="81"/>
            <rFont val="Tahoma"/>
            <family val="2"/>
          </rPr>
          <t xml:space="preserve"> t. a EMDEPES MERLUZA 47° al 57° LS (Cert 52/23.03.16)
R.Ex.N° 721: MODIFICA R.Ex 405-2016, modifica las tons a </t>
        </r>
        <r>
          <rPr>
            <b/>
            <sz val="12"/>
            <color indexed="81"/>
            <rFont val="Tahoma"/>
            <family val="2"/>
          </rPr>
          <t>73,003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(T) Descuento por traspaso 500 t. desde EMDEPES MERLUZA 41°28,6 al 47° LS (Cert 52/23.03.16)</t>
        </r>
        <r>
          <rPr>
            <sz val="12"/>
            <color indexed="81"/>
            <rFont val="Tahoma"/>
            <family val="2"/>
          </rPr>
          <t xml:space="preserve">
Res. Ex. N° 66 rectifica Certificado N°52/23-03-2016;  en el sentido de que corresponde a TRASPASO de </t>
        </r>
        <r>
          <rPr>
            <b/>
            <sz val="12"/>
            <color indexed="81"/>
            <rFont val="Tahoma"/>
            <family val="2"/>
          </rPr>
          <t>500</t>
        </r>
        <r>
          <rPr>
            <sz val="12"/>
            <color indexed="81"/>
            <rFont val="Tahoma"/>
            <family val="2"/>
          </rPr>
          <t xml:space="preserve"> tons MERLUZA DEL SUR, PARALELO 47° L.S. AL 57° L.S
(C. Art-Ind) Incrementa </t>
        </r>
        <r>
          <rPr>
            <b/>
            <sz val="12"/>
            <color indexed="81"/>
            <rFont val="Tahoma"/>
            <family val="2"/>
          </rPr>
          <t>5,6</t>
        </r>
        <r>
          <rPr>
            <sz val="12"/>
            <color indexed="81"/>
            <rFont val="Tahoma"/>
            <family val="2"/>
          </rPr>
          <t xml:space="preserve"> ton desde Artesanales XII (Res N°1879/14-06-2016). 
(T)  Incrementa por Traspaso </t>
        </r>
        <r>
          <rPr>
            <b/>
            <sz val="12"/>
            <color indexed="81"/>
            <rFont val="Tahoma"/>
            <family val="2"/>
          </rPr>
          <t>140</t>
        </r>
        <r>
          <rPr>
            <sz val="12"/>
            <color indexed="81"/>
            <rFont val="Tahoma"/>
            <family val="2"/>
          </rPr>
          <t xml:space="preserve"> tons. desde ENDEPES 47°-57 LS (Doc.N° 113/22-08-2016)
</t>
        </r>
        <r>
          <rPr>
            <strike/>
            <sz val="12"/>
            <color indexed="81"/>
            <rFont val="Tahoma"/>
            <family val="2"/>
          </rPr>
          <t xml:space="preserve">(C ART-IND) Res. Ex. N° 3245/28-10-2016 Autoriza cesión </t>
        </r>
        <r>
          <rPr>
            <b/>
            <strike/>
            <sz val="12"/>
            <color indexed="81"/>
            <rFont val="Tahoma"/>
            <family val="2"/>
          </rPr>
          <t>25,897</t>
        </r>
        <r>
          <rPr>
            <strike/>
            <sz val="12"/>
            <color indexed="81"/>
            <rFont val="Tahoma"/>
            <family val="2"/>
          </rPr>
          <t xml:space="preserve"> t, desde Artesanales XI Región</t>
        </r>
        <r>
          <rPr>
            <sz val="12"/>
            <color indexed="81"/>
            <rFont val="Tahoma"/>
            <family val="2"/>
          </rPr>
          <t xml:space="preserve"> (Modificada por Res. Ex. N° </t>
        </r>
        <r>
          <rPr>
            <b/>
            <sz val="12"/>
            <color indexed="81"/>
            <rFont val="Tahoma"/>
            <family val="2"/>
          </rPr>
          <t>3653/07-12-2016, en la Unidad de pesquería)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>(C ART-IND) Res. Ex. N° 3367/10-11-2016 Autoriza cesión 5,008 t, desde Artesanales XI Región</t>
        </r>
        <r>
          <rPr>
            <sz val="12"/>
            <color indexed="81"/>
            <rFont val="Tahoma"/>
            <family val="2"/>
          </rPr>
          <t xml:space="preserve"> (Modificada por Res. Ex. N° 3653-/07-12-2016, en la Unidad de pesquería)
</t>
        </r>
        <r>
          <rPr>
            <strike/>
            <sz val="12"/>
            <color indexed="81"/>
            <rFont val="Tahoma"/>
            <family val="2"/>
          </rPr>
          <t>(C ART-IND) Res. Ex N° 3470/2016 Autoriza cesion de 55,613 ton desde artesanales XII Región.</t>
        </r>
        <r>
          <rPr>
            <sz val="12"/>
            <color indexed="81"/>
            <rFont val="Tahoma"/>
            <family val="2"/>
          </rPr>
          <t xml:space="preserve">  (Modificada por Res. Ex. N° 3654-2016, en la Unidad de pesquería)</t>
        </r>
        <r>
          <rPr>
            <strike/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F35" authorId="1">
      <text>
        <r>
          <rPr>
            <b/>
            <sz val="10"/>
            <color indexed="81"/>
            <rFont val="Tahoma"/>
            <family val="2"/>
          </rPr>
          <t>rgarcia:</t>
        </r>
        <r>
          <rPr>
            <sz val="10"/>
            <color indexed="81"/>
            <rFont val="Tahoma"/>
            <family val="2"/>
          </rPr>
          <t xml:space="preserve">
(</t>
        </r>
        <r>
          <rPr>
            <strike/>
            <sz val="10"/>
            <color indexed="81"/>
            <rFont val="Tahoma"/>
            <family val="2"/>
          </rPr>
          <t xml:space="preserve">C. Art-Ind) Incrementa 138,013 ton desde Artesanales XI (Res N°57). 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trike/>
            <sz val="10"/>
            <color indexed="81"/>
            <rFont val="Tahoma"/>
            <family val="2"/>
          </rPr>
          <t>(C. Art-Ind) Incrementa 130,003 ton desde Artesanales XI (Res N°232).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trike/>
            <sz val="10"/>
            <color indexed="81"/>
            <rFont val="Tahoma"/>
            <family val="2"/>
          </rPr>
          <t>(C. Art-Ind) Incrementa 878,885 ton desde Artesanales XI (Res N°243).
(C. Art-Ind) Incrementa 54,654 ton desde Artesanales XI (Res N°311).</t>
        </r>
        <r>
          <rPr>
            <sz val="10"/>
            <color indexed="81"/>
            <rFont val="Tahoma"/>
            <family val="2"/>
          </rPr>
          <t xml:space="preserve">
(C. Art-Ind) Incrementa 11,815 ton desde Artesanales XI (Res N°478).
</t>
        </r>
        <r>
          <rPr>
            <strike/>
            <sz val="10"/>
            <color indexed="81"/>
            <rFont val="Tahoma"/>
            <family val="2"/>
          </rPr>
          <t xml:space="preserve">Res. EX. N° 698: MODIFICA R.Ex 232-2016, EN EL SENTIDO DE LAS TONELADAS CESIONADAS A 134,280 </t>
        </r>
        <r>
          <rPr>
            <sz val="10"/>
            <color indexed="81"/>
            <rFont val="Tahoma"/>
            <family val="2"/>
          </rPr>
          <t xml:space="preserve">
Res. Ex. N° 700: MODIFICA R.Ex 311-2016, EN EL SENTIDO DE LAS TONELADAS CESIONADAS A 58,764
</t>
        </r>
        <r>
          <rPr>
            <strike/>
            <sz val="10"/>
            <color indexed="81"/>
            <rFont val="Tahoma"/>
            <family val="2"/>
          </rPr>
          <t>Res. Ex. N° 715: MODIFICA R.Ex 243-2016,, EN EL SENTIDO DE LAS TONELADAS CESIONADAS A 931,233
Res. Ex. N° 988: MODIFICA R.Ex 232-2016, EN EL SENTIDO DE LAS TONELADAS CESIONADAS A 141,831
Res. Ex. N° 1299: MODIFICA R.Ex 232-2016, EN EL SENTIDO DE LAS TONELADAS CESIONADAS A 145,117</t>
        </r>
        <r>
          <rPr>
            <sz val="10"/>
            <color indexed="81"/>
            <rFont val="Tahoma"/>
            <family val="2"/>
          </rPr>
          <t xml:space="preserve">
Res. Ex. N° 1442: MODIFICA R.Ex 232 - Mod Res. N°1299-2016, INCORPORA CEDENTES Y AUMENTO DE TON CEDIDAS A 163,676
</t>
        </r>
        <r>
          <rPr>
            <strike/>
            <sz val="10"/>
            <color indexed="81"/>
            <rFont val="Tahoma"/>
            <family val="2"/>
          </rPr>
          <t>Res. Ex. N° 1606: MODIFICA R.Ex 243 - Mod Res. N°715-2016, INCORPORA CEDENTES Y AUMENTO DE TON CEDIDAS A 936,025</t>
        </r>
        <r>
          <rPr>
            <sz val="10"/>
            <color indexed="81"/>
            <rFont val="Tahoma"/>
            <family val="2"/>
          </rPr>
          <t xml:space="preserve">
Res. Ex. N° 1607: MODIFICA R.Ex 57 - INCORPORA CEDENTES Y AUMENTO DE TON CEDIDAS A 140,465
Res. Ex. N° 1881: MODIFICA R.Ex 243 -  Mod Res. N°715 Y 1606/2016,INCORPORA CEDENTES Y AUMENTO DE TON CEDIDAS A 946,461
(C. Art-Ind) Incrementa 79,924 ton desde Artesanales XI (Res N°3220/25-10-2016).
(C ART-IND) Res. Ex. N° 3220/25-10-2016 Autoriza cesión 370 t, desde Artesanales XI Región
(C ART-IND) Res. Ex. N° 3368/10-11-2016 Autoriza cesión 10,430 t, desde Artesanales XI Región
(C ART-IND) Res. Ex. N° 3763/114-12-16 Autoriza cesión 8,737 t, desde Artesanales XI Región
</t>
        </r>
      </text>
    </comment>
    <comment ref="F37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(PP Permuta de 0.1969 tons. a ALIMENTOS MARINOS S.A. (Doc.N° 1990/22-06-2016)
Incorporado en las asignaciones de la nueva cuota)
(T) Traspasa 128 t. a  PESCA CISNE S.A. del 47° AL 57° LS/CERT.N° 135/30-11-2016
</t>
        </r>
      </text>
    </comment>
    <comment ref="F39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(C. Art-Ind) Incremento de 64,108, ton desde Artesanales XI (Res N°284)
(C. Art-Ind) Incremento de 18,6, ton desde Artesanales XI (Res N°310)
(C. Art-Ind) Incremento de 71,024, ton desde Artesanales XI (Res N°403)
(C. Art-Ind) Incremento de 6.667 ton desde Artesanales XI (Res N°696)
(C. Art-Ind) Incremento de 7.506 ton desde Artesanales XI (Res N°720)
</t>
        </r>
        <r>
          <rPr>
            <strike/>
            <sz val="12"/>
            <color indexed="81"/>
            <rFont val="Tahoma"/>
            <family val="2"/>
          </rPr>
          <t>(C-V) vende LTP de 0,158 t. a Pes.BIO BIO S.A. Res. Ex. N° 2594/25-08-16 (</t>
        </r>
        <r>
          <rPr>
            <sz val="12"/>
            <color indexed="81"/>
            <rFont val="Tahoma"/>
            <family val="2"/>
          </rPr>
          <t>incorporado en asignacion cuota)
(C Ind-Art) Res. Ex. N° 3539/28-11-16 cede 100 t, a Artesanales X Región
(C-V) Vende LTP de 21 t. a DERIS S.A. Res. Ex. N° 3992/23-12-16
(T) Incremento por Traspaso de 11 tons. desde SUR AUSTRAL. SE (Cert. 143/30-12-2016)</t>
        </r>
      </text>
    </comment>
    <comment ref="F41" authorId="0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(T)  Incrementa por Traspaso 700 tons. desde DERIS SA  SE  (Cert. N° 119/05-10-2016)
(T) Incrementa por Traspaso 138 tons. desde DERIS SA  SE ( Cert. N° 125/09-11-2016)
(T) Incrementa por Traspaso 130 tons. desde DERIS SA  SE (Cert. N° 129/16-11-2016).
(T) Incremento por Traspaso de 90 tons. desde DERIS S.A. SE (Cert. 131-16)
(C Ind-Art) Res. Ex. N° 3539/28-11-16 cede 100 t, a Artesanales X Región
(C-V) Compra LTP de 21  t. a SUR AUSTRALS.A. Res. Ex. N° 3992/23-12-16
(T) Cede 21 tons. a DERIS S.A.SE (Cert. N° 142/23-12-2016)</t>
        </r>
      </text>
    </comment>
    <comment ref="F43" authorId="0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(Co) incrementa por comodato 0.17252 ton desde  Bio Bio S.A. Pesq (Cert N°117/)04-10-2016
</t>
        </r>
      </text>
    </comment>
    <comment ref="F47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81"/>
            <rFont val="Tahoma"/>
            <family val="2"/>
          </rPr>
          <t xml:space="preserve">(C-V) Incrementa LTP  0,158 t. desde  Pes.SUR AUSTRAL S.A. Res. Ex. N° 2594/25-08-16 </t>
        </r>
        <r>
          <rPr>
            <sz val="12"/>
            <color indexed="81"/>
            <rFont val="Tahoma"/>
            <family val="2"/>
          </rPr>
          <t>(Incorporado en las asignaciones de la nueva cuota)
(Co) Cede 0.17252 ton a Congelados Pacifico (Cert N°117/)04-10-2016</t>
        </r>
      </text>
    </comment>
    <comment ref="F51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(C. Art-Ind) Incremento de 189,299 ton desde Artesanales XI (Res N°233)</t>
        </r>
        <r>
          <rPr>
            <sz val="14"/>
            <color indexed="81"/>
            <rFont val="Tahoma"/>
            <family val="2"/>
          </rPr>
          <t xml:space="preserve">
(C. Art-Ind) Incremento de </t>
        </r>
        <r>
          <rPr>
            <b/>
            <sz val="14"/>
            <color indexed="81"/>
            <rFont val="Tahoma"/>
            <family val="2"/>
          </rPr>
          <t>107,167</t>
        </r>
        <r>
          <rPr>
            <sz val="14"/>
            <color indexed="81"/>
            <rFont val="Tahoma"/>
            <family val="2"/>
          </rPr>
          <t xml:space="preserve">, ton desde Artesanales XI (Res N°279).
Res Ex. N°699: MODIFICA R.Ex 233-2016, en tons a </t>
        </r>
        <r>
          <rPr>
            <b/>
            <sz val="14"/>
            <color indexed="81"/>
            <rFont val="Tahoma"/>
            <family val="2"/>
          </rPr>
          <t>206,443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(T)  Incrementa por Traspaso 500 t. a EMDEPES MERLUZA 47° al 57° LS (Cert 52/23.03.16)</t>
        </r>
        <r>
          <rPr>
            <sz val="14"/>
            <color indexed="81"/>
            <rFont val="Tahoma"/>
            <family val="2"/>
          </rPr>
          <t xml:space="preserve">
Cert. N° 66 rectifica Certificado N°52/23-03-2016;  en el sentido de que corresponde a TRASPASO de </t>
        </r>
        <r>
          <rPr>
            <b/>
            <sz val="14"/>
            <color indexed="81"/>
            <rFont val="Tahoma"/>
            <family val="2"/>
          </rPr>
          <t>500</t>
        </r>
        <r>
          <rPr>
            <sz val="14"/>
            <color indexed="81"/>
            <rFont val="Tahoma"/>
            <family val="2"/>
          </rPr>
          <t xml:space="preserve"> tons en la  MERLUZA DEL SUR, PARALELO 47° L.S. AL 57° L.S. a ENDEPES 41°28,6-47 L
(T) Se Descuenta por Traspaso </t>
        </r>
        <r>
          <rPr>
            <b/>
            <sz val="14"/>
            <color indexed="81"/>
            <rFont val="Tahoma"/>
            <family val="2"/>
          </rPr>
          <t>140</t>
        </r>
        <r>
          <rPr>
            <sz val="14"/>
            <color indexed="81"/>
            <rFont val="Tahoma"/>
            <family val="2"/>
          </rPr>
          <t xml:space="preserve"> tons. a ENDEPES 41°28,6-47 LS (Doc.N° 113/22-08-2016)
(C ART-IND) Res. Ex. N° 3245/28-10-2016 Autoriza cesión </t>
        </r>
        <r>
          <rPr>
            <b/>
            <sz val="14"/>
            <color indexed="81"/>
            <rFont val="Tahoma"/>
            <family val="2"/>
          </rPr>
          <t xml:space="preserve">26,307 </t>
        </r>
        <r>
          <rPr>
            <sz val="14"/>
            <color indexed="81"/>
            <rFont val="Tahoma"/>
            <family val="2"/>
          </rPr>
          <t xml:space="preserve">t, desde Artesanales XI Región (Modificada por Res. Ex. N° 3653/07-12-2016, en la Unidad de pesquería y por  la 3696-2016, en la toneladas  de 25,897 a 26,307)
(C ART-IND) Res. Ex. N° 3367/10-11-2016 Autoriza cesión </t>
        </r>
        <r>
          <rPr>
            <b/>
            <sz val="14"/>
            <color indexed="81"/>
            <rFont val="Tahoma"/>
            <family val="2"/>
          </rPr>
          <t>5,008</t>
        </r>
        <r>
          <rPr>
            <sz val="14"/>
            <color indexed="81"/>
            <rFont val="Tahoma"/>
            <family val="2"/>
          </rPr>
          <t xml:space="preserve"> t, desde Artesanales XI Región (Modificada por Res. Ex. N° 3653-/07-12-2016, en la Unidad de pesquería)
(C ART-IND) Res. Ex N° 3470/18-11-2016 Autoriza cesion de </t>
        </r>
        <r>
          <rPr>
            <b/>
            <sz val="14"/>
            <color indexed="81"/>
            <rFont val="Tahoma"/>
            <family val="2"/>
          </rPr>
          <t>55,613</t>
        </r>
        <r>
          <rPr>
            <sz val="14"/>
            <color indexed="81"/>
            <rFont val="Tahoma"/>
            <family val="2"/>
          </rPr>
          <t xml:space="preserve"> ton desde artesanales XII Región.  (Modificada por Res. Ex. N° 3654/07-11-2016, en la Unidad de pesquería)
(C ART-IND) Res. Ex N° 3762/14-12-2016 Autoriza cesion de 4,445 ton desde artesanales XI Región</t>
        </r>
      </text>
    </comment>
    <comment ref="F5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 Art-Ind) cesión de 47,7 t desde artesanales (Res. Ex. N° 2552/24-08-2016)
(T) Incrementa 128 t. por Traspaso desde  PESCA CINE S.A. del 41,28° AL 47° LS/CERT.N° 135/30-11-2016</t>
        </r>
      </text>
    </comment>
    <comment ref="F57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(C. Art-Ind) Incremento de </t>
        </r>
        <r>
          <rPr>
            <b/>
            <sz val="14"/>
            <color indexed="81"/>
            <rFont val="Tahoma"/>
            <family val="2"/>
          </rPr>
          <t>1129,586</t>
        </r>
        <r>
          <rPr>
            <sz val="14"/>
            <color indexed="81"/>
            <rFont val="Tahoma"/>
            <family val="2"/>
          </rPr>
          <t xml:space="preserve">, ton desde Armadores Artesanales XII (Res N°285)
(D) Descuento por Exceso 2013 de </t>
        </r>
        <r>
          <rPr>
            <b/>
            <sz val="14"/>
            <color indexed="81"/>
            <rFont val="Tahoma"/>
            <family val="2"/>
          </rPr>
          <t xml:space="preserve">36,282 </t>
        </r>
        <r>
          <rPr>
            <sz val="14"/>
            <color indexed="81"/>
            <rFont val="Tahoma"/>
            <family val="2"/>
          </rPr>
          <t xml:space="preserve">t. (Resol. N° 1836 de 10.06.16)
(T) Cede </t>
        </r>
        <r>
          <rPr>
            <b/>
            <sz val="14"/>
            <color indexed="81"/>
            <rFont val="Tahoma"/>
            <family val="2"/>
          </rPr>
          <t>700</t>
        </r>
        <r>
          <rPr>
            <sz val="14"/>
            <color indexed="81"/>
            <rFont val="Tahoma"/>
            <family val="2"/>
          </rPr>
          <t xml:space="preserve"> tons. a DERIS SA NE (Cert. N° 119/05-10-2016)
(T) Cede </t>
        </r>
        <r>
          <rPr>
            <b/>
            <sz val="14"/>
            <color indexed="81"/>
            <rFont val="Tahoma"/>
            <family val="2"/>
          </rPr>
          <t>138</t>
        </r>
        <r>
          <rPr>
            <sz val="14"/>
            <color indexed="81"/>
            <rFont val="Tahoma"/>
            <family val="2"/>
          </rPr>
          <t xml:space="preserve"> tons. a DERIS SA NE (Cert. N° 125/09-11-2016)
(T) Cede </t>
        </r>
        <r>
          <rPr>
            <b/>
            <sz val="14"/>
            <color indexed="81"/>
            <rFont val="Tahoma"/>
            <family val="2"/>
          </rPr>
          <t>130</t>
        </r>
        <r>
          <rPr>
            <sz val="14"/>
            <color indexed="81"/>
            <rFont val="Tahoma"/>
            <family val="2"/>
          </rPr>
          <t xml:space="preserve"> tons. a DERIS SA NE (Cert. N° 129/16-11-2016)
(T) Cede   </t>
        </r>
        <r>
          <rPr>
            <b/>
            <sz val="14"/>
            <color indexed="81"/>
            <rFont val="Tahoma"/>
            <family val="2"/>
          </rPr>
          <t>90</t>
        </r>
        <r>
          <rPr>
            <sz val="14"/>
            <color indexed="81"/>
            <rFont val="Tahoma"/>
            <family val="2"/>
          </rPr>
          <t xml:space="preserve"> tons. a DERIS S.A NE (Cert. N° 131/18-11-16)
(T) Incremento por Traspaso de </t>
        </r>
        <r>
          <rPr>
            <b/>
            <sz val="14"/>
            <color indexed="81"/>
            <rFont val="Tahoma"/>
            <family val="2"/>
          </rPr>
          <t>21</t>
        </r>
        <r>
          <rPr>
            <sz val="14"/>
            <color indexed="81"/>
            <rFont val="Tahoma"/>
            <family val="2"/>
          </rPr>
          <t xml:space="preserve"> tons. desde DERIS S.A. NE (Cert. 142/23-12-2016)</t>
        </r>
      </text>
    </comment>
    <comment ref="F5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(T) Cede 11 tons. a SUR AUSTRAL.NE (Cert. N° 143/30-12-2016)</t>
        </r>
      </text>
    </comment>
    <comment ref="F6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3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Permuta de 0.2437433 tons. a PESCA CISNE S.A. (Doc.N° 1988/22-06-2016)</t>
        </r>
      </text>
    </comment>
    <comment ref="F75" authorId="0">
      <text>
        <r>
          <rPr>
            <b/>
            <sz val="14"/>
            <color indexed="81"/>
            <rFont val="Tahoma"/>
            <family val="2"/>
          </rPr>
          <t xml:space="preserve">rgarcia:
</t>
        </r>
        <r>
          <rPr>
            <sz val="14"/>
            <color indexed="81"/>
            <rFont val="Tahoma"/>
            <family val="2"/>
          </rPr>
          <t>(Co) Cede</t>
        </r>
        <r>
          <rPr>
            <sz val="14"/>
            <color indexed="10"/>
            <rFont val="Tahoma"/>
            <family val="2"/>
          </rPr>
          <t xml:space="preserve"> </t>
        </r>
        <r>
          <rPr>
            <b/>
            <sz val="14"/>
            <color indexed="10"/>
            <rFont val="Tahoma"/>
            <family val="2"/>
          </rPr>
          <t>0.483</t>
        </r>
        <r>
          <rPr>
            <sz val="14"/>
            <color indexed="81"/>
            <rFont val="Tahoma"/>
            <family val="2"/>
          </rPr>
          <t xml:space="preserve"> ton a Congelados Pacifico (Cert N°158-2014) Modificado por Cert N°21-2016, extiende vigencia 2016.
(T) Incrementa </t>
        </r>
        <r>
          <rPr>
            <b/>
            <sz val="14"/>
            <color indexed="81"/>
            <rFont val="Tahoma"/>
            <family val="2"/>
          </rPr>
          <t xml:space="preserve">6.088 </t>
        </r>
        <r>
          <rPr>
            <sz val="14"/>
            <color indexed="81"/>
            <rFont val="Tahoma"/>
            <family val="2"/>
          </rPr>
          <t xml:space="preserve">ton por Traspaso desde BIO BIO SA. PESQ, XI-XII (Certificado N°07/20-01-2016)
(Co) Cede </t>
        </r>
        <r>
          <rPr>
            <b/>
            <sz val="14"/>
            <color indexed="10"/>
            <rFont val="Tahoma"/>
            <family val="2"/>
          </rPr>
          <t>0,241</t>
        </r>
        <r>
          <rPr>
            <sz val="14"/>
            <color indexed="10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>ton Congelados Pacifico  S.A. Cert N°18/05-02-16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(C-V) Vende </t>
        </r>
        <r>
          <rPr>
            <b/>
            <sz val="14"/>
            <color indexed="10"/>
            <rFont val="Tahoma"/>
            <family val="2"/>
          </rPr>
          <t>0,72399</t>
        </r>
        <r>
          <rPr>
            <sz val="14"/>
            <color indexed="10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ton a BLUMAR S.A </t>
        </r>
        <r>
          <rPr>
            <sz val="14"/>
            <color indexed="17"/>
            <rFont val="Tahoma"/>
            <family val="2"/>
          </rPr>
          <t xml:space="preserve">(RES.EX. N° 986/05-04-2016) </t>
        </r>
        <r>
          <rPr>
            <sz val="14"/>
            <color indexed="81"/>
            <rFont val="Tahoma"/>
            <family val="2"/>
          </rPr>
          <t xml:space="preserve">
(Co) Cede </t>
        </r>
        <r>
          <rPr>
            <b/>
            <sz val="14"/>
            <color indexed="10"/>
            <rFont val="Tahoma"/>
            <family val="2"/>
          </rPr>
          <t>755,742</t>
        </r>
        <r>
          <rPr>
            <sz val="14"/>
            <color indexed="81"/>
            <rFont val="Tahoma"/>
            <family val="2"/>
          </rPr>
          <t xml:space="preserve"> ton Congelados del Pacífico S.A.. Cert N°121/12-10-16
(C-V) Incrementa </t>
        </r>
        <r>
          <rPr>
            <b/>
            <sz val="14"/>
            <color indexed="81"/>
            <rFont val="Tahoma"/>
            <family val="2"/>
          </rPr>
          <t>949,506</t>
        </r>
        <r>
          <rPr>
            <sz val="14"/>
            <color indexed="81"/>
            <rFont val="Tahoma"/>
            <family val="2"/>
          </rPr>
          <t xml:space="preserve">  ton desde LANDES S.A. </t>
        </r>
        <r>
          <rPr>
            <sz val="14"/>
            <color indexed="17"/>
            <rFont val="Tahoma"/>
            <family val="2"/>
          </rPr>
          <t xml:space="preserve">(RES.EX. N° 3198/21-10-2016) </t>
        </r>
        <r>
          <rPr>
            <sz val="14"/>
            <color indexed="81"/>
            <rFont val="Tahoma"/>
            <family val="2"/>
          </rPr>
          <t xml:space="preserve">
(Co) Cede </t>
        </r>
        <r>
          <rPr>
            <b/>
            <sz val="14"/>
            <color indexed="10"/>
            <rFont val="Tahoma"/>
            <family val="2"/>
          </rPr>
          <t>949,505</t>
        </r>
        <r>
          <rPr>
            <sz val="14"/>
            <color indexed="81"/>
            <rFont val="Tahoma"/>
            <family val="2"/>
          </rPr>
          <t xml:space="preserve"> ton Congelados del Pacífico S.A.. Cert N°128/15-11-16 (modificado por Cert. N° 130/2016)
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SOLO SE IMPUTA OPERACIÓN DE LA </t>
        </r>
        <r>
          <rPr>
            <sz val="12"/>
            <color indexed="81"/>
            <rFont val="Tahoma"/>
            <family val="2"/>
          </rPr>
          <t xml:space="preserve">BIOMAR IV 
</t>
        </r>
      </text>
    </comment>
    <comment ref="H76" authorId="0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desde el 18-10-2016 se imputa a CONGELADOS DEL PACIFICO las capturas de la BIOMAR IV</t>
        </r>
      </text>
    </comment>
    <comment ref="F77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Cede 5418,184 t a Congelados Pacifico S.A. (Certificado N° 155-2014, Modificado por N°20-2016. Extiende vigencia,).
(Resciliación parcial) Cede 3490.893 a Congelados Pacifico. Resc. Parc. de Cert N°155, de las 5418.184 ton cedidas, solo cede 3490.893 (certificado N° 01-16.)
(C-V) Cede por Venta LTP de 212,373 t.  a SUR AUSTRAL S.A. PESQ. Res.Ex. N° 99/20-01-2016.
(C-V) Cede por Venta LTP de 1715,159 t.  a GRIMAR S.A. PESQ. Res.Ex. N° 100/20-01-2016.
(C-V) Incrementa</t>
        </r>
        <r>
          <rPr>
            <b/>
            <sz val="14"/>
            <color indexed="10"/>
            <rFont val="Tahoma"/>
            <family val="2"/>
          </rPr>
          <t xml:space="preserve"> 0,72399</t>
        </r>
        <r>
          <rPr>
            <sz val="14"/>
            <color indexed="13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ton desde PESQ. Bio Bio S.A (RES.EX. N° 986/05-04-2016) </t>
        </r>
      </text>
    </comment>
    <comment ref="F79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(V) Venta LTP de 801,013 t. a PESQ. LITORAL SPA Resl.Ex. N° 1752/02-06-2016</t>
        </r>
      </text>
    </comment>
    <comment ref="F81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cede de 0,483 tons a PESQUERA LITORAL SPA, V-X (cert N° 27-2016).
Cert N° 43-16, Deja sin efecto cert N° 27, comodato de 0,483 ton desde CENTRO SUR S.A V-X 
Cert N° 53, RECTIFICA Certificado N° 43-16 que dejo por error sin efecto los certificados 25, 26, y 27, por  tanto, se encuentran vigentes</t>
        </r>
      </text>
    </comment>
    <comment ref="F85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(C-V) Incrementa por Venta LTP de 1715,159 t. desde BLUMAR S.A. PESQ. Res.Ex. N° 100/20-01-2016.
(T) Traspasa 407 t.a Pesquera GRIMAR S.A. XI-XII (Cert 80/18-05-2016)
(T) Traspasa 400 t.a Pesquera GRIMAR S.A. XI-XII (Cert 84/30-05-2016)
</t>
        </r>
        <r>
          <rPr>
            <sz val="14"/>
            <color indexed="10"/>
            <rFont val="Tahoma"/>
            <family val="2"/>
          </rPr>
          <t>(Arr) Incrementa ppor arriendo 991,213 .desde Pesquera LITORAL SPA.  (Cert 85/06-006-2016)</t>
        </r>
        <r>
          <rPr>
            <sz val="14"/>
            <color indexed="81"/>
            <rFont val="Tahoma"/>
            <family val="2"/>
          </rPr>
          <t xml:space="preserve">
(T) Traspasa 500 t.a Pesquera GRIMAR S.A. XI-XII (Cert 88/09-06-2016)
Cert. N° 90 de 10-06-2016; Rectifica  Certf. N° 85-2016, Arriendo de 991,213 a 989,965 toneldas 
</t>
        </r>
      </text>
    </comment>
    <comment ref="F8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 )Cede 7,291 t a Lota Protein S.A. (Certificado  N° 342).</t>
        </r>
      </text>
    </comment>
    <comment ref="F89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(V) Venta LTP de 128,137 t. a PESQ. LITORAL SPA Resl.Ex. N° 1753/02-06-2016</t>
        </r>
      </text>
    </comment>
    <comment ref="F9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trike/>
            <sz val="9"/>
            <color indexed="81"/>
            <rFont val="Tahoma"/>
            <family val="2"/>
          </rPr>
          <t xml:space="preserve">
(co) cede 0,555059 tons a Pesquera Litoral SpA V-X (cert N° 144)</t>
        </r>
        <r>
          <rPr>
            <sz val="9"/>
            <color indexed="81"/>
            <rFont val="Tahoma"/>
            <family val="2"/>
          </rPr>
          <t xml:space="preserve">
Cert M° 141/ 23-12-2016 Deja sin efecto Certf. N° 138-139-140-141-142-143-144 y 145/2015, Comodatos 
[CV) Vende 0,555 ton a PESQUERA LITORAL SPA  (Res N° 4103/28-12-16)</t>
        </r>
      </text>
    </comment>
    <comment ref="F9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(C-V) Vende 949,506  ton a  BIO BIO S.A. (RES.EX. N° 3198/21-10-2016)  </t>
        </r>
      </text>
    </comment>
    <comment ref="F9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 ) incrementa 7,291 t desde  Inostroza Concha Pelantaro. (Certificado  N° 342).
(SA) Cede 0.24302 t a Enfemar V-X (Certificado Nº 06-2016).</t>
        </r>
      </text>
    </comment>
    <comment ref="F101" authorId="1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(A) Cede 5000 ton a Emdepes XI-XII (Cert N° 38)</t>
        </r>
      </text>
    </comment>
    <comment ref="F103" authorId="1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(T) Cede 87.33 ton a Deris XI-XII (Cert N°36)</t>
        </r>
      </text>
    </comment>
    <comment ref="F105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(V) Venta LTP de 62,063 t. a PESQ. LITORAL SPA Resl.Ex. N° 1751/02-06-2016</t>
        </r>
      </text>
    </comment>
    <comment ref="F109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(C-V) Incrementa por Compra LTP de 212,373 t. desde BLUMAR S.A. Res.Ex. N° 99/20-01-2016.
(T)  traspasa 150 t. a pesquera Sur Austral S.A XI-XII (Cert 79/18-05-2016)
(T)  traspasa 400 t. a pesquera Sur Austral S.A XI-XII (Cert 83/30-05-2016)
(ARR) Incrementa por Arriendo 1904.173 tons. desde CAMANCHACA PESCA SUR S.A. (Doc.N° 96/26-06-2016)
(T)  traspaso 900 t. a Pesquera Sur Austral S.A XI-XII (Cert 98/01-07-2016)
(T)  traspaso 300 t. a Pesquera Sur Austral S.A XI-XII (Cert 109/100-08-2016)</t>
        </r>
      </text>
    </comment>
    <comment ref="F11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Arriendo de 1904.173 tons. a SUR AUSTRAL S.A. PESQ. (Doc.N° 96/26-06-2016)</t>
        </r>
      </text>
    </comment>
    <comment ref="F113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(co) incremento de 0,555059 tons desde Inversiones Pesqueras SpA V-X (cert N° 144)</t>
        </r>
        <r>
          <rPr>
            <sz val="14"/>
            <color indexed="81"/>
            <rFont val="Tahoma"/>
            <family val="2"/>
          </rPr>
          <t xml:space="preserve">
(co) Incrementa 0,483 tons desde CENTRO SUR SPA, V-X (cert N° 27-2016).
Cert N° 43-16, Deja sin efecto cert N° 27, comodato de 0,483 ton desde CENTRO SUR S.A V-X 
Cert N° 53, RECTIFICA Certificado N° 43-16 que dejo por error sin efecto los certificados 25, 26, y 27, por  tanto, se encuentran vigentes.
(Arr) Arrienda 991,213 t.a Pesquera GRIMAR S.A.V A IX (Cert 85/06-06-2016)
Cert. N° 90 Rectifica  Certf. N° 85-2016, Arriendo de 991,213 a 989,965 toneldas 
(CV) Incrementa por Compra LTP  62,063 t. desde  INVERSIONES REDINA SPA Resl.Ex. N° 1751/02-06-2016
(CV) Incrementa por Compra LTP  801,013 t. desde BENTO INVERSIONES SPA Resl.Ex. N° 1752/02-06-2016
(CV) Incrementa por Compra LTP  128,137 t. desde MG INVERSIONES SPA Resl.Ex. N° 1753/02-06-2016
Cert M° 141/ 23-12-2016 Deja sin efecto Certf. N° 138-139-140-141-142-143-144 y 145/2015, Comodatos 
[CV) Incrementa 0,555 ton desde INVERSIONES PESQ. SPA  (Res N° 4103/28-12-16)</t>
        </r>
      </text>
    </comment>
    <comment ref="F115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Incrementa  5418,184 t desde Blumar S.A. (Certififcado N°155-2014).
(Resciliación parcial  Certificado N° 155)  Incremento parcial  de 3490.893 (Certificado N° 01-16)
(Co) Incrementa en </t>
        </r>
        <r>
          <rPr>
            <b/>
            <sz val="14"/>
            <color indexed="81"/>
            <rFont val="Tahoma"/>
            <family val="2"/>
          </rPr>
          <t>0.483</t>
        </r>
        <r>
          <rPr>
            <sz val="14"/>
            <color indexed="81"/>
            <rFont val="Tahoma"/>
            <family val="2"/>
          </rPr>
          <t xml:space="preserve"> ton desde Bio Bio S.A. (Cert N°158-14). Modificado por Cert N°21-2016, extiende vigencia al 2016.
(Co) Incrementa en </t>
        </r>
        <r>
          <rPr>
            <b/>
            <sz val="14"/>
            <color indexed="81"/>
            <rFont val="Tahoma"/>
            <family val="2"/>
          </rPr>
          <t>0,241</t>
        </r>
        <r>
          <rPr>
            <sz val="14"/>
            <color indexed="81"/>
            <rFont val="Tahoma"/>
            <family val="2"/>
          </rPr>
          <t xml:space="preserve"> ton desde Bio Bio S.A. Cert N°18/05-02-16
(A) Cede 0.241 ton a Antonio Cruz C. V-X (Cert N° 22-16)
</t>
        </r>
        <r>
          <rPr>
            <b/>
            <sz val="14"/>
            <color indexed="81"/>
            <rFont val="Tahoma"/>
            <family val="2"/>
          </rPr>
          <t>(Co) Incrementa en 755,742 ton desde Bio Bio S.A. Cert N°121/12-10-16
(Co) Incrementa en 949,506 ton desde Bio Bio S.A. Cert N°124/15-11-16</t>
        </r>
      </text>
    </comment>
    <comment ref="H115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Se imputa captura de la nave BONN (ARRENDADA) de Bio Bio, se extiende vigencia. 
Se imputa captura de la nave POLARIS II de BLUMAR S,.A 
Desde el 18-10-2016 se imputa las capturas de la BIOMAR IV DE CONGELADOS DEL PACIFICO</t>
        </r>
      </text>
    </comment>
    <comment ref="F117" authorId="2">
      <text>
        <r>
          <rPr>
            <b/>
            <sz val="8"/>
            <color indexed="81"/>
            <rFont val="Tahoma"/>
            <family val="2"/>
          </rPr>
          <t>rgarcia:</t>
        </r>
        <r>
          <rPr>
            <sz val="8"/>
            <color indexed="81"/>
            <rFont val="Tahoma"/>
            <family val="2"/>
          </rPr>
          <t xml:space="preserve">
(SA) Incremento de 0.243 t desdeLOTA PROTEIN V-X , Certificado Nº 06-2016.</t>
        </r>
      </text>
    </comment>
    <comment ref="F119" authorId="1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(A) Incremento de 0.241 ton desde Congelados Pacifico V-X (Cert N°22-16)</t>
        </r>
      </text>
    </comment>
    <comment ref="F121" authorId="1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Incrementa por Permuta 0 .2437433 tons. desde ALIMENTOS MARINOS S.A. (Doc.N° 1988/22-06-2016)
(T) Traspasa 0,244 t. a  PESCA CISNE S.A. XI-XII / CERT.N° 136/30-11-2016</t>
        </r>
      </text>
    </comment>
    <comment ref="F12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(V) Cede por Venta LTP de 6,088 t.  a BIO BIO S.A. PESQ. Resl.Ex. N° 3564/30-12-2015</t>
        </r>
      </text>
    </comment>
    <comment ref="F127" authorId="1">
      <text>
        <r>
          <rPr>
            <b/>
            <sz val="12"/>
            <color indexed="81"/>
            <rFont val="Tahoma"/>
            <family val="2"/>
          </rPr>
          <t>mmendoza:</t>
        </r>
        <r>
          <rPr>
            <sz val="12"/>
            <color indexed="81"/>
            <rFont val="Tahoma"/>
            <family val="2"/>
          </rPr>
          <t xml:space="preserve">
(A) Incremento de 5000 ton desde Orizon V-X (Cert N°38)</t>
        </r>
      </text>
    </comment>
    <comment ref="F129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 Incrementa por traspaso 407 t. desde Pesquera GRIMAR S.A V X (Cert 80/18-05-2016)
(T)  Incrementa por traspaso 400 t. desde Pesquera GRIMAR S.A V X (Cert 84/30-05-2016)
(T) Incrementa por Traspaso 500 t.a desde GRIMAR S.A. V-X (Cert 88/09-06-2016)
(C-V) Incrementa por compra LTP  1000,054 t. desde DERIS.A. Res. Ex. N° 2660/30-08-16</t>
        </r>
      </text>
    </comment>
    <comment ref="F131" authorId="1">
      <text>
        <r>
          <rPr>
            <b/>
            <sz val="14"/>
            <color indexed="81"/>
            <rFont val="Tahoma"/>
            <family val="2"/>
          </rPr>
          <t>mmendoza:</t>
        </r>
        <r>
          <rPr>
            <sz val="14"/>
            <color indexed="81"/>
            <rFont val="Tahoma"/>
            <family val="2"/>
          </rPr>
          <t xml:space="preserve">
(T) Incremento de 87.33 ton desde Deris V-X (Cert N°36)
(C-V) vende LTP de 1000,054 t. a Pes. Grimar S.A. Res. Ex. N° 2660/30-08-16
(C-V) vende LTP de 0,161 t. a PESCA CISNE S.A. Res. Ex. N° 3094/13-10-16</t>
        </r>
      </text>
    </comment>
    <comment ref="F133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(T)  Incrementa por traspaso 150 t. desde Pesquera Sur Austral S.A V X (Cert 79/18-05-2016)
(T)  Incrementa por traspaso 400 t. desde Pesquera Sur Austral S.A V X (Cert 83/30-05-2016)
(T)  Incrementa por traspaso 900 t. desde Pesquera Sur Austral S.A V X (Cert 98/01-07-2016)
(T)  Incrementa por traspaso 300 t. desde Pesquera Sur Austral S.A V X (Cert 109/100-08-2016)</t>
        </r>
      </text>
    </comment>
    <comment ref="F13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(C-V) Incrementa por Compra LTP de 6,088 t.  a BIO BIO S.A. PESQ. Resl.Ex. N° 3464 / 30-12-2015
(T) Cede por Traspaso de 6.088 ton a BIO BIO SA. PESQ, V-X (Certificado N° 07-2016)
</t>
        </r>
      </text>
    </comment>
    <comment ref="F138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(C-V) Incrementa LTP de 0,161 t. desde DERIS S.A.. Res. Ex. N° 3094/13-10-16
(T) Incrementa  0,244 t. por Traspaso desde  PESCA CINE S.A. V-X° LS/CERT.N° 136/30-11-2016</t>
        </r>
      </text>
    </comment>
    <comment ref="F14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arrienda total cuota 23,703 t a PESQUERA ANTONIO CRUZ CORDOVA E.I.R.L (Certificado N° 1114/06-09-2016 </t>
        </r>
      </text>
    </comment>
    <comment ref="F147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</t>
        </r>
        <r>
          <rPr>
            <strike/>
            <sz val="14"/>
            <color indexed="81"/>
            <rFont val="Tahoma"/>
            <family val="2"/>
          </rPr>
          <t>Cede  4000, 984 t a Congelados del Pacifico (Certificado N° 17/05-02-16, modifica certifiado 1632-2014)</t>
        </r>
        <r>
          <rPr>
            <sz val="14"/>
            <color indexed="81"/>
            <rFont val="Tahoma"/>
            <family val="2"/>
          </rPr>
          <t xml:space="preserve">
(C-V) Incrementa por COMPRA LTP (coef  de 0,002401) +</t>
        </r>
        <r>
          <rPr>
            <b/>
            <sz val="14"/>
            <color indexed="81"/>
            <rFont val="Tahoma"/>
            <family val="2"/>
          </rPr>
          <t>32, 514</t>
        </r>
        <r>
          <rPr>
            <sz val="14"/>
            <color indexed="81"/>
            <rFont val="Tahoma"/>
            <family val="2"/>
          </rPr>
          <t xml:space="preserve"> t. a Sur Austral S.A. Pesq. Res. Ex. N° 104/20-01-16
(C-V) Incrementa por COMPRA LTP de +</t>
        </r>
        <r>
          <rPr>
            <b/>
            <sz val="14"/>
            <color indexed="81"/>
            <rFont val="Tahoma"/>
            <family val="2"/>
          </rPr>
          <t xml:space="preserve">107,937 </t>
        </r>
        <r>
          <rPr>
            <sz val="14"/>
            <color indexed="81"/>
            <rFont val="Tahoma"/>
            <family val="2"/>
          </rPr>
          <t>t. a Pes. Grimar S.A. Res. Ex. N° 106/20-01-16
CERT N°73-2016;Resciliación parcial de Cert. N°163-2014 modificada por cert N° 17-2016 quedando vigente -</t>
        </r>
        <r>
          <rPr>
            <b/>
            <sz val="14"/>
            <color indexed="81"/>
            <rFont val="Tahoma"/>
            <family val="2"/>
          </rPr>
          <t xml:space="preserve">2574,906 t
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10"/>
            <rFont val="Tahoma"/>
            <family val="2"/>
          </rPr>
          <t>(Co) Cede por comodato -2537,533. a CONGELADOS PACIFICO S.A.(Cert. 120/12-10-16)</t>
        </r>
      </text>
    </comment>
    <comment ref="H148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 PARTIR DEL 13-10-2016 SE IMPUTA OPERACIÓN DE LA BIOMAR IV  A CONGELADOS DEL PACIFICO</t>
        </r>
      </text>
    </comment>
    <comment ref="F149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(C-V) Incrementa por Venta LTP de 1426,201 t. desde GRIMAR S.A. PESQ. (Res.Ex. N° 102/20-01-2016.)
(Co) Cede 4144,065 ton a Congelados Pacifico ( Cert N°154-2014, modif por Cert N°19-2016, extiende vigencia)
(</t>
        </r>
        <r>
          <rPr>
            <sz val="14"/>
            <color indexed="53"/>
            <rFont val="Tahoma"/>
            <family val="2"/>
          </rPr>
          <t>Co) Cede 1426,201 t ton a Congelados Pacifico S.A. (Cert  N° 42/17.03.16)</t>
        </r>
        <r>
          <rPr>
            <sz val="14"/>
            <color indexed="81"/>
            <rFont val="Tahoma"/>
            <family val="2"/>
          </rPr>
          <t xml:space="preserve">
Cert N°  67 de 11-04-2016; Deja sin efecto comodato de Cert N° 42 de 17-03-2016 
(Co) Cede por comodato 1426,201 t ton a Congelados Pacifico S.A. (Cert  N° 78/18.05.16)
(D) Descuento por Exceso 2013 de 59,298 t. (Resol. N° 1520 de 18.05.16)</t>
        </r>
      </text>
    </comment>
    <comment ref="H14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OPERACIÓN DE LA POLARIAS II A CONGELADOS DEL PACIFICO</t>
        </r>
      </text>
    </comment>
    <comment ref="F151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incremento de 224,422 tons desde Soc. Pesquera Genmar Ltda; V-X (cert N° 149/28.12/.15)
</t>
        </r>
        <r>
          <rPr>
            <sz val="12"/>
            <color indexed="10"/>
            <rFont val="Tahoma"/>
            <family val="2"/>
          </rPr>
          <t xml:space="preserve">(Res.Ex. N° 385-16)-modifica coeficiente de participación otorgado por Res. Ex. N° 2775-13 a 89,767 t </t>
        </r>
        <r>
          <rPr>
            <sz val="12"/>
            <color indexed="81"/>
            <rFont val="Tahoma"/>
            <family val="2"/>
          </rPr>
          <t xml:space="preserve">
(Arr) incrementa 71,993 t, desde NORDIO LTDA. SOC. (cert N° 33/19.02.16)
(CV) Cede 0.406 t a Rubio y Mauad (Res N°384-16)
(Arr) incremento de 9,481 tons desde Soc. Pesquera Genmar Ltda; V-X (cert N° 82/23-05-2016)
(Arr) incrementa  total cuota 23,703 t desde MARIA ANGELICA TRONCOSO REYES (Certificado N° 1114/06-09-2016 </t>
        </r>
      </text>
    </comment>
    <comment ref="F152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100 t. desde ORIZON S.A. (Cert N°134/30-11-2016)</t>
        </r>
      </text>
    </comment>
    <comment ref="F155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Incrementa 23,703 tons desde Pelantaro Basilio Inosttrosa Concha IV-41°28,6 LS (cert N° 151/28.12.15).
(Arr) Incrementa 229,771 Tons desde Soc Pesquera Leucoton Ltda IV-41°28,6 LS (cert N° 152/28.12.15).
(Arr) Incrementa 188,8 tons desde Soc Pesquera Pessur Ltda IV-41°28,6 LS (cert N° 153/28.12.15).
(Arr) Incrementa 400,411 tons desde Soc Pesquera Marcelino Segundo Gonzalez Silva. IV-41°28,6 LS (cert N° 154/28.12.15).
(</t>
        </r>
        <r>
          <rPr>
            <b/>
            <sz val="14"/>
            <color indexed="81"/>
            <rFont val="Tahoma"/>
            <family val="2"/>
          </rPr>
          <t>C-V) Cede por Venta LTP de 4,0653 t. a QUINTERO S.A. PESQ. Res.Ex. N° 3698/31-12-2015</t>
        </r>
        <r>
          <rPr>
            <sz val="14"/>
            <color indexed="81"/>
            <rFont val="Tahoma"/>
            <family val="2"/>
          </rPr>
          <t xml:space="preserve">
(C-V) Cede por Venta LTP de 1,085 t. a BRACPESCA S.A. Res.Ex. N° 53/13-01-2016
(C Art-Ind) Incrementa 28.804 ton (14,804 ton ENE-JUL y 14,804 ton AGO-DIC) desde Artesanales VIII Reg (R.Ex.N°604)
(Arr) Incrementa 114,852 t. desde ALIMENTOS MARINOS S.A.( Cert 46/23.03.16)</t>
        </r>
      </text>
    </comment>
    <comment ref="F15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Arrienda e 224,422 tons a Pesquera Antonio Cruz Cordoba Nakouzi EIR. IV-41°28,6 LS (cert N° 149/2015)
(Arr) Arrienda 9,481 tons a Pesquera Antonio Cruz Cordoba Nakouzi EIR. IV-41°28,6 LS ( (cert N° 82/23-05-2016)
</t>
        </r>
      </text>
    </comment>
    <comment ref="F15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400,411 tons a Soc. Pesquera Enfemar Ltda IV-41°28,6 LS (cert N° 154)</t>
        </r>
      </text>
    </comment>
    <comment ref="F161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(C-V) Incrementa por Venta LTP de 70,031 t. desde DERIS S.A. PESQ. Res.Ex. N° 3562/29-12-2015
Res 713/08-03-20162016 deja sin efecto C-V LTP Res.Ex. N° 3562/29-12-2015 
Res 947/29-03-2016 deja sin efecto inscripción LTP y Res 713/08-03-2016
(C-V) Incrementa por Venta LTP de 220,113 t. desde SUR AUSTRAL S.A. PESQ. Res.Ex. N° 2144/11-08-2015
(C-V) Transfiere por Venta LTP de 1426,201 t. a BLUMAR S.A. PESQ. Res.Ex. N° 102/20-01-2016.
(C-V) Transfiere por Venta LTP de 107,9365 t. a BIO BIO S.A. PESQ. Res.Ex. N° 106/20-01-2016.
</t>
        </r>
      </text>
    </comment>
    <comment ref="F16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23,703 tons a Soc. Pesquera Enfemar Ltda IV-41°28,6 LS (cert N° 151)</t>
        </r>
      </text>
    </comment>
    <comment ref="H16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6,162 ton se imputa a PI</t>
        </r>
      </text>
    </comment>
    <comment ref="F167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Cede 2,8443 t. a CAMANCHACA PESCA SUR.S.A. (cert N° 49/23.03.16)
(Arr) Cede 0,2708 t. a JORGE ENRIQUE COFRE REYES. (cert N° 50/23.03.16)
(Arr) Cede 0,2708 t. a PESQUERA CMK LTDA. (cert N° 64/28.03.16)</t>
        </r>
      </text>
    </comment>
    <comment ref="F16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de 225,7861 tons a Soc. Pesquera Enfemar IV_41°28,6 LS (cert N° 152)</t>
        </r>
      </text>
    </comment>
    <comment ref="F17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cede 71,993 t. a ANTONIO CRUZ CORDOVA NAKOUZI E.I.R.L  (cert N° 33/19.02.16)</t>
        </r>
      </text>
    </comment>
    <comment ref="F174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Arrienda 100 t. a ANTONIO CRUZ CORDOVA NAKOUZI E.I.R.L. (Cert N°134/30-11-2016)</t>
        </r>
      </text>
    </comment>
    <comment ref="F175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(C-V)  Venta LTP de 70,031 t. a GRIMAR S.A PESQ. Res.Ex. N° 3562/29-12-2015
Res 713/08-03-20162016 deja sin efecto C-V LTP Res.Ex. N° 3562/29-12-2015 
Res 947/29-03-2016 deja sin efecto inscripción LTP y Res 713/08-03-2016</t>
        </r>
      </text>
    </comment>
    <comment ref="F17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(a) cede de 188,8 tons a Soc. Pesquera Enfemar IV_41°28,6 LS (cert N° 153)</t>
        </r>
      </text>
    </comment>
    <comment ref="F17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Res.Ex. 105 de 20-01-2016 modificó coeficiente a 0,00004 otorgado por Res. Ex. N° 2179, quedando con una cuota efectiva de 0,54272 (descuento 3,251)</t>
        </r>
      </text>
    </comment>
    <comment ref="F181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Incrementa 4144,065 t desde Blumar S.A. (Cert N°154-2014, modif por Cert N°19-2016, extiende vigencia)
</t>
        </r>
        <r>
          <rPr>
            <b/>
            <sz val="14"/>
            <color indexed="81"/>
            <rFont val="Tahoma"/>
            <family val="2"/>
          </rPr>
          <t>(Co) Incrementa 4000.984 t desde Bio Bio S.A. (Certificado N° 17, modifica al 163 extiende vigencia)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81"/>
            <rFont val="Tahoma"/>
            <family val="2"/>
          </rPr>
          <t>(Co) Incrementa 1426,202 t desde BLUMAR S.A. (Cert  N° 42/17.03.16)</t>
        </r>
        <r>
          <rPr>
            <sz val="14"/>
            <color indexed="81"/>
            <rFont val="Tahoma"/>
            <family val="2"/>
          </rPr>
          <t xml:space="preserve">
Cert N°  67 de 11-04-2016; Deja sin efecto comodato de Cert N° 42 de 17-03-2016 
Res. Ex.N°72-2016;Resciliación parcial de R.Ex. N°163-2014 modificada por cert N° 17-2016 quedando vigente sólo comodato de 2574,906
(Co) Incrementa 1426,202 t desde BLUMAR S.A.(Cert  N° 78/18,05.16)
(Co) incrementa por comodato 2537,533 desde BIO BIO S.A. PESQ (Cert. 120/12-10-16)</t>
        </r>
      </text>
    </comment>
    <comment ref="H18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OPERACIÓN DE LA BONN, ARMADOR BIO BIO, más operación de POLARIS II, DE BLUMAR 
</t>
        </r>
      </text>
    </comment>
    <comment ref="H182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DESDE EL 13-10-2016 SE IMPUTA DESEMBARQUE de la nave BIOMAR IV DE ARMADOR  BIO BIO
</t>
        </r>
      </text>
    </comment>
    <comment ref="F18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(C-V) Incrementa por Venta LTP de 4,0653 t. a desde ENFEMAR S.A. PESQ. Res.Ex. N° 3698/31-12-2015
</t>
        </r>
      </text>
    </comment>
    <comment ref="F185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(C-V) Incrementa por Venta LTP de 1,085 t. a desde ENFEMAR S.A. PESQ. Res.Ex. N° 53/13-01-2016</t>
        </r>
      </text>
    </comment>
    <comment ref="F18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incrmenta 2,8443 t. desde LANDES S.A. PESQ. (cert N° 49/23.03.16)</t>
        </r>
      </text>
    </comment>
    <comment ref="F189" authorId="0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(Arr) incrmenta 0,2708 t. desde LANDES S.A. PESQ. (cert N° 50/23.03.16)</t>
        </r>
      </text>
    </comment>
    <comment ref="F191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(Arr) incrmenta 0,2708 t. desde LANDES S.A. PESQ. (cert N° 64/28.03.16)</t>
        </r>
      </text>
    </comment>
    <comment ref="F193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(CV) incrementa 0,406 t. desde Antonio Cruz Cordova (Res N°384-16)</t>
        </r>
      </text>
    </comment>
  </commentList>
</comments>
</file>

<file path=xl/comments4.xml><?xml version="1.0" encoding="utf-8"?>
<comments xmlns="http://schemas.openxmlformats.org/spreadsheetml/2006/main">
  <authors>
    <author>rgarcia</author>
  </authors>
  <commentList>
    <comment ref="E4" authorId="0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(Co) </t>
        </r>
        <r>
          <rPr>
            <strike/>
            <sz val="14"/>
            <color indexed="81"/>
            <rFont val="Tahoma"/>
            <family val="2"/>
          </rPr>
          <t>Cede  4000, 984 t a Congelados del Pacifico (Certificado N° 17/05-02-16, modifica certifiado 1632-2014)</t>
        </r>
        <r>
          <rPr>
            <sz val="14"/>
            <color indexed="81"/>
            <rFont val="Tahoma"/>
            <family val="2"/>
          </rPr>
          <t xml:space="preserve">
(C-V) Incrementa por COMPRA LTP (coef  de 0,002401) +</t>
        </r>
        <r>
          <rPr>
            <b/>
            <sz val="14"/>
            <color indexed="81"/>
            <rFont val="Tahoma"/>
            <family val="2"/>
          </rPr>
          <t>32, 514</t>
        </r>
        <r>
          <rPr>
            <sz val="14"/>
            <color indexed="81"/>
            <rFont val="Tahoma"/>
            <family val="2"/>
          </rPr>
          <t xml:space="preserve"> t. a Sur Austral S.A. Pesq. Res. Ex. N° 104/20-01-16
(C-V) Incrementa por COMPRA LTP de +</t>
        </r>
        <r>
          <rPr>
            <b/>
            <sz val="14"/>
            <color indexed="81"/>
            <rFont val="Tahoma"/>
            <family val="2"/>
          </rPr>
          <t xml:space="preserve">107,937 </t>
        </r>
        <r>
          <rPr>
            <sz val="14"/>
            <color indexed="81"/>
            <rFont val="Tahoma"/>
            <family val="2"/>
          </rPr>
          <t>t. a Pes. Grimar S.A. Res. Ex. N° 106/20-01-16
CERT N°73-2016;Resciliación parcial de Cert. N°163-2014 modificada por cert N° 17-2016 quedando vigente -</t>
        </r>
        <r>
          <rPr>
            <b/>
            <sz val="14"/>
            <color indexed="81"/>
            <rFont val="Tahoma"/>
            <family val="2"/>
          </rPr>
          <t xml:space="preserve">2574,906 t
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10"/>
            <rFont val="Tahoma"/>
            <family val="2"/>
          </rPr>
          <t>(Co) Cede por comodato -2537,533. a CONGELADOS PACIFICO S.A.(Cert. 120/12-10-16)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 PARTIR DEL 13-10-2016 SE IMPUTA OPERACIÓN DE LA BIOMAR IV  A CONGELADOS DEL PACIFICO</t>
        </r>
      </text>
    </comment>
    <comment ref="E53" authorId="0">
      <text>
        <r>
          <rPr>
            <b/>
            <sz val="14"/>
            <color indexed="81"/>
            <rFont val="Tahoma"/>
            <family val="2"/>
          </rPr>
          <t xml:space="preserve">rgarcia:
</t>
        </r>
        <r>
          <rPr>
            <sz val="14"/>
            <color indexed="81"/>
            <rFont val="Tahoma"/>
            <family val="2"/>
          </rPr>
          <t>(Co) Cede</t>
        </r>
        <r>
          <rPr>
            <sz val="14"/>
            <color indexed="10"/>
            <rFont val="Tahoma"/>
            <family val="2"/>
          </rPr>
          <t xml:space="preserve"> </t>
        </r>
        <r>
          <rPr>
            <b/>
            <sz val="14"/>
            <color indexed="10"/>
            <rFont val="Tahoma"/>
            <family val="2"/>
          </rPr>
          <t>0.483</t>
        </r>
        <r>
          <rPr>
            <sz val="14"/>
            <color indexed="81"/>
            <rFont val="Tahoma"/>
            <family val="2"/>
          </rPr>
          <t xml:space="preserve"> ton a Congelados Pacifico (Cert N°158-2014) Modificado por Cert N°21-2016, extiende vigencia 2016.
(T) Incrementa 6.088 ton por Traspaso desde BIO BIO SA. PESQ, XI-XII (Certificado N°07/20-01-2016)
(Co) Cede </t>
        </r>
        <r>
          <rPr>
            <b/>
            <sz val="14"/>
            <color indexed="10"/>
            <rFont val="Tahoma"/>
            <family val="2"/>
          </rPr>
          <t>0,241</t>
        </r>
        <r>
          <rPr>
            <sz val="14"/>
            <color indexed="10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>ton Congelados Pacifico  S.A. Cert N°18/05-02-16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(C-V) Vende </t>
        </r>
        <r>
          <rPr>
            <b/>
            <sz val="14"/>
            <color indexed="10"/>
            <rFont val="Tahoma"/>
            <family val="2"/>
          </rPr>
          <t>0,72399</t>
        </r>
        <r>
          <rPr>
            <sz val="14"/>
            <color indexed="10"/>
            <rFont val="Tahoma"/>
            <family val="2"/>
          </rPr>
          <t xml:space="preserve"> </t>
        </r>
        <r>
          <rPr>
            <sz val="14"/>
            <color indexed="81"/>
            <rFont val="Tahoma"/>
            <family val="2"/>
          </rPr>
          <t xml:space="preserve">ton a BLUMAR S.A </t>
        </r>
        <r>
          <rPr>
            <sz val="14"/>
            <color indexed="17"/>
            <rFont val="Tahoma"/>
            <family val="2"/>
          </rPr>
          <t xml:space="preserve">(RES.EX. N° 986/05-04-2016) </t>
        </r>
        <r>
          <rPr>
            <sz val="14"/>
            <color indexed="81"/>
            <rFont val="Tahoma"/>
            <family val="2"/>
          </rPr>
          <t xml:space="preserve">
(Co) Cede </t>
        </r>
        <r>
          <rPr>
            <b/>
            <sz val="14"/>
            <color indexed="10"/>
            <rFont val="Tahoma"/>
            <family val="2"/>
          </rPr>
          <t>755,742</t>
        </r>
        <r>
          <rPr>
            <sz val="14"/>
            <color indexed="81"/>
            <rFont val="Tahoma"/>
            <family val="2"/>
          </rPr>
          <t xml:space="preserve"> ton Congelados del Pacífico S.A.. Cert N°121/12-10-16
(C-V) Incrementa </t>
        </r>
        <r>
          <rPr>
            <b/>
            <sz val="14"/>
            <color indexed="81"/>
            <rFont val="Tahoma"/>
            <family val="2"/>
          </rPr>
          <t>949,506</t>
        </r>
        <r>
          <rPr>
            <sz val="14"/>
            <color indexed="81"/>
            <rFont val="Tahoma"/>
            <family val="2"/>
          </rPr>
          <t xml:space="preserve">  ton desde LANDES S.A. </t>
        </r>
        <r>
          <rPr>
            <sz val="14"/>
            <color indexed="17"/>
            <rFont val="Tahoma"/>
            <family val="2"/>
          </rPr>
          <t xml:space="preserve">(RES.EX. N° 3198/21-10-2016) </t>
        </r>
        <r>
          <rPr>
            <sz val="14"/>
            <color indexed="81"/>
            <rFont val="Tahoma"/>
            <family val="2"/>
          </rPr>
          <t xml:space="preserve">
(Co) Cede </t>
        </r>
        <r>
          <rPr>
            <b/>
            <sz val="14"/>
            <color indexed="10"/>
            <rFont val="Tahoma"/>
            <family val="2"/>
          </rPr>
          <t>949,505</t>
        </r>
        <r>
          <rPr>
            <sz val="14"/>
            <color indexed="81"/>
            <rFont val="Tahoma"/>
            <family val="2"/>
          </rPr>
          <t xml:space="preserve"> ton Congelados del Pacífico S.A.. Cert N°128/15-11-16 (modificado por Cert. N° 130/2016)
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SOLO SE IMPUTA OPERACIÓN DE LA </t>
        </r>
        <r>
          <rPr>
            <sz val="12"/>
            <color indexed="81"/>
            <rFont val="Tahoma"/>
            <family val="2"/>
          </rPr>
          <t xml:space="preserve">BIOMAR IV 
</t>
        </r>
      </text>
    </comment>
    <comment ref="G54" authorId="0">
      <text>
        <r>
          <rPr>
            <b/>
            <sz val="11"/>
            <color indexed="81"/>
            <rFont val="Tahoma"/>
            <family val="2"/>
          </rPr>
          <t>rgarcia:</t>
        </r>
        <r>
          <rPr>
            <sz val="11"/>
            <color indexed="81"/>
            <rFont val="Tahoma"/>
            <family val="2"/>
          </rPr>
          <t xml:space="preserve">
desde el 18-10-2016 se imputa a CONGELADOS DEL PACIFICO las capturas de la BIOMAR IV</t>
        </r>
      </text>
    </comment>
  </commentList>
</comments>
</file>

<file path=xl/comments5.xml><?xml version="1.0" encoding="utf-8"?>
<comments xmlns="http://schemas.openxmlformats.org/spreadsheetml/2006/main">
  <authors>
    <author>dcatalan</author>
    <author>mmendoza</author>
    <author>rgarcia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1,7136955 t desde Rubio y Mauad (Res N° 515-16).
(CV) Incremento de 0,2145 t desde Quintero S.A. (Res N° 776-16). </t>
        </r>
      </text>
    </comment>
    <comment ref="L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15,57905 t desde Rubio y Mauad (Res N° 515-16).
(CV) Incremento de 1,95 t desde Quintero S.A. (Res N° 776-16). </t>
        </r>
      </text>
    </comment>
    <comment ref="R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22,745413 t desde Rubio y Mauad (Res N° 515-16).
(CV) Incremento de 2,487 t desde Quintero S.A. (Res N° 776-16). </t>
        </r>
      </text>
    </comment>
    <comment ref="X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32,404424 t desde Rubio y Mauad (Res N° 515-16).
(CV) Incremento de 4,056 t desde Quintero S.A. (Res N° 776-16). </t>
        </r>
      </text>
    </comment>
    <comment ref="AD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32,404424 t desde Rubio y Mauad (Res N° 515-16).
(CV) Incremento de 4,056 t desde Quintero S.A. (Res N° 776-16). </t>
        </r>
      </text>
    </comment>
    <comment ref="AJ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32,4355821 t desde Rubio y Mauad (Res N° 515-16).
(CV) Incremento de 4,0599 t desde Quintero S.A. (Res N° 776-16). </t>
        </r>
      </text>
    </comment>
    <comment ref="AP6" authorId="1">
      <text>
        <r>
          <rPr>
            <b/>
            <sz val="11"/>
            <color indexed="81"/>
            <rFont val="Tahoma"/>
            <family val="2"/>
          </rPr>
          <t>mmendoza: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Incremento de 137.251 ton desde RUBIO Y MAUAD LTDA.(Res N°515/17-02-16)
(CV) Incremento de 17,18 ton desde Quintero S.A Pesq (Res N°776-16)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3,1134455 t a Quintero S.A. (Res N° 1117-16). </t>
        </r>
      </text>
    </comment>
    <comment ref="L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28,30405 t a Quintero S.A. (Res N° 1117-16). </t>
        </r>
      </text>
    </comment>
    <comment ref="R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41,323913 t a Quintero S.A. (Res N° 1117-16). </t>
        </r>
      </text>
    </comment>
    <comment ref="X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58,872424 t a Quintero S.A. (Res N° 1117-16). </t>
        </r>
      </text>
    </comment>
    <comment ref="AD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58,872424 t a Quintero S.A. (Res N° 1117-16). </t>
        </r>
      </text>
    </comment>
    <comment ref="AJ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58,9290321 t a Quintero S.A. (Res N° 1117-16).</t>
        </r>
      </text>
    </comment>
    <comment ref="AP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10"/>
            <rFont val="Tahoma"/>
            <family val="2"/>
          </rPr>
          <t>(Co) Cede 143,102 t a Pesq. Quintero (Certificado Nº 26-2015)</t>
        </r>
        <r>
          <rPr>
            <sz val="14"/>
            <color indexed="10"/>
            <rFont val="Tahoma"/>
            <family val="2"/>
          </rPr>
          <t xml:space="preserve">
(Resciliación Certificado N° 26) Se deja sin efecto Cesión por certificado N° 162-16</t>
        </r>
        <r>
          <rPr>
            <sz val="14"/>
            <color indexed="17"/>
            <rFont val="Tahoma"/>
            <family val="2"/>
          </rPr>
          <t xml:space="preserve">
(CV) Vende 249,4152886 ton a Quintero S.A Pesq (Res N°1117/14-04-16)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0,0044 a Biobio (Res N° 1302-16).
(CV) Cede 0,9552455 t a Bracpesca (Res N° 2980-16).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0,0441 t a Congelados del Pacifico (Cert. N° 28-16).
(CV) Cede 0,044 a Biobio (Res N° 1302-16).
(CV) Cede 8,68405 t a Bracpesca (Res N° 2980-16).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0,0441 t a Congelados del Pacifico (Cert. N° 28-16).
(CV) Cede 0,0584 a Biobio (Res N° 1302-16).
(CV) Cede 12,678713 t a Bracpesca (Res N° 2980-16).</t>
        </r>
      </text>
    </comment>
    <comment ref="X1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0,0441 t a Congelados del Pacifico (Cert. N° 28-16).
(CV) Cede 0,0832 a Biobio (Res N° 1302-16).
(CV) Cede 18,062824 t a Bracpesca (Res N° 2980-16).</t>
        </r>
      </text>
    </comment>
    <comment ref="AD1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0,0441 t a Congelados del Pacifico (Cert. N° 28-16).
(CV) Cede 0,0832 a Biobio (Res N° 1302-16).
(CV) Cede 18,062824 t a Bracpesca (Res N° 2980-16).</t>
        </r>
      </text>
    </comment>
    <comment ref="AJ1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0,0441 t a Congelados del Pacifico (Cert. N° 28-16).
(CV) Cede 0,08328 a Biobio (Res N° 1302-16).
(CV) Cede 18,0801921 t a Bracpesca (Res N° 2980-16).</t>
        </r>
      </text>
    </comment>
    <comment ref="AP10" authorId="2">
      <text>
        <r>
          <rPr>
            <b/>
            <sz val="14"/>
            <color indexed="81"/>
            <rFont val="Tahoma"/>
            <family val="2"/>
          </rPr>
          <t xml:space="preserve">rgarcia: 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(A) Cede 0,2205 t. descontado de regiones IV-VIII a CONGELADOS DEL PACIFICO S.A (Cert 28/16-02-16).</t>
        </r>
        <r>
          <rPr>
            <sz val="11"/>
            <color indexed="81"/>
            <rFont val="Tahoma"/>
            <family val="2"/>
          </rPr>
          <t xml:space="preserve">
(Arr) Cede 0,66106 t. a CONGELADOS DEL PACIFICO S.A (Cert 47/23-03-16), no se distribuye por región
</t>
        </r>
        <r>
          <rPr>
            <strike/>
            <sz val="11"/>
            <color indexed="10"/>
            <rFont val="Tahoma"/>
            <family val="2"/>
          </rPr>
          <t xml:space="preserve">(Arr) Cede 0,04405 t. a BIO BIO S.A (Cert. 51/23.03.16)
</t>
        </r>
        <r>
          <rPr>
            <sz val="11"/>
            <color indexed="10"/>
            <rFont val="Tahoma"/>
            <family val="2"/>
          </rPr>
          <t>Cert.N°71 Deja sin efecto arriendo de 0,04405 t. Cert N° 51/23.03.2016</t>
        </r>
        <r>
          <rPr>
            <sz val="11"/>
            <color indexed="81"/>
            <rFont val="Tahoma"/>
            <family val="2"/>
          </rPr>
          <t xml:space="preserve">
(Co) Cede 2,20353 t. a CONGELADOS DEL PACIFICO S.A (Cert 70/15-04-16)</t>
        </r>
        <r>
          <rPr>
            <sz val="11"/>
            <color indexed="10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0,35248 t. a BIO BIO S.A (Res.N° 1302/29-04-16)
(CV) Vende 76,5238486 t. a BRACPESCA S.A. (Res.N° 2980/05-10-16)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0,9552455 t desde Blumar (Res N° 2980-16).
(CV) Incremento de 0,37125 desde Quintero S.A. (Res N° 763-16)</t>
        </r>
      </text>
    </comment>
    <comment ref="L12" authorId="2">
      <text>
        <r>
          <rPr>
            <b/>
            <sz val="10"/>
            <color indexed="81"/>
            <rFont val="Tahoma"/>
            <family val="2"/>
          </rPr>
          <t>rgarcia:</t>
        </r>
        <r>
          <rPr>
            <sz val="10"/>
            <color indexed="81"/>
            <rFont val="Tahoma"/>
            <family val="2"/>
          </rPr>
          <t xml:space="preserve">
(C. Art-Ind) Incremento de 21,17 ton desde RAE INDIVIDUAL IV-PATRICIO VIAL CHABRILLARDI (Res N°388).
(C. Ind- Art) Cede  59,82 ton a RAE INDIVIDUAL IV-PATRICIO VIAL CHABRILLARDI (Res N°416).
(CV) Incremento de 8,68405 t desde Blumar (Res N° 2980-16).
(CV) Incremento de 3,375 desde Quintero S.A. (Res N° 763-16).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12,678713 t desde Blumar (Res N° 2980-16). 
(CV) Incremento de 4,9275 desde Quintero S.A. (Res N° 763-16).</t>
        </r>
      </text>
    </comment>
    <comment ref="X1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18,062824 t desde Blumar (Res N° 2980-16).
(CV) Incremento de 7,02 desde Quintero S.A. (Res N° 763-16).</t>
        </r>
      </text>
    </comment>
    <comment ref="AD1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18,062824 t desde Blumar (Res N° 2980-16).
(CV) Incremento de 7,02 desde Quintero S.A. (Res N° 763-16).</t>
        </r>
      </text>
    </comment>
    <comment ref="AJ1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18,0801921 t desde Blumar (Res N° 2980-16).
(CV) Incremento de 7,02675 desde Quintero S.A. (Res N° 763-16).
</t>
        </r>
      </text>
    </comment>
    <comment ref="AP12" authorId="2">
      <text>
        <r>
          <rPr>
            <b/>
            <sz val="9"/>
            <color indexed="81"/>
            <rFont val="Arial"/>
            <family val="2"/>
          </rPr>
          <t>rgarcia:</t>
        </r>
        <r>
          <rPr>
            <sz val="9"/>
            <color indexed="81"/>
            <rFont val="Arial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 xml:space="preserve">(C. Art-Ind) Incremento de 21,17 ton desde RAE INDIVIDUAL IV-PATRICIO VIAL CHABRILLARDI (Res N°388).
(C. Ind- Art) cede  </t>
        </r>
        <r>
          <rPr>
            <b/>
            <sz val="11"/>
            <color indexed="17"/>
            <rFont val="Tahoma"/>
            <family val="2"/>
          </rPr>
          <t xml:space="preserve">59,82 </t>
        </r>
        <r>
          <rPr>
            <sz val="11"/>
            <color indexed="17"/>
            <rFont val="Tahoma"/>
            <family val="2"/>
          </rPr>
          <t>ton a RAE INDIVIDUAL IV-PATRICIO VIAL CHABRILLARDI (Res N°416).
(</t>
        </r>
        <r>
          <rPr>
            <b/>
            <sz val="11"/>
            <color indexed="17"/>
            <rFont val="Tahoma"/>
            <family val="2"/>
          </rPr>
          <t xml:space="preserve">CV) Incrementa 29,7405 ton desde QUINTERO S.A. PESQ.(Res N°763/14-03-16)
(CV) Incrementa 76,5238486 t. desde BLUMAR S.A.. (Res.N° 2980/05-10-16)
</t>
        </r>
      </text>
    </comment>
    <comment ref="F1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Cede 0,002 t.  (en total unidad pesqeria 0,1778 t.) a PESQUERA CMK LTDA (Cert 48/23.03.16)</t>
        </r>
      </text>
    </comment>
    <comment ref="L1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Cede 0,02 t.  (en total unidad pesqeria 0,1778 t.) a PESQUERA CMK LTDA (Cert 48/23.03.16)</t>
        </r>
      </text>
    </comment>
    <comment ref="R1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0,04445 t a Jorge Cofre Reyes (Cert. N° 40-16)
(Arr) Cede 0,029 t.  (en total unidad pesqeria 0,1778 t.) a PESQUERA CMK LTDA (Cert 48/23.03.16)</t>
        </r>
      </text>
    </comment>
    <comment ref="X1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0,04445 t a Jorge Cofré Reyes (Cert. N° 40-16)
(Arr) Cede 0,042 t.  (en total unidad pesqeria 0,1778 t.) a PESQUERA CMK LTDA (Cert 48/23.03.16)</t>
        </r>
      </text>
    </comment>
    <comment ref="AD1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0,04445 t a Jorge Cofré Reyes (Cert. N° 40-16).
(Arr) Cede 0,042 t.  (en total unidad pesqeria 0,1778 t.) a PESQUERA CMK LTDA (Cert 48/23.03.16)</t>
        </r>
      </text>
    </comment>
    <comment ref="AF1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descuenta 0,46 to. PI Resl Res N°1322 P. Investigación,C.Nailon,201</t>
        </r>
      </text>
    </comment>
    <comment ref="AJ1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(A) Cede 0,04445 t a Jorge Cofré Reyes (Cert. N° 40-16).
(Arr) Cede 0,042 t.  (en total unidad pesqeria 0,1778 t.) a PESQUERA CMK LTDA (Cert 48/23.03.16)</t>
        </r>
      </text>
    </comment>
    <comment ref="AP14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(Arr) Cede  un total de 0,1778 ton a Jorge Jofre Reyes (Cert 40/15.03.16)</t>
        </r>
        <r>
          <rPr>
            <sz val="11"/>
            <color indexed="81"/>
            <rFont val="Tahoma"/>
            <family val="2"/>
          </rPr>
          <t xml:space="preserve">
(Arr) Cede un total 0,1778 ton a PESQUERA CMK LTDA distribuida en todas las regiones según coeficiente 0,0000404 (Cert 48/23.03.16)</t>
        </r>
      </text>
    </comment>
    <comment ref="AF15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rgarcia:
capturas desde el 22-11-2016  de ANTARES y N.S. DE LA TIRANA II se imputan a PESQ. ISLADAMAS S.A.</t>
        </r>
      </text>
    </comment>
    <comment ref="AL15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capturas desde el 22-11-2016  de ANTARES y N.S. DE LA TIRANA II se imputan a PESQ. ISLADAMAS S.A.</t>
        </r>
      </text>
    </comment>
    <comment ref="F1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1,1389 t a Isladamas (Res N° 1894-16). </t>
        </r>
      </text>
    </comment>
    <comment ref="L1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10,35345 t a Isladamas (Res N° 1894-16). 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15,117351 t a Isladamas (Res N° 1894-16). </t>
        </r>
      </text>
    </comment>
    <comment ref="X1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21,537048 t a Isladamas (Res N° 1894-16). </t>
        </r>
      </text>
    </comment>
    <comment ref="AD1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21,537048 t a Isladamas (Res N° 1894-16).</t>
        </r>
      </text>
    </comment>
    <comment ref="AJ1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21,5577567 t a Isladamas (Res N° 1894-16).</t>
        </r>
      </text>
    </comment>
    <comment ref="AP16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(C-V) Vende 91,222 t. a ISLADAMAS S.A. PESQ. (Res.N° 1894/15-06-16)</t>
        </r>
      </text>
    </comment>
    <comment ref="F2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(CV)Incrementa 0,0998855 t desde Ant. Cruz Cordova N (Res N° 386-16).
(CV) Incremento  0,561 t desde Quintero S.A. Pesq. (Res N° 765-16).
(CV Incremento de 0,14025 t desde Rubio y Mauad Ltda. (Res N° 779-16). 
(CV) Incremento de 2,5047 t desde ALSAN Res N° 1019-1020-1021-1022-1023-1024-1025-1026-1027-1028-1029-1030-1031/todas de 07-04-2016).
(CV) Incremento de 1,1389 t desde Costa Braba (Res N° 1894-16). 
(CV) Incremento de 2,0301215 desde Pesq. Sunrise (Res N° 1938-16). 
(CV) Incremento de 0,2475 desde Distrimar (Res N° 1422-16).
(CV) Incremento de 0,2475 desde Distrimar (Res N° 1423-16).
(CV) Incremento de 0,12925 desde Distrimar (Res N° 1424-16).</t>
        </r>
      </text>
    </comment>
    <comment ref="L2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(CV)Incrementa 0,90805 t desde Ant. Cruz Cordova N (Res N° 386-16)
(CV) Incremento 5,1 t desde Quintero S.A. Pesq. (Res N° 765-16)
(CV Incremento de 1,275 t desde Rubio y Mauad Ltda. (Res N° 779-16)
(CV) Incremento de 22,77 t desde ALSAN Res N° 1019-1020-1021-1022-1023-1024-1025-1026-1027-1028-1029-1030-1031/todas de 07-04-2016).
(CV) Incremento de 10,35435 t desde Costa Braba (Res N° 1894-16). 
(CV) Incremento de 18,45565 desde Pesq. Sunrise (Res N° 1938-16). 
(CV) Incremento de 2,25 desde Distrimar (Res N° 1422-16).
(CV) Incremento de 2,25 desde Distrimar (Res N° 1423-16).
(CV) Incremento de 1,175 desde Distrimar (Res N° 1424-16).</t>
        </r>
      </text>
    </comment>
    <comment ref="N2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descuenta PI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(CV)Incrementa 1,325753  t desde Ant. Cruz Cordova N (Res N° 386-16)
(CV) Incremento 7,446 desde Quintero S.A. Pesq. (Res N° 765-16)
(CV Incremento de 1,8615 t desde Rubio y Mauad Ltda. (Res N° 779-16). 
(CV) Incremento de 33,2442 t desde ALSAN Res N° 1019-1020-1021-1022-1023-1024-1025-1026-1027-1028-1029-1030-1031/todas de 07-04-2016). 
(CV) Incremento de 15,117351 t desde Costa Braba (Res N° 1894-16). 
(CV) Incremento de 26,945249 desde Pesq. Sunrise (Res N° 1938-16). 
(CV) Incremento de 3,285 desde Distrimar (Res N° 1422-16).
(CV) Incremento de 3,285 desde Distrimar (Res N° 1423-16).
(CV) Incremento de 1,7155 desde Distrimar (Res N° 1424-16).</t>
        </r>
      </text>
    </comment>
    <comment ref="T2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Se suma Operación SUNRISE, de embarcacion  Isla Orcas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(CV)Incrementa 1,888744 t desde Ant. Cruz Cordova N (Res N° 386-16)
(CV) Incremento  10,608 desde Quintero S.A. Pesq. (Res N° 765-16)
(CV Incremento de 2,652 t desde Rubio y Mauad Ltda. (Res N° 779-16). 
(CV) Incremento de 47,3616 t desde ALSAN Res N° 1019-1020-1021-1022-1023-1024-1025-1026-1027-1028-1029-1030-1031/todas de 07-04-2016).
(CV) Incremento de 21,537048 t desde Costa Braba (Res N° 1894-16). 
(CV) Incremento de 38,387752 desde Pesq. Sunrise (Res N° 1938-16). 
(CV) Incremento de 4,68 desde Distrimar (Res N° 1422-16).
(CV) Incremento de 4,68 desde Distrimar (Res N° 1423-16).
(CV) Incremento de 2,444 desde Distrimar (Res N° 1424-16).</t>
        </r>
      </text>
    </comment>
    <comment ref="Z2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lo de SUNRISE SA</t>
        </r>
      </text>
    </comment>
    <comment ref="AD2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(CV)Incrementa 1,888744 t desde Ant. Cruz Cordova N (Res N° 386-16)
(CV) Incremento  10,608 desde Quintero S.A. Pesq. (Res N° 765-16)
(CV Incremento de 2,652 t desde Rubio y Mauad Ltda. (Res N° 779-16).
(CV) Incremento de 47,3616 t desde ALSAN Res N° 1019-1020-1021-1022-1023-1024-1025-1026-1027-1028-1029-1030-1031/todas de 07-04-2016).
(CV) Incremento de 21,537048 t desde Costa Braba (Res N° 1894-16). 
(CV) Incremento de 38,387752 desde Pesq. Sunrise (Res N° 1938-16). 
(CV) Incremento de 4,68 desde Distrimar (Res N° 1422-16).
(CV) Incremento de 4,68 desde Distrimar (Res N° 1423-16).
(CV) Incremento de 2,444 desde Distrimar (Res N° 1424-16).</t>
        </r>
      </text>
    </comment>
    <comment ref="AF2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lo de SUNRISE SA</t>
        </r>
      </text>
    </comment>
    <comment ref="AJ2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(CV)Incrementa  1,8905601 t desde Ant. Cruz Cordova N (Res N° 386-16)
(CV) Incremento 10,6182 t desde Quintero S.A. Pesq. (Res N° 765-16)
(CV Incremento de 2,65455 t desde Rubio y Mauad Ltda. (Res N° 779-16).
(CV) Incremento de 47,40714 t desde ALSAN Res N° 1019-1020-1021-1022-1023-1024-1025-1026-1027-1028-1029-1030-1031/todas de 07-04-2016).
(CV) Incremento de 21,5577567 t desde Costa Braba (Res N° 1894-16). 
(CV) Incremento de 38,4246633 desde Pesq. Sunrise (Res N° 1938-16). 
(CV) Incremento de 4,6845 desde Distrimar (Res N° 1422-16).
(CV) Incremento de 4,6845 desde Distrimar (Res N° 1423-16).
(CV) Incremento de 2,44635 desde Distrimar (Res N° 1424-16).</t>
        </r>
      </text>
    </comment>
    <comment ref="AP20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7,9999  ton desde ANTONIO CRUZ CORDOVA NAKOUZI E.I.R.L  (Res N°386-16)
(CV) Incrementa 44,931 ton desde Quintero S.A Pesq (Res N°765-16)
(CV) Incrementa 11,23 ton desde RUBIO Y MAUAD LTDA.  (Res N°779-16)
(CV) Incrementa 200,604 ton desde ALIMENTOS ALSAN LIMITADA. (Res N°1019-1020-1021-1022-1023-1024-1025-1026-1027-1028-1029-1030-1031/07-04-2016)
(C-V) Incrementa 19,823 + 19,823 + 10,352 t. desde SOC. DIST.  PROD. DEL MAR S.A (Res.N° 1422-1423 Y 1424/11-05-16)
(C-V) Incrementa 91,222 desde PESQUERA COSTA BRAVA LIMITADA (Res.N° 1894/15-06-16)
(C-V) Incrementa 162,594 (distibuido en 2 periodos) desde PESQUERA SUNRISE S.A. (Res.N° 1938/16-06-16).</t>
        </r>
      </text>
    </comment>
    <comment ref="AF21" authorId="2">
      <text>
        <r>
          <rPr>
            <b/>
            <sz val="16"/>
            <color indexed="81"/>
            <rFont val="Tahoma"/>
            <family val="2"/>
          </rPr>
          <t>rgarcia:</t>
        </r>
        <r>
          <rPr>
            <sz val="16"/>
            <color indexed="81"/>
            <rFont val="Tahoma"/>
            <family val="2"/>
          </rPr>
          <t xml:space="preserve">
SE IMPUTA CAPTURA DE ISLA ORCAS DE SUNRISE SA Y capturas desde el 22-11-2016  de ANTARES y N.S. DE LA TIRANA II se imputan a PESQ. ISLADAMAS S.A.</t>
        </r>
      </text>
    </comment>
    <comment ref="AL21" authorId="2">
      <text>
        <r>
          <rPr>
            <sz val="9"/>
            <color indexed="81"/>
            <rFont val="Tahoma"/>
            <family val="2"/>
          </rPr>
          <t>SE IMPUTA CAPTURA DE ISLA ORCAS DE SUNRISE SA Y capturas desde el 22-11-2016  de ANTARES y N.S. DE LA TIRANA II se imputan a PESQ. ISLADAMAS S.A.</t>
        </r>
      </text>
    </comment>
    <comment ref="F2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1,7850635 a Quintero S.A. (Res N° 1107-16).</t>
        </r>
      </text>
    </comment>
    <comment ref="L2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16,22785 a Quintero S.A. (Res N° 1107-16).</t>
        </r>
      </text>
    </comment>
    <comment ref="R2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23,692661 a Quintero S.A. (Res N° 1107-16).</t>
        </r>
      </text>
    </comment>
    <comment ref="X2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33,753928 a Quintero S.A. (Res N° 1107-16).</t>
        </r>
      </text>
    </comment>
    <comment ref="AD2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33,753928 a Quintero S.A. (Res N° 1107-16).</t>
        </r>
      </text>
    </comment>
    <comment ref="AJ2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33,7863837 a Quintero S.A. (Res N° 1107-16).</t>
        </r>
      </text>
    </comment>
    <comment ref="AP2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10"/>
            <rFont val="Tahoma"/>
            <family val="2"/>
          </rPr>
          <t>(Co) Cede 143,102 t a Pesq. Quintero (Certificado Nº 24-2015)</t>
        </r>
        <r>
          <rPr>
            <sz val="9"/>
            <color indexed="10"/>
            <rFont val="Tahoma"/>
            <family val="2"/>
          </rPr>
          <t xml:space="preserve">
(Resciliación Certificado N° 24) Se deja sin efecto Cesión por certificado N° 160-16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(CV) Vende 142,9998142 ton a Quintero S.A Pesq (Res N°1107/14-04-16)</t>
        </r>
      </text>
    </comment>
    <comment ref="F2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4,0280295 a Quintero S.A. (Res N° 1115-16).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36,61845 a Quintero S.A. (Res N° 1115-16).</t>
        </r>
      </text>
    </comment>
    <comment ref="R2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53,462937 a Quintero S.A. (Res N° 1115-16).</t>
        </r>
      </text>
    </comment>
    <comment ref="X2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76,166376 a Quintero S.A. (Res N° 1115-16).</t>
        </r>
      </text>
    </comment>
    <comment ref="AD2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76,166376 a Quintero S.A. (Res N° 1115-16).</t>
        </r>
      </text>
    </comment>
    <comment ref="AJ2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76,2396129 a Quintero S.A. (Res N° 1115-16).</t>
        </r>
      </text>
    </comment>
    <comment ref="AP26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10"/>
            <rFont val="Tahoma"/>
            <family val="2"/>
          </rPr>
          <t>(Co) Cede 322,741 t a Pesq. Quintero (Certificado Nº 21-2015).</t>
        </r>
        <r>
          <rPr>
            <sz val="9"/>
            <color indexed="10"/>
            <rFont val="Tahoma"/>
            <family val="2"/>
          </rPr>
          <t xml:space="preserve">
(Resciliación Certificado N° 21) Se deja sin efecto Cesió por certificado N° 164-16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(CV) Vende 322,6817814 ton a Quintero S.A Pesq (Res N°1115/14-04-16)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0,9636 t a Quintero S.A. (Res N° 1119-16).</t>
        </r>
      </text>
    </comment>
    <comment ref="L2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8,76015 t a Quintero S.A. (Res N° 1119-16).</t>
        </r>
      </text>
    </comment>
    <comment ref="R2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12,789819 t a Quintero S.A. (Res N° 1119-16).</t>
        </r>
      </text>
    </comment>
    <comment ref="X2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CV) Cede 18,221112 t a Quintero S.A. (Res N° 1119-16).</t>
        </r>
      </text>
    </comment>
    <comment ref="AD2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CV) Cede 18,221112 t a Quintero S.A. (Res N° 1119-16).</t>
        </r>
      </text>
    </comment>
    <comment ref="AJ2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18,2386323 t a Quintero S.A. (Res N° 1119-16).</t>
        </r>
      </text>
    </comment>
    <comment ref="AP28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10"/>
            <rFont val="Tahoma"/>
            <family val="2"/>
          </rPr>
          <t>(Co) Descuenta por comodato 90,9 t a  QUINTERO SA. (Certificado Nº 23-2015)</t>
        </r>
        <r>
          <rPr>
            <sz val="9"/>
            <color indexed="10"/>
            <rFont val="Tahoma"/>
            <family val="2"/>
          </rPr>
          <t xml:space="preserve">
(Resciliación Certificado N° 23) Se deja sin efecto Cesión por certificado N° 166-16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(CV) Vende 77,1944418 ton a Pesquera Quintero S.A (Res N°1119/14-04-16)</t>
        </r>
      </text>
    </comment>
    <comment ref="F3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0,561 t a Isladamas S.A. (Res N° 765-16).
(CV) Cede 0,2145 a Antartic Seafood (Res N° 776-16).
(CV) Incremento de 3,1134455 desde Baycic Baycic Maria (Res N° 1117-16).
(CV) Incremento de 0,9636165 desde Quintero Ltda (Res N° 1119-16).
(CV) Incremento de 4,0280295 t desde Morozin Yuresic mario (Res N° 1115-16).
(CV) Cede 0,37125 a Bracpesca S.A. (Res N° 763-16).
(CV) Incremento de 1,7850635 desde Morozin Baycic Maria Ana (Res N° 1107-16).
(CV) Cede 0,01485 ton a Enfemar (Res N° 3700-15)</t>
        </r>
      </text>
    </comment>
    <comment ref="L30" authorId="1">
      <text>
        <r>
          <rPr>
            <b/>
            <sz val="12"/>
            <color indexed="81"/>
            <rFont val="Tahoma"/>
            <family val="2"/>
          </rPr>
          <t>mmendoza: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( C) Incremento de 135 ton desde Artesanal IV Reg (Res N°605).
(CV) Cede 5,1 t a Isladamas S.A. (Res N° 765-16).
(CV) Cede 1,95 a Antartic Seafood (Res N° 776-16).
(CV) Incremento de 28,30405 desde Baycic Baycic Maria (Res N° 1117-16).
(CV) Incremento de 8,76015 desde Quintero Ltda (Res N° 1119-16).
(CV) Incremento de 36,61845 t desde Morozin Yuresic mario (Res N° 1115-16).
(CV) Cede 3,375 a Bracpesca S.A. (Res N° 763-16).
(CV) Incremento de 16,22785 desde Morozin Baycic Maria Ana (Res N° 1107-16).
(CV) Cede 0,135 ton a Enfemar (Res N° 3700-15)</t>
        </r>
      </text>
    </comment>
    <comment ref="R3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7,446 t a Isladamas S.A. (Res N° 765-16).
(CV) Cede 2,847 a Antartic Seafood (Res N° 776-16).
(CV) Incremento de 41,323913 desde Baycic Baycic Maria (Res N° 1117-16).
(CV) Incremento de 12,789819 desde Quintero Ltda (Res N° 1119-16).
(CV) Incremento de 53,462937 t desde Morozin Yuresic mario (Res N° 1115-16).
(CV) Cede 4,9275 a Bracpesca S.A. (Res N° 763-16).
(CV) Incremento de 23,692661 desde Morozin Baycic Maria Ana (Res N° 1107-16).
(CV) Cede 0,19715 ton a Enfemar (Res N° 3700-15).</t>
        </r>
      </text>
    </comment>
    <comment ref="X3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10,608 t a Isladamas S.A. (Res N° 765-16).
(CV) Cede 4,056 a Antartic Seafood (Res N° 776-16).
(CV) Incremento de 58,872424 desde Baycic Baycic Maria (Res N° 1117-16).
(CV) Incremento de 18,221112 desde Quintero Ltda (Res N° 1119-16).
(CV) Incremento de 76,166376 t desde Morozin Yuresic mario (Res N° 1115-16).
(CV) Cede 7,02 a Bracpesca S.A. (Res N° 763-16).
(CV) Incremento de 33,753928 desde Morozin Baycic Maria Ana (Res N° 1107-16).
(CV) Cede 0,2808 ton a Enfemar (Res N° 3700-15)</t>
        </r>
      </text>
    </comment>
    <comment ref="AD3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10,608 t a Isladamas S.A. (Res N° 765-16).
(CV) Cede 4,056 a Antartic Seafood (Res N° 776-16).
(CV) Incremento de 58,872424 desde Baycic Baycic Maria (Res N° 1117-16).
(CV) Incremento de 18,221112 desde Quintero Ltda (Res N° 1119-16).
(CV) Incremento de 76,166376 t desde Morozin Yuresic mario (Res N° 1115-16).
(CV) Cede 7,02 a Bracpesca S.A. (Res N° 763-16).
(CV) Incremento de 33,753928 desde Morozin Baycic Maria Ana (Res N° 1107-16).
(CV) Cede 0,2808 ton a Enfemar (Res N° 3700-15)</t>
        </r>
      </text>
    </comment>
    <comment ref="AJ3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10,6182 t a Isladamas S.A. (Res N° 765-16).
(CV) Cede 4,0599 a Antartic Seafood (Res N° 776-16).
(CV) Incremento de 58,9290321 desde Baycic Baycic Maria (Res N° 1117-16). 
(CV) Incremento de 18,2386323 desde Quintero Ltda (Res N° 1119-16).
(CV) Incremento de 76,2396129 t desde Morozin Yuresic mario (Res N° 1115-16).
(CV) Cede 7,02675 a Bracpesca S.A. (Res N° 763-16).
(CV) Incremento de 33,7863837 desde Morozin Baycic Maria Ana (Res N° 1107-16).
(CV) Cede 0,28107 ton a Enfemar (Res N° 3700-15).</t>
        </r>
      </text>
    </comment>
    <comment ref="AP3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17"/>
            <rFont val="Tahoma"/>
            <family val="2"/>
          </rPr>
          <t>(Co) Incremento 379,695 t desde MARIO MOROSIN (Certificado Nº 21-2015)</t>
        </r>
        <r>
          <rPr>
            <sz val="12"/>
            <color indexed="17"/>
            <rFont val="Tahoma"/>
            <family val="2"/>
          </rPr>
          <t xml:space="preserve">
(Resciliación Certificado N° 21) Se deja sin efecto Cesión por certificado N° 164-16
</t>
        </r>
        <r>
          <rPr>
            <strike/>
            <sz val="12"/>
            <color indexed="17"/>
            <rFont val="Tahoma"/>
            <family val="2"/>
          </rPr>
          <t>(Co) Incremento 90,9 t desde QUINTERO LTDA. (Certificado Nº 23-2015)</t>
        </r>
        <r>
          <rPr>
            <sz val="12"/>
            <color indexed="17"/>
            <rFont val="Tahoma"/>
            <family val="2"/>
          </rPr>
          <t xml:space="preserve">
(Resciliación Certificado N° 23) Se deja sin efecto Cesión por certificado N° 166-16
</t>
        </r>
        <r>
          <rPr>
            <strike/>
            <sz val="12"/>
            <color indexed="17"/>
            <rFont val="Tahoma"/>
            <family val="2"/>
          </rPr>
          <t>(Co) Incremento 143,102 t desde MARIA ANA MOROSIN (Certificado Nº 24-2015)</t>
        </r>
        <r>
          <rPr>
            <sz val="12"/>
            <color indexed="17"/>
            <rFont val="Tahoma"/>
            <family val="2"/>
          </rPr>
          <t xml:space="preserve">
(Resciliación Certificado N° 24) Se deja sin efecto Cesión por certificado N° 160-16
</t>
        </r>
        <r>
          <rPr>
            <strike/>
            <sz val="12"/>
            <color indexed="17"/>
            <rFont val="Tahoma"/>
            <family val="2"/>
          </rPr>
          <t>(Co) Incremento 293,5189 t. desde MARIA BAYCIC BAYSIC (Certificado Nº 26-2015)</t>
        </r>
        <r>
          <rPr>
            <sz val="12"/>
            <color indexed="17"/>
            <rFont val="Tahoma"/>
            <family val="2"/>
          </rPr>
          <t xml:space="preserve">
(Resciliación Certificado N° 26) Se deja sin efecto Cesión por certificado N° 162-16
(C Art-Ind) Incremento en la IV región  135 ton desde ARTESANAL IV Reg (Res N°605)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1,18962 ton a ENFEMAR LTDA. SOC. PESQ. (Res N°3700/31-12-2015)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17,18 ton a ANTARTIC SEAFOOD S.A.(Res N°776/14-03-16)
(CV) Vende 44,931 ton a ISLADAMAS S.A. PESQ. (Res N°765/14-03-16) 
(CV) Vende 29,7405 ton a BRACPESCA S.A.(Res N°763/14-03-16)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Incrementa  77,1944418 ton desde SOC. PESQUERA QUINTERO LTDA (Res N°1119/14-04-16).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Incrementa  249,4152886 ton desde MARÍA BAYCIC BAYCIC (Res N°1117/14-04-16).
(CV) Incrementa  322,6817814 ton desde MARIO MOROZIN YURESIC (Res N°1115/14-04-16).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Incrementa  142,9998142 ton desde MARÍA ANA MOROZÍN BAYCIC (Res N°1107/14-04-16).</t>
        </r>
      </text>
    </comment>
    <comment ref="F3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0,14025 t a Isladamas (Res N° 779).
(CV) Cede 1,7136955 t a Antartic Seafood (Res N° 515-16).
</t>
        </r>
      </text>
    </comment>
    <comment ref="L3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(C. Art-Ind) Incremento de 190,53 ton desde RAE INDIVIDUAL IV-PATRICIO VIAL CHABRILLARDI (Res N°398).
(CV) Cede 1,275 t a Isladamas (Res N° 779).
(CV) Cede 15,57905 t a Antartic Seafood (Res N° 515-16).
</t>
        </r>
      </text>
    </comment>
    <comment ref="N3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Operación  con embarcación PUNTA TALCA arendada de ARTESANAL  PATRICIO GENARO VIAL CHABRILLARD</t>
        </r>
      </text>
    </comment>
    <comment ref="R3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1,8615 t a Isladamas (Res N° 779). 
(CV) Cede 22,745413 t a Antartic Seafood (Res N° 515-16).</t>
        </r>
      </text>
    </comment>
    <comment ref="X3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2,652 t a Isladamas (Res N° 779).
(CV) Cede 32,404424 t a Antartic Seafood (Res N° 515-16).</t>
        </r>
      </text>
    </comment>
    <comment ref="AD3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2,652 t a Isladamas (Res N° 779).
(CV) Cede 32,404424 t a Antartic Seafood (Res N° 515-16).</t>
        </r>
      </text>
    </comment>
    <comment ref="AJ3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2,65455 t a Isladamas (Res N° 779).
(CV) Cede 32,4355821 t a Antartic Seafood (Res N° 515-16).</t>
        </r>
      </text>
    </comment>
    <comment ref="AP32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10"/>
            <rFont val="Tahoma"/>
            <family val="2"/>
          </rPr>
          <t>(Co) Incremento de 322,741 t desde Morozin Yurecic Mario (Certificado Nº 21).
(Co) Incremento de 77,264 t desde Quintero Ltda (Certificado Nº 23).
(Co) Incremento de 143,102 t desde Maria Ana Morozin (Certificado Nº 24).
(Co) Incremento de 294,490905 t desde Baycic Baycic maria (Certificado Nº 26).</t>
        </r>
        <r>
          <rPr>
            <sz val="12"/>
            <color indexed="10"/>
            <rFont val="Tahoma"/>
            <family val="2"/>
          </rPr>
          <t xml:space="preserve">
(Resciliación Cert. N° 21-23-24 y 26) Se dejan sin efecto los incrementos por certificados N° 164-166-160 y 162, respectivamente todos del 2016.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(C. Art-Ind) Incremento de 190,53 ton desde RAE INDIVIDUAL IV-PATRICIO VIAL CHABRILLARDI (Res N°398).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137.251 ton a Antartic Seafood (Res N°515-16)
(CV) Vende 11,23ton a Antartic Seafood (Res N°779-16)</t>
        </r>
      </text>
    </comment>
    <comment ref="T33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Operación  con embarcación PUMA II arendada de ARTESANAL  ALICIA GARCIA CARRASCO</t>
        </r>
      </text>
    </comment>
    <comment ref="F3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2,0301215 a isladamas (Res N° 1938-16).</t>
        </r>
      </text>
    </comment>
    <comment ref="L3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18,45565 a isladamas (Res N° 1938-16).</t>
        </r>
      </text>
    </comment>
    <comment ref="R3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26,945249 a isladamas (Res N° 1938-16).</t>
        </r>
      </text>
    </comment>
    <comment ref="T3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Operación de embarcacion  Isla Orcas a ISLADAMAS SA</t>
        </r>
      </text>
    </comment>
    <comment ref="X3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38,387752 a isladamas (Res N° 1938-16).</t>
        </r>
      </text>
    </comment>
    <comment ref="AD3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38,387752 a isladamas (Res N° 1938-16).</t>
        </r>
      </text>
    </comment>
    <comment ref="AJ3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38,4246633 a Isladamas (Res N° 1938-16).</t>
        </r>
      </text>
    </comment>
    <comment ref="AP3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(C-V) Vende 162,6311878 t. a ISLADAMAS S.A. PESQ. (Res.N° 1938/16-06-16).</t>
        </r>
      </text>
    </comment>
    <comment ref="F3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(CV)Cede 0,0998855 t a Isladamas (Res N° 386-16)</t>
        </r>
      </text>
    </comment>
    <comment ref="L3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(CV)Cede 0,90805 t a Isladamas (Res N° 386-16)</t>
        </r>
      </text>
    </comment>
    <comment ref="R3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(CV)Cede 1,325753 t a Isladamas (Res N° 386-16)</t>
        </r>
      </text>
    </comment>
    <comment ref="X3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(CV)Cede 1,888744  t a Isladamas (Res N° 386-16)</t>
        </r>
      </text>
    </comment>
    <comment ref="AD3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(CV)Cede 1,888744 t a Isladamas (Res N° 386-16)</t>
        </r>
      </text>
    </comment>
    <comment ref="AJ3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(CV)Cede 1,888744  t a Isladamas (Res N° 386-16)</t>
        </r>
      </text>
    </comment>
    <comment ref="AP36" authorId="2">
      <text>
        <r>
          <rPr>
            <b/>
            <sz val="16"/>
            <color indexed="81"/>
            <rFont val="Tahoma"/>
            <family val="2"/>
          </rPr>
          <t>rgarcia: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7,9999 ton a Isladamas S.A (Res N°386-16)</t>
        </r>
      </text>
    </comment>
    <comment ref="F3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0,0044 desde Blumar (Res N°1302-16). </t>
        </r>
      </text>
    </comment>
    <comment ref="L3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0,04 desde Blumar (Res N°1302-16). </t>
        </r>
      </text>
    </comment>
    <comment ref="R3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0,0584 desde Blumar (Res N°1302-16). </t>
        </r>
      </text>
    </comment>
    <comment ref="X3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0,0832 desde Blumar (Res N°1302-16). </t>
        </r>
      </text>
    </comment>
    <comment ref="AD3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0,0832 desde Blumar (Res N°1302-16). </t>
        </r>
      </text>
    </comment>
    <comment ref="AJ3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0,08328 desde Blumar (Res N°1302-16). </t>
        </r>
      </text>
    </comment>
    <comment ref="AP38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1"/>
            <color indexed="10"/>
            <rFont val="Tahoma"/>
            <family val="2"/>
          </rPr>
          <t>(Arr) incrementa 0,04407 t. desde BLUMAR S.A (Cert. 51/23.03.16)</t>
        </r>
        <r>
          <rPr>
            <sz val="11"/>
            <color indexed="10"/>
            <rFont val="Tahoma"/>
            <family val="2"/>
          </rPr>
          <t xml:space="preserve">
Cert.N°71 Deja sin efecto arriendo de 0,04405 t. Cert N° 51/23.03.2016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 xml:space="preserve">(CV) Incrementa 0,35248 t. dede BLUMAR S.A (Res.N° 1302/29-04-16) </t>
        </r>
        <r>
          <rPr>
            <sz val="11"/>
            <color indexed="81"/>
            <rFont val="Tahoma"/>
            <family val="2"/>
          </rPr>
          <t xml:space="preserve">
(Co) Cede por comodato 0,5023 t. a CONGELADOS PACIFICO S.A.
(Cert. 116/04-10-16)</t>
        </r>
      </text>
    </comment>
    <comment ref="F4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0,01485 desde Quintero S.A. (Res N° 3700-16).</t>
        </r>
      </text>
    </comment>
    <comment ref="L4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0,135 desde Quintero S.A. (Res N° 3700-16).</t>
        </r>
      </text>
    </comment>
    <comment ref="R4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0,1971 desde Quintero S.A. (Res N° 3700-16).</t>
        </r>
      </text>
    </comment>
    <comment ref="X4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0,2808 desde Quintero S.A. (Res N° 3700-16).</t>
        </r>
      </text>
    </comment>
    <comment ref="AD4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0,2808 desde Quintero S.A. (Res N° 3700-16).</t>
        </r>
      </text>
    </comment>
    <comment ref="AJ4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0,28107 desde Quintero S.A. (Res N° 3700-16).</t>
        </r>
      </text>
    </comment>
    <comment ref="AP4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(CV) Incrementa 1,18962. desde QUINTERO S.A. PESQ. (Res N°3700/2015).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2,5047 t a Isladamas (Res N° 1019-1020-1021-1022-1023-1024-1025-1026-1027-1028-1029-1030-1031/todas de 07-04-2016)
(CV) Cede 0,2475 a Distrimar (Res N° 939-16).
(CV) Cede 0,2475 a Distrimar (Res N° 940-16).
(CV) Cede 0,12925 a Distrimar (Res N° 941-16)</t>
        </r>
      </text>
    </comment>
    <comment ref="L4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22,77 t a Isladamas (Res N° 1019-1020-1021-1022-1023-1024-1025-1026-1027-1028-1029-1030-1031/todas de 07-04-2016).
(CV) Cede 2,25 a Distrimar (Res N° 939-16).
(CV) Cede 2,25 a Distrimar (Res N° 940-16).
(CV) Cede 1,175 a Distrimar (Res N° 941-16).</t>
        </r>
      </text>
    </comment>
    <comment ref="R4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33,2442 t a Isladamas (Res N° 1019-1020-1021-1022-1023-1024-1025-1026-1027-1028-1029-1030-1031/todas de 07-04-2016).
CV) Cede 3,285 a Distrimar (Res N° 939-16).
(CV) Cede 3,285 a Distrimar (Res N° 940-16).
(CV) Cede 1,7155 a Distrimar (Res N° 941-16).</t>
        </r>
      </text>
    </comment>
    <comment ref="X4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47,3616 t a Isladamas (Res N° 1019-1020-1021-1022-1023-1024-1025-1026-1027-1028-1029-1030-1031/todas de 07-04-2016). 
CV) Cede 4,68 a Distrimar (Res N° 939-16).
(CV) Cede 4,68 a Distrimar (Res N° 940-16).
(CV) Cede 2,444 a Distrimar (Res N° 941-16).</t>
        </r>
      </text>
    </comment>
    <comment ref="AD4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47,3616 t a Isladamas (Res N° 1019-1020-1021-1022-1023-1024-1025-1026-1027-1028-1029-1030-1031/todas de 07-04-2016).
CV) Cede 4,68 a Distrimar (Res N° 939-16).
(CV) Cede 4,68 a Distrimar (Res N° 940-16).
(CV) Cede 2,444 a Distrimar (Res N° 941-16).</t>
        </r>
      </text>
    </comment>
    <comment ref="AJ4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47,40714 t a Isladamas (Res N° 1019-1020-1021-1022-1023-1024-1025-1026-1027-1028-1029-1030-1031/todas de 07-04-2016).
CV) Cede 4,6845 a Distrimar (Res N° 939-16).
(CV) Cede 4,6845 a Distrimar (Res N° 940-16).
(CV) Cede 2,44635 a Distrimar (Res N° 941-16).</t>
        </r>
      </text>
    </comment>
    <comment ref="AP42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19,827 ton a SOC. DISTRIB. PRODUCTOS DEL MAR LTDA. (Res N°939-16)
(CV) Vende 19,823 ton a SOC. DISTRIB. PRODUCTOS DEL MAR LTDA. (Res N°940-16)
(CV) Vende 10,352 ton a SOC. DISTRIB. PRODUCTOS DEL MAR LTDA. (Res N°941-16)
(CV) Vende un total de 200,604 ton a ISLADAMAS S.A. PESQ. (Res N°1019-1020-1021-1022-1023-1024-1025-1026-1027-1028-1029-1030-1031/07-04-2016)</t>
        </r>
      </text>
    </comment>
    <comment ref="F4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0,2475 desde ALSAN (Res N° 939-16).
(CV) Incremento de 0,2475 desde ALSAN (Res N° 940-16). 
(CV) Incremento de 0,12925 desde ALSAN (Res N° 941-16).
(CV) Cede 0,2475 a Isladamas (Res N° 1422-16).
(CV) Cede 0,2475 a Isladamas (Res N° 1423-16).
(CV) Cede 0,12925 a Isladamas (Res N° 1424-16).</t>
        </r>
      </text>
    </comment>
    <comment ref="L4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2,25 desde ALSAN (Res N° 939-16).
(CV) Incremento de 2,25 desde ALSAN (Res N° 940-16). 
(CV) Incremento de 1,175 desde ALSAN (Res N° 941-16).
(CV) Cede 2,25 a Isladamas (Res N° 1422-16).
(CV) Cede 2,25 a Isladamas (Res N° 1423-16).
(CV) Cede 1,175 a Isladamas (Res N° 1424-16).</t>
        </r>
      </text>
    </comment>
    <comment ref="R4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3,285 desde ALSAN (Res N° 939-16).
(CV) Incremento de 3,285 desde ALSAN (Res N° 940-16). 
(CV) Incremento de 1,7155 desde ALSAN (Res N° 941-16).
(CV) Cede 3,285 a Isladamas (Res N° 1422-16).
(CV) Cede 3,285 a Isladamas (Res N° 1423-16).
(CV) Cede 1,7155 a Isladamas (Res N° 1424-16).</t>
        </r>
      </text>
    </comment>
    <comment ref="X4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4,68 desde ALSAN (Res N° 939-16).
(CV) Incremento de 4,68 desde ALSAN (Res N° 940-16). 
(CV) Incremento de 2,444 desde ALSAN (Res N° 941-16).
(CV) Cede 4,68 a Isladamas (Res N° 1422-16).
(CV) Cede 4,68 a Isladamas (Res N° 1423-16).
(CV) Cede 2,444 a Isladamas (Res N° 1424-16).</t>
        </r>
      </text>
    </comment>
    <comment ref="AD4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4,68 desde ALSAN (Res N° 939-16).
(CV) Incremento de 4,68 desde ALSAN (Res N° 940-16). 
(CV) Incremento de 2,444 desde ALSAN (Res N° 941-16).
(CV) Cede 4,68 a Isladamas (Res N° 1422-16).
(CV) Cede 4,68 a Isladamas (Res N° 1423-16).
(CV) Cede 2,444 a Isladamas (Res N° 1424-16).</t>
        </r>
      </text>
    </comment>
    <comment ref="AJ4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4,6845 desde ALSAN (Res N° 939-16).
(CV) Incremento de 4,6845 desde ALSAN (Res N° 940-16). 
(CV) Incremento de 2,44635 desde ALSAN (Res N° 941-16).
(CV) Cede 4,6845 a Isladamas (Res N° 1422-16).
(CV) Cede 4,6845 a Isladamas (Res N° 1423-16).
(CV) Cede 2,44635 a Isladamas (Res N° 1424-16).</t>
        </r>
      </text>
    </comment>
    <comment ref="AP4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Incremento de 19,823 t. desde ALIMENTOS ALSAN Ltda (Res N°939/29-03-16)
(CV) Incremento de 19,823 t. desde ALIMENTOS ALSAN Ltda (Res N°940/29-03-16)
(CV) Incremento de 10,352 t. desde ALIMENTOS ALSAN Ltda (Res N°941/29-03-16)
(C-V) Vende 19,823+19,823+10,352 t. a ISLADAMAS S.A PESQ. (Res.N° 1422; 1423 y 1424/11-05-16)</t>
        </r>
      </text>
    </comment>
    <comment ref="AP46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:
</t>
        </r>
        <r>
          <rPr>
            <sz val="12"/>
            <color indexed="17"/>
            <rFont val="Tahoma"/>
            <family val="2"/>
          </rPr>
          <t>(Arr) Incrementa  0,2205 ton desde BLUMAR S.A (Cert 28/16-02-6)</t>
        </r>
        <r>
          <rPr>
            <sz val="12"/>
            <color indexed="81"/>
            <rFont val="Tahoma"/>
            <family val="2"/>
          </rPr>
          <t xml:space="preserve">
(Arr) Incrementa  0,66106 ton desde BLUMAR S.A (Cert 47/23-03-16)
(co) Incrementa  2,20353 ton desde BLUMAR S.A (Cert 70/15-04-2016)
(Co) incrementa por comodato 0,5023. desde BIO BIO S.A. PESQ (Cert. 116/04-10-16).</t>
        </r>
      </text>
    </comment>
    <comment ref="R4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0,0445 desde Camanchaca Pesca Sur (Cert. N° 40-16).</t>
        </r>
      </text>
    </comment>
    <comment ref="X4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0,0445 desde Camanchaca Pesca Sur (Cert. N° 40-16).</t>
        </r>
      </text>
    </comment>
    <comment ref="AD4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0,0445 desde Camanchaca Pesca Sur (Cert. N° 40-16).</t>
        </r>
      </text>
    </comment>
    <comment ref="AJ4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0,0445 desde Camanchaca Pesca Sur (Cert. N° 40-16).</t>
        </r>
      </text>
    </comment>
    <comment ref="AP48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(Arr) Incrementa  0,1778 ton desde CAMANCHACA PESCA SUR S.A (Cert 40/15.03.16)</t>
        </r>
      </text>
    </comment>
    <comment ref="F5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0,002 t. (total pesqueria 0,1778 t.) desde CAMANCHACA PESCA SUR S.A (Cert 40/15).</t>
        </r>
      </text>
    </comment>
    <comment ref="L5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0,02 t. (total pesqueria 0,1778 t.) desde CAMANCHACA PESCA SUR S.A (Cert 40/15).</t>
        </r>
      </text>
    </comment>
    <comment ref="R5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0,029 t. (total pesqueria 0,1778 t.) desde CAMANCHACA PESCA SUR S.A (Cert 40/15).</t>
        </r>
      </text>
    </comment>
    <comment ref="X5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0,042 t. (total pesqueria 0,1778 t.) desde CAMANCHACA PESCA SUR S.A (Cert 40/15).</t>
        </r>
      </text>
    </comment>
    <comment ref="AD5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0,042 t. (total pesqueria 0,1778 t.) desde CAMANCHACA PESCA SUR S.A (Cert 40/15).</t>
        </r>
      </text>
    </comment>
    <comment ref="AJ5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(Arr) Incrementa 0,042 t. (total pesqueria 0,1778 t.) desde CAMANCHACA PESCA SUR S.A (Cert 40/15).</t>
        </r>
      </text>
    </comment>
    <comment ref="AP5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(Arr) Incrementa  0,1778 ton desde CAMANCHACA PESCA SUR S.A  distribuida en todas las regiones según coeficiente 0,0000404 (Cert 48/23.03.16) (Cert 40/15.03.16)</t>
        </r>
      </text>
    </comment>
    <comment ref="F5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2,337 a Bracpesca (Res N° 872-16)
(CV) Cede 1,271 a Bracpesca (Res N° 873-16)</t>
        </r>
      </text>
    </comment>
    <comment ref="L5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18,7815 a Bracpesca (Res N° 872-16)
(CV) Cede 10,2145 a Bracpesca (Res N° 873-16)
mmendoza:
( C) Incrementa en 4.97 t desde Chafic I IV Región (Res N°4262-16). Modificada por Res N°692-17, rectifica a 10 t.</t>
        </r>
      </text>
    </comment>
    <comment ref="R56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un total de 32,604 ton a BRACPESCA S.A.. (Res N° 872-873/29-03-2016)</t>
        </r>
      </text>
    </comment>
    <comment ref="F5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3,9286692 a Quintero S.A. (Res N° 1111-16).</t>
        </r>
      </text>
    </comment>
    <comment ref="L5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31,5730854 a Quintero S.A. (Res N° 1111-16).</t>
        </r>
      </text>
    </comment>
    <comment ref="R58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trike/>
            <sz val="12"/>
            <color indexed="10"/>
            <rFont val="Tahoma"/>
            <family val="2"/>
          </rPr>
          <t>(Co) Cede 35,547 t a Pesq. Quintero (Certificado Nº 27).</t>
        </r>
        <r>
          <rPr>
            <sz val="12"/>
            <color indexed="10"/>
            <rFont val="Tahoma"/>
            <family val="2"/>
          </rPr>
          <t xml:space="preserve">
(Resciliación Certificado N° 27) Se deja sin efecto Cesión por certificado N° 163-16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35,5017546 ton a QUINTERO S.A. PESQ. (Res N° 1111/14-04-2016).</t>
        </r>
      </text>
    </comment>
    <comment ref="F6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2,337 desde Antartic Seafood (Res N° 872-16).
(CV) Incremento de 1,271 desde Antartic Seafood (Res N° 873-16).
(CV) Incremento de 0,04264 desde Isladamas (Res N° 769-146).
(CV) Incremento de 0,52316 desde Isladamas (Res N° 1167-16).
(CV) INcremento de 0,4626276 desde Quintero S.A. (Res N°8-17).
(CV) Incremento de 0,00492 ton desde Quintero S.A. (Res N° 182-17)</t>
        </r>
      </text>
    </comment>
    <comment ref="L60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(C. Art-Ind) Incremento de 60 ton desde Artesanal IV-PATRICIO VIAL CHABRILLARD, EMB PUNTA TALCA RPA 913399 (Res N°97-16, modificada R.Ex. 228-16).
(C. Art-Ind) Incremento de 179,7 ton desde Artesanal IV-PATRICIO VIAL CHABRILLARD, EMB PUNTA TALCA RPA 913399 (Res 388-16).
(CV) Incremento de 18,7815 desde Antartic Seafood (Res N° 872-16).
(CV) Incremento de 10,2145 desde Antartic Seafood (Res N° 873-16).
(CV) Incremento de 0,34268 desde Isladamas (Res N° 769-146).
(CV) Incremento de 4,20442 desde Isladamas (Res N° 1167-16).
(CV) Incremento de 3,7179462 desde Quintero S.A. (Res N°8-17).
(CV) Incremento de 0,03954 ton desde Quintero S.A. (Res N° 182-17)</t>
        </r>
      </text>
    </comment>
    <comment ref="R60" authorId="2">
      <text>
        <r>
          <rPr>
            <b/>
            <sz val="11"/>
            <color indexed="81"/>
            <rFont val="Arial"/>
            <family val="2"/>
          </rPr>
          <t xml:space="preserve">rgarcia:
</t>
        </r>
        <r>
          <rPr>
            <sz val="11"/>
            <color indexed="17"/>
            <rFont val="Arial"/>
            <family val="2"/>
          </rPr>
          <t xml:space="preserve">(C. Art-Ind) Incrementa de </t>
        </r>
        <r>
          <rPr>
            <b/>
            <sz val="11"/>
            <color indexed="17"/>
            <rFont val="Arial"/>
            <family val="2"/>
          </rPr>
          <t>60</t>
        </r>
        <r>
          <rPr>
            <sz val="11"/>
            <color indexed="17"/>
            <rFont val="Arial"/>
            <family val="2"/>
          </rPr>
          <t xml:space="preserve"> ton desde Artesanal Sr PATRICIO VIAL CHABRILLARD, EMB PUNTA TALCA RPA 913399 (R.Ex. N°57-16-Modificada R.Ex. 228-216).
(C. Art-Ind) Incremento de </t>
        </r>
        <r>
          <rPr>
            <b/>
            <sz val="11"/>
            <color indexed="17"/>
            <rFont val="Arial"/>
            <family val="2"/>
          </rPr>
          <t>179,7</t>
        </r>
        <r>
          <rPr>
            <sz val="11"/>
            <color indexed="17"/>
            <rFont val="Arial"/>
            <family val="2"/>
          </rPr>
          <t xml:space="preserve"> ton desde Artesanal IV-PATRICIO VIAL CHABRILLARD, EMB PUNTA TALCA RPA 913399 (Res 388-16).</t>
        </r>
        <r>
          <rPr>
            <sz val="11"/>
            <color indexed="81"/>
            <rFont val="Arial"/>
            <family val="2"/>
          </rPr>
          <t xml:space="preserve">
</t>
        </r>
        <r>
          <rPr>
            <sz val="11"/>
            <color indexed="17"/>
            <rFont val="Arial"/>
            <family val="2"/>
          </rPr>
          <t xml:space="preserve">(CV) Incrementa  </t>
        </r>
        <r>
          <rPr>
            <b/>
            <sz val="11"/>
            <color indexed="17"/>
            <rFont val="Arial"/>
            <family val="2"/>
          </rPr>
          <t xml:space="preserve">21,119 </t>
        </r>
        <r>
          <rPr>
            <sz val="11"/>
            <color indexed="17"/>
            <rFont val="Arial"/>
            <family val="2"/>
          </rPr>
          <t xml:space="preserve">ton desde ANTARTIC SEAFOOD S.A. (Res N° 872/22-03-2016)
(CV) Incrementa   </t>
        </r>
        <r>
          <rPr>
            <b/>
            <sz val="11"/>
            <color indexed="17"/>
            <rFont val="Arial"/>
            <family val="2"/>
          </rPr>
          <t xml:space="preserve">11,486 </t>
        </r>
        <r>
          <rPr>
            <sz val="11"/>
            <color indexed="17"/>
            <rFont val="Arial"/>
            <family val="2"/>
          </rPr>
          <t>ton desde ANTARTIC SEAFOOD S.A. (Res N° 873/22-03-2016)</t>
        </r>
        <r>
          <rPr>
            <sz val="11"/>
            <color indexed="81"/>
            <rFont val="Arial"/>
            <family val="2"/>
          </rPr>
          <t xml:space="preserve">
</t>
        </r>
        <r>
          <rPr>
            <sz val="11"/>
            <color indexed="17"/>
            <rFont val="Arial"/>
            <family val="2"/>
          </rPr>
          <t xml:space="preserve">(CV) Incrementa </t>
        </r>
        <r>
          <rPr>
            <b/>
            <sz val="11"/>
            <color indexed="17"/>
            <rFont val="Arial"/>
            <family val="2"/>
          </rPr>
          <t>0,38532</t>
        </r>
        <r>
          <rPr>
            <sz val="11"/>
            <color indexed="17"/>
            <rFont val="Arial"/>
            <family val="2"/>
          </rPr>
          <t xml:space="preserve"> ton desde ISLADAMAS S.A. PESQ. (Res N° 769/14-03-2016)</t>
        </r>
        <r>
          <rPr>
            <sz val="11"/>
            <color indexed="81"/>
            <rFont val="Arial"/>
            <family val="2"/>
          </rPr>
          <t xml:space="preserve">
</t>
        </r>
        <r>
          <rPr>
            <sz val="11"/>
            <color indexed="17"/>
            <rFont val="Arial"/>
            <family val="2"/>
          </rPr>
          <t xml:space="preserve">(CV) Incrementa  </t>
        </r>
        <r>
          <rPr>
            <b/>
            <sz val="11"/>
            <color indexed="17"/>
            <rFont val="Arial"/>
            <family val="2"/>
          </rPr>
          <t>4,72758</t>
        </r>
        <r>
          <rPr>
            <sz val="11"/>
            <color indexed="17"/>
            <rFont val="Arial"/>
            <family val="2"/>
          </rPr>
          <t xml:space="preserve"> ton desde ISLADAMAS S.A. PESQ. (Res N° 1167/19-04-2016)</t>
        </r>
      </text>
    </comment>
    <comment ref="F6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0,00984 a Rubio y Mauad (Res N° 790-16).
(CV) Cede 0,11316 a Rubio y Mauad (Res N° 1165-16).
(CV) Cede 0,04264 a Bracpesca (Res N° 769-16).
(CV) Cede 0,52316 a Bracpesca (Res N° 1167-16).
(CV) Incremento de 7,749 t desde ALSAN (Res N° 1010/1011/1012/1013/1014/1015/1016-16)
(CV) Incremento de 3,5525188 desde Sunrise (Res N° 1939-16).
(CV) Incremento de 1,476 desde Distrimar (Res N° 1425-16).
(CV) Incremento de 0,369 desde Distrimar (Res N° 1426-16).
(CV) Incrementa 0,11808 desde Distramar SA (Res N° 1016-16).</t>
        </r>
      </text>
    </comment>
    <comment ref="L64" authorId="0">
      <text>
        <r>
          <rPr>
            <b/>
            <sz val="12"/>
            <color indexed="81"/>
            <rFont val="Tahoma"/>
            <family val="2"/>
          </rPr>
          <t>dcatalan:</t>
        </r>
        <r>
          <rPr>
            <sz val="12"/>
            <color indexed="81"/>
            <rFont val="Tahoma"/>
            <family val="2"/>
          </rPr>
          <t xml:space="preserve">
(CV) Cede 0,07908 a Rubio y Mauad (Res N° 790-16).
(CV) Cede 0,90942 a Rubio y Mauad (Res N° 1165-16).
(CV) Cede 0,34268 a Bracpesca (Res N° 769-16).
(CV) Cede 4,20442 a Bracpesca (Res N° 1167-16).
(CV) Incremento de 62,2755 t desde ALSAN (Res N° 1010/1011/1012/1013/1014/1015/1016-16).
(CV) Incremento de 28,5501206 desde Sunrise (Res N° 1939-16).
(CV) Incremento de 11,862 desde Distrimar (Res N° 1425-16).
(CV) Incremento de 2,9655 desde Distrimar (Res N° 1426-16).
(CV) Incrementa 0,94896 desde Distramar SA (Res N° 1016-16).
(A) Incremento de 9,9 ton desde Artesanal IV (Res N° 772-17).</t>
        </r>
      </text>
    </comment>
    <comment ref="R6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0,38532 ton a BRACPESCA S.A.. (Res N° 769/14-03-2016)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0,08892 ton a RUBIO Y MAUAD LTDA.. (Res N° 790/15-03-2016)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57"/>
            <rFont val="Tahoma"/>
            <family val="2"/>
          </rPr>
          <t>(CV) Vende 1,02258 ton a RUBIO Y MAUAD LTDA.. (Res N° 1165/19-04-2016)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4,72758 ton a BRACPESCA S.A. (Res N° 1167/19-04-2016)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un total de</t>
        </r>
        <r>
          <rPr>
            <b/>
            <sz val="11"/>
            <color indexed="17"/>
            <rFont val="Tahoma"/>
            <family val="2"/>
          </rPr>
          <t xml:space="preserve"> 70,0245</t>
        </r>
        <r>
          <rPr>
            <sz val="11"/>
            <color indexed="17"/>
            <rFont val="Tahoma"/>
            <family val="2"/>
          </rPr>
          <t xml:space="preserve"> ton desde ALIMENTOS ALSAN LIMITADA (</t>
        </r>
        <r>
          <rPr>
            <b/>
            <sz val="11"/>
            <color indexed="17"/>
            <rFont val="Tahoma"/>
            <family val="2"/>
          </rPr>
          <t>Res N°1010-1011-1012-1013-1014-1015-1016/07-04-2016)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13,338 desde SOC. DIST.  PROD. DEL MAR S.A (Res.N° 1425/11-05-16).
(CV) Incrementa 3,335 t.desde SOC. DIST.  PROD. DEL MAR S.A (Res.N° 1426/11-05-16).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32,1026394 ton desde PESQUERA SUNRISE S.A.(Res N°1939/16-06-2016)</t>
        </r>
      </text>
    </comment>
    <comment ref="F6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0,9615648 ton a Quintero S.A. (Res N° 1113-16).</t>
        </r>
      </text>
    </comment>
    <comment ref="L6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7,7276976 ton a Quintero S.A. (Res N° 1113-16).</t>
        </r>
      </text>
    </comment>
    <comment ref="R66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(Co) Cede 8,837 t a Pesq. Quintero (Certificado Nº 25).</t>
        </r>
        <r>
          <rPr>
            <sz val="9"/>
            <color indexed="81"/>
            <rFont val="Tahoma"/>
            <family val="2"/>
          </rPr>
          <t xml:space="preserve">
(Resciliación Certificado N° 25) Se deja sin efecto Cesión por certificado N° 161-16
</t>
        </r>
        <r>
          <rPr>
            <sz val="9"/>
            <color indexed="17"/>
            <rFont val="Tahoma"/>
            <family val="2"/>
          </rPr>
          <t>(CV) Vende 8,6892624 ton a QUINTERO S.A. PESQ. (Res N° 1113/114-04-2016).</t>
        </r>
      </text>
    </comment>
    <comment ref="F6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0,4356824 a Quintero S.A. (Res N° 1109-16).</t>
        </r>
      </text>
    </comment>
    <comment ref="L6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3,5013988 a Quintero S.A. (Res N° 1109-16).</t>
        </r>
      </text>
    </comment>
    <comment ref="R68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10"/>
            <rFont val="Tahoma"/>
            <family val="2"/>
          </rPr>
          <t>(Co) Cede 3,967 t a pesq. Quintero (Certificado Nº22).</t>
        </r>
        <r>
          <rPr>
            <sz val="9"/>
            <color indexed="10"/>
            <rFont val="Tahoma"/>
            <family val="2"/>
          </rPr>
          <t xml:space="preserve">
(Resciliación Certificado N° 22) Se deja sin efecto Cesión por certificado N° 165-16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(CV) Vende 3,9370812 ton a QUINTERO S.A. PESQ. (Res N° 1109/14-04-2016)</t>
        </r>
      </text>
    </comment>
    <comment ref="F7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Cede0,6642 t a Rubio y Mauad (Res N° 771-16).
(CV) Incremento de 3,9286692 desde Maria Baycic Baycic (Res N° 1111-16).
(CV) Incremento de 0,9615648 desde Maria Ana Mororzin (Res N° 1113-16).
(CV) Incremento de 0,4356824 desde Mario Morozin Yuresic (Res N° 1109-16).
(CV) Cede 0,1328564 a Enfemar S.A. (Res N° 3702-15).
(CV) Cede 0,4626276 a Bracpesca (Res N° 8-17).
(CV) Cede 0,00492 a Bracpesca (REs N° 182-17).</t>
        </r>
      </text>
    </comment>
    <comment ref="L70" authorId="1">
      <text>
        <r>
          <rPr>
            <b/>
            <sz val="12"/>
            <color indexed="81"/>
            <rFont val="Tahoma"/>
            <family val="2"/>
          </rPr>
          <t>mmendoza: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(C. Art-Ind) Incremento de 153.2 ton desde artesanal IV Reg (Res N°605).
(CV) Cede 5,3379 t a Rubio y Mauad (Res N° 771-16).
(CV) Incremento de 31,5730854 (Res N° 1111-16).
(CV) Incremento de 7,7276976 desde Maria Ana Mororzin (Res N° 1113-16).
(CV) Incremento de 3,5013988 desde Mario Morozin Yuresic (Res N° 1109-16).
(CV) Cede 1,0677118 a Enfemar S.A. (Res N° 3702-15)
(CV) Cede 3,7179462 a Bracpesca (Res N° 8-17)
(CV) Cede 0,003954 a Bracpesca (REs N° 182-17).</t>
        </r>
      </text>
    </comment>
    <comment ref="N70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imputa capturas nave ELBE, ARMADOR IND QUINTERO LTDA., SOC PESQUERA</t>
        </r>
      </text>
    </comment>
    <comment ref="R70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Vende 1,201 ton a ENFEMAR LTDA. SOC. PESQ.. (Res N° 3702-31-12-2015)</t>
        </r>
        <r>
          <rPr>
            <sz val="11"/>
            <color indexed="81"/>
            <rFont val="Tahoma"/>
            <family val="2"/>
          </rPr>
          <t xml:space="preserve">
(C ART-IND) Incremento de 153.2 ton desde artesanal IV Reg (Res N°605)
</t>
        </r>
        <r>
          <rPr>
            <sz val="11"/>
            <color indexed="17"/>
            <rFont val="Tahoma"/>
            <family val="2"/>
          </rPr>
          <t>(CV) Vende 6,0021 ton a RUBIO Y MAUAD LTDA. (Res N° 771/14-03-2016)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 8,6892624 ton desde MARÍA ANA MOROZÍN BAYCIC. (Res N° 1113/14-04-2016).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 35,5017546 ton desde MARÍA BAYCIC BAYCIC. (Res N° 1111/14-04-2016)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17"/>
            <rFont val="Tahoma"/>
            <family val="2"/>
          </rPr>
          <t>(CV) Incrementa 3,9370812 ton desde MARIO MOROZIN YURESIC. (Res N° 1109/14-04-2016).</t>
        </r>
      </text>
    </comment>
    <comment ref="F72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0,00984 desde Isladamas (Res N° 790-16). 
(CV) Incremento de 0,11316 desde Isladamas (Res N° 1165-16).
(CV) Incremento de 0,6642 desde Quintero S.A. (Res N° 771-16).</t>
        </r>
      </text>
    </comment>
    <comment ref="L72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(C. Art-Ind) Incremento de 50 ton desde Artesanal IV-NICANOR GONZALEZ, EMB CHAFIC RPA  (Res 1370-16).
(CV) Incremento de 0,07908 desde Isladamas (Res N° 790-16).
(CV) Incremento de 0,90942 desde Isladamas (Res N° 1165-16).
(CV) Incremento de 5,3379 desde Quintero S.A. (Res N° 771-16).
(C. Art-Ind) Incremento de 4,5 ton desde Artesanal IV-NICANOR GONZALEZ, EMB CHAFIC RPA  (Res 4141/28-12-16).
</t>
        </r>
      </text>
    </comment>
    <comment ref="N7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rgarcia:
Operación  con embarcación PUNTA TALCA arendada de ARTESANAL  PATRICIO GENARO VIAL CHABRILLARD</t>
        </r>
      </text>
    </comment>
    <comment ref="R72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(C. Art-Ind) Incremento en IV region 50 ton desde Artesanal IV-NICANOR GONZALEZ, EMB CHAFIC RPA  (Res 1370-16)
</t>
        </r>
        <r>
          <rPr>
            <sz val="11"/>
            <color indexed="17"/>
            <rFont val="Tahoma"/>
            <family val="2"/>
          </rPr>
          <t>(CV) Incrementa 6,0021 ton desdeQUINTERO S.A. PESQ. (Res N° 771/14-03-2016).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57"/>
            <rFont val="Tahoma"/>
            <family val="2"/>
          </rPr>
          <t>(CV) Incrementa 0,08892 ton desde ISLADAMAS S.A. PESQ. (Res N° 790/15-03-2016)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57"/>
            <rFont val="Tahoma"/>
            <family val="2"/>
          </rPr>
          <t>(CV) Incrementa 1,02258 ton desde ISLADAMAS S.A. PESQ. (Res N° 1165/19-04-2016
(C. Art-Ind) Incremento de 4,5 ton desde Artesanal IV-NICANOR GONZALEZ, EMB CHAFIC RPA  (Res 4141/28-12-16).</t>
        </r>
      </text>
    </comment>
    <comment ref="F7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3,5525188 a isladamas (Res N° 1939-16).</t>
        </r>
      </text>
    </comment>
    <comment ref="L7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28,5501206 a Isladamas (Res N° 1939-16).</t>
        </r>
      </text>
    </comment>
    <comment ref="R74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7"/>
            <rFont val="Tahoma"/>
            <family val="2"/>
          </rPr>
          <t>(CV) Vende 32,1026394 ton a ISLADAMAS S.A. PESQ. (Res N° 1939/16-06-2016)</t>
        </r>
      </text>
    </comment>
    <comment ref="F7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0,1328564 desde Quintero S.A. (Res N° 3702-15).</t>
        </r>
      </text>
    </comment>
    <comment ref="L76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1,1 0677118 desde Quintero S.A. (Res N° 3702-15).</t>
        </r>
      </text>
    </comment>
    <comment ref="R76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17"/>
            <rFont val="Tahoma"/>
            <family val="2"/>
          </rPr>
          <t>(CV) Incrementa 12,005682desde QUINTERO S.A. PESQ. (Res N° 3702-31-12-2015).</t>
        </r>
      </text>
    </comment>
    <comment ref="F7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7,749 t a Isladamas (Res N° 1010/1011/1012/1013/1014/1015/1016-16).
(CV) Cede 1,476 a Distrimar (Res N° 943-16).
(CV) Cede 0,369 a Distrimar (Res N° 944-16).
CV) Cede 0,11808 a Isladamas (Res N° 1016-16).</t>
        </r>
      </text>
    </comment>
    <comment ref="L7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62,2755 t a Isladamas (Res N° 1010/1011/1012/1013/1014/1015/1016-16).
(CV) Cede 11,862 a Distrimar (Res N° 943-16).
(CV) Cede 2,9655 a Distrimar (Res N° 944-16).
(CV) Cede 0,94896 a Isladamas (Res N° 1016-16).</t>
        </r>
      </text>
    </comment>
    <comment ref="R78" authorId="2">
      <text>
        <r>
          <rPr>
            <b/>
            <sz val="12"/>
            <color indexed="81"/>
            <rFont val="Tahoma"/>
            <family val="2"/>
          </rPr>
          <t xml:space="preserve">rgarcia:
</t>
        </r>
        <r>
          <rPr>
            <sz val="12"/>
            <color indexed="17"/>
            <rFont val="Tahoma"/>
            <family val="2"/>
          </rPr>
          <t>(CV) Vende un total de 13,338 ton a SOC. DISTRIB. PRODUCTOS DEL MAR LTDA.. (Res N° 943/2016).
(CV) Vende un total de 3,3345 ton a SOC. DISTRIB. PRODUCTOS DEL MAR LTDA.. (Res N° 944/2016).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 xml:space="preserve">(CV) Vende un total de </t>
        </r>
        <r>
          <rPr>
            <b/>
            <sz val="12"/>
            <color indexed="17"/>
            <rFont val="Tahoma"/>
            <family val="2"/>
          </rPr>
          <t>71,092</t>
        </r>
        <r>
          <rPr>
            <sz val="12"/>
            <color indexed="17"/>
            <rFont val="Tahoma"/>
            <family val="2"/>
          </rPr>
          <t xml:space="preserve"> ton a ISLADAMAS S.A. PESQ. (Res N°1010-1011-1012-1013-1014-1015-1016/07-04-2016)
(CV) Vende 1,067 ton a ISLADAMAS S.A. PESQ.. (Res N° 1016/2016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F8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1,476 desde ALSAN (Res N° 943-16).
(CV) Incremento de 0,369 desde ALSAN (Res N° 944-16).
(CV) Cede 1,476 a Isladamas (Res N° 1425-16).
(CV) Cede 0,369 a isladamas (Res N° 1426-16).</t>
        </r>
      </text>
    </comment>
    <comment ref="L8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11,862 desde ALSAN (Res N° 943-16).
(CV) Incremento de 2,9655 desde ALSAN (Res N° 944-16).
(CV) Cede 11,862 a Isladamas (Res N° 1425-16).
(CV) Cede 2,9655 a Isladamas (Res N° 1426-16).</t>
        </r>
      </text>
    </comment>
    <comment ref="R8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Incrementa  un total de 13,338 ton desde ALIMENTOS ALSAN LIMITADA. (Res N° 943/29-03-2016).
(CV) Incrementa  un total de 3,3345 ton desde ALIMENTOS ALSAN LIMITADA. (Res N° 944/29-03-2016).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13,338 t. a ISLADAMAS S.A (Res.N° 1425/11-05-16).
(CV) Vende 3,335 t. a  ISLADAMAS S.A (Res.N° 1426/11-05-16).</t>
        </r>
      </text>
    </comment>
    <comment ref="R86" authorId="2">
      <text>
        <r>
          <rPr>
            <b/>
            <sz val="14"/>
            <color indexed="81"/>
            <rFont val="Tahoma"/>
            <family val="2"/>
          </rPr>
          <t>rgarcia: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trike/>
            <sz val="14"/>
            <color indexed="10"/>
            <rFont val="Tahoma"/>
            <family val="2"/>
          </rPr>
          <t>(CV)  Descuento de 1,851 ton por Venta a Bracpesca (Res N° 773/14.03.16) 
NOTA: No se fracciona Regionalmente en la Resol.</t>
        </r>
      </text>
    </comment>
    <comment ref="L88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(C. Art-Ind) Incremento de 79,99 ton desde Artesanal IV-PATRICIO VIAL CHABRILLARD, EMB PUNTA TALCA RPA 913399 (Res 388-16).</t>
        </r>
      </text>
    </comment>
    <comment ref="R88" authorId="2">
      <text>
        <r>
          <rPr>
            <b/>
            <strike/>
            <sz val="12"/>
            <color indexed="10"/>
            <rFont val="Tahoma"/>
            <family val="2"/>
          </rPr>
          <t>rgarcia:NOTA: En algunas de las Resol. los traspasos no se francionan Regionalmente, por tanto los movimientos se reflejan en el resumen XV-IV</t>
        </r>
        <r>
          <rPr>
            <strike/>
            <sz val="12"/>
            <color indexed="10"/>
            <rFont val="Tahoma"/>
            <family val="2"/>
          </rPr>
          <t xml:space="preserve">
(CV) Vende 0,372 ton a QUINTERO S.A. PESQ. (Res N° 66/18.01.16) 
(CV) Incrementa 1,851 ton desde ANTARTIC SEAFOOD S.A.(Res N° 773-16) 
(CV) Incrementa 0,786 ton desde ISLADAMAS S.A. PESQ. (Res N° 767-16) </t>
        </r>
        <r>
          <rPr>
            <sz val="12"/>
            <color indexed="81"/>
            <rFont val="Tahoma"/>
            <family val="2"/>
          </rPr>
          <t xml:space="preserve">
(C. Art-Ind) Incremento en la IV región 79,99 ton de Artesanal IV-PATRICIO VIAL CHABRILLARD, EMB PUNTA TALCA RPA 913399 (Res 388-08-02-16).</t>
        </r>
      </text>
    </comment>
    <comment ref="F9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1,1025 desde ALSAN (Res N° 1007-16).
(CV) Incremento de 1,0976 desde ALSAN (Res N° 1008-16).
(CV) Incremento de 4,3850443 desde Sunrise (Res N° 1940-16).</t>
        </r>
      </text>
    </comment>
    <comment ref="L90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Incremento de 2,7 desde ALSAN (Res N° 1007-16).
(CV) Incremento de 2,688 desde ALSAN (Res N° 1008-16).
(CV) Incremento de 10,738884 desde Sunrise (Res N° 1940-16).</t>
        </r>
      </text>
    </comment>
    <comment ref="R90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10"/>
            <rFont val="Tahoma"/>
            <family val="2"/>
          </rPr>
          <t xml:space="preserve">
</t>
        </r>
        <r>
          <rPr>
            <strike/>
            <sz val="12"/>
            <color indexed="10"/>
            <rFont val="Tahoma"/>
            <family val="2"/>
          </rPr>
          <t>(CV) Vende 0,786 ton a BRACPESCA S.A. (Res N° 767/14.03.16) 
(CV)  Vende 0,380 ton a RUBIO Y MAUAD LTDA.  (Res N° 788/14.03.16) 
NOTA: No se fracciona Regionalmente ya que no se visuliza en la Resol. se actualizan movimientos respecto a nueva cuota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Incrementa de 3,8025 ton desde ALIMENTOS ALSAN LIMITADA. (Res N° 1007/07-04-2016).
(CV) Incremento de  3,7856 ton desde ALIMENTOS ALSAN LTDA. (Res N° 1008-16).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Incrementa 15,1239283 t. desde PESQUERA SUNRISE S.A. (Res N° 1940/16-06-2016).</t>
        </r>
      </text>
    </comment>
    <comment ref="L9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C. Art-Ind) Incremento de 50 ton desde Artesanal IV-NICANOR GONZALEZ, EMB CHAFIC RPA  (Res 1370-16).</t>
        </r>
      </text>
    </comment>
    <comment ref="N92" authorId="2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Operación  con embarcación PUNTA TALCA arendada de ARTESANAL  PATRICIO GENARO VIAL CHABRILLARD</t>
        </r>
      </text>
    </comment>
    <comment ref="R92" authorId="2">
      <text>
        <r>
          <rPr>
            <b/>
            <sz val="14"/>
            <color indexed="81"/>
            <rFont val="Tahoma"/>
            <family val="2"/>
          </rPr>
          <t xml:space="preserve">rgarcia:
NOTA: algunos movimientos no se reflejan Regionalmente ya que en en las Resol no se detalla de esa forma.
</t>
        </r>
        <r>
          <rPr>
            <b/>
            <strike/>
            <sz val="14"/>
            <color indexed="10"/>
            <rFont val="Tahoma"/>
            <family val="2"/>
          </rPr>
          <t>(</t>
        </r>
        <r>
          <rPr>
            <strike/>
            <sz val="14"/>
            <color indexed="10"/>
            <rFont val="Tahoma"/>
            <family val="2"/>
          </rPr>
          <t xml:space="preserve">CV)  Incrementa 0,380 t desde ISLADAMAS S.A. PESQ.  (Res N° 788/15.03.16) </t>
        </r>
        <r>
          <rPr>
            <sz val="14"/>
            <color indexed="81"/>
            <rFont val="Tahoma"/>
            <family val="2"/>
          </rPr>
          <t xml:space="preserve">
(C. Art-Ind) Incremento en la IV región de 50 ton desde Artesanal IV-NICANOR GONZALEZ, EMB CHAFIC RPA  (Res 1370-16).</t>
        </r>
      </text>
    </comment>
    <comment ref="F9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4,3850443 a Isladamas (Res N° 1940-16)</t>
        </r>
      </text>
    </comment>
    <comment ref="L94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10,738884 a Isladamas (Res N° 1940-16)</t>
        </r>
      </text>
    </comment>
    <comment ref="R94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17"/>
            <rFont val="Tahoma"/>
            <family val="2"/>
          </rPr>
          <t>(CV) Vende 15,1239283 ton a ISLADAMAS S.A. PESQ. (Res N° 1940/16-06-2016).</t>
        </r>
      </text>
    </comment>
    <comment ref="R96" authorId="2">
      <text>
        <r>
          <rPr>
            <b/>
            <sz val="12"/>
            <color indexed="81"/>
            <rFont val="Tahoma"/>
            <family val="2"/>
          </rPr>
          <t>rgarcia:</t>
        </r>
        <r>
          <rPr>
            <sz val="12"/>
            <color indexed="81"/>
            <rFont val="Tahoma"/>
            <family val="2"/>
          </rPr>
          <t xml:space="preserve">
(CV) vende 15,124 ton a ISLADAMAS S.A. PESQ. (Res N° 1940/16-06-2016)</t>
        </r>
      </text>
    </comment>
    <comment ref="F9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1,1025 a Isladamas (Res N° 1007-16)
(CV) Cede 1,0976 a Isladamas (Res N° 1008-16)</t>
        </r>
      </text>
    </comment>
    <comment ref="L98" authorId="0">
      <text>
        <r>
          <rPr>
            <b/>
            <sz val="9"/>
            <color indexed="81"/>
            <rFont val="Tahoma"/>
            <family val="2"/>
          </rPr>
          <t>dcatalan:</t>
        </r>
        <r>
          <rPr>
            <sz val="9"/>
            <color indexed="81"/>
            <rFont val="Tahoma"/>
            <family val="2"/>
          </rPr>
          <t xml:space="preserve">
(CV) Cede 2,7 a Isladamas (Res N° 1007-16)
(CV) Cede 2,688 a Isladamas (Res N° 1008-16)</t>
        </r>
      </text>
    </comment>
    <comment ref="R98" authorId="2">
      <text>
        <r>
          <rPr>
            <b/>
            <sz val="16"/>
            <color indexed="81"/>
            <rFont val="Tahoma"/>
            <family val="2"/>
          </rPr>
          <t>rgarcia: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(CV) Vende 3,8025 ton a ISLADAMAS S.A. PESQ. (Res N° 1007/07-04-2016).
(CV) Vende 3,7856 ton a ISLADAMAS S.A. (Res N° 1008-16).</t>
        </r>
      </text>
    </comment>
  </commentList>
</comments>
</file>

<file path=xl/comments6.xml><?xml version="1.0" encoding="utf-8"?>
<comments xmlns="http://schemas.openxmlformats.org/spreadsheetml/2006/main">
  <authors>
    <author>rgarcia</author>
  </authors>
  <commentList>
    <comment ref="E8" authorId="0">
      <text>
        <r>
          <rPr>
            <b/>
            <sz val="9"/>
            <color indexed="81"/>
            <rFont val="Tahoma"/>
            <family val="2"/>
          </rPr>
          <t>rgarcia:
CN:Veda desde Agosto-Septiembre, 
LA y LC; Veda en Septiembre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rgarcia:</t>
        </r>
        <r>
          <rPr>
            <sz val="8"/>
            <color indexed="81"/>
            <rFont val="Tahoma"/>
            <family val="2"/>
          </rPr>
          <t xml:space="preserve">
Res. Ex. N° 388-2016 Autoriza Cesión +21,17 t Crustáceos Demersales IV Región.
Res. Ex. N° 398-2016 Autoriza Cesión +190,53 t Camarón Nailon IV Región.
Res. Ex. N° 416-2016 Autoriza Cesión -59,820 t Camarón Nailon, IV Región
Res. Ex. N° 605-2016 Autoriza Cesión +156 t Camarón Nailon IV Región
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con descuento art 16° trans 1389 tonesladas</t>
        </r>
      </text>
    </comment>
    <comment ref="E28" authorId="0">
      <text>
        <r>
          <rPr>
            <b/>
            <sz val="9"/>
            <color indexed="81"/>
            <rFont val="Tahoma"/>
            <family val="2"/>
          </rPr>
          <t>rgarcia:
CN:Veda desde Agosto-Septiembre, 
LA y LC; Veda en Septiembre</t>
        </r>
      </text>
    </comment>
    <comment ref="G3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(C. Art-Ind) Incremento de 60 ton desde Artesanal IV-PATRICIO VIAL CHABRILLARD, EMB PUNTA TALCA RPA 913399 (Res N°97-16, modificada R.Ex. 228-16).
(C. Art-Ind) Incremento de 179,7 ton desde Artesanal IV-PATRICIO VIAL CHABRILLARD, EMB PUNTA TALCA RPA 913399 (Res 388-16).
( C) Incremento de 153.2 ton desde artesanal IV Reg (Res N°605)
(C. Art-Ind) Incremento de 50 ton desde Artesanal IV-NICANOR GONZALEZ, EMB CHAFIC RPA  (Res 1370-16).
(C. Art-Ind) Incremento de 4,5 ton desde Artesanal IV-NICANOR GONZALEZ, EMB CHAFIC RPA  (Res 4141/28-12-16).
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con descuento art 16° trans 1389 tonesladas</t>
        </r>
      </text>
    </comment>
    <comment ref="E40" authorId="0">
      <text>
        <r>
          <rPr>
            <b/>
            <sz val="9"/>
            <color indexed="81"/>
            <rFont val="Tahoma"/>
            <family val="2"/>
          </rPr>
          <t>rgarcia:
CN:Veda desde Agosto-Septiembre, 
LA y LC; Veda en Septiembre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hay una cesiones no consumida</t>
        </r>
      </text>
    </comment>
    <comment ref="G43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(C. Art-Ind) Incremento de +79,99 ton desde Artesanal IV-PATRICIO VIAL CHABRILLARD, EMB PUNTA TALCA RPA 913399 (Res 388-16).
C. Art-Ind) Incremento de +50 ton desde Artesanal IV-NICANOR GONZALEZ, EMB CHAFIC RPA  (Res 1370-16).</t>
        </r>
      </text>
    </comment>
    <comment ref="B48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con descuento art 16° trans 1389 tonesladas</t>
        </r>
      </text>
    </comment>
    <comment ref="E57" authorId="0">
      <text>
        <r>
          <rPr>
            <b/>
            <sz val="9"/>
            <color indexed="81"/>
            <rFont val="Tahoma"/>
            <family val="2"/>
          </rPr>
          <t>rgarcia:
CN:Veda desde Agosto-Septiembre, 
LA y LC; Veda en Septiembre</t>
        </r>
      </text>
    </comment>
    <comment ref="E65" authorId="0">
      <text>
        <r>
          <rPr>
            <b/>
            <sz val="9"/>
            <color indexed="81"/>
            <rFont val="Tahoma"/>
            <family val="2"/>
          </rPr>
          <t>rgarcia:
CN:Veda desde Agosto-Septiembre, 
LA y LC; Veda en Septiembre</t>
        </r>
      </text>
    </comment>
  </commentList>
</comments>
</file>

<file path=xl/comments7.xml><?xml version="1.0" encoding="utf-8"?>
<comments xmlns="http://schemas.openxmlformats.org/spreadsheetml/2006/main">
  <authors>
    <author>rgarcia</author>
    <author>cmartinez</author>
    <author>megonzalez</author>
  </authors>
  <commentList>
    <comment ref="E1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ALTAIR Y DON STEFAN </t>
        </r>
      </text>
    </comment>
    <comment ref="D13" authorId="1">
      <text>
        <r>
          <rPr>
            <b/>
            <sz val="10"/>
            <color indexed="32"/>
            <rFont val="Tahoma"/>
            <family val="2"/>
          </rPr>
          <t xml:space="preserve">cmartinez:
</t>
        </r>
        <r>
          <rPr>
            <b/>
            <u/>
            <sz val="10"/>
            <color indexed="32"/>
            <rFont val="Tahoma"/>
            <family val="2"/>
          </rPr>
          <t>reg               tot     mar-ago   oct-dic</t>
        </r>
        <r>
          <rPr>
            <sz val="10"/>
            <color indexed="32"/>
            <rFont val="Tahoma"/>
            <family val="2"/>
          </rPr>
          <t xml:space="preserve">
V-VI           :        1190             1071              119
VII-VIII       :          640           576               64
TOT          :        1830            1647            183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BLUMAR en ARRIENDO  a CAMANCHACA PS: 298,999 TON  (RES 3768-3769/2007; 20-21-1146/2009; 24-25/2010; 1228-121-1233-1239-1249-3582/2011; 1951/2012; 1382/2013; 1210/2014; 3802/2013; 1555/2015 y el 90,428% de res 3106/2015.
recibe en ARRIENDO  desde BLUMAR: 36,1999962 ton (100% RES 3645 y 3647/2015----1,97814% de Res. 3646/2015)</t>
        </r>
      </text>
    </comment>
    <comment ref="G17" authorId="1">
      <text>
        <r>
          <rPr>
            <sz val="10"/>
            <color indexed="81"/>
            <rFont val="Tahoma"/>
            <family val="2"/>
          </rPr>
          <t>cmartinez:
DA en comodato a JORGE COFRE: 152,402 TON  (8.328% DE RES 1014, 1015, 1018, 1030 a 1032 y 1035/20.4.12)
DA en comodato a ISLADAMAS 154.1958 TON  (8.426% DE RES 1033, 1034, 1036 A 1039/20.4.12)
DA en arriendo a LANDES 2 TON  (equivalente al 7,28597% del 1,5% DE RES 3737/31.12.14)
DA en comodato a PESQUERA CMK 148.1568 TON  (8.096% DE RES 1040 al 1044/20.4.12; 1114 y 1119/24.1.12)
DA en comodato a PESQUERA CMK 15,555 TON  (0.85% DE RES 1950/12)</t>
        </r>
        <r>
          <rPr>
            <b/>
            <sz val="10"/>
            <color indexed="81"/>
            <rFont val="Tahoma"/>
            <family val="2"/>
          </rPr>
          <t xml:space="preserve">
</t>
        </r>
      </text>
    </comment>
    <comment ref="G18" authorId="1">
      <text>
        <r>
          <rPr>
            <b/>
            <sz val="11"/>
            <color indexed="81"/>
            <rFont val="Tahoma"/>
            <family val="2"/>
          </rPr>
          <t>cmartinez:</t>
        </r>
        <r>
          <rPr>
            <sz val="11"/>
            <color indexed="81"/>
            <rFont val="Tahoma"/>
            <family val="2"/>
          </rPr>
          <t xml:space="preserve">
DA en ARRIENDO  a CONG PACIF: 0,0279620706 TON  (0,23% DE RES 3106/17.11.15)
DA en ARRIENDO  a CONG PACIF: 0,823055 TON  (6.77% DE RES 3106/17.11.15)
</t>
        </r>
        <r>
          <rPr>
            <strike/>
            <sz val="11"/>
            <color indexed="81"/>
            <rFont val="Tahoma"/>
            <family val="2"/>
          </rPr>
          <t>DA en ARRIENDO  a PESQUERA BIOBIO S.A.: 0,0007294 TON  (0.006% DE RES 3106/17.11.15)</t>
        </r>
        <r>
          <rPr>
            <sz val="11"/>
            <color indexed="81"/>
            <rFont val="Tahoma"/>
            <family val="2"/>
          </rPr>
          <t xml:space="preserve"> (resciliación DF 146541 abril 2016)
DA en ARRIENDO  a CONG PACIF: 0,218833596 TON  (1.8% DE RES 3106/17.11.15)
DA en ARRIENDO  a CAMANCHACA PS: 298,999 TON  (RES 3768-3769/2007; 20-21-1146/2009; 24-25/2010; 1228-121-1233-1239-1249-3582/2011; 1951/2012; 1382/2013; 1210/2014; 3802/2013; 1555/2015 y el 90,428% de res 3106/2015.
DA en ARRIENDO  a CAMANCHACA PS: 36,1999962 ton (100% RES 3645 y 3647/2015----1,97814% de Res. 3646/2015)</t>
        </r>
      </text>
    </comment>
    <comment ref="G19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DA en ARRIENDO  a ISLADAMAS: 9,150 TON  (RES 2051/2000)</t>
        </r>
      </text>
    </comment>
    <comment ref="F21" authorId="1">
      <text>
        <r>
          <rPr>
            <sz val="11"/>
            <color indexed="81"/>
            <rFont val="Tahoma"/>
            <family val="2"/>
          </rPr>
          <t>cmartinez:
RECIBE en comodato desde CAMANCHACA PESCA SUR 154.1958 TON  (8.426% DE RES 1033, 1034, 1036 A 1039/20.4.12)
RECIBE en arriendo desde SUNRISE 9,150 TON  (2051/2000)</t>
        </r>
      </text>
    </comment>
    <comment ref="F30" authorId="1">
      <text>
        <r>
          <rPr>
            <sz val="11"/>
            <color indexed="81"/>
            <rFont val="Tahoma"/>
            <family val="2"/>
          </rPr>
          <t xml:space="preserve">cmartinez:
Recibe en ARRIENDO desde BLUMAR: 0,0279620706 TON  (0,23% DE RES 3106/17.11.15)
Recibe en ARRIENDO desde BLUMAR: 0,823055 TON  (6.77% DE RES 3106/17.11.15)
</t>
        </r>
        <r>
          <rPr>
            <sz val="10"/>
            <color indexed="81"/>
            <rFont val="Tahoma"/>
            <family val="2"/>
          </rPr>
          <t>Recibe en ARRIENDO  desde BLUMAR: 0,218833596 TON  (1.8% DE RES 3106/17.11.15)
Recibe en COMODATO desde BIOBIO: 0,218868 TON  (0.01196% DE RES 1374/10.15.16)
Recibe</t>
        </r>
        <r>
          <rPr>
            <sz val="11"/>
            <color indexed="81"/>
            <rFont val="Tahoma"/>
            <family val="2"/>
          </rPr>
          <t xml:space="preserve"> en COMODATO desde BIOBIO: 0,00766% (0,140178 ton) de Res. 3105/2015</t>
        </r>
      </text>
    </comment>
    <comment ref="F31" authorId="2">
      <text>
        <r>
          <rPr>
            <sz val="8"/>
            <color indexed="81"/>
            <rFont val="Tahoma"/>
            <family val="2"/>
          </rPr>
          <t xml:space="preserve">megonzalez:
</t>
        </r>
        <r>
          <rPr>
            <strike/>
            <sz val="8"/>
            <color indexed="81"/>
            <rFont val="Tahoma"/>
            <family val="2"/>
          </rPr>
          <t>Recibe en ARRIENDO desde BLUMAR: 0,0007294 TON  (0,006% DE RES 3106/17.11.15)</t>
        </r>
        <r>
          <rPr>
            <sz val="8"/>
            <color indexed="81"/>
            <rFont val="Tahoma"/>
            <family val="2"/>
          </rPr>
          <t>. (resciliación DF 146541 abril 2016)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G31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da en comodato a cong del pacífico 0,01196% (0,218868 ton) de Res. 1374/2016
da en comodato a cong del pacífico 0,00766% (0,140178 ton) de Res. 3105/2015</t>
        </r>
      </text>
    </comment>
    <comment ref="F35" authorId="1">
      <text>
        <r>
          <rPr>
            <sz val="14"/>
            <color indexed="81"/>
            <rFont val="Tahoma"/>
            <family val="2"/>
          </rPr>
          <t>cmartinez:
provenientes de comodato con camanchaca ps: 152,402 TON  (8.328% DE RES 1014, 1015, 1018, 1030 a 1032 y 1035/20.4.12)</t>
        </r>
      </text>
    </comment>
    <comment ref="F36" authorId="2">
      <text>
        <r>
          <rPr>
            <sz val="11"/>
            <color indexed="81"/>
            <rFont val="Tahoma"/>
            <family val="2"/>
          </rPr>
          <t>megonzalez:
provenientes de comodato con camanchaca ps: 148.1568TON  (8.096% DE RES 1004 al 1044/20.4.12, 1114 y 1119/24.4.12)
provenientes de comodato con camanchaca ps: 15,555TON  (0.85% DE Res 1950/12)</t>
        </r>
      </text>
    </comment>
    <comment ref="F37" authorId="1">
      <text>
        <r>
          <rPr>
            <sz val="14"/>
            <color indexed="81"/>
            <rFont val="Tahoma"/>
            <family val="2"/>
          </rPr>
          <t>cmartinez:
DA en arriendo a LANDES 2 TON  (equivalente al 7,28597% del 1,5% DE RES 3737/31.12.14)</t>
        </r>
      </text>
    </comment>
    <comment ref="E48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ALTAIR I y DON ESTEFAN</t>
        </r>
      </text>
    </comment>
    <comment ref="F54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9"/>
            <color indexed="81"/>
            <rFont val="Tahoma"/>
            <family val="2"/>
          </rPr>
          <t xml:space="preserve">
recibe en ARRIENDO desde BLUMAR: 595.114621 TON (totalidad de RES 2240/96; 116-1230-1268-1270-1272-1274-1276-1278-1280-1282-1286-1288-1308/2011-1949/2012-1384-3798/2013-1251-2250/2015 y el 96,652% de res 3108/2015)
recibe en ARRIENDO de BLUMAR 79,999923 TON (totalidad de RES 22496 y 2498/2016; y el 1,73235% de res 36232015)</t>
        </r>
      </text>
    </comment>
    <comment ref="G54" authorId="1">
      <text>
        <r>
          <rPr>
            <b/>
            <sz val="8"/>
            <color indexed="81"/>
            <rFont val="Tahoma"/>
            <family val="2"/>
          </rPr>
          <t xml:space="preserve">cmartinez:
</t>
        </r>
        <r>
          <rPr>
            <sz val="9"/>
            <color indexed="81"/>
            <rFont val="Tahoma"/>
            <family val="2"/>
          </rPr>
          <t>DA en comodato a JORGE COFRE: 187,8 TON  (6% DE RES 1059 A 1063-1065/20.4.12); por modificación de cuota cambia a 277,08.
DA en comodato a ISLADAMAS: 187,8 TON  (6% DE RES 1068 A 1070-1072 A 1074/20.4.12); por modificación de cuota cambia a 277,08.
DA en arriendo a LANDES: 1,409 TON  (equivalente al 3% DE RES 3740/31.12.14); por modificación de cuota cambia a 2,0781 ton.
DA en comodato a PESQUERA CMK: 200,32 TON  (6,4% DE RES 1075 A 1079-1087 Y 1095/20.4.12); por modificación de cuota cambia a 295,552 ton.
DA en comodato a PESQUERA CMK: 207,81 TON (totalidad de res 1090 a 1093/2012; en total un 4,5%).
DA en comodato a PESQUERA JORGE COFRE: 207,81 TON (totalidad de res 1066, 1067, 1088, 1089 Y 1148; en total un 4,5%).
DA en comodato a PESQUERA CMK: 92,36 TON (totalidad de res 1094/2012; en total un 2.0%).</t>
        </r>
      </text>
    </comment>
    <comment ref="G55" authorId="1">
      <text>
        <r>
          <rPr>
            <b/>
            <sz val="8"/>
            <color indexed="81"/>
            <rFont val="Tahoma"/>
            <family val="2"/>
          </rPr>
          <t xml:space="preserve">cmartinez:
</t>
        </r>
        <r>
          <rPr>
            <sz val="9"/>
            <color indexed="81"/>
            <rFont val="Tahoma"/>
            <family val="2"/>
          </rPr>
          <t>DA en ARRIENDO a CONG PACIF: 0,05634 TON  (0,18% DE RES 114/13.1.11); por modificación de cuota cambia a 0,083124 ton.
DA en ARRIENDO a CONG PACIF: 0,817944 TON  (2,62% DE RES 3108/17.11.15); por modificación de cuota cambia a 1,20679558 ton.
DA en ARRIENDO a PESQUERA BIOBIO: 0.187315 TON  (0.6% DE RES 3108/17.11.15).  (resciliación DF 146541 abril 2016)
DA en ARRIENDO a CONG PACIF: 0,29478947584 TON  (0,64% DE RES 3108/17.11.15); por modificación de cuota cambia a 0,29478976 ton.
DA en ARRIENDO a CAMANCHACA PS:  639.174 TON (totalidad de RES 2240/96; 116-1230-1268-1270-1272-1274-1276-1278-1280-1282-1286-1288-1308/2011-1949/2012-1384-3798/2013-1251-2250/2015 y el 96,652% de res 3108/2015)
DA en ARRIENDO a CAMANCHACA PS:  79,999923 TON (totalidad de RES 22496 y 2498/2016; y el 1,73235% de res 36232015)</t>
        </r>
      </text>
    </comment>
    <comment ref="G56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DA en ARRIENDO a ISLADAMAS 23,090 TON. Totalidad de Res. 1443/2000</t>
        </r>
      </text>
    </comment>
    <comment ref="F58" authorId="1">
      <text>
        <r>
          <rPr>
            <b/>
            <sz val="8"/>
            <color indexed="81"/>
            <rFont val="Tahoma"/>
            <family val="2"/>
          </rPr>
          <t xml:space="preserve">cmartinez:
RECIBE COMODATO DE CAMANCHACA PESCA SUR 187,8 TON  (6% DE RES 1068 A 1070-1072 A 1074/20.4.12). Con modificacion de cuota cambia a 277,08 ton.
RECIBE en ARRIENDO DE SUNRISE 23,090 TON  (0.5% RES 1443/2000). </t>
        </r>
      </text>
    </comment>
    <comment ref="D60" authorId="1">
      <text>
        <r>
          <rPr>
            <b/>
            <sz val="8"/>
            <color indexed="81"/>
            <rFont val="Tahoma"/>
            <family val="2"/>
          </rPr>
          <t>cmartinez:
transfiere todo a BRACPESCA 0.3% (Res 2550 y 2551/15.09.15 :13,1175 ton y 4.3725 ton=17.49 ton) y TRANSFERENCIA DE RES 2549/15 por 0.225% 13,1175 ton,</t>
        </r>
      </text>
    </comment>
    <comment ref="F69" authorId="1">
      <text>
        <r>
          <rPr>
            <b/>
            <sz val="8"/>
            <color indexed="81"/>
            <rFont val="Tahoma"/>
            <family val="2"/>
          </rPr>
          <t>cmartinez:
Recibe en ARRIENDO desde BLUMAR: 0,05634 TON  (0,18% DE RES 114/13.1.11)por modificación de cuota cambia a 0,083124 ton.
Recibe en ARRIENDO desde BLUMAR: 0,817944 TON  (2,62% DE RES 3108/17.11.15)por modificación de cuota cambia a 1,20679558 ton.
Recibe en ARRIENDO desde BLUMAR 0,29478947584 TON  (0,64% DE RES 3108/17.11.15)por modificación de cuota cambia a 0,29478976 ton.
Recibe en COMODATO dsede BIOBIO (0, 2946284 TON DE RES 1376/2016 0.00638%)</t>
        </r>
      </text>
    </comment>
    <comment ref="F70" authorId="2">
      <text>
        <r>
          <rPr>
            <b/>
            <sz val="8"/>
            <color indexed="81"/>
            <rFont val="Tahoma"/>
            <family val="2"/>
          </rPr>
          <t>megonzalez:
Recibe en ARRIENDO desde BLUMAR: 0,187315 TON  (0,6% DE RES 3108/17.11.15).  (resciliación DF 146541 abril 2016)</t>
        </r>
      </text>
    </comment>
    <comment ref="G70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COMODATO a CONGELADOS DEL PACIFICO (0, 2946284 TON DE RES 1376/2016 0.00638%)
</t>
        </r>
      </text>
    </comment>
    <comment ref="F74" authorId="1">
      <text>
        <r>
          <rPr>
            <b/>
            <sz val="8"/>
            <color indexed="81"/>
            <rFont val="Tahoma"/>
            <family val="2"/>
          </rPr>
          <t>cmartinez:
Recibe en comodato de CAMANCHACA PS 187,8 TON  (6% DE RES 1059 A 1065/20.4.12); por modificación de cuota cambia a 277,08 TON.
Recibe en comodato de CAMANCHACA PS 207,81 TON (totalidad de res 1066, 1067, 1088, 1089 Y 1148; en total un 4,5%).</t>
        </r>
      </text>
    </comment>
    <comment ref="F75" authorId="2">
      <text>
        <r>
          <rPr>
            <b/>
            <sz val="8"/>
            <color indexed="81"/>
            <rFont val="Tahoma"/>
            <family val="2"/>
          </rPr>
          <t>megonzalez:
Recibe en comodato de CAMANCHACA PS 200.32 TON  (6,4% DE RES 1075 A 1079-1087 Y 1095/20.4.12); por modificación de cuota cambia a 295,552.
Recibe en comodato de CAMANCHACA PS 207.81 TON  (totalidad de res 1090 a 1093/2012; en total un 4,5%)
Recibe en comodato de CAMANCHACA PS 92,36 TON  (totalidad de res 1094/2012; en total un 2,0%)</t>
        </r>
      </text>
    </comment>
    <comment ref="F76" authorId="1">
      <text>
        <r>
          <rPr>
            <b/>
            <sz val="8"/>
            <color indexed="81"/>
            <rFont val="Tahoma"/>
            <family val="2"/>
          </rPr>
          <t>cmartinez:
Recibe en arriendo de CAMANCHACA PESCA SUR: 1,409 TON  (EQUIVALENTE AL 3% DE RES 3740/31.12.14); por modificación de cuota cambia a 2,0781.</t>
        </r>
      </text>
    </comment>
    <comment ref="D91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FIDEICOMISO compraventa, Blue ocean pasa todo a pesca cisne. Res 2114 a 2117-2120 a 2126 pasan a Resoluciones del 5/10/16, de la 2966 a 2976 para Pesca cisne</t>
        </r>
      </text>
    </comment>
    <comment ref="D92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Recibe desde Pesca cisne Res 162/14 y Res 2966/16 pasando a ser para deris Res 3701/14 y 3733/16, respectivamente.</t>
        </r>
      </text>
    </comment>
    <comment ref="D93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compraventa y const fideicomiso de res 61/2007 con pesca cisne. Pasa a Res 3980/22.12.16 para Pesca cisne remanente 5.8 ton</t>
        </r>
      </text>
    </comment>
    <comment ref="D94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compraventa y const fideicomiso de res 61/2007 desde globalpesca pasa a Pesca cisne a través de Res 3980/22.12.16//remanente 5.8 ton
Pesca Cisne da res 162/14 a Deris, pasando a Res 3701/16 para Deris
Pesca Cisne da res 2966/16 a Deris, pasando a Res 3733/16 para Deris</t>
        </r>
      </text>
    </comment>
    <comment ref="G95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A LUIS JARAMILLO</t>
        </r>
      </text>
    </comment>
    <comment ref="F96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ISABEL MARQUEZ</t>
        </r>
      </text>
    </comment>
    <comment ref="G97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A JUAN GUZMAN ROJAS</t>
        </r>
      </text>
    </comment>
    <comment ref="F98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con fecha 5/10/16 recibe en arriendo 0,327 ton desde José Acevedo</t>
        </r>
      </text>
    </comment>
    <comment ref="F100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TOMAS NEIRA PARRA
4 ton
0.85 ton</t>
        </r>
      </text>
    </comment>
    <comment ref="G101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4 BERNARDO CEBALLOS
4,8  a PESQUERA SIGLO XXI LTDA.</t>
        </r>
      </text>
    </comment>
    <comment ref="G102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con fecha 5/10/16 arriemda 0,327 ton a Daniel Molina Cisternas</t>
        </r>
      </text>
    </comment>
    <comment ref="F103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PAOLA MORA BURGOS</t>
        </r>
      </text>
    </comment>
    <comment ref="G103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0.587 ton en SUBarriendo a raúl gonzález</t>
        </r>
      </text>
    </comment>
    <comment ref="F104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BOLIVAR GUZMAN</t>
        </r>
      </text>
    </comment>
    <comment ref="G104" authorId="1">
      <text>
        <r>
          <rPr>
            <b/>
            <sz val="8"/>
            <color indexed="81"/>
            <rFont val="Tahoma"/>
            <family val="2"/>
          </rPr>
          <t xml:space="preserve">cmartinez:
</t>
        </r>
        <r>
          <rPr>
            <sz val="8"/>
            <color indexed="81"/>
            <rFont val="Tahoma"/>
            <family val="2"/>
          </rPr>
          <t>DA en ARRIENDO 1,307 ton de res 2941/14 a RAUL GONZALEZ HURTADO</t>
        </r>
      </text>
    </comment>
    <comment ref="F105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ADRIANA POBLETE</t>
        </r>
      </text>
    </comment>
    <comment ref="F106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Tomás Poblete</t>
        </r>
      </text>
    </comment>
    <comment ref="F107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TOMAS NEIRA PARRA</t>
        </r>
      </text>
    </comment>
    <comment ref="G108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A JOSE MORA MOYA</t>
        </r>
      </text>
    </comment>
    <comment ref="F110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DESDE ISABEL MARQUEZ</t>
        </r>
      </text>
    </comment>
    <comment ref="F111" authorId="1">
      <text>
        <r>
          <rPr>
            <b/>
            <sz val="8"/>
            <color indexed="81"/>
            <rFont val="Tahoma"/>
            <family val="2"/>
          </rPr>
          <t>cmartinez:
RECIBE en ARRIENDO 1,307 ton de res 2941/14 de JUAN JOSE GUZMAN ROJAS
RECIBE en SUBARRIENDO 0,587 ton desde mora</t>
        </r>
      </text>
    </comment>
    <comment ref="G114" authorId="1">
      <text>
        <r>
          <rPr>
            <b/>
            <sz val="8"/>
            <color indexed="81"/>
            <rFont val="Tahoma"/>
            <family val="2"/>
          </rPr>
          <t>cmartinez:</t>
        </r>
        <r>
          <rPr>
            <sz val="8"/>
            <color indexed="81"/>
            <rFont val="Tahoma"/>
            <family val="2"/>
          </rPr>
          <t xml:space="preserve">
4 ELSA NEIRA
7.495 ton MIGUEL SERVANDO SILVA
0.850 ton a Elsa Neira</t>
        </r>
      </text>
    </comment>
  </commentList>
</comments>
</file>

<file path=xl/comments8.xml><?xml version="1.0" encoding="utf-8"?>
<comments xmlns="http://schemas.openxmlformats.org/spreadsheetml/2006/main">
  <authors>
    <author>rgarcia</author>
  </authors>
  <commentList>
    <comment ref="I24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ARTESANAL ERIC ALEXIS ARAVENA ARAVENA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ARTESANAL ERIC ALEXIS ARAVENA ARAVENA</t>
        </r>
      </text>
    </comment>
    <comment ref="I27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ALTAIR I y DON ESTEFAN</t>
        </r>
      </text>
    </comment>
    <comment ref="E2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En Veda en Septiembre</t>
        </r>
      </text>
    </comment>
    <comment ref="E3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En Veda en Septiembre</t>
        </r>
      </text>
    </comment>
    <comment ref="G44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IMPUTA A D.EX. 945</t>
        </r>
      </text>
    </comment>
    <comment ref="G45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IMPUTA A D.EX. 944</t>
        </r>
      </text>
    </comment>
    <comment ref="F48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IMPUTA A D.EX. 945</t>
        </r>
      </text>
    </comment>
    <comment ref="E4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En Veda en Septiembre</t>
        </r>
      </text>
    </comment>
    <comment ref="F4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IMPUTA A D.EX. 1186</t>
        </r>
      </text>
    </comment>
  </commentList>
</comments>
</file>

<file path=xl/comments9.xml><?xml version="1.0" encoding="utf-8"?>
<comments xmlns="http://schemas.openxmlformats.org/spreadsheetml/2006/main">
  <authors>
    <author>rgarcia</author>
  </authors>
  <commentList>
    <comment ref="F9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Capturas entes del cierre son 302, 368 y las capturas despues del cierre, en calidad de  FA sin embargo no aplica la Res. 3200 ya que es Fuera Area son 7,884 to..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se esta verificando imputacion de la PI Res N° 2274-2015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rgarcia:</t>
        </r>
        <r>
          <rPr>
            <sz val="9"/>
            <color indexed="81"/>
            <rFont val="Tahoma"/>
            <family val="2"/>
          </rPr>
          <t xml:space="preserve">
incluye zona 160</t>
        </r>
      </text>
    </comment>
  </commentList>
</comments>
</file>

<file path=xl/comments10.xml><?xml version="1.0" encoding="utf-8"?>
<comments xmlns="http://schemas.openxmlformats.org/spreadsheetml/2006/main">
  <authors>
    <author>mmendoza</author>
  </authors>
  <commentList>
    <comment ref="G9" authorId="0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Corresponden a Capturas de Naves Industriales sin el recurso autorizado</t>
        </r>
      </text>
    </comment>
    <comment ref="G12" authorId="0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Capturas de Naves Industriales sin el recurso autorizado</t>
        </r>
      </text>
    </comment>
    <comment ref="J16" authorId="0">
      <text>
        <r>
          <rPr>
            <b/>
            <sz val="8"/>
            <color indexed="81"/>
            <rFont val="Tahoma"/>
            <family val="2"/>
          </rPr>
          <t xml:space="preserve">mmendoza:
Mediante oficio N°36474 se cierra con fecha 02/04/2016. Fecha rectificada por la Región en atención a la fecha de publicación del decreto respectivo. </t>
        </r>
      </text>
    </comment>
    <comment ref="G28" authorId="0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Captura Industrial 0.119 ton </t>
        </r>
      </text>
    </comment>
    <comment ref="G30" authorId="0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Captura artesanal despues del cierre.</t>
        </r>
      </text>
    </comment>
    <comment ref="G33" authorId="0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Captura Industrial 0.02 ton </t>
        </r>
      </text>
    </comment>
    <comment ref="J34" authorId="0">
      <text>
        <r>
          <rPr>
            <b/>
            <sz val="10"/>
            <color indexed="81"/>
            <rFont val="Tahoma"/>
            <family val="2"/>
          </rPr>
          <t>mmendoza:</t>
        </r>
        <r>
          <rPr>
            <sz val="10"/>
            <color indexed="81"/>
            <rFont val="Tahoma"/>
            <family val="2"/>
          </rPr>
          <t xml:space="preserve">
Mediante oficio N°36474 se cierra con fecha 02/04/2016. Fecha rectificada por la Región en atención a la fecha de publicación del decreto respectivo. </t>
        </r>
      </text>
    </comment>
    <comment ref="G36" authorId="0">
      <text>
        <r>
          <rPr>
            <b/>
            <sz val="8"/>
            <color indexed="81"/>
            <rFont val="Tahoma"/>
            <family val="2"/>
          </rPr>
          <t>mmendoza:</t>
        </r>
        <r>
          <rPr>
            <sz val="8"/>
            <color indexed="81"/>
            <rFont val="Tahoma"/>
            <family val="2"/>
          </rPr>
          <t xml:space="preserve">
Captura Industrial Recuso no autorizado</t>
        </r>
      </text>
    </comment>
  </commentList>
</comments>
</file>

<file path=xl/sharedStrings.xml><?xml version="1.0" encoding="utf-8"?>
<sst xmlns="http://schemas.openxmlformats.org/spreadsheetml/2006/main" count="2795" uniqueCount="830">
  <si>
    <t>Camanchaca S.A. Cia. Pesq.</t>
  </si>
  <si>
    <t>Anchoveta XV - I - II</t>
  </si>
  <si>
    <t>Desembarque (t)</t>
  </si>
  <si>
    <t>Saldo (t)</t>
  </si>
  <si>
    <t>% consumido</t>
  </si>
  <si>
    <t>Operación</t>
  </si>
  <si>
    <t>Lota Protein S.A.</t>
  </si>
  <si>
    <t>Camanchaca Pesca Sur S.A.</t>
  </si>
  <si>
    <t>Blumar S.A.</t>
  </si>
  <si>
    <t xml:space="preserve">Genmar Ltda. Soc. Pesq. </t>
  </si>
  <si>
    <t>Landes S.A. Soc. Pesq.</t>
  </si>
  <si>
    <t>Orizón S.A.</t>
  </si>
  <si>
    <t>Isladamas S.A. Pesq.</t>
  </si>
  <si>
    <t>Nordio Ltda. Soc.</t>
  </si>
  <si>
    <t>Sur Austral S.A. Pesq.</t>
  </si>
  <si>
    <t>Arica Seafood Producer  S.A.</t>
  </si>
  <si>
    <t>Sardina española XV - I - II</t>
  </si>
  <si>
    <t>Sardina española III - IV</t>
  </si>
  <si>
    <t>Antarctic Seafood S.A</t>
  </si>
  <si>
    <t xml:space="preserve">Unidad de pesquería </t>
  </si>
  <si>
    <t>Pesca Cisne S.A</t>
  </si>
  <si>
    <t>Congrio dorado NE H/F (41º28,6 LS hasta 47º)</t>
  </si>
  <si>
    <t>Congrio dorado SE (47º hasta 57º)</t>
  </si>
  <si>
    <t>Pesca Cisne S.A.</t>
  </si>
  <si>
    <t>Merluza tres aletas NE/SE (41º28,6 LS hasta 57º)</t>
  </si>
  <si>
    <t>Merluza cola V-X</t>
  </si>
  <si>
    <t>Da Venezia Retamales Antonio</t>
  </si>
  <si>
    <t>Genmar Ltda. Soc. Pesq.</t>
  </si>
  <si>
    <t>Inostroza Concha Pelantaro</t>
  </si>
  <si>
    <t>Leucoton Ltda. Soc Pesq.</t>
  </si>
  <si>
    <t>Pessur Ltda. Soc. Pesq.</t>
  </si>
  <si>
    <t>Merluza común IV a 41°28,6'LS</t>
  </si>
  <si>
    <t>Bahia Caldera S.A. Pesq.</t>
  </si>
  <si>
    <t>Foodcorp S.A.</t>
  </si>
  <si>
    <t>Isla Quihua S.A. Pesq.</t>
  </si>
  <si>
    <t>Alimentos Marinos S.A.</t>
  </si>
  <si>
    <t>Berta Elena Ltda. Soc. Pesq.</t>
  </si>
  <si>
    <t>Centro Sur S.A. Pesq.</t>
  </si>
  <si>
    <t xml:space="preserve">Corpesca S.A. </t>
  </si>
  <si>
    <t>San Antonio S.A. Pesq.</t>
  </si>
  <si>
    <t>Mar Profundo S.A. Soc. Pesq</t>
  </si>
  <si>
    <t>Grimar S.A. Pesq.</t>
  </si>
  <si>
    <t>Grimar S.A.Pesq.</t>
  </si>
  <si>
    <t>Emdepes S.A.</t>
  </si>
  <si>
    <t xml:space="preserve">Emdepes S.A.,  </t>
  </si>
  <si>
    <t xml:space="preserve">Sur Austral S.A. Pesq. </t>
  </si>
  <si>
    <t>Inostroza Concha Pelantaro.</t>
  </si>
  <si>
    <t>Bio Bio S.A.Pesq.</t>
  </si>
  <si>
    <t>Bio Bio S.A.</t>
  </si>
  <si>
    <t xml:space="preserve">Blumar S.A. </t>
  </si>
  <si>
    <t xml:space="preserve">Enfemar Ltda. Soc. Pesq. </t>
  </si>
  <si>
    <t>Sur Austral S.A. Pesq</t>
  </si>
  <si>
    <t>Unidad de Pesquería</t>
  </si>
  <si>
    <t>Zona</t>
  </si>
  <si>
    <t>Cuota Global (t)</t>
  </si>
  <si>
    <t>Cuota Período</t>
  </si>
  <si>
    <t>Período</t>
  </si>
  <si>
    <t>autorizada</t>
  </si>
  <si>
    <t>efectiva</t>
  </si>
  <si>
    <t>Camarón nailon</t>
  </si>
  <si>
    <t>III</t>
  </si>
  <si>
    <t>IV</t>
  </si>
  <si>
    <t>V</t>
  </si>
  <si>
    <t>VI</t>
  </si>
  <si>
    <t>VII</t>
  </si>
  <si>
    <t>VIII</t>
  </si>
  <si>
    <t>Langostino amarillo</t>
  </si>
  <si>
    <t>Langostino colorado</t>
  </si>
  <si>
    <t>Armador</t>
  </si>
  <si>
    <t>% Licitado</t>
  </si>
  <si>
    <t>Cuota licitada (t)</t>
  </si>
  <si>
    <t>Transferencias</t>
  </si>
  <si>
    <t>Cuota efectiva (t)</t>
  </si>
  <si>
    <t>Ingresos (t)</t>
  </si>
  <si>
    <t>Egresos (t)</t>
  </si>
  <si>
    <t xml:space="preserve">Resumen </t>
  </si>
  <si>
    <t>Fecha cierre</t>
  </si>
  <si>
    <t>Merluza común</t>
  </si>
  <si>
    <t>Merluza de cola</t>
  </si>
  <si>
    <t>Merluza del sur</t>
  </si>
  <si>
    <t>Sector</t>
  </si>
  <si>
    <t>Desem. (ton)</t>
  </si>
  <si>
    <t>Total Desem. (ton)</t>
  </si>
  <si>
    <t>Artesanal</t>
  </si>
  <si>
    <t>Industrial</t>
  </si>
  <si>
    <t>Fecha de Cierre</t>
  </si>
  <si>
    <t>III-IV</t>
  </si>
  <si>
    <t xml:space="preserve">Informe </t>
  </si>
  <si>
    <t>Desembarque total (t)</t>
  </si>
  <si>
    <t>Aguas internacionales</t>
  </si>
  <si>
    <t>Saldo total (t)</t>
  </si>
  <si>
    <t>Anchoveta</t>
  </si>
  <si>
    <t>XV- I - II</t>
  </si>
  <si>
    <t>III - IV</t>
  </si>
  <si>
    <t>V - X</t>
  </si>
  <si>
    <t>II-VIII</t>
  </si>
  <si>
    <t>Congrio dorado</t>
  </si>
  <si>
    <t>Jurel</t>
  </si>
  <si>
    <t>XV - I - II</t>
  </si>
  <si>
    <t>V - IX</t>
  </si>
  <si>
    <t>XIV - X</t>
  </si>
  <si>
    <t>IV- 41º 28, 6</t>
  </si>
  <si>
    <t xml:space="preserve">V -X </t>
  </si>
  <si>
    <t>XI -XII</t>
  </si>
  <si>
    <t>Merluza de tres aletas</t>
  </si>
  <si>
    <t>Sardina común</t>
  </si>
  <si>
    <t>V -X</t>
  </si>
  <si>
    <t>Sardina española</t>
  </si>
  <si>
    <t>Merluza de Cola XI-XII</t>
  </si>
  <si>
    <t>Gonzalez Silva Marcelino.</t>
  </si>
  <si>
    <t>Desembarques</t>
  </si>
  <si>
    <t>Pesquera Antonio Cruz Cordoba Nakouzi EIRL</t>
  </si>
  <si>
    <t>Inicial</t>
  </si>
  <si>
    <t xml:space="preserve">Final </t>
  </si>
  <si>
    <t>Periodo</t>
  </si>
  <si>
    <t xml:space="preserve">Cuota Asignada </t>
  </si>
  <si>
    <t>Traspaso, Cesion, Arriendo, etc)</t>
  </si>
  <si>
    <t>Cuota Efectiva</t>
  </si>
  <si>
    <t>Cuota Total</t>
  </si>
  <si>
    <t>Cuota  (t)</t>
  </si>
  <si>
    <t>Investigación</t>
  </si>
  <si>
    <t>Titular de cuota LTP</t>
  </si>
  <si>
    <t>Deris S.A.</t>
  </si>
  <si>
    <t>Orizon S.A.</t>
  </si>
  <si>
    <t>Inversiones Pesqueras SpA.</t>
  </si>
  <si>
    <t>Pesca Cisne S.A. Pesq.</t>
  </si>
  <si>
    <t>Bento Inversiones SpA.</t>
  </si>
  <si>
    <t>MG Inversiones SpA.</t>
  </si>
  <si>
    <t>Landes S.A. Soc  Pesq.</t>
  </si>
  <si>
    <t>Mar Profundo S.a. Pesq.</t>
  </si>
  <si>
    <t>Redina SpA. INV.</t>
  </si>
  <si>
    <t>San Antonio S.A. pesq.</t>
  </si>
  <si>
    <t>Enero - Julio</t>
  </si>
  <si>
    <t>Marzo - Agosto</t>
  </si>
  <si>
    <t>Octubre - Diciembre</t>
  </si>
  <si>
    <t>V-VI</t>
  </si>
  <si>
    <t>VII-VIII</t>
  </si>
  <si>
    <t>Resumen anual</t>
  </si>
  <si>
    <t>Congelados del Pacífico S.A.</t>
  </si>
  <si>
    <t>Cuota asignada (t)</t>
  </si>
  <si>
    <t>RESUMEN ANUAL</t>
  </si>
  <si>
    <t>OPERACIÓN</t>
  </si>
  <si>
    <t>CUOTA (TONELADAS)</t>
  </si>
  <si>
    <t>% CONSUMO</t>
  </si>
  <si>
    <t>Cuota Global asignada (t)</t>
  </si>
  <si>
    <t>Nota: El desembarque de aguas internacionales (columna G) Jurel desde III a X regiones, esta incorporado en la columna de desembarque total. Solo se incorpora el dato en la columna G para tenerlo de referencia</t>
  </si>
  <si>
    <t>Octubre  - Diciembre</t>
  </si>
  <si>
    <t xml:space="preserve">Pesqueria Conjunta Anchoveta y Sardina comun V-X </t>
  </si>
  <si>
    <t>Final</t>
  </si>
  <si>
    <t>PERIODO</t>
  </si>
  <si>
    <t>II - III</t>
  </si>
  <si>
    <t>Imprevistos</t>
  </si>
  <si>
    <t>Ene</t>
  </si>
  <si>
    <t>Feb</t>
  </si>
  <si>
    <t>Mar</t>
  </si>
  <si>
    <t>Abr</t>
  </si>
  <si>
    <t>May</t>
  </si>
  <si>
    <t>Jun</t>
  </si>
  <si>
    <t>Jul</t>
  </si>
  <si>
    <t>Ago</t>
  </si>
  <si>
    <t>Feb-May</t>
  </si>
  <si>
    <t>Sep-Dic</t>
  </si>
  <si>
    <t>Ene-Dic</t>
  </si>
  <si>
    <t>% consumido 2016</t>
  </si>
  <si>
    <t>Pesquera Litoral SpA</t>
  </si>
  <si>
    <t xml:space="preserve"> Pesquera Litoral SpA </t>
  </si>
  <si>
    <t>CAMANCHACA PESCA SUR</t>
  </si>
  <si>
    <t>BLUMAR S.A.</t>
  </si>
  <si>
    <t xml:space="preserve">SUNRISE </t>
  </si>
  <si>
    <t>BRACPESCA S.A.</t>
  </si>
  <si>
    <t>VELIZ Y VELIZ</t>
  </si>
  <si>
    <t>DISTRIMAR</t>
  </si>
  <si>
    <t>ANTARTIC SEAFOOD</t>
  </si>
  <si>
    <t>GRIMAR S.A.</t>
  </si>
  <si>
    <t>RUBIO Y MAUAD LTDA.</t>
  </si>
  <si>
    <t>MARIO MOROZIN YURECIC</t>
  </si>
  <si>
    <t>SOC. PESQUERA QUINTERO LTDA.</t>
  </si>
  <si>
    <t>PESQUERA QUINTERO S.A.</t>
  </si>
  <si>
    <t>CONGELADOS PACIFICO S.A.</t>
  </si>
  <si>
    <t>PESQUERA BIO BIO S.A.</t>
  </si>
  <si>
    <t>PESQUERA ENFEMAR LTDA.</t>
  </si>
  <si>
    <t>ANTONIO DA VENEZIA RETAMALES</t>
  </si>
  <si>
    <t>JORGE COFRE REYES</t>
  </si>
  <si>
    <t>PESQUERA CMK LTDA.</t>
  </si>
  <si>
    <t>PESQUERA LANDES S.A.</t>
  </si>
  <si>
    <t>SUNRISE</t>
  </si>
  <si>
    <t>BRACPESCA</t>
  </si>
  <si>
    <t>EMPACADORA DEL PACIFICO</t>
  </si>
  <si>
    <t>ALIMAR</t>
  </si>
  <si>
    <t>ARTIC S.A. ELAB</t>
  </si>
  <si>
    <t>PESQUERA GRIMAR S.A.</t>
  </si>
  <si>
    <t>SOC. PESQUERA LANDES S.A.</t>
  </si>
  <si>
    <t>BERNARDO CEBALLOS MANCILLA</t>
  </si>
  <si>
    <t>JOSE ACEVEDO CORNEJO</t>
  </si>
  <si>
    <t>PAOLA MORA BURGOS</t>
  </si>
  <si>
    <t>TOMAS NEIRA PARRA</t>
  </si>
  <si>
    <t>BOLIVAR GUZMAN ACUÑA</t>
  </si>
  <si>
    <t>RAUL GONZALEZ HURTADO</t>
  </si>
  <si>
    <t>XV-IV</t>
  </si>
  <si>
    <t xml:space="preserve">Apertura </t>
  </si>
  <si>
    <t>% Consumo</t>
  </si>
  <si>
    <t>Ene-Jun</t>
  </si>
  <si>
    <t>Jul-Dic</t>
  </si>
  <si>
    <t>Fauna Acompañante</t>
  </si>
  <si>
    <t>Congelados del Pacifico S.A.</t>
  </si>
  <si>
    <t>Fecha de Cierre2</t>
  </si>
  <si>
    <t>Cuota Efectiva (t)</t>
  </si>
  <si>
    <t>Merluza del sur (DS 24/14-01-2016)</t>
  </si>
  <si>
    <t>Congrio Dorado (DS 24/14-01-2016)</t>
  </si>
  <si>
    <t>SERGIO FERNANDEZ VERGARA</t>
  </si>
  <si>
    <t>QUINTERO S.A. PESQ.</t>
  </si>
  <si>
    <t>BRACPESCA S.S</t>
  </si>
  <si>
    <t>ARICA SEAFOOD PRODUCER S.A.</t>
  </si>
  <si>
    <t>CAMANCHACA S.A. CIA. PESQ</t>
  </si>
  <si>
    <t>CORPESCA S.A</t>
  </si>
  <si>
    <t>ORIZON S.A</t>
  </si>
  <si>
    <t>ALIMENTOS MARINOS S.A.</t>
  </si>
  <si>
    <t>BAHIA CALDERA S.A. PESQ.</t>
  </si>
  <si>
    <t xml:space="preserve">INVERSIONES PESQUERAS SpA </t>
  </si>
  <si>
    <t>CAMANCHACA PESCA SUR S.A.</t>
  </si>
  <si>
    <t>PESQUERA LITORAL SpA</t>
  </si>
  <si>
    <t>BERTA ELENA LTDA. SOC. PESQ.</t>
  </si>
  <si>
    <t>CENTRO SUR SpA PESQ. antes CENTRO SUR S.A. PESQ.</t>
  </si>
  <si>
    <t>FOODCORP S.A.</t>
  </si>
  <si>
    <t>GENMAR LTDA. SOC. PESQ.</t>
  </si>
  <si>
    <t>INOSTROZA CONCHA PELANTARO</t>
  </si>
  <si>
    <t>ISLA QUIHUA S.A. PESQ.</t>
  </si>
  <si>
    <t>LANDES S.A. SOC. PESQ.</t>
  </si>
  <si>
    <t>LOTA PROTEIN S.A.</t>
  </si>
  <si>
    <t>MAR PROFUNDO S.A. SOC. PESQ.</t>
  </si>
  <si>
    <t>INVERSIONES SANTANA SpA</t>
  </si>
  <si>
    <t>SAN ANTONIO S.A. PESQ.</t>
  </si>
  <si>
    <t>BURITA INVERSIONES SpA</t>
  </si>
  <si>
    <t>OPERACIONES ARANDU SpA</t>
  </si>
  <si>
    <t>ISLADAMAS S.A. PESQ.</t>
  </si>
  <si>
    <t>DA VENEZIA RETAMALES ANTONIO</t>
  </si>
  <si>
    <t>ENFEMAR LTDA. SOC. PESQ.</t>
  </si>
  <si>
    <t>NORDIO LTDA. SOC.</t>
  </si>
  <si>
    <t>SUR AUSTRAL S.A. PESQ.</t>
  </si>
  <si>
    <t>INVERSIONES SANTA VICTORIA SpA</t>
  </si>
  <si>
    <t>ADUSTINAS INVERSIONES SpA</t>
  </si>
  <si>
    <t>ME INVERSIONES SpA</t>
  </si>
  <si>
    <t>CABO AUSTRAL SpA</t>
  </si>
  <si>
    <t>OPERACIONES BRAGA SpA</t>
  </si>
  <si>
    <t>MV INVERSIONES SpA</t>
  </si>
  <si>
    <t>LM INVERSIONES SpA</t>
  </si>
  <si>
    <t>CE INVERSIONES SpA</t>
  </si>
  <si>
    <t xml:space="preserve">CENTRO SUR SpA PESQ. </t>
  </si>
  <si>
    <t>BIO BIO S.A. PESQ.</t>
  </si>
  <si>
    <t>INVERSIONES DELTA SpA</t>
  </si>
  <si>
    <t>INVERSIONES PROGRESO SpA</t>
  </si>
  <si>
    <t>INVERSIONES GARO SpA</t>
  </si>
  <si>
    <t>Merluza común (D Ex N°103-19/02/2016)</t>
  </si>
  <si>
    <t>JOSE MORA MOYA</t>
  </si>
  <si>
    <t>OPERACIONES SANCE SpA</t>
  </si>
  <si>
    <t>Ene - Dic</t>
  </si>
  <si>
    <t>V-VII</t>
  </si>
  <si>
    <t>Investigacion</t>
  </si>
  <si>
    <t>Cuota Objetivo</t>
  </si>
  <si>
    <t>VIII-41°28.6 L.S.</t>
  </si>
  <si>
    <t>41°28.6 L.S. al límite Sur X Región</t>
  </si>
  <si>
    <t xml:space="preserve">XI </t>
  </si>
  <si>
    <t>XII</t>
  </si>
  <si>
    <t>Fraccionamiento</t>
  </si>
  <si>
    <t>Área</t>
  </si>
  <si>
    <t xml:space="preserve"> V-VIII</t>
  </si>
  <si>
    <t xml:space="preserve">Cuota PEP Asignada </t>
  </si>
  <si>
    <t>Transferencias de Cuotas</t>
  </si>
  <si>
    <t xml:space="preserve">Cuota PEP Adjudicada </t>
  </si>
  <si>
    <t xml:space="preserve">Cuota Efectiva </t>
  </si>
  <si>
    <t>47° L.S. al 57° L.S.</t>
  </si>
  <si>
    <t>Cuota Objetivo Artesanal</t>
  </si>
  <si>
    <t>Cuota Objetivo Industrial</t>
  </si>
  <si>
    <t>Cuota Anual de Captura para las pesquerías Raya volantín y Raya espinosa, año 2016</t>
  </si>
  <si>
    <t>Bacalao de profundidad
 XV hasta paralelo 47º LS
D ex. N°946-15.</t>
  </si>
  <si>
    <t>Cuota Anual de Captura para la pesquerías Bacalao de profundidad XV-47° L.S., año 2016</t>
  </si>
  <si>
    <t>Cuotas Anuales de Captura Recursos Demersales Fuera de Unidades de Pesquería, año 2016</t>
  </si>
  <si>
    <t>Operación sobre algunos Recursos sin Cuota, año 2016</t>
  </si>
  <si>
    <t>JORGE ENRIQUE COFRE REYES</t>
  </si>
  <si>
    <t>PESQUERA CMK LTDA</t>
  </si>
  <si>
    <t>% Consumido</t>
  </si>
  <si>
    <t>Sector/Fracción</t>
  </si>
  <si>
    <t>Resumen Cuotas LTP 2016</t>
  </si>
  <si>
    <t>Resumen Cuotas PEP 2016</t>
  </si>
  <si>
    <t xml:space="preserve">Merluza Del Sur SE Fabrica (47º LS al 57º LS)
</t>
  </si>
  <si>
    <t xml:space="preserve">Merluza del sur NE F/H (41º28,6 LS al 47º LS)
</t>
  </si>
  <si>
    <t>Raya espinosa 
D Ex. N°201-2016</t>
  </si>
  <si>
    <t>Raya volantin
D Ex. N°201-2016</t>
  </si>
  <si>
    <t xml:space="preserve"> Industrial - Artesanal</t>
  </si>
  <si>
    <t xml:space="preserve">Congrio Dorado </t>
  </si>
  <si>
    <t>Aguas Internacionales</t>
  </si>
  <si>
    <t>ANTARTIC SEAFOOD S.A.</t>
  </si>
  <si>
    <t>BAYCIC BAYCIC MARIA</t>
  </si>
  <si>
    <t>ANTONIO CRUZ CORDOVA NAKOUZI E.I.R.L</t>
  </si>
  <si>
    <t>COSTA BRAVA LTDA. PESQ.</t>
  </si>
  <si>
    <t>GRIMAR S.A. PESQ.</t>
  </si>
  <si>
    <t>MOROZIN BAYCIC MARIA ANA</t>
  </si>
  <si>
    <t>MOROZIN YURECIC MARIO</t>
  </si>
  <si>
    <t>QUINTERO LTDA. SOC. PESQ.</t>
  </si>
  <si>
    <t>SUNRISE S.A. PESQ.</t>
  </si>
  <si>
    <t>ALIMENTOS ALSAN LTDA</t>
  </si>
  <si>
    <t>II-III</t>
  </si>
  <si>
    <t>Langostino amarillo                                            Licitado (D.Ex.944/15)</t>
  </si>
  <si>
    <t>Langostino colorado                                           Licitado (D.Ex.944/15 y D.Ex. 148/16)</t>
  </si>
  <si>
    <t>Langostino amarillo III-IV (D.Ex.945/15)</t>
  </si>
  <si>
    <t>LUIS ALFREDO JARAMILLO MERIÑO</t>
  </si>
  <si>
    <t>PESQUERA ANTONIO CRUZ CORDOVA NAKOUZI E.I.R.L.</t>
  </si>
  <si>
    <t>NUMERO DE CUOTAS INDUSTRIALES</t>
  </si>
  <si>
    <t>Considera LTP y PEP</t>
  </si>
  <si>
    <t>Pelagicos</t>
  </si>
  <si>
    <t>Demersales</t>
  </si>
  <si>
    <t>Crustaceos</t>
  </si>
  <si>
    <t>PEP</t>
  </si>
  <si>
    <t>TOTAL</t>
  </si>
  <si>
    <t>ADRIANA DEL PILAR POBLETE ARAVENA</t>
  </si>
  <si>
    <t>DANIEL ALBERTO MOLINA CISTERNAS</t>
  </si>
  <si>
    <t>DAVID ALFONSO CISTERNA GARRIDO</t>
  </si>
  <si>
    <t>ISABEL MARGARITA MARQUEZ MOLINA</t>
  </si>
  <si>
    <t>JOSE ARMANDO MORA MOYA</t>
  </si>
  <si>
    <t xml:space="preserve">JUAN JOSE GUZMAN ROJAS </t>
  </si>
  <si>
    <t>LUIS ARMANDO POBLETE FERNANDEZ</t>
  </si>
  <si>
    <t xml:space="preserve">PESQUERA FRAPOLI LTDA  </t>
  </si>
  <si>
    <t>ROBERTO MARCELO GONZALEZ NAVARRO</t>
  </si>
  <si>
    <t>VERONICA IVON CAMPOS GUTIERREZ</t>
  </si>
  <si>
    <t xml:space="preserve">DERIS S A </t>
  </si>
  <si>
    <t>PUERTO TORO</t>
  </si>
  <si>
    <t>PUERTO BALLENA</t>
  </si>
  <si>
    <t>PUERTO WILLIAMS</t>
  </si>
  <si>
    <t>CISNE BLANCO</t>
  </si>
  <si>
    <t>-</t>
  </si>
  <si>
    <t>MARIA INES</t>
  </si>
  <si>
    <t>MATIAS IGNACIO</t>
  </si>
  <si>
    <t>DON NESTOR</t>
  </si>
  <si>
    <t>MILENIUM</t>
  </si>
  <si>
    <t>DIEGO ARMANDO</t>
  </si>
  <si>
    <t>SANTA ISABEL I</t>
  </si>
  <si>
    <t>DON FELIX</t>
  </si>
  <si>
    <t>DON FELIX II</t>
  </si>
  <si>
    <t>DON ADRIAN II</t>
  </si>
  <si>
    <t>SAN CARLOS II</t>
  </si>
  <si>
    <t>SUSANA III</t>
  </si>
  <si>
    <t>DON TOMAS</t>
  </si>
  <si>
    <t>YOVANKA</t>
  </si>
  <si>
    <t>SANTA ISABEL IV</t>
  </si>
  <si>
    <t>SANTA BARBARA II</t>
  </si>
  <si>
    <t xml:space="preserve">PESQUERA FRAPOLI LTDA </t>
  </si>
  <si>
    <t>JACKIE</t>
  </si>
  <si>
    <t>FRAPOLI</t>
  </si>
  <si>
    <t>REY DEL PACIFICO</t>
  </si>
  <si>
    <t>NAVEGANTE</t>
  </si>
  <si>
    <t>DON LINO</t>
  </si>
  <si>
    <t>BLUE OCEAN SEAFOOD</t>
  </si>
  <si>
    <t xml:space="preserve">DERIS S  A  </t>
  </si>
  <si>
    <t xml:space="preserve">GLOBALPESCA S  A  </t>
  </si>
  <si>
    <t xml:space="preserve">PESCA CISNE S  A  </t>
  </si>
  <si>
    <t>NM_NAVE</t>
  </si>
  <si>
    <t>DESCR1TABL</t>
  </si>
  <si>
    <t>Cd_Zona</t>
  </si>
  <si>
    <t>ELSA DEL ROSARIO NEIRA PARRA</t>
  </si>
  <si>
    <t>MIGUEL SERVANDO SILVA SILVA</t>
  </si>
  <si>
    <t>JAVIERA II</t>
  </si>
  <si>
    <t>DON WILLIAM</t>
  </si>
  <si>
    <t xml:space="preserve">Cuota Global: </t>
  </si>
  <si>
    <t>Pesca de Investigación:</t>
  </si>
  <si>
    <t>Tipo Titular</t>
  </si>
  <si>
    <t>Cuota Global</t>
  </si>
  <si>
    <t>Pesca de Investigación</t>
  </si>
  <si>
    <t>Fauna acompañante</t>
  </si>
  <si>
    <t>ESTADO CUOTA PERMISOS EXTRAORDINARIOS DE PESCA (PEP), BACALAO DE PROFUNDIDAD  47° L.S. AL 57° L.S.D.</t>
  </si>
  <si>
    <t>BIO BIO S.A. PESQ</t>
  </si>
  <si>
    <t>Región Captura</t>
  </si>
  <si>
    <t xml:space="preserve"> paralelo 47° - 57° L.S.</t>
  </si>
  <si>
    <t>paralelo 41° 28,6’ - 47° L.S.</t>
  </si>
  <si>
    <t>paralelo 47° - 57° L.S.</t>
  </si>
  <si>
    <t>paralelo 41° 28,6’ -  47° L.S.</t>
  </si>
  <si>
    <t>paralelo 41º28,6´ - XII</t>
  </si>
  <si>
    <t>Cuota Asignada</t>
  </si>
  <si>
    <t>Cuota Captura licitada:</t>
  </si>
  <si>
    <t>Desembarque (ton)</t>
  </si>
  <si>
    <t>V-VIII</t>
  </si>
  <si>
    <t>IV-VIII</t>
  </si>
  <si>
    <t>Naves titulares</t>
  </si>
  <si>
    <t>Naves suplentes</t>
  </si>
  <si>
    <t>Cuota PI (ton)</t>
  </si>
  <si>
    <t>Cuotas Pesca de Investigacion, 2016</t>
  </si>
  <si>
    <t>Encargado</t>
  </si>
  <si>
    <t>Proyecto</t>
  </si>
  <si>
    <t>Saldo (ton)</t>
  </si>
  <si>
    <t>EVALUACION DIRECTA DE LANGOSTINO AMARILLO Y LANGOSTINO COLORADO ENTRE LA II Y VIII REGIONES, AÑO 2016</t>
  </si>
  <si>
    <t>Universidad Católica de Vapparaíso</t>
  </si>
  <si>
    <t>Res. N°/Fecha</t>
  </si>
  <si>
    <t>Langostino amarillo (objetivo)</t>
  </si>
  <si>
    <t>Langostino colorado (Objetivo)</t>
  </si>
  <si>
    <t>Camaron nailón (Fauna Acompañante)</t>
  </si>
  <si>
    <t>Merluza Común (Fauna Acompañante)</t>
  </si>
  <si>
    <t>Trauwun I</t>
  </si>
  <si>
    <t>Don Estefan</t>
  </si>
  <si>
    <t>Isla Picton</t>
  </si>
  <si>
    <t>Eldom</t>
  </si>
  <si>
    <t>Nuestra Sr.a de la Tirana II</t>
  </si>
  <si>
    <t>Tipo Flota</t>
  </si>
  <si>
    <t>Eric Aravena Aravena</t>
  </si>
  <si>
    <t>Pesquera Quintero S.A.</t>
  </si>
  <si>
    <t>Camanchaca Pesca Sur S.A</t>
  </si>
  <si>
    <t>Antartic Seafood S.A.</t>
  </si>
  <si>
    <t>Especies</t>
  </si>
  <si>
    <t>Arte</t>
  </si>
  <si>
    <t>Arrastre de fondo</t>
  </si>
  <si>
    <t>Naves Autorizadas</t>
  </si>
  <si>
    <t>V-X</t>
  </si>
  <si>
    <t>IX-XIV</t>
  </si>
  <si>
    <t>ANCHOVETA</t>
  </si>
  <si>
    <t>B/I ABATE MOLINA</t>
  </si>
  <si>
    <t>L/M PUNTA BRAVA</t>
  </si>
  <si>
    <t>SARDINA COMUN</t>
  </si>
  <si>
    <t>EVALUACION HIDROACUSTICA DE LOS STOCKS DE ANCHOVETA Y SARDINA COMUN ENTRE LA V Y X REGIONES, AÑO 2016</t>
  </si>
  <si>
    <t>IFOP</t>
  </si>
  <si>
    <t>1336/02-05-2016</t>
  </si>
  <si>
    <t>ARTE</t>
  </si>
  <si>
    <t>Pesca de Investigacion: Resolucion Nº 1336. Desde 02-05-2016 hasta  20-05-2016</t>
  </si>
  <si>
    <t>1322/02-05-2016</t>
  </si>
  <si>
    <t>Nr_Folio</t>
  </si>
  <si>
    <t>Fc_Zarpe</t>
  </si>
  <si>
    <t>Fc_Llegada</t>
  </si>
  <si>
    <t>Nm_Pto</t>
  </si>
  <si>
    <t>NM_ARTE</t>
  </si>
  <si>
    <t>Rótulos de fila</t>
  </si>
  <si>
    <t>Total general</t>
  </si>
  <si>
    <t>Cuota Objetivo:</t>
  </si>
  <si>
    <t xml:space="preserve">Total </t>
  </si>
  <si>
    <t>Tipo Imputación</t>
  </si>
  <si>
    <t>N° Declaración</t>
  </si>
  <si>
    <t>Nombre Titular</t>
  </si>
  <si>
    <t>Embarcación/Nave</t>
  </si>
  <si>
    <t>PESCA CISNE S A</t>
  </si>
  <si>
    <t>Fecha Desembarque</t>
  </si>
  <si>
    <t>Recurso</t>
  </si>
  <si>
    <t>Zona Captura</t>
  </si>
  <si>
    <t>Región del Desembarque</t>
  </si>
  <si>
    <t>Captura tons</t>
  </si>
  <si>
    <t>Estado de Cuotas Industriales Licitadas, año 2016</t>
  </si>
  <si>
    <t>% Consumo Licitada</t>
  </si>
  <si>
    <t>Total (Ton)</t>
  </si>
  <si>
    <t>Area Licitada</t>
  </si>
  <si>
    <t>X</t>
  </si>
  <si>
    <t>XI</t>
  </si>
  <si>
    <t>XIV</t>
  </si>
  <si>
    <t>Regiión de Desembarque</t>
  </si>
  <si>
    <t>Actividad Extractiva de Bacalao 47° L.S. AL 57° L.S.por naves por titular:</t>
  </si>
  <si>
    <t>Capturas Bacalao 47° L.S. AL 57° por zonas y Región de Desembarque:</t>
  </si>
  <si>
    <t>ESTADO CUOTA PERMISOS EXTRAORDINARIOS DE PESCA (PEP),. LANGOSTINO COLORADO V - VIII (D.Ex. N° 944/11.NOV.2015       (modificado por D. Ex. N° 148/15.MAR.2016)</t>
  </si>
  <si>
    <t>CALYPSO III</t>
  </si>
  <si>
    <t>CAZADOR</t>
  </si>
  <si>
    <t>DON ENRIQUE F</t>
  </si>
  <si>
    <t>SAN VICENTE</t>
  </si>
  <si>
    <t>SANTA MARIA II</t>
  </si>
  <si>
    <t>Fecha Zarpe</t>
  </si>
  <si>
    <t>Saldo Efectivo(t)</t>
  </si>
  <si>
    <t>Saldo Asignada (t)</t>
  </si>
  <si>
    <t>Saldo efectivo (t)</t>
  </si>
  <si>
    <t>Cuota Global:</t>
  </si>
  <si>
    <t xml:space="preserve">DON ADRIAN </t>
  </si>
  <si>
    <t>LUIS ALFONSO I</t>
  </si>
  <si>
    <t/>
  </si>
  <si>
    <t>Altair I</t>
  </si>
  <si>
    <t xml:space="preserve">GLOBALPESCA S A </t>
  </si>
  <si>
    <t>GLOBALPESCA I</t>
  </si>
  <si>
    <t>PAOLA POBLETE NOVOA</t>
  </si>
  <si>
    <t>Suma de SumaDeSumaDeNr_Toneladas</t>
  </si>
  <si>
    <t>IAN TAYLOR CHILE S.A.</t>
  </si>
  <si>
    <t>Región Operación</t>
  </si>
  <si>
    <t>I</t>
  </si>
  <si>
    <t>IX</t>
  </si>
  <si>
    <t>Operación Jibia Industrial AÑO 2016</t>
  </si>
  <si>
    <t xml:space="preserve">REGION DESEMBARQUE </t>
  </si>
  <si>
    <t>BACALAO DE PROFUNDIDAD 47 a 57 L S</t>
  </si>
  <si>
    <t>GLOBALPESCA II</t>
  </si>
  <si>
    <t>% CONSUMO Total Cuota</t>
  </si>
  <si>
    <t>GLOBALPESCA III</t>
  </si>
  <si>
    <t xml:space="preserve">FOODCORP CHILE S.A.
</t>
  </si>
  <si>
    <t xml:space="preserve">INVERSIONES BOREBI SpA.
</t>
  </si>
  <si>
    <t>INVERSIONES PESQUERAS SpA.</t>
  </si>
  <si>
    <t>ISLA QUIHUA S.A. PESO.</t>
  </si>
  <si>
    <t>JULIO SAEZ MUÑOZ</t>
  </si>
  <si>
    <t>OPERACIONES CALUBI SpA.</t>
  </si>
  <si>
    <t>ORIZON S.A.</t>
  </si>
  <si>
    <t>SC INVERSIONES SpA.</t>
  </si>
  <si>
    <t>SOC. PESQUERA MEHUIN REY LTDA.</t>
  </si>
  <si>
    <t>SUSAN MONSALVE SALAS</t>
  </si>
  <si>
    <t>VISTA INVERSIONES SpA.</t>
  </si>
  <si>
    <t>CENTRO SUR SpA. PESQ.</t>
  </si>
  <si>
    <t xml:space="preserve"> Pesquería</t>
  </si>
  <si>
    <t xml:space="preserve">Titular de cuota </t>
  </si>
  <si>
    <t xml:space="preserve">Cuota Tranferida (ORP-PS) </t>
  </si>
  <si>
    <t>1973/21-06-2016</t>
  </si>
  <si>
    <t xml:space="preserve"> R. Ex N°/Fecha</t>
  </si>
  <si>
    <t>Embarcaciones Autorizadas</t>
  </si>
  <si>
    <t>DON ALFONSO</t>
  </si>
  <si>
    <t>COBRA</t>
  </si>
  <si>
    <t>DON EDMUNDO</t>
  </si>
  <si>
    <t>RAPANUI</t>
  </si>
  <si>
    <t>YELCHO</t>
  </si>
  <si>
    <t xml:space="preserve"> CONTROL CUOTAS ORP-PS 2016</t>
  </si>
  <si>
    <t xml:space="preserve">Desembarque </t>
  </si>
  <si>
    <t>Camarón nailon II-VIII (D.Ex.945/15)</t>
  </si>
  <si>
    <t>Pesca de Investigacion: Resolucion Nº 37. Desde 12-01-2016 hasta  30-04-2016</t>
  </si>
  <si>
    <t>TURIMAR II</t>
  </si>
  <si>
    <t>37/12-01-2016</t>
  </si>
  <si>
    <t xml:space="preserve">IFOP </t>
  </si>
  <si>
    <t>MONITOREO DEL PROCESO DE RECLUTAMIENTO DE SARDINA COMUN Y ANCHOVETA DE LA V, VIII, IX Y XIV REGIONES, AÑO 2016</t>
  </si>
  <si>
    <t>CERCO</t>
  </si>
  <si>
    <t>V-VII-IX-XIV</t>
  </si>
  <si>
    <t>MARCO POLO</t>
  </si>
  <si>
    <t>DON LUIS ALBERTO</t>
  </si>
  <si>
    <t>LONQUIMAY</t>
  </si>
  <si>
    <t>NORTHWESTERN</t>
  </si>
  <si>
    <t>RES. 110 MODIF. RES. 37</t>
  </si>
  <si>
    <t>LINARES</t>
  </si>
  <si>
    <t>RES. 110 MODIF. RES. 38</t>
  </si>
  <si>
    <t>PUNTA BRAVA</t>
  </si>
  <si>
    <t>RES. 110 MODIF. RES. 39</t>
  </si>
  <si>
    <t xml:space="preserve">Cesiones </t>
  </si>
  <si>
    <t>ISLADAMAS S.A., PESQ.</t>
  </si>
  <si>
    <t>Jibia o calamar rojo XV-XII
D Ex. N` 1176-15. Mod por D. Ex N°20-16 y DTO EX. 559 DE 20-07-2016</t>
  </si>
  <si>
    <t>Sep</t>
  </si>
  <si>
    <t>Oct</t>
  </si>
  <si>
    <t>Nov</t>
  </si>
  <si>
    <t>Dic</t>
  </si>
  <si>
    <t>Reserva Fauna Acompañante</t>
  </si>
  <si>
    <t>agosto-dic</t>
  </si>
  <si>
    <t xml:space="preserve">Cuotas Anual de Captura para la pesquería Jibia XV-XII, AÑO 2016. </t>
  </si>
  <si>
    <t>D Ex. N° 1176-15; modificado por D Ex. N° 20-2016 y DTO EX. 559 DE 20-07-2016</t>
  </si>
  <si>
    <t>Res. Ex. N° 1759-2016 Evaluación directa de Camarón nailon II-VIII Regiones.</t>
  </si>
  <si>
    <t>Cimar</t>
  </si>
  <si>
    <t>1759/06-06-2016</t>
  </si>
  <si>
    <r>
      <t xml:space="preserve">Pesca de Investigacion: Resolucion Nº 1322. Desde 02-05-2016 hasta  31-08-2016 </t>
    </r>
    <r>
      <rPr>
        <b/>
        <sz val="12"/>
        <color rgb="FFFF0000"/>
        <rFont val="Calibri"/>
        <family val="2"/>
        <scheme val="minor"/>
      </rPr>
      <t>IMPUTA A D.EX. 945</t>
    </r>
  </si>
  <si>
    <r>
      <t>Pesca de Investigacion: Resolucion Nº 1759. Desde 06-06-2016 hasta  31-12-2016.</t>
    </r>
    <r>
      <rPr>
        <b/>
        <sz val="12"/>
        <color rgb="FFFF0000"/>
        <rFont val="Calibri"/>
        <family val="2"/>
        <scheme val="minor"/>
      </rPr>
      <t xml:space="preserve"> IMPUTA A D.EX. 945 Y 944</t>
    </r>
  </si>
  <si>
    <t>Peces Pelágicos</t>
  </si>
  <si>
    <t>Peces Demersales</t>
  </si>
  <si>
    <t>Crustáceos</t>
  </si>
  <si>
    <t>1185/22-12-15</t>
  </si>
  <si>
    <t>1184/22-12-15</t>
  </si>
  <si>
    <t>943/11-11-15</t>
  </si>
  <si>
    <t>1142/18-12-15</t>
  </si>
  <si>
    <t>1186/22-12-15</t>
  </si>
  <si>
    <t>1140/18-12-15</t>
  </si>
  <si>
    <t>945/11-11-15</t>
  </si>
  <si>
    <t>944/11-11-15</t>
  </si>
  <si>
    <t>946/11-11-15</t>
  </si>
  <si>
    <t>D.Ex. Establece cuota</t>
  </si>
  <si>
    <t>D.Ex. Modifica cuota</t>
  </si>
  <si>
    <t>474/17-06-16</t>
  </si>
  <si>
    <t>346/09-05-16</t>
  </si>
  <si>
    <t>121/03-03-16</t>
  </si>
  <si>
    <t>148/15-03-16</t>
  </si>
  <si>
    <t xml:space="preserve">Langostino amarillo </t>
  </si>
  <si>
    <t xml:space="preserve">Langostino colorado </t>
  </si>
  <si>
    <t xml:space="preserve">Bacalao licitado </t>
  </si>
  <si>
    <t>Cuota Asignada Sector Industrial</t>
  </si>
  <si>
    <t>Cuota LTP Asignada con sus Modificaciones</t>
  </si>
  <si>
    <t>Cuota PEP Asignada con sus Modificaciones</t>
  </si>
  <si>
    <t>147/15-03-16</t>
  </si>
  <si>
    <t>FECHA DIARIO OFICIAL</t>
  </si>
  <si>
    <t>UNIVERSIDAD CATOLICA DE VALPARAISO - Pesca Industrial - Autoriza, Aprueba, Acoge o Reconoce--Pesca Industrial-Autorizaciones Especiales-Pesca Investigaci?n-ANALISIS COMPARATIVO DE LA CAPTURABILIDAD Y SELECTIVIDAD DE REDES DE ARRASTRE EN PESQUERIAS DE CRUSTACEOS DEMERSALES</t>
  </si>
  <si>
    <t>2213/15-07-2016</t>
  </si>
  <si>
    <t>Encargado/Proyecto</t>
  </si>
  <si>
    <r>
      <t>Pesca de Investigacion: Resolucion Nº 2213. Desde 04-08-2016 hasta  31-12-2016.</t>
    </r>
    <r>
      <rPr>
        <b/>
        <sz val="12"/>
        <color rgb="FFFF0000"/>
        <rFont val="Calibri"/>
        <family val="2"/>
        <scheme val="minor"/>
      </rPr>
      <t xml:space="preserve"> IMPUTA A D.EX. 945-944-1186</t>
    </r>
  </si>
  <si>
    <t>N° Registro Embarcación</t>
  </si>
  <si>
    <t>industrial</t>
  </si>
  <si>
    <t>artesanal</t>
  </si>
  <si>
    <t>ESTADO CUOTA PERMISOS EXTRAORDINARIOS DE PESCA (PEP), LANGOSTINO AMARILLO V - VIII (D.Ex. N° 944/11.NOV.2015  (modificado por D. Ex. N° 148/15.MAR.2016)</t>
  </si>
  <si>
    <t>Bio Bio S.A. Pesq</t>
  </si>
  <si>
    <t>Abril - Dic</t>
  </si>
  <si>
    <t>2779/12-09-2016</t>
  </si>
  <si>
    <t>VENCEDOR I</t>
  </si>
  <si>
    <t>Captura (t)</t>
  </si>
  <si>
    <t xml:space="preserve">MARIA ANGELICA TRONCOSO REYES
</t>
  </si>
  <si>
    <t>CABALLA</t>
  </si>
  <si>
    <t>ALBACORA O PEZ ESPADA / IVI HEHEU</t>
  </si>
  <si>
    <t>REINETA</t>
  </si>
  <si>
    <t>Insustrial</t>
  </si>
  <si>
    <t>Ene Dic</t>
  </si>
  <si>
    <t>ARTURO S</t>
  </si>
  <si>
    <t>Cuota Anual</t>
  </si>
  <si>
    <t>Capturas 2016</t>
  </si>
  <si>
    <t>Saldo</t>
  </si>
  <si>
    <t>SOC. PESQUERA BERTA ELENA LDTA.</t>
  </si>
  <si>
    <t>PESQ. LITORAL SPA</t>
  </si>
  <si>
    <t>645/25-08-16</t>
  </si>
  <si>
    <t>Cd_Especie</t>
  </si>
  <si>
    <t>Detalle de las Capturas Bacalao Profundidad 47° L.S. AL 57° L.S.D.</t>
  </si>
  <si>
    <t>Año</t>
  </si>
  <si>
    <t>Mes</t>
  </si>
  <si>
    <t>NM_ARMADOR</t>
  </si>
  <si>
    <t>Cd_Nave</t>
  </si>
  <si>
    <t>SumaDeNr_Toneladas</t>
  </si>
  <si>
    <t>CRISTIAN SILVA LORCA</t>
  </si>
  <si>
    <t>GONZALO GALDAMES SANTIBAÑEZ</t>
  </si>
  <si>
    <t>FABIAN MONSALVE SALAS</t>
  </si>
  <si>
    <t>Cuota Captura LTP (objetivo)</t>
  </si>
  <si>
    <t>Estado de Cuotas Regionales Crustaceos Industriales LTP, 2016</t>
  </si>
  <si>
    <t>Estado de Cuotas  Cuotas Regionales Crustaceos Industriales, Licitados 2016</t>
  </si>
  <si>
    <t>PESQUERA SIGLO XXI LTDA</t>
  </si>
  <si>
    <t>* registra la sumatoria de los traspasos en todas las regiones</t>
  </si>
  <si>
    <t>Cuota II y III Región (t)</t>
  </si>
  <si>
    <t>Operación II y III región</t>
  </si>
  <si>
    <t>Cuota IV Región (t)</t>
  </si>
  <si>
    <t>Operación IV Región</t>
  </si>
  <si>
    <t>Cuota V Región (t)</t>
  </si>
  <si>
    <t>Operación V Región</t>
  </si>
  <si>
    <t>Cuota VI Región (t)</t>
  </si>
  <si>
    <t>Operación VI Región</t>
  </si>
  <si>
    <t>Cuota VII Región (t)</t>
  </si>
  <si>
    <t>Operación VII Región</t>
  </si>
  <si>
    <t>Cuota VIII Región (t)</t>
  </si>
  <si>
    <t>Operación VIII Región</t>
  </si>
  <si>
    <t>Cuota y Operación Camaron Nailon II-VIII</t>
  </si>
  <si>
    <t>Resumen Global Anual  II-VIII</t>
  </si>
  <si>
    <t xml:space="preserve">Armador </t>
  </si>
  <si>
    <t xml:space="preserve">Cuota Total </t>
  </si>
  <si>
    <t>Cuota Asignada  II-VIII</t>
  </si>
  <si>
    <t>* Traspaso, Cesion, Arriendo, etc)</t>
  </si>
  <si>
    <t>Desembarque (t) II-VIII</t>
  </si>
  <si>
    <t>Camarón nailon II-VIII</t>
  </si>
  <si>
    <t>ENFEMAR LTDA. SOC. PESQ</t>
  </si>
  <si>
    <t>SOC. DISTRIB. PRODUCTOS DEL MAR LTDA.</t>
  </si>
  <si>
    <t>Cuota III Región (t)</t>
  </si>
  <si>
    <t>Operación III región</t>
  </si>
  <si>
    <t>Cuota y Operación Langostino amarillo III-IV</t>
  </si>
  <si>
    <t>Resumen Global Anual Langostino amarillo  III-IV</t>
  </si>
  <si>
    <t>Cuota Asignada  III-IV</t>
  </si>
  <si>
    <t>Desembarque (t) III-IV</t>
  </si>
  <si>
    <t xml:space="preserve">ANTARTIC SEAFOOD S.A.
</t>
  </si>
  <si>
    <t xml:space="preserve">BAYCIC BAYCIC MARIA
</t>
  </si>
  <si>
    <t>ALIMENTOS ALSAN LIMITADA</t>
  </si>
  <si>
    <t>Resumen global anual XV-IV</t>
  </si>
  <si>
    <t>PESQUERA SUNRISE S.A.</t>
  </si>
  <si>
    <t>Langostino colorado II-IV</t>
  </si>
  <si>
    <t>Langostino colorado (D.Ex.945/15 y D.Ex. 147/16)</t>
  </si>
  <si>
    <t xml:space="preserve">Fecha cierre </t>
  </si>
  <si>
    <t>BLUMAR S.A.  ( EX PESQUERA ITATA S.A.)</t>
  </si>
  <si>
    <t>JUREL</t>
  </si>
  <si>
    <t>Res N°1973 Transf. cuota Jurel ORPSS, 2016. Jurel</t>
  </si>
  <si>
    <t>Res N°2779 Transf. cuota Jurel ORPPS, 2016. Jurel</t>
  </si>
  <si>
    <t>LOTA</t>
  </si>
  <si>
    <t xml:space="preserve">LOTA PROTEIN S.A.  (EX LOTA VEDDE) </t>
  </si>
  <si>
    <t>Res N°2965 Transf. cuota Jurel ORPPS, 2016. Jurel</t>
  </si>
  <si>
    <t xml:space="preserve">LOTA PROTEIN S.A. </t>
  </si>
  <si>
    <t>2965/18-10-2016</t>
  </si>
  <si>
    <t xml:space="preserve"> R. Ex N°/Fecha DO</t>
  </si>
  <si>
    <t>3293/03-11-2016</t>
  </si>
  <si>
    <t>DON MANUEL</t>
  </si>
  <si>
    <t>Detalle desembarque Jurel  ORP-PS 2016</t>
  </si>
  <si>
    <t>Carta ORP</t>
  </si>
  <si>
    <t>0102-2015</t>
  </si>
  <si>
    <t>0104-2015</t>
  </si>
  <si>
    <t>074-2016</t>
  </si>
  <si>
    <t>090-2016</t>
  </si>
  <si>
    <t>106-2016</t>
  </si>
  <si>
    <t>108-2016</t>
  </si>
  <si>
    <t>111-2016</t>
  </si>
  <si>
    <t>126-2016</t>
  </si>
  <si>
    <t>127-2016</t>
  </si>
  <si>
    <t>Pendiente</t>
  </si>
  <si>
    <t>captura (t)</t>
  </si>
  <si>
    <t>SERGIO ENRIQUE FERNANDEZ VERGARA</t>
  </si>
  <si>
    <t>SOC. DISTRIB. PRODUCTOS DEL MAR LTDA. (DISTRIMAR)</t>
  </si>
  <si>
    <t>CORONEL</t>
  </si>
  <si>
    <t>FOODCORP CHILE S.A.</t>
  </si>
  <si>
    <t>Res N°3234 Transf. cuota Jurel ORPPS, 2016. Jurel</t>
  </si>
  <si>
    <t>LOTA PROTEIN</t>
  </si>
  <si>
    <t>YELCHO I</t>
  </si>
  <si>
    <t>Res N°3293 Transf. cuota Jurel ORPPS, 2016. Jurel</t>
  </si>
  <si>
    <t>Cuota Total efectiva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</si>
  <si>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</si>
  <si>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</si>
  <si>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</si>
  <si>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</si>
  <si>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</si>
  <si>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</si>
  <si>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</si>
  <si>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</si>
  <si>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</si>
  <si>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</si>
  <si>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</si>
  <si>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</si>
  <si>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</si>
  <si>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REGION DESEMBARQUE</t>
  </si>
  <si>
    <t>Región captura</t>
  </si>
  <si>
    <t>zona captura</t>
  </si>
  <si>
    <t>II</t>
  </si>
  <si>
    <t>XV</t>
  </si>
  <si>
    <t>Meses de Captura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</si>
  <si>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</si>
  <si>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</si>
  <si>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</si>
  <si>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</si>
  <si>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</si>
  <si>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</si>
  <si>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</si>
  <si>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</si>
  <si>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</si>
  <si>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</si>
  <si>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</si>
  <si>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</si>
  <si>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Isla desventurada (V region)</t>
  </si>
  <si>
    <t>Operación Jibia Artesanal zona operación y región de desembarque AÑO 2016</t>
  </si>
  <si>
    <t>CESIÓN ART</t>
  </si>
  <si>
    <t>DECUENTO</t>
  </si>
  <si>
    <t>Cd_Regimen</t>
  </si>
  <si>
    <t>DON TITO</t>
  </si>
  <si>
    <t>Res N°3551 Transf. cuota Jurel ORPPS, 2016. Jurel (A. Internac)</t>
  </si>
  <si>
    <t>LANDES S.A., SOC. PESQ.</t>
  </si>
  <si>
    <t>DON BORIS</t>
  </si>
  <si>
    <t>CORAL I</t>
  </si>
  <si>
    <t>LUIS DAVID II</t>
  </si>
  <si>
    <t>Langostino amarillo III-IV (clase A y B)</t>
  </si>
  <si>
    <t>Cuota y Operación Langostino colorado II-IV</t>
  </si>
  <si>
    <t>Cuota Captura LTP II a IV (objetivo)</t>
  </si>
  <si>
    <t>N° marea</t>
  </si>
  <si>
    <t>Región Operacion</t>
  </si>
  <si>
    <t>Región desembarque</t>
  </si>
  <si>
    <t>dbo_Tb_Pesqueria.Nm_Pesqueria</t>
  </si>
  <si>
    <t>Res N° 3469 Transf. cuota Jurel ORPPS, 2016. Jurel</t>
  </si>
  <si>
    <t xml:space="preserve">BLUMAR S.A.  </t>
  </si>
  <si>
    <t xml:space="preserve">Res N° 3469 </t>
  </si>
  <si>
    <t xml:space="preserve">efectiva </t>
  </si>
  <si>
    <t>Cuota II-III Región (t)</t>
  </si>
  <si>
    <t>Nr_Resolucion</t>
  </si>
  <si>
    <t>ORIZON S. A.</t>
  </si>
  <si>
    <t>LONCO</t>
  </si>
  <si>
    <t>Res N°3520 Transf. cuota Jurel ORPPS, 2016. Jurel (A. Internac)</t>
  </si>
  <si>
    <t>Res N° 3520</t>
  </si>
  <si>
    <t>LOANCO</t>
  </si>
  <si>
    <t>Operación Industrial Jibia - Zona operación y Mes</t>
  </si>
  <si>
    <t xml:space="preserve">Desembarque Bacalao de Profundidad por zonas de capturas y Región desembarque de la XV al 47°L.S. periodo Feb-May Año 2016  </t>
  </si>
  <si>
    <t xml:space="preserve">Desembarque Bacalao de Profundidad por zonas de capturas y desembarque de la XV al 47°L.S. periodo Sep-Dic Año 2016  </t>
  </si>
  <si>
    <t>al 27-12-2016</t>
  </si>
  <si>
    <t>PAOLA STEPHANIE</t>
  </si>
  <si>
    <t>SOC. PESQ. SIGLO XXI LTDA.</t>
  </si>
  <si>
    <t>LUZ ELENA</t>
  </si>
  <si>
    <t xml:space="preserve">LUIS ALFONSO I </t>
  </si>
  <si>
    <t xml:space="preserve">Cuota Asignada por R. Ex N°3520-15 y Mod </t>
  </si>
  <si>
    <t xml:space="preserve">Anchoveta III - IV. </t>
  </si>
  <si>
    <t xml:space="preserve">Anchoveta V-X </t>
  </si>
  <si>
    <t xml:space="preserve">Sardina común V-X </t>
  </si>
  <si>
    <t xml:space="preserve">Jurel XV-I-II </t>
  </si>
  <si>
    <r>
      <t>Jurel V-IX</t>
    </r>
    <r>
      <rPr>
        <b/>
        <sz val="18"/>
        <color rgb="FF7030A0"/>
        <rFont val="Calibri"/>
        <family val="2"/>
      </rPr>
      <t xml:space="preserve"> </t>
    </r>
  </si>
  <si>
    <t xml:space="preserve">Jurel XIV-X </t>
  </si>
  <si>
    <t xml:space="preserve">Jurel III - IV </t>
  </si>
  <si>
    <t>al 17-01-2017</t>
  </si>
  <si>
    <t>DON JULIO</t>
  </si>
  <si>
    <t>Cuotas LTP Recursos Demersales Año 2016  actualizado al 27-01-2017</t>
  </si>
  <si>
    <t>Cuotas LTP Recursos Crustáceos Año 2016  actualizado al 27-01-2017</t>
  </si>
  <si>
    <t xml:space="preserve"> actualizado al 27-01-2017</t>
  </si>
  <si>
    <t>Cuotas LTP Recursos Pelágicos Año 2016  actualizado al 27-01-2017</t>
  </si>
  <si>
    <t>al parecer faltaria un ne3gocio traslaticio</t>
  </si>
  <si>
    <t>29/12/2016</t>
  </si>
  <si>
    <t>F. Acompañante Artesanal</t>
  </si>
  <si>
    <t>efec</t>
  </si>
  <si>
    <t>al 27-01-2017</t>
  </si>
  <si>
    <t>Datos BIO BIO SA</t>
  </si>
  <si>
    <t>NOTAS</t>
  </si>
  <si>
    <t>ok</t>
  </si>
  <si>
    <t>R. Ex. N° 2012, 27-jul-2015</t>
  </si>
  <si>
    <t>Cuota  (t)</t>
  </si>
  <si>
    <t>DETALLES MOVIMIENTOS TRASLATICIOS Y NO TRASLATICIOS:</t>
  </si>
  <si>
    <t>TRASLATICIOS</t>
  </si>
  <si>
    <t>Fecha Resolución</t>
  </si>
  <si>
    <t>Resolución</t>
  </si>
  <si>
    <t>TIPO</t>
  </si>
  <si>
    <t>UNIDAD DE PESQUERÍA</t>
  </si>
  <si>
    <t>PARTE 1</t>
  </si>
  <si>
    <t>PARTE 2</t>
  </si>
  <si>
    <t>COEFICIENTE</t>
  </si>
  <si>
    <t>Cuota 2016</t>
  </si>
  <si>
    <t xml:space="preserve">Toneladas (según cuotas 2016 </t>
  </si>
  <si>
    <t>Compra/Venta</t>
  </si>
  <si>
    <t>011 Merluza común, IV región al paralelo 41° 28,6’ L.S.</t>
  </si>
  <si>
    <t>Modifica RES.N°.2144-13</t>
  </si>
  <si>
    <t>Toneladas (según 2016)</t>
  </si>
  <si>
    <t>Negocios No traslaticios</t>
  </si>
  <si>
    <t>Fecha</t>
  </si>
  <si>
    <t>Nº Certificado</t>
  </si>
  <si>
    <t>Negocio Juridico</t>
  </si>
  <si>
    <t>1 UNIDAD PESQUERIA</t>
  </si>
  <si>
    <t>1 CEDENTE</t>
  </si>
  <si>
    <t xml:space="preserve">2  RECEPTOR </t>
  </si>
  <si>
    <t xml:space="preserve">2 UNIDAD PESQUERIA </t>
  </si>
  <si>
    <t>Tons.Traspaso</t>
  </si>
  <si>
    <t xml:space="preserve">Coeficiente </t>
  </si>
  <si>
    <t>Tons traspaso según valor cuota 2016 modificada</t>
  </si>
  <si>
    <t>Desde</t>
  </si>
  <si>
    <t>Comodato</t>
  </si>
  <si>
    <t>Merluza Comun</t>
  </si>
  <si>
    <t>011 MERLUZA COMÚN, IV REGIÓN AL PARALELO 41° 28,6’ L.S.</t>
  </si>
  <si>
    <t xml:space="preserve">total cuota </t>
  </si>
  <si>
    <t>Modifica N°163-2014 en el la vigencia del comodato</t>
  </si>
  <si>
    <t>Modifica N°163-2014 modificado por cert N° 17-2016, en el sentido de resciliación parcial quedando vigente sólo comodato de 2574,906</t>
  </si>
  <si>
    <t>No corresponde incluir negicio 2015, se incluye en la asignación de cuota 2016</t>
  </si>
  <si>
    <t>Bio Bio S.A. Merluza comun LTP</t>
  </si>
  <si>
    <t>Datos SERNAPESCA</t>
  </si>
  <si>
    <t>Documentos Respaldo</t>
  </si>
  <si>
    <t>Diferencia, ya que el Cert N°73 deja vigente coef. 0,1901422  equivalente a 2574,906 ton.</t>
  </si>
  <si>
    <t>VALOR CUOTA</t>
  </si>
  <si>
    <t>MONTOS MOVIMIENTOS</t>
  </si>
  <si>
    <t>TIPO NEGOCIO</t>
  </si>
  <si>
    <t>Comodato a CONGELADOS</t>
  </si>
  <si>
    <t>Comodato parcial a CONGELADOS (resciliación Comodato N° 163-14)</t>
  </si>
  <si>
    <t>Compra a GRIMAR 2015</t>
  </si>
  <si>
    <t>Compra a GRIMAR 2016</t>
  </si>
  <si>
    <t>Compra a SUR AUSTRAL 2016</t>
  </si>
  <si>
    <t>R. Ex. N° 104, 20-01-2016</t>
  </si>
  <si>
    <t>R. Ex. N° 106, 20-01-2016</t>
  </si>
  <si>
    <t>R. Ex. N° 107, 20-01-2016</t>
  </si>
  <si>
    <t>Cert.N° 73, 02-05-2016</t>
  </si>
  <si>
    <t>Cert.N° 120, 12-10-2016</t>
  </si>
  <si>
    <t>R. Ex. N° 2012, 27-07-2015</t>
  </si>
  <si>
    <t>Diferencia, ya que el Cert N°73 deja vigente coef. 0,002401 equivalente a 32,514 ton.</t>
  </si>
  <si>
    <t>Modifica Resol inicial por Compra-Venta-OK</t>
  </si>
  <si>
    <t>Cuota Merluza Bio BIO 4001,142</t>
  </si>
  <si>
    <t>Merluza comun LTP</t>
  </si>
  <si>
    <t>Co) Cede 0.483 ton a Congelados Pacifico (Cert N°158-2014) Modificado por Cert N°21-2016, extiende vigencia 2016.</t>
  </si>
  <si>
    <t>(T) Incrementa 6.088 ton por Traspaso desde BIO BIO SA. PESQ, XI-XII (Certificado N°07/20-01-2016)</t>
  </si>
  <si>
    <t>(Co) Cede 0,241 ton Congelados Pacifico  S.A. Cert N°18/05-02-16</t>
  </si>
  <si>
    <t xml:space="preserve">(C-V) Vende 0,72399 ton a BLUMAR S.A (RES.EX. N° 986/05-04-2016) </t>
  </si>
  <si>
    <t>(Co) Cede 755,742 ton Congelados del Pacífico S.A.. Cert N°121/12-10-16</t>
  </si>
  <si>
    <t xml:space="preserve">(C-V) Incrementa 949,506  ton desde LANDES S.A. (RES.EX. N° 3198/21-10-2016) </t>
  </si>
  <si>
    <t>(Co) Cede 949,505 ton Congelados del Pacífico S.A.. Cert N°128/15-11-16 (modificado por Cert. N° 130/2016)</t>
  </si>
  <si>
    <t>Merluza cola V-X LTP</t>
  </si>
</sst>
</file>

<file path=xl/styles.xml><?xml version="1.0" encoding="utf-8"?>
<styleSheet xmlns="http://schemas.openxmlformats.org/spreadsheetml/2006/main">
  <numFmts count="3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\-mmm\-yy"/>
    <numFmt numFmtId="165" formatCode="0.00_ ;[Red]\-0.00\ "/>
    <numFmt numFmtId="166" formatCode="d\-mmm"/>
    <numFmt numFmtId="167" formatCode="#,##0.00_ ;[Red]\-#,##0.00\ "/>
    <numFmt numFmtId="168" formatCode="#,##0.000"/>
    <numFmt numFmtId="169" formatCode="0.000"/>
    <numFmt numFmtId="170" formatCode="#,##0.000_ ;[Red]\-#,##0.000\ "/>
    <numFmt numFmtId="171" formatCode="#,##0_ ;[Red]\-#,##0\ "/>
    <numFmt numFmtId="172" formatCode="[$-C0A]d\-mmm;@"/>
    <numFmt numFmtId="173" formatCode="0.000_ ;[Red]\-0.000\ "/>
    <numFmt numFmtId="174" formatCode="#,##0.0000"/>
    <numFmt numFmtId="175" formatCode="#,##0.000\ _€;[Red]\-#,##0.000\ _€"/>
    <numFmt numFmtId="176" formatCode="d/m/yy;@"/>
    <numFmt numFmtId="177" formatCode="#,##0.00000"/>
    <numFmt numFmtId="178" formatCode="0.0%"/>
    <numFmt numFmtId="179" formatCode="0_ ;[Red]\-0\ "/>
    <numFmt numFmtId="180" formatCode="#,##0\ _€;[Red]\-#,##0\ _€"/>
    <numFmt numFmtId="181" formatCode="#,##0.00\ _€;[Red]\-#,##0.00\ _€"/>
    <numFmt numFmtId="182" formatCode="_-* #,##0_-;\-* #,##0_-;_-* &quot;-&quot;??_-;_-@_-"/>
    <numFmt numFmtId="183" formatCode="_-* #,##0.0000_-;\-* #,##0.0000_-;_-* &quot;-&quot;??_-;_-@_-"/>
    <numFmt numFmtId="184" formatCode="00.000"/>
    <numFmt numFmtId="185" formatCode="000.000"/>
    <numFmt numFmtId="186" formatCode="#,##0.0\ _€;[Red]\-#,##0.0\ _€"/>
    <numFmt numFmtId="187" formatCode="#,##0.0"/>
    <numFmt numFmtId="188" formatCode="#,##0.0000000"/>
    <numFmt numFmtId="189" formatCode="0.0000_ ;[Red]\-0.0000\ "/>
    <numFmt numFmtId="190" formatCode="_-* #,##0.00\ _p_t_a_-;\-* #,##0.00\ _p_t_a_-;_-* \-??\ _p_t_a_-;_-@_-"/>
    <numFmt numFmtId="191" formatCode="#,##0.000000"/>
    <numFmt numFmtId="192" formatCode="0.0"/>
  </numFmts>
  <fonts count="2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  <font>
      <b/>
      <sz val="18"/>
      <name val="Calibri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gobCL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6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trike/>
      <sz val="12"/>
      <color indexed="81"/>
      <name val="Tahoma"/>
      <family val="2"/>
    </font>
    <font>
      <strike/>
      <sz val="14"/>
      <color indexed="81"/>
      <name val="Tahoma"/>
      <family val="2"/>
    </font>
    <font>
      <b/>
      <sz val="11"/>
      <color indexed="8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6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indexed="10"/>
      <name val="Tahoma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color indexed="32"/>
      <name val="Tahoma"/>
      <family val="2"/>
    </font>
    <font>
      <b/>
      <u/>
      <sz val="10"/>
      <color indexed="32"/>
      <name val="Tahoma"/>
      <family val="2"/>
    </font>
    <font>
      <sz val="10"/>
      <color indexed="32"/>
      <name val="Tahoma"/>
      <family val="2"/>
    </font>
    <font>
      <strike/>
      <sz val="10"/>
      <color indexed="81"/>
      <name val="Tahoma"/>
      <family val="2"/>
    </font>
    <font>
      <strike/>
      <sz val="11"/>
      <color indexed="81"/>
      <name val="Tahoma"/>
      <family val="2"/>
    </font>
    <font>
      <sz val="16"/>
      <color indexed="48"/>
      <name val="Tahoma"/>
      <family val="2"/>
    </font>
    <font>
      <sz val="16"/>
      <color indexed="12"/>
      <name val="Tahoma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indexed="53"/>
      <name val="Tahoma"/>
      <family val="2"/>
    </font>
    <font>
      <b/>
      <sz val="14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10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FF33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sz val="14"/>
      <color theme="0"/>
      <name val="Calibri"/>
      <family val="2"/>
    </font>
    <font>
      <sz val="10"/>
      <color theme="0"/>
      <name val="Arial"/>
      <family val="2"/>
    </font>
    <font>
      <b/>
      <sz val="12"/>
      <color rgb="FFFF0000"/>
      <name val="Calibri"/>
      <family val="2"/>
      <scheme val="minor"/>
    </font>
    <font>
      <b/>
      <strike/>
      <sz val="14"/>
      <color indexed="81"/>
      <name val="Tahoma"/>
      <family val="2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6.25"/>
      <color theme="10"/>
      <name val="Calibri"/>
      <family val="2"/>
    </font>
    <font>
      <sz val="9"/>
      <color indexed="8"/>
      <name val="Calibri"/>
      <family val="2"/>
    </font>
    <font>
      <sz val="10"/>
      <color rgb="FFFF0000"/>
      <name val="Calibri"/>
      <family val="2"/>
      <scheme val="minor"/>
    </font>
    <font>
      <sz val="14"/>
      <name val="Calibri"/>
      <family val="2"/>
    </font>
    <font>
      <b/>
      <sz val="10"/>
      <color theme="1"/>
      <name val="Calibri"/>
      <family val="2"/>
      <scheme val="minor"/>
    </font>
    <font>
      <strike/>
      <sz val="14"/>
      <color indexed="10"/>
      <name val="Tahoma"/>
      <family val="2"/>
    </font>
    <font>
      <sz val="10"/>
      <color theme="0"/>
      <name val="Calibri"/>
      <family val="2"/>
      <scheme val="minor"/>
    </font>
    <font>
      <sz val="11"/>
      <color theme="0"/>
      <name val="Calibri"/>
      <family val="2"/>
    </font>
    <font>
      <sz val="14"/>
      <color indexed="13"/>
      <name val="Tahoma"/>
      <family val="2"/>
    </font>
    <font>
      <b/>
      <sz val="14"/>
      <color indexed="10"/>
      <name val="Tahoma"/>
      <family val="2"/>
    </font>
    <font>
      <u/>
      <sz val="11"/>
      <color theme="10"/>
      <name val="Calibri"/>
      <family val="2"/>
    </font>
    <font>
      <strike/>
      <sz val="8"/>
      <color indexed="81"/>
      <name val="Tahoma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 tint="-0.14999847407452621"/>
      <name val="Calibri"/>
      <family val="2"/>
      <scheme val="minor"/>
    </font>
    <font>
      <b/>
      <sz val="16"/>
      <name val="Calibri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trike/>
      <sz val="9"/>
      <color indexed="81"/>
      <name val="Tahoma"/>
      <family val="2"/>
    </font>
    <font>
      <b/>
      <sz val="11"/>
      <color indexed="81"/>
      <name val="Arial"/>
      <family val="2"/>
    </font>
    <font>
      <sz val="11"/>
      <color indexed="81"/>
      <name val="Arial"/>
      <family val="2"/>
    </font>
    <font>
      <b/>
      <strike/>
      <sz val="12"/>
      <color indexed="10"/>
      <name val="Tahoma"/>
      <family val="2"/>
    </font>
    <font>
      <strike/>
      <sz val="12"/>
      <color indexed="10"/>
      <name val="Tahoma"/>
      <family val="2"/>
    </font>
    <font>
      <b/>
      <strike/>
      <sz val="14"/>
      <color indexed="10"/>
      <name val="Tahoma"/>
      <family val="2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"/>
      <color theme="10"/>
      <name val="Arial"/>
      <family val="2"/>
    </font>
    <font>
      <sz val="10"/>
      <color theme="1"/>
      <name val="gobCL"/>
      <family val="2"/>
    </font>
    <font>
      <sz val="10"/>
      <name val="Verdana"/>
      <family val="2"/>
    </font>
    <font>
      <b/>
      <strike/>
      <sz val="12"/>
      <color indexed="8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2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name val="Calibri"/>
      <family val="2"/>
    </font>
    <font>
      <sz val="11"/>
      <color indexed="10"/>
      <name val="Tahoma"/>
      <family val="2"/>
    </font>
    <font>
      <sz val="12"/>
      <color indexed="17"/>
      <name val="Tahoma"/>
      <family val="2"/>
    </font>
    <font>
      <strike/>
      <sz val="12"/>
      <color indexed="17"/>
      <name val="Tahoma"/>
      <family val="2"/>
    </font>
    <font>
      <sz val="14"/>
      <color indexed="17"/>
      <name val="Tahoma"/>
      <family val="2"/>
    </font>
    <font>
      <sz val="11"/>
      <color indexed="17"/>
      <name val="Tahoma"/>
      <family val="2"/>
    </font>
    <font>
      <strike/>
      <sz val="11"/>
      <color indexed="10"/>
      <name val="Tahoma"/>
      <family val="2"/>
    </font>
    <font>
      <sz val="9"/>
      <color indexed="17"/>
      <name val="Tahoma"/>
      <family val="2"/>
    </font>
    <font>
      <strike/>
      <sz val="9"/>
      <color indexed="10"/>
      <name val="Tahoma"/>
      <family val="2"/>
    </font>
    <font>
      <sz val="9"/>
      <color indexed="10"/>
      <name val="Tahoma"/>
      <family val="2"/>
    </font>
    <font>
      <sz val="11"/>
      <color indexed="57"/>
      <name val="Tahoma"/>
      <family val="2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8"/>
      <color rgb="FF7030A0"/>
      <name val="Calibri"/>
      <family val="2"/>
    </font>
    <font>
      <sz val="11"/>
      <color indexed="8"/>
      <name val="Tahoma"/>
      <family val="2"/>
    </font>
    <font>
      <sz val="10"/>
      <name val="Calibri"/>
      <family val="2"/>
    </font>
    <font>
      <sz val="9"/>
      <name val="Calibri"/>
      <family val="2"/>
    </font>
    <font>
      <sz val="11"/>
      <color indexed="17"/>
      <name val="Arial"/>
      <family val="2"/>
    </font>
    <font>
      <b/>
      <sz val="11"/>
      <color indexed="17"/>
      <name val="Arial"/>
      <family val="2"/>
    </font>
    <font>
      <b/>
      <strike/>
      <sz val="11"/>
      <color indexed="10"/>
      <name val="Tahoma"/>
      <family val="2"/>
    </font>
    <font>
      <b/>
      <sz val="11"/>
      <color indexed="17"/>
      <name val="Tahoma"/>
      <family val="2"/>
    </font>
    <font>
      <b/>
      <sz val="12"/>
      <color indexed="17"/>
      <name val="Tahoma"/>
      <family val="2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11"/>
      <color theme="1" tint="0.249977111117893"/>
      <name val="Calibri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</font>
    <font>
      <sz val="9"/>
      <color rgb="FF5D5D5D"/>
      <name val="Verdana"/>
      <family val="2"/>
    </font>
    <font>
      <sz val="16"/>
      <color indexed="81"/>
      <name val="Calibri"/>
      <family val="2"/>
      <scheme val="minor"/>
    </font>
    <font>
      <b/>
      <sz val="12"/>
      <color indexed="81"/>
      <name val="Calibri"/>
      <family val="2"/>
      <scheme val="minor"/>
    </font>
    <font>
      <sz val="12"/>
      <color indexed="81"/>
      <name val="Calibri"/>
      <family val="2"/>
      <scheme val="minor"/>
    </font>
    <font>
      <strike/>
      <sz val="12"/>
      <color indexed="81"/>
      <name val="Calibri"/>
      <family val="2"/>
      <scheme val="minor"/>
    </font>
    <font>
      <b/>
      <sz val="12"/>
      <color indexed="81"/>
      <name val="Verdana"/>
      <family val="2"/>
    </font>
    <font>
      <sz val="12"/>
      <color indexed="81"/>
      <name val="Verdana"/>
      <family val="2"/>
    </font>
    <font>
      <b/>
      <sz val="12"/>
      <color indexed="10"/>
      <name val="Verdana"/>
      <family val="2"/>
    </font>
    <font>
      <b/>
      <sz val="14"/>
      <color indexed="12"/>
      <name val="Tahoma"/>
      <family val="2"/>
    </font>
    <font>
      <b/>
      <sz val="11"/>
      <color theme="1" tint="0.249977111117893"/>
      <name val="Calibri"/>
      <family val="2"/>
    </font>
    <font>
      <sz val="11"/>
      <name val="Verdana"/>
      <family val="2"/>
    </font>
    <font>
      <b/>
      <strike/>
      <sz val="11"/>
      <color indexed="81"/>
      <name val="Tahoma"/>
      <family val="2"/>
    </font>
    <font>
      <strike/>
      <sz val="11"/>
      <color indexed="17"/>
      <name val="Tahoma"/>
      <family val="2"/>
    </font>
    <font>
      <b/>
      <strike/>
      <sz val="11"/>
      <color indexed="17"/>
      <name val="Tahoma"/>
      <family val="2"/>
    </font>
    <font>
      <strike/>
      <sz val="16"/>
      <color indexed="81"/>
      <name val="Sylfaen"/>
      <family val="1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sz val="8"/>
      <color theme="1"/>
      <name val="Verdana"/>
      <family val="2"/>
    </font>
    <font>
      <sz val="8"/>
      <color rgb="FFFF0000"/>
      <name val="Verdana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1F497D"/>
      <name val="Calibri"/>
      <family val="2"/>
      <scheme val="minor"/>
    </font>
    <font>
      <sz val="11"/>
      <color rgb="FF1F497D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b/>
      <sz val="9"/>
      <color theme="1"/>
      <name val="Arial"/>
      <family val="2"/>
    </font>
  </fonts>
  <fills count="1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33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0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indexed="64"/>
      </patternFill>
    </fill>
  </fills>
  <borders count="2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hair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</borders>
  <cellStyleXfs count="42141">
    <xf numFmtId="0" fontId="0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10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20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63" applyNumberFormat="0" applyFill="0" applyAlignment="0" applyProtection="0"/>
    <xf numFmtId="0" fontId="29" fillId="0" borderId="64" applyNumberFormat="0" applyFill="0" applyAlignment="0" applyProtection="0"/>
    <xf numFmtId="0" fontId="30" fillId="0" borderId="65" applyNumberFormat="0" applyFill="0" applyAlignment="0" applyProtection="0"/>
    <xf numFmtId="0" fontId="30" fillId="0" borderId="0" applyNumberFormat="0" applyFill="0" applyBorder="0" applyAlignment="0" applyProtection="0"/>
    <xf numFmtId="0" fontId="31" fillId="21" borderId="0" applyNumberFormat="0" applyBorder="0" applyAlignment="0" applyProtection="0"/>
    <xf numFmtId="0" fontId="32" fillId="22" borderId="0" applyNumberFormat="0" applyBorder="0" applyAlignment="0" applyProtection="0"/>
    <xf numFmtId="0" fontId="33" fillId="23" borderId="66" applyNumberFormat="0" applyAlignment="0" applyProtection="0"/>
    <xf numFmtId="0" fontId="34" fillId="24" borderId="67" applyNumberFormat="0" applyAlignment="0" applyProtection="0"/>
    <xf numFmtId="0" fontId="35" fillId="24" borderId="66" applyNumberFormat="0" applyAlignment="0" applyProtection="0"/>
    <xf numFmtId="0" fontId="36" fillId="0" borderId="68" applyNumberFormat="0" applyFill="0" applyAlignment="0" applyProtection="0"/>
    <xf numFmtId="0" fontId="37" fillId="25" borderId="69" applyNumberFormat="0" applyAlignment="0" applyProtection="0"/>
    <xf numFmtId="0" fontId="16" fillId="0" borderId="0" applyNumberFormat="0" applyFill="0" applyBorder="0" applyAlignment="0" applyProtection="0"/>
    <xf numFmtId="0" fontId="14" fillId="26" borderId="70" applyNumberFormat="0" applyFont="0" applyAlignment="0" applyProtection="0"/>
    <xf numFmtId="0" fontId="38" fillId="0" borderId="0" applyNumberFormat="0" applyFill="0" applyBorder="0" applyAlignment="0" applyProtection="0"/>
    <xf numFmtId="0" fontId="21" fillId="0" borderId="71" applyNumberFormat="0" applyFill="0" applyAlignment="0" applyProtection="0"/>
    <xf numFmtId="0" fontId="39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39" fillId="50" borderId="0" applyNumberFormat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" fillId="0" borderId="0"/>
    <xf numFmtId="0" fontId="40" fillId="0" borderId="0"/>
    <xf numFmtId="9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0" fillId="0" borderId="0"/>
    <xf numFmtId="0" fontId="59" fillId="0" borderId="0"/>
    <xf numFmtId="0" fontId="60" fillId="0" borderId="0"/>
    <xf numFmtId="0" fontId="4" fillId="0" borderId="0"/>
    <xf numFmtId="9" fontId="1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10" fillId="0" borderId="0"/>
    <xf numFmtId="0" fontId="83" fillId="0" borderId="0"/>
    <xf numFmtId="9" fontId="1" fillId="0" borderId="0" applyFont="0" applyFill="0" applyBorder="0" applyAlignment="0" applyProtection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5" fillId="0" borderId="0"/>
    <xf numFmtId="0" fontId="105" fillId="0" borderId="0"/>
    <xf numFmtId="0" fontId="4" fillId="0" borderId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" fillId="0" borderId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134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0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4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1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2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19" fillId="87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0" fillId="76" borderId="0" applyNumberFormat="0" applyBorder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1" fillId="88" borderId="155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2" fillId="89" borderId="156" applyNumberFormat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3" fillId="0" borderId="157" applyNumberFormat="0" applyFill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0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1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92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5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86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19" fillId="93" borderId="0" applyNumberFormat="0" applyBorder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5" fillId="79" borderId="155" applyNumberFormat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0" fontId="126" fillId="75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0" fontId="4" fillId="0" borderId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27" fillId="9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0" fontId="4" fillId="95" borderId="124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8" fillId="88" borderId="158" applyNumberFormat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2" fillId="0" borderId="159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33" fillId="0" borderId="160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24" fillId="0" borderId="161" applyNumberFormat="0" applyFill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3" fillId="0" borderId="162" applyNumberFormat="0" applyFill="0" applyAlignment="0" applyProtection="0"/>
    <xf numFmtId="0" fontId="14" fillId="0" borderId="0"/>
    <xf numFmtId="0" fontId="4" fillId="0" borderId="0"/>
    <xf numFmtId="0" fontId="14" fillId="0" borderId="0"/>
    <xf numFmtId="0" fontId="102" fillId="0" borderId="0" applyNumberFormat="0" applyFill="0" applyBorder="0" applyAlignment="0" applyProtection="0">
      <alignment vertical="top"/>
      <protection locked="0"/>
    </xf>
    <xf numFmtId="9" fontId="135" fillId="0" borderId="0" applyFont="0" applyFill="0" applyBorder="0" applyAlignment="0" applyProtection="0"/>
    <xf numFmtId="9" fontId="136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3185">
    <xf numFmtId="0" fontId="0" fillId="0" borderId="0" xfId="0"/>
    <xf numFmtId="0" fontId="0" fillId="9" borderId="0" xfId="0" applyFill="1"/>
    <xf numFmtId="0" fontId="3" fillId="9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/>
    <xf numFmtId="0" fontId="0" fillId="0" borderId="0" xfId="0" applyFont="1"/>
    <xf numFmtId="0" fontId="0" fillId="0" borderId="0" xfId="0" applyFont="1" applyFill="1"/>
    <xf numFmtId="0" fontId="19" fillId="10" borderId="25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/>
    </xf>
    <xf numFmtId="0" fontId="19" fillId="9" borderId="25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4" fontId="19" fillId="0" borderId="0" xfId="0" applyNumberFormat="1" applyFont="1" applyFill="1" applyBorder="1" applyAlignment="1">
      <alignment horizontal="center"/>
    </xf>
    <xf numFmtId="167" fontId="19" fillId="0" borderId="0" xfId="0" applyNumberFormat="1" applyFont="1" applyFill="1" applyBorder="1" applyAlignment="1">
      <alignment horizontal="center"/>
    </xf>
    <xf numFmtId="4" fontId="19" fillId="0" borderId="0" xfId="0" applyNumberFormat="1" applyFont="1" applyBorder="1" applyAlignment="1">
      <alignment horizontal="center"/>
    </xf>
    <xf numFmtId="168" fontId="19" fillId="0" borderId="0" xfId="0" applyNumberFormat="1" applyFont="1" applyFill="1" applyBorder="1" applyAlignment="1">
      <alignment horizontal="center"/>
    </xf>
    <xf numFmtId="10" fontId="19" fillId="0" borderId="0" xfId="890" applyNumberFormat="1" applyFont="1" applyFill="1" applyBorder="1" applyAlignment="1">
      <alignment horizontal="center"/>
    </xf>
    <xf numFmtId="165" fontId="19" fillId="0" borderId="0" xfId="0" applyNumberFormat="1" applyFont="1" applyFill="1" applyBorder="1" applyAlignment="1">
      <alignment horizontal="center" vertical="center"/>
    </xf>
    <xf numFmtId="0" fontId="0" fillId="0" borderId="55" xfId="0" applyFont="1" applyBorder="1"/>
    <xf numFmtId="0" fontId="0" fillId="9" borderId="0" xfId="0" applyFont="1" applyFill="1"/>
    <xf numFmtId="0" fontId="0" fillId="9" borderId="0" xfId="0" applyFont="1" applyFill="1" applyBorder="1"/>
    <xf numFmtId="4" fontId="19" fillId="9" borderId="0" xfId="0" applyNumberFormat="1" applyFont="1" applyFill="1" applyBorder="1" applyAlignment="1"/>
    <xf numFmtId="0" fontId="19" fillId="9" borderId="0" xfId="0" applyFont="1" applyFill="1" applyBorder="1"/>
    <xf numFmtId="4" fontId="19" fillId="9" borderId="0" xfId="0" applyNumberFormat="1" applyFont="1" applyFill="1" applyBorder="1"/>
    <xf numFmtId="0" fontId="41" fillId="9" borderId="0" xfId="0" applyFont="1" applyFill="1" applyBorder="1" applyAlignment="1">
      <alignment horizontal="right" wrapText="1"/>
    </xf>
    <xf numFmtId="4" fontId="40" fillId="10" borderId="25" xfId="0" applyNumberFormat="1" applyFont="1" applyFill="1" applyBorder="1" applyAlignment="1">
      <alignment horizontal="center" vertical="center"/>
    </xf>
    <xf numFmtId="4" fontId="19" fillId="10" borderId="25" xfId="0" applyNumberFormat="1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 wrapText="1"/>
    </xf>
    <xf numFmtId="0" fontId="0" fillId="0" borderId="0" xfId="0" applyFont="1" applyFill="1"/>
    <xf numFmtId="165" fontId="19" fillId="9" borderId="0" xfId="0" applyNumberFormat="1" applyFont="1" applyFill="1"/>
    <xf numFmtId="0" fontId="19" fillId="10" borderId="46" xfId="0" applyFont="1" applyFill="1" applyBorder="1" applyAlignment="1">
      <alignment horizontal="center" vertical="center" wrapText="1"/>
    </xf>
    <xf numFmtId="4" fontId="19" fillId="10" borderId="46" xfId="0" applyNumberFormat="1" applyFont="1" applyFill="1" applyBorder="1" applyAlignment="1">
      <alignment horizontal="center" vertical="center"/>
    </xf>
    <xf numFmtId="4" fontId="19" fillId="10" borderId="3" xfId="0" applyNumberFormat="1" applyFont="1" applyFill="1" applyBorder="1" applyAlignment="1">
      <alignment horizontal="center" vertical="center"/>
    </xf>
    <xf numFmtId="4" fontId="40" fillId="10" borderId="46" xfId="0" applyNumberFormat="1" applyFont="1" applyFill="1" applyBorder="1" applyAlignment="1">
      <alignment horizontal="center" vertical="center"/>
    </xf>
    <xf numFmtId="0" fontId="0" fillId="0" borderId="1" xfId="0" applyBorder="1"/>
    <xf numFmtId="0" fontId="19" fillId="10" borderId="32" xfId="0" applyFont="1" applyFill="1" applyBorder="1" applyAlignment="1">
      <alignment horizontal="center" vertical="center" wrapText="1"/>
    </xf>
    <xf numFmtId="4" fontId="19" fillId="10" borderId="3" xfId="0" applyNumberFormat="1" applyFont="1" applyFill="1" applyBorder="1" applyAlignment="1">
      <alignment horizontal="center" vertical="center" wrapText="1"/>
    </xf>
    <xf numFmtId="4" fontId="19" fillId="10" borderId="21" xfId="0" applyNumberFormat="1" applyFont="1" applyFill="1" applyBorder="1" applyAlignment="1">
      <alignment horizontal="center" vertical="center" wrapText="1"/>
    </xf>
    <xf numFmtId="0" fontId="19" fillId="10" borderId="36" xfId="0" applyFont="1" applyFill="1" applyBorder="1" applyAlignment="1">
      <alignment horizontal="center" vertical="center" wrapText="1"/>
    </xf>
    <xf numFmtId="0" fontId="19" fillId="0" borderId="47" xfId="0" applyFont="1" applyFill="1" applyBorder="1" applyAlignment="1">
      <alignment horizontal="center" vertical="center"/>
    </xf>
    <xf numFmtId="0" fontId="20" fillId="10" borderId="53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/>
    </xf>
    <xf numFmtId="3" fontId="19" fillId="9" borderId="0" xfId="0" applyNumberFormat="1" applyFont="1" applyFill="1" applyBorder="1" applyAlignment="1">
      <alignment horizontal="center" vertical="center"/>
    </xf>
    <xf numFmtId="0" fontId="0" fillId="9" borderId="0" xfId="0" applyFont="1" applyFill="1" applyBorder="1" applyAlignment="1">
      <alignment horizontal="center"/>
    </xf>
    <xf numFmtId="167" fontId="19" fillId="9" borderId="0" xfId="0" applyNumberFormat="1" applyFont="1" applyFill="1" applyBorder="1" applyAlignment="1">
      <alignment horizontal="center" vertical="center"/>
    </xf>
    <xf numFmtId="10" fontId="19" fillId="9" borderId="0" xfId="890" applyNumberFormat="1" applyFont="1" applyFill="1" applyBorder="1" applyAlignment="1">
      <alignment horizontal="center"/>
    </xf>
    <xf numFmtId="0" fontId="20" fillId="10" borderId="8" xfId="0" applyFont="1" applyFill="1" applyBorder="1" applyAlignment="1">
      <alignment horizontal="center"/>
    </xf>
    <xf numFmtId="14" fontId="0" fillId="9" borderId="22" xfId="0" applyNumberFormat="1" applyFont="1" applyFill="1" applyBorder="1" applyAlignment="1">
      <alignment horizontal="center"/>
    </xf>
    <xf numFmtId="4" fontId="20" fillId="9" borderId="0" xfId="0" applyNumberFormat="1" applyFont="1" applyFill="1" applyBorder="1" applyAlignment="1">
      <alignment horizontal="center"/>
    </xf>
    <xf numFmtId="4" fontId="19" fillId="9" borderId="0" xfId="0" applyNumberFormat="1" applyFont="1" applyFill="1" applyBorder="1" applyAlignment="1">
      <alignment horizontal="center" vertical="center"/>
    </xf>
    <xf numFmtId="4" fontId="20" fillId="10" borderId="32" xfId="0" applyNumberFormat="1" applyFont="1" applyFill="1" applyBorder="1" applyAlignment="1">
      <alignment horizontal="center" vertical="center"/>
    </xf>
    <xf numFmtId="0" fontId="19" fillId="0" borderId="78" xfId="0" applyFont="1" applyFill="1" applyBorder="1" applyAlignment="1">
      <alignment horizontal="center"/>
    </xf>
    <xf numFmtId="0" fontId="19" fillId="0" borderId="79" xfId="0" applyFont="1" applyFill="1" applyBorder="1" applyAlignment="1">
      <alignment horizontal="center"/>
    </xf>
    <xf numFmtId="4" fontId="20" fillId="10" borderId="53" xfId="0" applyNumberFormat="1" applyFont="1" applyFill="1" applyBorder="1" applyAlignment="1">
      <alignment horizontal="center" vertical="center"/>
    </xf>
    <xf numFmtId="4" fontId="20" fillId="10" borderId="58" xfId="0" applyNumberFormat="1" applyFont="1" applyFill="1" applyBorder="1" applyAlignment="1">
      <alignment horizontal="center" vertical="center" wrapText="1"/>
    </xf>
    <xf numFmtId="4" fontId="20" fillId="10" borderId="58" xfId="0" applyNumberFormat="1" applyFont="1" applyFill="1" applyBorder="1" applyAlignment="1">
      <alignment horizontal="center" vertical="center"/>
    </xf>
    <xf numFmtId="0" fontId="20" fillId="10" borderId="58" xfId="0" applyFont="1" applyFill="1" applyBorder="1" applyAlignment="1">
      <alignment horizontal="center" vertical="center" wrapText="1"/>
    </xf>
    <xf numFmtId="0" fontId="20" fillId="10" borderId="54" xfId="0" applyFont="1" applyFill="1" applyBorder="1" applyAlignment="1">
      <alignment horizontal="center" vertical="center" wrapText="1"/>
    </xf>
    <xf numFmtId="0" fontId="20" fillId="10" borderId="61" xfId="0" applyFont="1" applyFill="1" applyBorder="1" applyAlignment="1">
      <alignment horizontal="center" vertical="center" wrapText="1"/>
    </xf>
    <xf numFmtId="0" fontId="19" fillId="3" borderId="0" xfId="0" applyFont="1" applyFill="1"/>
    <xf numFmtId="0" fontId="19" fillId="3" borderId="15" xfId="0" applyFont="1" applyFill="1" applyBorder="1"/>
    <xf numFmtId="0" fontId="0" fillId="3" borderId="0" xfId="0" applyFont="1" applyFill="1"/>
    <xf numFmtId="0" fontId="20" fillId="9" borderId="0" xfId="0" applyFont="1" applyFill="1" applyBorder="1" applyAlignment="1"/>
    <xf numFmtId="3" fontId="19" fillId="9" borderId="1" xfId="0" applyNumberFormat="1" applyFont="1" applyFill="1" applyBorder="1" applyAlignment="1">
      <alignment horizontal="center" vertical="center"/>
    </xf>
    <xf numFmtId="168" fontId="19" fillId="9" borderId="1" xfId="0" applyNumberFormat="1" applyFont="1" applyFill="1" applyBorder="1" applyAlignment="1">
      <alignment horizontal="center" vertical="center"/>
    </xf>
    <xf numFmtId="3" fontId="19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3" fontId="0" fillId="3" borderId="0" xfId="0" applyNumberFormat="1" applyFont="1" applyFill="1"/>
    <xf numFmtId="3" fontId="20" fillId="10" borderId="53" xfId="0" applyNumberFormat="1" applyFont="1" applyFill="1" applyBorder="1" applyAlignment="1">
      <alignment horizontal="center" vertical="center" wrapText="1"/>
    </xf>
    <xf numFmtId="3" fontId="20" fillId="10" borderId="58" xfId="0" applyNumberFormat="1" applyFont="1" applyFill="1" applyBorder="1" applyAlignment="1">
      <alignment horizontal="center" vertical="center" wrapText="1"/>
    </xf>
    <xf numFmtId="0" fontId="20" fillId="10" borderId="58" xfId="0" applyNumberFormat="1" applyFont="1" applyFill="1" applyBorder="1" applyAlignment="1">
      <alignment horizontal="center" vertical="center" wrapText="1"/>
    </xf>
    <xf numFmtId="3" fontId="20" fillId="10" borderId="58" xfId="0" applyNumberFormat="1" applyFont="1" applyFill="1" applyBorder="1" applyAlignment="1">
      <alignment horizontal="center" vertical="center"/>
    </xf>
    <xf numFmtId="3" fontId="20" fillId="10" borderId="54" xfId="0" applyNumberFormat="1" applyFont="1" applyFill="1" applyBorder="1" applyAlignment="1">
      <alignment horizontal="center" vertical="center" wrapText="1"/>
    </xf>
    <xf numFmtId="0" fontId="20" fillId="10" borderId="4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19" fillId="10" borderId="21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22" xfId="0" applyFont="1" applyFill="1" applyBorder="1" applyAlignment="1">
      <alignment horizontal="center"/>
    </xf>
    <xf numFmtId="167" fontId="19" fillId="9" borderId="21" xfId="0" applyNumberFormat="1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0" fontId="19" fillId="58" borderId="25" xfId="0" applyFont="1" applyFill="1" applyBorder="1" applyAlignment="1">
      <alignment horizontal="center" vertical="center"/>
    </xf>
    <xf numFmtId="10" fontId="19" fillId="9" borderId="25" xfId="890" applyNumberFormat="1" applyFont="1" applyFill="1" applyBorder="1" applyAlignment="1">
      <alignment horizontal="center"/>
    </xf>
    <xf numFmtId="0" fontId="0" fillId="9" borderId="0" xfId="0" applyFill="1" applyBorder="1"/>
    <xf numFmtId="0" fontId="18" fillId="9" borderId="0" xfId="0" applyFont="1" applyFill="1" applyBorder="1" applyAlignment="1">
      <alignment horizontal="center" vertical="center" wrapText="1"/>
    </xf>
    <xf numFmtId="0" fontId="56" fillId="9" borderId="12" xfId="0" applyFont="1" applyFill="1" applyBorder="1"/>
    <xf numFmtId="4" fontId="19" fillId="9" borderId="1" xfId="0" applyNumberFormat="1" applyFont="1" applyFill="1" applyBorder="1" applyAlignment="1">
      <alignment horizontal="center"/>
    </xf>
    <xf numFmtId="4" fontId="19" fillId="9" borderId="55" xfId="0" applyNumberFormat="1" applyFont="1" applyFill="1" applyBorder="1" applyAlignment="1">
      <alignment horizontal="center"/>
    </xf>
    <xf numFmtId="165" fontId="19" fillId="9" borderId="0" xfId="0" applyNumberFormat="1" applyFont="1" applyFill="1" applyAlignment="1">
      <alignment horizontal="center" vertical="center"/>
    </xf>
    <xf numFmtId="0" fontId="39" fillId="27" borderId="0" xfId="910"/>
    <xf numFmtId="0" fontId="21" fillId="0" borderId="71" xfId="909"/>
    <xf numFmtId="0" fontId="20" fillId="9" borderId="0" xfId="888" applyFont="1" applyFill="1" applyBorder="1" applyAlignment="1">
      <alignment horizontal="center" vertical="top" wrapText="1"/>
    </xf>
    <xf numFmtId="0" fontId="42" fillId="9" borderId="12" xfId="0" applyFont="1" applyFill="1" applyBorder="1"/>
    <xf numFmtId="4" fontId="19" fillId="9" borderId="0" xfId="0" applyNumberFormat="1" applyFont="1" applyFill="1"/>
    <xf numFmtId="4" fontId="19" fillId="9" borderId="0" xfId="0" applyNumberFormat="1" applyFont="1" applyFill="1" applyBorder="1" applyAlignment="1">
      <alignment horizontal="center"/>
    </xf>
    <xf numFmtId="168" fontId="19" fillId="9" borderId="0" xfId="0" applyNumberFormat="1" applyFont="1" applyFill="1" applyBorder="1" applyAlignment="1">
      <alignment horizontal="center"/>
    </xf>
    <xf numFmtId="0" fontId="0" fillId="9" borderId="49" xfId="0" applyFill="1" applyBorder="1"/>
    <xf numFmtId="2" fontId="0" fillId="9" borderId="33" xfId="0" applyNumberFormat="1" applyFill="1" applyBorder="1" applyAlignment="1">
      <alignment horizontal="center"/>
    </xf>
    <xf numFmtId="2" fontId="0" fillId="9" borderId="28" xfId="0" applyNumberFormat="1" applyFill="1" applyBorder="1" applyAlignment="1">
      <alignment horizontal="center"/>
    </xf>
    <xf numFmtId="10" fontId="0" fillId="9" borderId="59" xfId="889" applyNumberFormat="1" applyFont="1" applyFill="1" applyBorder="1" applyAlignment="1">
      <alignment horizontal="center"/>
    </xf>
    <xf numFmtId="0" fontId="0" fillId="9" borderId="28" xfId="0" applyFill="1" applyBorder="1"/>
    <xf numFmtId="0" fontId="0" fillId="9" borderId="29" xfId="0" applyFill="1" applyBorder="1"/>
    <xf numFmtId="0" fontId="0" fillId="9" borderId="57" xfId="0" applyFill="1" applyBorder="1"/>
    <xf numFmtId="2" fontId="0" fillId="9" borderId="34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10" fontId="0" fillId="9" borderId="31" xfId="889" applyNumberFormat="1" applyFont="1" applyFill="1" applyBorder="1" applyAlignment="1">
      <alignment horizontal="center"/>
    </xf>
    <xf numFmtId="0" fontId="0" fillId="9" borderId="1" xfId="0" applyFill="1" applyBorder="1"/>
    <xf numFmtId="0" fontId="0" fillId="9" borderId="30" xfId="0" applyFill="1" applyBorder="1"/>
    <xf numFmtId="0" fontId="0" fillId="9" borderId="55" xfId="0" applyFill="1" applyBorder="1"/>
    <xf numFmtId="0" fontId="0" fillId="9" borderId="56" xfId="0" applyFill="1" applyBorder="1"/>
    <xf numFmtId="0" fontId="0" fillId="57" borderId="55" xfId="0" applyFill="1" applyBorder="1"/>
    <xf numFmtId="0" fontId="0" fillId="57" borderId="56" xfId="0" applyFill="1" applyBorder="1"/>
    <xf numFmtId="0" fontId="14" fillId="9" borderId="0" xfId="0" applyFont="1" applyFill="1"/>
    <xf numFmtId="0" fontId="19" fillId="9" borderId="32" xfId="0" applyFont="1" applyFill="1" applyBorder="1" applyAlignment="1">
      <alignment horizontal="center"/>
    </xf>
    <xf numFmtId="3" fontId="19" fillId="9" borderId="72" xfId="0" applyNumberFormat="1" applyFont="1" applyFill="1" applyBorder="1" applyAlignment="1">
      <alignment horizontal="center"/>
    </xf>
    <xf numFmtId="3" fontId="19" fillId="9" borderId="43" xfId="0" applyNumberFormat="1" applyFont="1" applyFill="1" applyBorder="1" applyAlignment="1">
      <alignment horizontal="center"/>
    </xf>
    <xf numFmtId="168" fontId="40" fillId="9" borderId="46" xfId="0" applyNumberFormat="1" applyFont="1" applyFill="1" applyBorder="1" applyAlignment="1">
      <alignment horizontal="center" vertical="center"/>
    </xf>
    <xf numFmtId="171" fontId="19" fillId="9" borderId="4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3" fontId="19" fillId="9" borderId="16" xfId="0" applyNumberFormat="1" applyFont="1" applyFill="1" applyBorder="1" applyAlignment="1">
      <alignment horizontal="center"/>
    </xf>
    <xf numFmtId="168" fontId="40" fillId="9" borderId="47" xfId="0" applyNumberFormat="1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/>
    </xf>
    <xf numFmtId="16" fontId="20" fillId="9" borderId="47" xfId="0" applyNumberFormat="1" applyFont="1" applyFill="1" applyBorder="1" applyAlignment="1">
      <alignment horizontal="center"/>
    </xf>
    <xf numFmtId="0" fontId="19" fillId="9" borderId="35" xfId="0" applyFont="1" applyFill="1" applyBorder="1" applyAlignment="1">
      <alignment horizontal="center"/>
    </xf>
    <xf numFmtId="3" fontId="19" fillId="9" borderId="52" xfId="0" applyNumberFormat="1" applyFont="1" applyFill="1" applyBorder="1" applyAlignment="1">
      <alignment horizontal="center"/>
    </xf>
    <xf numFmtId="168" fontId="40" fillId="9" borderId="48" xfId="0" applyNumberFormat="1" applyFont="1" applyFill="1" applyBorder="1" applyAlignment="1">
      <alignment horizontal="center" vertical="center"/>
    </xf>
    <xf numFmtId="16" fontId="20" fillId="9" borderId="48" xfId="0" applyNumberFormat="1" applyFont="1" applyFill="1" applyBorder="1" applyAlignment="1">
      <alignment horizontal="center"/>
    </xf>
    <xf numFmtId="0" fontId="19" fillId="9" borderId="0" xfId="0" applyFont="1" applyFill="1" applyBorder="1" applyAlignment="1">
      <alignment horizontal="center" vertical="center" wrapText="1"/>
    </xf>
    <xf numFmtId="3" fontId="19" fillId="9" borderId="0" xfId="0" applyNumberFormat="1" applyFont="1" applyFill="1" applyBorder="1" applyAlignment="1">
      <alignment horizontal="center"/>
    </xf>
    <xf numFmtId="171" fontId="19" fillId="9" borderId="0" xfId="0" applyNumberFormat="1" applyFont="1" applyFill="1" applyBorder="1" applyAlignment="1">
      <alignment horizontal="center"/>
    </xf>
    <xf numFmtId="16" fontId="20" fillId="9" borderId="0" xfId="0" applyNumberFormat="1" applyFont="1" applyFill="1" applyBorder="1" applyAlignment="1">
      <alignment horizontal="center"/>
    </xf>
    <xf numFmtId="0" fontId="14" fillId="9" borderId="0" xfId="0" applyFont="1" applyFill="1" applyBorder="1"/>
    <xf numFmtId="168" fontId="40" fillId="9" borderId="46" xfId="0" applyNumberFormat="1" applyFont="1" applyFill="1" applyBorder="1" applyAlignment="1">
      <alignment horizontal="center"/>
    </xf>
    <xf numFmtId="168" fontId="40" fillId="9" borderId="47" xfId="0" applyNumberFormat="1" applyFont="1" applyFill="1" applyBorder="1" applyAlignment="1">
      <alignment horizontal="center"/>
    </xf>
    <xf numFmtId="176" fontId="20" fillId="9" borderId="0" xfId="0" applyNumberFormat="1" applyFont="1" applyFill="1" applyBorder="1" applyAlignment="1">
      <alignment vertical="center" wrapText="1"/>
    </xf>
    <xf numFmtId="0" fontId="20" fillId="12" borderId="72" xfId="0" applyFont="1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2" fontId="0" fillId="9" borderId="0" xfId="0" applyNumberFormat="1" applyFill="1" applyBorder="1" applyAlignment="1">
      <alignment horizontal="center"/>
    </xf>
    <xf numFmtId="0" fontId="0" fillId="9" borderId="0" xfId="0" applyFill="1" applyBorder="1"/>
    <xf numFmtId="0" fontId="0" fillId="9" borderId="0" xfId="0" applyFill="1"/>
    <xf numFmtId="0" fontId="20" fillId="9" borderId="48" xfId="0" applyFont="1" applyFill="1" applyBorder="1" applyAlignment="1">
      <alignment horizontal="center"/>
    </xf>
    <xf numFmtId="4" fontId="20" fillId="10" borderId="61" xfId="0" applyNumberFormat="1" applyFont="1" applyFill="1" applyBorder="1" applyAlignment="1">
      <alignment horizontal="center" vertical="center"/>
    </xf>
    <xf numFmtId="4" fontId="19" fillId="9" borderId="74" xfId="0" applyNumberFormat="1" applyFont="1" applyFill="1" applyBorder="1" applyAlignment="1">
      <alignment horizontal="center"/>
    </xf>
    <xf numFmtId="0" fontId="0" fillId="9" borderId="0" xfId="0" applyFill="1"/>
    <xf numFmtId="0" fontId="19" fillId="9" borderId="48" xfId="0" applyFont="1" applyFill="1" applyBorder="1" applyAlignment="1">
      <alignment horizontal="center"/>
    </xf>
    <xf numFmtId="171" fontId="14" fillId="9" borderId="48" xfId="0" applyNumberFormat="1" applyFont="1" applyFill="1" applyBorder="1" applyAlignment="1">
      <alignment horizontal="center"/>
    </xf>
    <xf numFmtId="3" fontId="19" fillId="9" borderId="55" xfId="0" applyNumberFormat="1" applyFont="1" applyFill="1" applyBorder="1" applyAlignment="1">
      <alignment horizontal="center" vertical="center"/>
    </xf>
    <xf numFmtId="168" fontId="19" fillId="9" borderId="55" xfId="0" applyNumberFormat="1" applyFont="1" applyFill="1" applyBorder="1" applyAlignment="1">
      <alignment horizontal="center" vertical="center"/>
    </xf>
    <xf numFmtId="0" fontId="20" fillId="54" borderId="37" xfId="0" applyFont="1" applyFill="1" applyBorder="1"/>
    <xf numFmtId="0" fontId="20" fillId="54" borderId="40" xfId="0" applyFont="1" applyFill="1" applyBorder="1"/>
    <xf numFmtId="3" fontId="19" fillId="9" borderId="28" xfId="0" applyNumberFormat="1" applyFont="1" applyFill="1" applyBorder="1" applyAlignment="1">
      <alignment horizontal="center" vertical="center"/>
    </xf>
    <xf numFmtId="168" fontId="19" fillId="9" borderId="28" xfId="0" applyNumberFormat="1" applyFont="1" applyFill="1" applyBorder="1" applyAlignment="1">
      <alignment horizontal="center" vertical="center"/>
    </xf>
    <xf numFmtId="0" fontId="20" fillId="14" borderId="37" xfId="0" applyFont="1" applyFill="1" applyBorder="1"/>
    <xf numFmtId="0" fontId="20" fillId="14" borderId="38" xfId="0" applyFont="1" applyFill="1" applyBorder="1"/>
    <xf numFmtId="0" fontId="20" fillId="14" borderId="40" xfId="0" applyFont="1" applyFill="1" applyBorder="1"/>
    <xf numFmtId="3" fontId="19" fillId="9" borderId="28" xfId="0" applyNumberFormat="1" applyFont="1" applyFill="1" applyBorder="1" applyAlignment="1">
      <alignment horizontal="center"/>
    </xf>
    <xf numFmtId="168" fontId="19" fillId="9" borderId="28" xfId="0" applyNumberFormat="1" applyFont="1" applyFill="1" applyBorder="1" applyAlignment="1">
      <alignment horizontal="center"/>
    </xf>
    <xf numFmtId="3" fontId="19" fillId="9" borderId="1" xfId="0" applyNumberFormat="1" applyFont="1" applyFill="1" applyBorder="1" applyAlignment="1">
      <alignment horizontal="center"/>
    </xf>
    <xf numFmtId="168" fontId="19" fillId="9" borderId="1" xfId="0" applyNumberFormat="1" applyFont="1" applyFill="1" applyBorder="1" applyAlignment="1">
      <alignment horizontal="center"/>
    </xf>
    <xf numFmtId="3" fontId="19" fillId="9" borderId="55" xfId="0" applyNumberFormat="1" applyFont="1" applyFill="1" applyBorder="1" applyAlignment="1">
      <alignment horizontal="center"/>
    </xf>
    <xf numFmtId="0" fontId="20" fillId="59" borderId="37" xfId="0" applyFont="1" applyFill="1" applyBorder="1"/>
    <xf numFmtId="0" fontId="20" fillId="59" borderId="38" xfId="0" applyFont="1" applyFill="1" applyBorder="1"/>
    <xf numFmtId="0" fontId="20" fillId="59" borderId="40" xfId="0" applyFont="1" applyFill="1" applyBorder="1"/>
    <xf numFmtId="0" fontId="20" fillId="60" borderId="38" xfId="0" applyFont="1" applyFill="1" applyBorder="1"/>
    <xf numFmtId="0" fontId="20" fillId="60" borderId="30" xfId="0" applyFont="1" applyFill="1" applyBorder="1" applyAlignment="1">
      <alignment horizontal="center"/>
    </xf>
    <xf numFmtId="0" fontId="20" fillId="60" borderId="56" xfId="0" applyFont="1" applyFill="1" applyBorder="1" applyAlignment="1">
      <alignment horizontal="center"/>
    </xf>
    <xf numFmtId="0" fontId="20" fillId="59" borderId="29" xfId="0" applyFont="1" applyFill="1" applyBorder="1" applyAlignment="1">
      <alignment horizontal="center"/>
    </xf>
    <xf numFmtId="0" fontId="20" fillId="59" borderId="30" xfId="0" applyFont="1" applyFill="1" applyBorder="1" applyAlignment="1">
      <alignment horizontal="center"/>
    </xf>
    <xf numFmtId="0" fontId="20" fillId="59" borderId="56" xfId="0" applyFont="1" applyFill="1" applyBorder="1" applyAlignment="1">
      <alignment horizontal="center"/>
    </xf>
    <xf numFmtId="0" fontId="20" fillId="54" borderId="29" xfId="0" applyFont="1" applyFill="1" applyBorder="1" applyAlignment="1">
      <alignment horizontal="center"/>
    </xf>
    <xf numFmtId="0" fontId="20" fillId="54" borderId="38" xfId="0" applyFont="1" applyFill="1" applyBorder="1"/>
    <xf numFmtId="0" fontId="20" fillId="54" borderId="30" xfId="0" applyFont="1" applyFill="1" applyBorder="1" applyAlignment="1">
      <alignment horizontal="center"/>
    </xf>
    <xf numFmtId="0" fontId="20" fillId="54" borderId="56" xfId="0" applyFont="1" applyFill="1" applyBorder="1" applyAlignment="1">
      <alignment horizontal="center"/>
    </xf>
    <xf numFmtId="0" fontId="0" fillId="9" borderId="0" xfId="0" applyFont="1" applyFill="1" applyAlignment="1">
      <alignment horizontal="center"/>
    </xf>
    <xf numFmtId="0" fontId="20" fillId="14" borderId="29" xfId="0" applyFont="1" applyFill="1" applyBorder="1" applyAlignment="1">
      <alignment horizontal="center"/>
    </xf>
    <xf numFmtId="0" fontId="20" fillId="14" borderId="30" xfId="0" applyFont="1" applyFill="1" applyBorder="1" applyAlignment="1">
      <alignment horizontal="center"/>
    </xf>
    <xf numFmtId="0" fontId="20" fillId="14" borderId="56" xfId="0" applyFont="1" applyFill="1" applyBorder="1" applyAlignment="1">
      <alignment horizontal="center"/>
    </xf>
    <xf numFmtId="0" fontId="20" fillId="14" borderId="30" xfId="0" applyFont="1" applyFill="1" applyBorder="1" applyAlignment="1">
      <alignment horizontal="center" vertical="center"/>
    </xf>
    <xf numFmtId="0" fontId="20" fillId="14" borderId="56" xfId="0" applyFont="1" applyFill="1" applyBorder="1" applyAlignment="1">
      <alignment horizontal="center" vertical="center"/>
    </xf>
    <xf numFmtId="14" fontId="20" fillId="60" borderId="40" xfId="0" applyNumberFormat="1" applyFont="1" applyFill="1" applyBorder="1"/>
    <xf numFmtId="0" fontId="0" fillId="0" borderId="0" xfId="0" applyFont="1"/>
    <xf numFmtId="0" fontId="19" fillId="0" borderId="38" xfId="943" applyFont="1" applyBorder="1"/>
    <xf numFmtId="0" fontId="19" fillId="0" borderId="40" xfId="943" applyFont="1" applyBorder="1"/>
    <xf numFmtId="0" fontId="0" fillId="0" borderId="0" xfId="0"/>
    <xf numFmtId="0" fontId="19" fillId="57" borderId="25" xfId="0" applyFont="1" applyFill="1" applyBorder="1" applyAlignment="1">
      <alignment horizontal="center" vertical="center"/>
    </xf>
    <xf numFmtId="9" fontId="0" fillId="3" borderId="0" xfId="889" applyFont="1" applyFill="1"/>
    <xf numFmtId="43" fontId="0" fillId="3" borderId="0" xfId="939" applyFont="1" applyFill="1"/>
    <xf numFmtId="183" fontId="0" fillId="3" borderId="0" xfId="939" applyNumberFormat="1" applyFont="1" applyFill="1"/>
    <xf numFmtId="43" fontId="0" fillId="3" borderId="0" xfId="0" applyNumberFormat="1" applyFont="1" applyFill="1"/>
    <xf numFmtId="43" fontId="19" fillId="9" borderId="0" xfId="939" applyFont="1" applyFill="1" applyBorder="1" applyAlignment="1">
      <alignment horizontal="right" vertical="center"/>
    </xf>
    <xf numFmtId="9" fontId="19" fillId="9" borderId="0" xfId="889" applyFont="1" applyFill="1" applyBorder="1" applyAlignment="1">
      <alignment horizontal="right" vertical="center"/>
    </xf>
    <xf numFmtId="43" fontId="19" fillId="9" borderId="0" xfId="939" applyFont="1" applyFill="1" applyBorder="1" applyAlignment="1">
      <alignment horizontal="right"/>
    </xf>
    <xf numFmtId="9" fontId="19" fillId="9" borderId="0" xfId="889" applyFont="1" applyFill="1" applyBorder="1" applyAlignment="1">
      <alignment horizontal="right"/>
    </xf>
    <xf numFmtId="178" fontId="19" fillId="9" borderId="0" xfId="889" applyNumberFormat="1" applyFont="1" applyFill="1" applyBorder="1" applyAlignment="1">
      <alignment horizontal="right"/>
    </xf>
    <xf numFmtId="9" fontId="19" fillId="9" borderId="0" xfId="889" applyFont="1" applyFill="1" applyBorder="1" applyAlignment="1">
      <alignment horizontal="center"/>
    </xf>
    <xf numFmtId="0" fontId="21" fillId="9" borderId="0" xfId="0" applyFont="1" applyFill="1" applyBorder="1" applyAlignment="1">
      <alignment horizontal="left" vertical="top" wrapText="1"/>
    </xf>
    <xf numFmtId="0" fontId="19" fillId="9" borderId="0" xfId="926" applyFont="1" applyFill="1" applyBorder="1" applyAlignment="1">
      <alignment horizontal="left"/>
    </xf>
    <xf numFmtId="0" fontId="19" fillId="9" borderId="0" xfId="943" applyFont="1" applyFill="1" applyBorder="1"/>
    <xf numFmtId="0" fontId="52" fillId="9" borderId="0" xfId="942" applyFont="1" applyFill="1" applyBorder="1" applyAlignment="1">
      <alignment horizontal="left" vertical="center" wrapText="1"/>
    </xf>
    <xf numFmtId="0" fontId="20" fillId="9" borderId="0" xfId="0" applyFont="1" applyFill="1" applyBorder="1" applyAlignment="1">
      <alignment horizontal="center" vertical="center" wrapText="1"/>
    </xf>
    <xf numFmtId="10" fontId="19" fillId="9" borderId="0" xfId="889" applyNumberFormat="1" applyFont="1" applyFill="1" applyBorder="1"/>
    <xf numFmtId="3" fontId="19" fillId="9" borderId="0" xfId="0" applyNumberFormat="1" applyFont="1" applyFill="1" applyBorder="1"/>
    <xf numFmtId="0" fontId="19" fillId="9" borderId="0" xfId="888" applyFont="1" applyFill="1" applyBorder="1"/>
    <xf numFmtId="0" fontId="19" fillId="9" borderId="30" xfId="0" applyFont="1" applyFill="1" applyBorder="1" applyAlignment="1">
      <alignment horizontal="center"/>
    </xf>
    <xf numFmtId="0" fontId="19" fillId="9" borderId="29" xfId="0" applyFont="1" applyFill="1" applyBorder="1" applyAlignment="1">
      <alignment horizontal="center"/>
    </xf>
    <xf numFmtId="0" fontId="19" fillId="9" borderId="56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9" borderId="55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29" xfId="0" applyFont="1" applyFill="1" applyBorder="1" applyAlignment="1">
      <alignment horizontal="center"/>
    </xf>
    <xf numFmtId="0" fontId="0" fillId="9" borderId="30" xfId="0" applyFont="1" applyFill="1" applyBorder="1" applyAlignment="1">
      <alignment horizontal="center"/>
    </xf>
    <xf numFmtId="0" fontId="0" fillId="9" borderId="56" xfId="0" applyFont="1" applyFill="1" applyBorder="1" applyAlignment="1">
      <alignment horizontal="center"/>
    </xf>
    <xf numFmtId="0" fontId="0" fillId="0" borderId="37" xfId="0" applyFont="1" applyBorder="1"/>
    <xf numFmtId="0" fontId="0" fillId="0" borderId="38" xfId="0" applyFont="1" applyBorder="1"/>
    <xf numFmtId="0" fontId="0" fillId="0" borderId="40" xfId="0" applyFont="1" applyBorder="1"/>
    <xf numFmtId="0" fontId="20" fillId="12" borderId="53" xfId="49" applyFont="1" applyFill="1" applyBorder="1" applyAlignment="1">
      <alignment horizontal="center" wrapText="1"/>
    </xf>
    <xf numFmtId="0" fontId="20" fillId="63" borderId="72" xfId="49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0" fontId="20" fillId="12" borderId="41" xfId="49" applyFont="1" applyFill="1" applyBorder="1" applyAlignment="1">
      <alignment horizontal="center" wrapText="1"/>
    </xf>
    <xf numFmtId="0" fontId="20" fillId="63" borderId="72" xfId="0" applyFont="1" applyFill="1" applyBorder="1" applyAlignment="1">
      <alignment horizontal="center" vertical="center" wrapText="1"/>
    </xf>
    <xf numFmtId="0" fontId="20" fillId="63" borderId="72" xfId="49" applyFont="1" applyFill="1" applyBorder="1" applyAlignment="1">
      <alignment horizontal="center"/>
    </xf>
    <xf numFmtId="4" fontId="20" fillId="63" borderId="81" xfId="0" applyNumberFormat="1" applyFont="1" applyFill="1" applyBorder="1" applyAlignment="1">
      <alignment horizontal="center" vertical="center" wrapText="1"/>
    </xf>
    <xf numFmtId="0" fontId="0" fillId="9" borderId="55" xfId="0" applyFill="1" applyBorder="1" applyAlignment="1">
      <alignment horizontal="center" vertical="center" wrapText="1"/>
    </xf>
    <xf numFmtId="0" fontId="0" fillId="9" borderId="55" xfId="0" applyFont="1" applyFill="1" applyBorder="1" applyAlignment="1">
      <alignment horizontal="left" vertical="center"/>
    </xf>
    <xf numFmtId="0" fontId="20" fillId="12" borderId="58" xfId="0" applyFont="1" applyFill="1" applyBorder="1" applyAlignment="1">
      <alignment horizontal="center" vertical="center" wrapText="1"/>
    </xf>
    <xf numFmtId="0" fontId="21" fillId="12" borderId="54" xfId="0" applyFont="1" applyFill="1" applyBorder="1" applyAlignment="1">
      <alignment horizontal="center"/>
    </xf>
    <xf numFmtId="0" fontId="0" fillId="52" borderId="28" xfId="0" applyFont="1" applyFill="1" applyBorder="1" applyAlignment="1">
      <alignment horizontal="center"/>
    </xf>
    <xf numFmtId="0" fontId="0" fillId="52" borderId="1" xfId="0" applyFont="1" applyFill="1" applyBorder="1" applyAlignment="1">
      <alignment horizontal="center"/>
    </xf>
    <xf numFmtId="0" fontId="0" fillId="52" borderId="55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/>
    </xf>
    <xf numFmtId="0" fontId="0" fillId="15" borderId="37" xfId="0" applyFont="1" applyFill="1" applyBorder="1"/>
    <xf numFmtId="0" fontId="0" fillId="15" borderId="29" xfId="0" applyFont="1" applyFill="1" applyBorder="1" applyAlignment="1">
      <alignment horizontal="center"/>
    </xf>
    <xf numFmtId="0" fontId="0" fillId="15" borderId="55" xfId="0" applyFont="1" applyFill="1" applyBorder="1" applyAlignment="1">
      <alignment horizontal="center"/>
    </xf>
    <xf numFmtId="0" fontId="0" fillId="15" borderId="56" xfId="0" applyFont="1" applyFill="1" applyBorder="1" applyAlignment="1">
      <alignment horizontal="center"/>
    </xf>
    <xf numFmtId="0" fontId="0" fillId="15" borderId="28" xfId="0" applyFont="1" applyFill="1" applyBorder="1" applyAlignment="1">
      <alignment horizontal="center"/>
    </xf>
    <xf numFmtId="9" fontId="19" fillId="9" borderId="56" xfId="889" applyFont="1" applyFill="1" applyBorder="1" applyAlignment="1">
      <alignment horizontal="center"/>
    </xf>
    <xf numFmtId="9" fontId="0" fillId="9" borderId="56" xfId="889" applyFont="1" applyFill="1" applyBorder="1" applyAlignment="1">
      <alignment horizontal="center" vertical="center"/>
    </xf>
    <xf numFmtId="0" fontId="37" fillId="64" borderId="41" xfId="0" applyFont="1" applyFill="1" applyBorder="1" applyAlignment="1">
      <alignment horizontal="center" wrapText="1"/>
    </xf>
    <xf numFmtId="0" fontId="37" fillId="64" borderId="25" xfId="0" applyFont="1" applyFill="1" applyBorder="1" applyAlignment="1">
      <alignment horizontal="center"/>
    </xf>
    <xf numFmtId="9" fontId="19" fillId="9" borderId="47" xfId="889" applyNumberFormat="1" applyFont="1" applyFill="1" applyBorder="1" applyAlignment="1">
      <alignment horizontal="center"/>
    </xf>
    <xf numFmtId="9" fontId="19" fillId="9" borderId="0" xfId="889" applyNumberFormat="1" applyFont="1" applyFill="1" applyBorder="1" applyAlignment="1">
      <alignment horizontal="center"/>
    </xf>
    <xf numFmtId="9" fontId="19" fillId="9" borderId="50" xfId="889" applyNumberFormat="1" applyFont="1" applyFill="1" applyBorder="1" applyAlignment="1">
      <alignment horizontal="center"/>
    </xf>
    <xf numFmtId="9" fontId="19" fillId="9" borderId="46" xfId="889" applyNumberFormat="1" applyFont="1" applyFill="1" applyBorder="1" applyAlignment="1">
      <alignment horizontal="center"/>
    </xf>
    <xf numFmtId="0" fontId="0" fillId="56" borderId="55" xfId="0" applyFill="1" applyBorder="1" applyAlignment="1">
      <alignment horizontal="center" vertical="center" wrapText="1"/>
    </xf>
    <xf numFmtId="0" fontId="37" fillId="64" borderId="72" xfId="0" applyFont="1" applyFill="1" applyBorder="1" applyAlignment="1">
      <alignment horizontal="center" wrapText="1"/>
    </xf>
    <xf numFmtId="4" fontId="37" fillId="64" borderId="72" xfId="0" applyNumberFormat="1" applyFont="1" applyFill="1" applyBorder="1" applyAlignment="1">
      <alignment horizontal="center" vertical="center"/>
    </xf>
    <xf numFmtId="0" fontId="37" fillId="64" borderId="2" xfId="0" applyFont="1" applyFill="1" applyBorder="1" applyAlignment="1">
      <alignment horizontal="center" vertical="center"/>
    </xf>
    <xf numFmtId="0" fontId="52" fillId="9" borderId="6" xfId="942" applyFont="1" applyFill="1" applyBorder="1" applyAlignment="1">
      <alignment horizontal="left" vertical="center" wrapText="1"/>
    </xf>
    <xf numFmtId="0" fontId="43" fillId="9" borderId="0" xfId="0" applyFont="1" applyFill="1" applyBorder="1" applyAlignment="1">
      <alignment horizontal="center"/>
    </xf>
    <xf numFmtId="0" fontId="20" fillId="9" borderId="46" xfId="0" applyFont="1" applyFill="1" applyBorder="1" applyAlignment="1">
      <alignment horizontal="center"/>
    </xf>
    <xf numFmtId="4" fontId="37" fillId="64" borderId="23" xfId="0" applyNumberFormat="1" applyFont="1" applyFill="1" applyBorder="1" applyAlignment="1">
      <alignment horizontal="center" vertical="center"/>
    </xf>
    <xf numFmtId="4" fontId="37" fillId="64" borderId="3" xfId="0" applyNumberFormat="1" applyFont="1" applyFill="1" applyBorder="1" applyAlignment="1">
      <alignment horizontal="center" vertical="center"/>
    </xf>
    <xf numFmtId="4" fontId="37" fillId="64" borderId="43" xfId="0" applyNumberFormat="1" applyFont="1" applyFill="1" applyBorder="1" applyAlignment="1">
      <alignment horizontal="center" vertical="center"/>
    </xf>
    <xf numFmtId="0" fontId="20" fillId="63" borderId="72" xfId="49" applyFont="1" applyFill="1" applyBorder="1" applyAlignment="1">
      <alignment horizontal="center" vertical="center" wrapText="1"/>
    </xf>
    <xf numFmtId="0" fontId="39" fillId="9" borderId="0" xfId="0" applyFont="1" applyFill="1"/>
    <xf numFmtId="0" fontId="19" fillId="9" borderId="0" xfId="0" applyFont="1" applyFill="1"/>
    <xf numFmtId="0" fontId="19" fillId="3" borderId="0" xfId="0" applyFont="1" applyFill="1" applyBorder="1"/>
    <xf numFmtId="3" fontId="19" fillId="0" borderId="55" xfId="0" applyNumberFormat="1" applyFont="1" applyBorder="1"/>
    <xf numFmtId="168" fontId="19" fillId="9" borderId="55" xfId="0" applyNumberFormat="1" applyFont="1" applyFill="1" applyBorder="1" applyAlignment="1">
      <alignment horizontal="center"/>
    </xf>
    <xf numFmtId="0" fontId="37" fillId="64" borderId="25" xfId="0" applyFont="1" applyFill="1" applyBorder="1" applyAlignment="1">
      <alignment horizontal="center" vertical="center"/>
    </xf>
    <xf numFmtId="0" fontId="37" fillId="64" borderId="53" xfId="0" applyFont="1" applyFill="1" applyBorder="1" applyAlignment="1">
      <alignment horizontal="center" vertical="center"/>
    </xf>
    <xf numFmtId="4" fontId="20" fillId="0" borderId="58" xfId="0" applyNumberFormat="1" applyFont="1" applyBorder="1" applyAlignment="1">
      <alignment horizontal="center"/>
    </xf>
    <xf numFmtId="168" fontId="20" fillId="0" borderId="58" xfId="0" applyNumberFormat="1" applyFont="1" applyBorder="1" applyAlignment="1">
      <alignment horizontal="center"/>
    </xf>
    <xf numFmtId="10" fontId="20" fillId="9" borderId="54" xfId="934" applyNumberFormat="1" applyFont="1" applyFill="1" applyBorder="1"/>
    <xf numFmtId="0" fontId="69" fillId="9" borderId="0" xfId="0" applyFont="1" applyFill="1" applyAlignment="1">
      <alignment wrapText="1"/>
    </xf>
    <xf numFmtId="0" fontId="37" fillId="9" borderId="0" xfId="0" applyFont="1" applyFill="1" applyBorder="1" applyAlignment="1">
      <alignment vertical="center" wrapText="1"/>
    </xf>
    <xf numFmtId="0" fontId="0" fillId="9" borderId="0" xfId="0" applyFont="1" applyFill="1" applyAlignment="1">
      <alignment wrapText="1"/>
    </xf>
    <xf numFmtId="0" fontId="39" fillId="9" borderId="0" xfId="0" applyFont="1" applyFill="1" applyBorder="1"/>
    <xf numFmtId="0" fontId="40" fillId="61" borderId="0" xfId="947" applyFont="1" applyFill="1" applyBorder="1" applyAlignment="1">
      <alignment horizontal="center"/>
    </xf>
    <xf numFmtId="0" fontId="40" fillId="9" borderId="0" xfId="947" applyFont="1" applyFill="1" applyBorder="1" applyAlignment="1">
      <alignment wrapText="1"/>
    </xf>
    <xf numFmtId="0" fontId="21" fillId="57" borderId="0" xfId="0" applyFont="1" applyFill="1" applyBorder="1"/>
    <xf numFmtId="0" fontId="0" fillId="57" borderId="0" xfId="0" applyFont="1" applyFill="1" applyBorder="1"/>
    <xf numFmtId="4" fontId="52" fillId="10" borderId="46" xfId="0" applyNumberFormat="1" applyFont="1" applyFill="1" applyBorder="1" applyAlignment="1">
      <alignment horizontal="center" vertical="center" wrapText="1"/>
    </xf>
    <xf numFmtId="0" fontId="0" fillId="9" borderId="83" xfId="0" applyFont="1" applyFill="1" applyBorder="1"/>
    <xf numFmtId="0" fontId="0" fillId="9" borderId="56" xfId="0" applyFont="1" applyFill="1" applyBorder="1"/>
    <xf numFmtId="0" fontId="20" fillId="9" borderId="15" xfId="0" applyFont="1" applyFill="1" applyBorder="1" applyAlignment="1">
      <alignment horizontal="center"/>
    </xf>
    <xf numFmtId="0" fontId="20" fillId="9" borderId="0" xfId="0" applyFont="1" applyFill="1" applyBorder="1" applyAlignment="1">
      <alignment horizontal="center"/>
    </xf>
    <xf numFmtId="0" fontId="20" fillId="9" borderId="18" xfId="0" applyFont="1" applyFill="1" applyBorder="1" applyAlignment="1">
      <alignment horizontal="center"/>
    </xf>
    <xf numFmtId="0" fontId="37" fillId="64" borderId="13" xfId="0" applyFont="1" applyFill="1" applyBorder="1" applyAlignment="1">
      <alignment horizontal="center" vertical="center" wrapText="1"/>
    </xf>
    <xf numFmtId="4" fontId="37" fillId="64" borderId="72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37" fillId="64" borderId="2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right"/>
    </xf>
    <xf numFmtId="9" fontId="19" fillId="9" borderId="30" xfId="889" applyFont="1" applyFill="1" applyBorder="1" applyAlignment="1">
      <alignment horizontal="center"/>
    </xf>
    <xf numFmtId="4" fontId="19" fillId="9" borderId="28" xfId="0" applyNumberFormat="1" applyFont="1" applyFill="1" applyBorder="1" applyAlignment="1">
      <alignment horizontal="center"/>
    </xf>
    <xf numFmtId="0" fontId="20" fillId="0" borderId="37" xfId="0" applyFont="1" applyBorder="1"/>
    <xf numFmtId="3" fontId="20" fillId="0" borderId="28" xfId="0" applyNumberFormat="1" applyFont="1" applyBorder="1"/>
    <xf numFmtId="0" fontId="0" fillId="9" borderId="1" xfId="0" applyFill="1" applyBorder="1"/>
    <xf numFmtId="4" fontId="19" fillId="9" borderId="1" xfId="0" applyNumberFormat="1" applyFont="1" applyFill="1" applyBorder="1" applyAlignment="1">
      <alignment horizontal="right"/>
    </xf>
    <xf numFmtId="0" fontId="19" fillId="9" borderId="1" xfId="888" applyFont="1" applyFill="1" applyBorder="1"/>
    <xf numFmtId="168" fontId="19" fillId="9" borderId="1" xfId="0" applyNumberFormat="1" applyFont="1" applyFill="1" applyBorder="1" applyAlignment="1">
      <alignment horizontal="right"/>
    </xf>
    <xf numFmtId="9" fontId="19" fillId="9" borderId="1" xfId="889" applyFont="1" applyFill="1" applyBorder="1" applyAlignment="1">
      <alignment horizontal="center"/>
    </xf>
    <xf numFmtId="168" fontId="19" fillId="9" borderId="1" xfId="0" applyNumberFormat="1" applyFont="1" applyFill="1" applyBorder="1"/>
    <xf numFmtId="0" fontId="0" fillId="15" borderId="40" xfId="0" applyFill="1" applyBorder="1"/>
    <xf numFmtId="4" fontId="20" fillId="9" borderId="0" xfId="0" applyNumberFormat="1" applyFont="1" applyFill="1" applyBorder="1" applyAlignment="1">
      <alignment horizontal="center" vertical="center" wrapText="1"/>
    </xf>
    <xf numFmtId="9" fontId="0" fillId="9" borderId="56" xfId="889" applyFont="1" applyFill="1" applyBorder="1"/>
    <xf numFmtId="9" fontId="0" fillId="9" borderId="29" xfId="889" applyFont="1" applyFill="1" applyBorder="1"/>
    <xf numFmtId="0" fontId="0" fillId="9" borderId="55" xfId="0" applyFill="1" applyBorder="1" applyAlignment="1">
      <alignment horizontal="center"/>
    </xf>
    <xf numFmtId="9" fontId="0" fillId="9" borderId="30" xfId="889" applyFont="1" applyFill="1" applyBorder="1"/>
    <xf numFmtId="4" fontId="20" fillId="63" borderId="54" xfId="0" applyNumberFormat="1" applyFont="1" applyFill="1" applyBorder="1" applyAlignment="1">
      <alignment horizontal="center" vertical="center" wrapText="1"/>
    </xf>
    <xf numFmtId="171" fontId="19" fillId="9" borderId="48" xfId="0" applyNumberFormat="1" applyFont="1" applyFill="1" applyBorder="1" applyAlignment="1">
      <alignment horizontal="center"/>
    </xf>
    <xf numFmtId="171" fontId="19" fillId="9" borderId="47" xfId="0" applyNumberFormat="1" applyFont="1" applyFill="1" applyBorder="1" applyAlignment="1">
      <alignment horizontal="center"/>
    </xf>
    <xf numFmtId="3" fontId="19" fillId="0" borderId="1" xfId="0" applyNumberFormat="1" applyFont="1" applyBorder="1"/>
    <xf numFmtId="0" fontId="19" fillId="9" borderId="1" xfId="0" applyFont="1" applyFill="1" applyBorder="1"/>
    <xf numFmtId="9" fontId="0" fillId="9" borderId="0" xfId="889" applyFont="1" applyFill="1" applyBorder="1"/>
    <xf numFmtId="4" fontId="19" fillId="9" borderId="1" xfId="0" applyNumberFormat="1" applyFont="1" applyFill="1" applyBorder="1" applyAlignment="1">
      <alignment horizontal="center"/>
    </xf>
    <xf numFmtId="0" fontId="19" fillId="9" borderId="0" xfId="0" applyFont="1" applyFill="1" applyBorder="1" applyAlignment="1">
      <alignment horizontal="center" vertical="center"/>
    </xf>
    <xf numFmtId="0" fontId="0" fillId="9" borderId="0" xfId="0" applyFill="1"/>
    <xf numFmtId="0" fontId="39" fillId="9" borderId="0" xfId="0" applyNumberFormat="1" applyFont="1" applyFill="1"/>
    <xf numFmtId="0" fontId="39" fillId="9" borderId="0" xfId="0" applyFont="1" applyFill="1" applyAlignment="1">
      <alignment horizontal="left"/>
    </xf>
    <xf numFmtId="0" fontId="43" fillId="10" borderId="4" xfId="0" applyFont="1" applyFill="1" applyBorder="1" applyAlignment="1">
      <alignment horizontal="center"/>
    </xf>
    <xf numFmtId="0" fontId="43" fillId="10" borderId="24" xfId="0" applyFont="1" applyFill="1" applyBorder="1" applyAlignment="1">
      <alignment horizontal="center"/>
    </xf>
    <xf numFmtId="0" fontId="0" fillId="0" borderId="38" xfId="0" applyBorder="1"/>
    <xf numFmtId="0" fontId="21" fillId="0" borderId="0" xfId="0" applyFont="1"/>
    <xf numFmtId="0" fontId="0" fillId="9" borderId="0" xfId="0" applyFill="1" applyBorder="1"/>
    <xf numFmtId="0" fontId="0" fillId="54" borderId="55" xfId="0" applyFill="1" applyBorder="1"/>
    <xf numFmtId="2" fontId="0" fillId="54" borderId="55" xfId="0" applyNumberFormat="1" applyFill="1" applyBorder="1" applyAlignment="1">
      <alignment horizontal="center"/>
    </xf>
    <xf numFmtId="10" fontId="16" fillId="54" borderId="87" xfId="889" applyNumberFormat="1" applyFont="1" applyFill="1" applyBorder="1" applyAlignment="1">
      <alignment horizontal="center"/>
    </xf>
    <xf numFmtId="14" fontId="0" fillId="54" borderId="55" xfId="0" applyNumberFormat="1" applyFill="1" applyBorder="1"/>
    <xf numFmtId="0" fontId="0" fillId="54" borderId="56" xfId="0" applyFill="1" applyBorder="1"/>
    <xf numFmtId="10" fontId="79" fillId="54" borderId="87" xfId="889" applyNumberFormat="1" applyFont="1" applyFill="1" applyBorder="1" applyAlignment="1">
      <alignment horizontal="center"/>
    </xf>
    <xf numFmtId="2" fontId="0" fillId="54" borderId="74" xfId="0" applyNumberFormat="1" applyFill="1" applyBorder="1" applyAlignment="1">
      <alignment horizontal="center"/>
    </xf>
    <xf numFmtId="10" fontId="0" fillId="54" borderId="87" xfId="889" applyNumberFormat="1" applyFont="1" applyFill="1" applyBorder="1" applyAlignment="1">
      <alignment horizontal="center"/>
    </xf>
    <xf numFmtId="0" fontId="0" fillId="54" borderId="57" xfId="0" applyFill="1" applyBorder="1"/>
    <xf numFmtId="2" fontId="0" fillId="54" borderId="34" xfId="0" applyNumberFormat="1" applyFill="1" applyBorder="1" applyAlignment="1">
      <alignment horizontal="center"/>
    </xf>
    <xf numFmtId="10" fontId="16" fillId="54" borderId="31" xfId="889" applyNumberFormat="1" applyFont="1" applyFill="1" applyBorder="1" applyAlignment="1">
      <alignment horizontal="center"/>
    </xf>
    <xf numFmtId="14" fontId="0" fillId="54" borderId="1" xfId="0" applyNumberFormat="1" applyFill="1" applyBorder="1"/>
    <xf numFmtId="0" fontId="20" fillId="9" borderId="0" xfId="0" applyFont="1" applyFill="1" applyBorder="1" applyAlignment="1">
      <alignment horizontal="center" vertical="center"/>
    </xf>
    <xf numFmtId="14" fontId="43" fillId="10" borderId="35" xfId="0" applyNumberFormat="1" applyFont="1" applyFill="1" applyBorder="1" applyAlignment="1">
      <alignment horizontal="center"/>
    </xf>
    <xf numFmtId="0" fontId="20" fillId="9" borderId="0" xfId="0" applyFont="1" applyFill="1" applyBorder="1" applyAlignment="1">
      <alignment horizontal="center"/>
    </xf>
    <xf numFmtId="0" fontId="17" fillId="9" borderId="0" xfId="0" applyFont="1" applyFill="1"/>
    <xf numFmtId="0" fontId="17" fillId="9" borderId="32" xfId="0" applyFont="1" applyFill="1" applyBorder="1"/>
    <xf numFmtId="0" fontId="17" fillId="9" borderId="6" xfId="0" applyFont="1" applyFill="1" applyBorder="1"/>
    <xf numFmtId="0" fontId="17" fillId="9" borderId="35" xfId="0" applyFont="1" applyFill="1" applyBorder="1"/>
    <xf numFmtId="0" fontId="0" fillId="9" borderId="1" xfId="0" applyFont="1" applyFill="1" applyBorder="1" applyAlignment="1"/>
    <xf numFmtId="169" fontId="0" fillId="9" borderId="55" xfId="0" applyNumberFormat="1" applyFont="1" applyFill="1" applyBorder="1" applyAlignment="1"/>
    <xf numFmtId="9" fontId="0" fillId="9" borderId="29" xfId="889" applyFont="1" applyFill="1" applyBorder="1" applyAlignment="1">
      <alignment horizontal="center" vertical="center"/>
    </xf>
    <xf numFmtId="9" fontId="0" fillId="9" borderId="30" xfId="889" applyFont="1" applyFill="1" applyBorder="1" applyAlignment="1">
      <alignment horizontal="center" vertical="center"/>
    </xf>
    <xf numFmtId="0" fontId="17" fillId="0" borderId="0" xfId="0" applyFont="1"/>
    <xf numFmtId="0" fontId="37" fillId="64" borderId="81" xfId="0" applyFont="1" applyFill="1" applyBorder="1" applyAlignment="1">
      <alignment horizontal="center" vertical="center" wrapText="1"/>
    </xf>
    <xf numFmtId="0" fontId="0" fillId="9" borderId="1" xfId="0" applyFont="1" applyFill="1" applyBorder="1"/>
    <xf numFmtId="0" fontId="0" fillId="9" borderId="55" xfId="0" applyFont="1" applyFill="1" applyBorder="1"/>
    <xf numFmtId="0" fontId="68" fillId="9" borderId="28" xfId="0" applyFont="1" applyFill="1" applyBorder="1"/>
    <xf numFmtId="168" fontId="19" fillId="9" borderId="28" xfId="0" applyNumberFormat="1" applyFont="1" applyFill="1" applyBorder="1" applyAlignment="1">
      <alignment horizontal="left" vertical="center"/>
    </xf>
    <xf numFmtId="0" fontId="40" fillId="0" borderId="1" xfId="952" applyFont="1" applyFill="1" applyBorder="1" applyAlignment="1">
      <alignment horizontal="left" wrapText="1"/>
    </xf>
    <xf numFmtId="0" fontId="40" fillId="0" borderId="55" xfId="952" applyFont="1" applyFill="1" applyBorder="1" applyAlignment="1">
      <alignment horizontal="left" wrapText="1"/>
    </xf>
    <xf numFmtId="0" fontId="0" fillId="0" borderId="0" xfId="0"/>
    <xf numFmtId="0" fontId="0" fillId="0" borderId="0" xfId="0"/>
    <xf numFmtId="0" fontId="82" fillId="9" borderId="28" xfId="0" applyFont="1" applyFill="1" applyBorder="1" applyAlignment="1"/>
    <xf numFmtId="0" fontId="0" fillId="9" borderId="28" xfId="0" applyFont="1" applyFill="1" applyBorder="1" applyAlignment="1">
      <alignment horizontal="right" vertical="center"/>
    </xf>
    <xf numFmtId="0" fontId="0" fillId="9" borderId="55" xfId="0" applyFont="1" applyFill="1" applyBorder="1" applyAlignment="1">
      <alignment horizontal="right" vertical="center"/>
    </xf>
    <xf numFmtId="14" fontId="19" fillId="9" borderId="0" xfId="0" applyNumberFormat="1" applyFont="1" applyFill="1"/>
    <xf numFmtId="0" fontId="0" fillId="9" borderId="1" xfId="0" applyFont="1" applyFill="1" applyBorder="1" applyAlignment="1">
      <alignment horizontal="right" vertical="center"/>
    </xf>
    <xf numFmtId="168" fontId="20" fillId="9" borderId="58" xfId="0" applyNumberFormat="1" applyFont="1" applyFill="1" applyBorder="1" applyAlignment="1">
      <alignment horizontal="center"/>
    </xf>
    <xf numFmtId="0" fontId="10" fillId="9" borderId="0" xfId="951" applyFill="1" applyBorder="1"/>
    <xf numFmtId="0" fontId="84" fillId="9" borderId="0" xfId="951" applyFont="1" applyFill="1" applyBorder="1" applyAlignment="1">
      <alignment horizontal="right" wrapText="1"/>
    </xf>
    <xf numFmtId="0" fontId="0" fillId="9" borderId="0" xfId="0" applyFill="1"/>
    <xf numFmtId="0" fontId="19" fillId="9" borderId="0" xfId="0" applyFont="1" applyFill="1"/>
    <xf numFmtId="0" fontId="0" fillId="9" borderId="0" xfId="0" applyFont="1" applyFill="1"/>
    <xf numFmtId="0" fontId="19" fillId="9" borderId="0" xfId="0" applyFont="1" applyFill="1" applyAlignment="1">
      <alignment horizontal="center" vertical="center"/>
    </xf>
    <xf numFmtId="0" fontId="39" fillId="9" borderId="0" xfId="0" applyFont="1" applyFill="1"/>
    <xf numFmtId="0" fontId="69" fillId="9" borderId="0" xfId="0" applyFont="1" applyFill="1"/>
    <xf numFmtId="0" fontId="43" fillId="9" borderId="0" xfId="0" applyFont="1" applyFill="1" applyBorder="1" applyAlignment="1">
      <alignment horizontal="center" vertical="center"/>
    </xf>
    <xf numFmtId="0" fontId="57" fillId="9" borderId="0" xfId="0" applyFont="1" applyFill="1" applyBorder="1"/>
    <xf numFmtId="0" fontId="85" fillId="9" borderId="0" xfId="951" applyFont="1" applyFill="1" applyBorder="1" applyAlignment="1">
      <alignment horizontal="right" wrapText="1"/>
    </xf>
    <xf numFmtId="0" fontId="86" fillId="9" borderId="0" xfId="951" applyFont="1" applyFill="1" applyBorder="1"/>
    <xf numFmtId="0" fontId="21" fillId="12" borderId="81" xfId="0" applyFont="1" applyFill="1" applyBorder="1" applyAlignment="1">
      <alignment horizontal="center"/>
    </xf>
    <xf numFmtId="0" fontId="0" fillId="0" borderId="37" xfId="0" applyBorder="1"/>
    <xf numFmtId="0" fontId="0" fillId="9" borderId="102" xfId="0" applyFont="1" applyFill="1" applyBorder="1" applyAlignment="1">
      <alignment horizontal="center"/>
    </xf>
    <xf numFmtId="0" fontId="0" fillId="9" borderId="102" xfId="0" applyFill="1" applyBorder="1" applyAlignment="1">
      <alignment horizontal="center"/>
    </xf>
    <xf numFmtId="0" fontId="0" fillId="0" borderId="8" xfId="0" applyBorder="1"/>
    <xf numFmtId="0" fontId="0" fillId="9" borderId="9" xfId="0" applyFont="1" applyFill="1" applyBorder="1" applyAlignment="1">
      <alignment horizontal="center"/>
    </xf>
    <xf numFmtId="0" fontId="20" fillId="12" borderId="49" xfId="49" applyFont="1" applyFill="1" applyBorder="1" applyAlignment="1">
      <alignment horizontal="center" vertical="center" wrapText="1"/>
    </xf>
    <xf numFmtId="0" fontId="0" fillId="0" borderId="33" xfId="0" applyBorder="1"/>
    <xf numFmtId="0" fontId="0" fillId="9" borderId="29" xfId="0" applyFill="1" applyBorder="1" applyAlignment="1">
      <alignment horizontal="center"/>
    </xf>
    <xf numFmtId="0" fontId="20" fillId="12" borderId="57" xfId="49" applyFont="1" applyFill="1" applyBorder="1" applyAlignment="1">
      <alignment horizontal="center" vertical="center" wrapText="1"/>
    </xf>
    <xf numFmtId="0" fontId="0" fillId="0" borderId="97" xfId="0" applyBorder="1"/>
    <xf numFmtId="0" fontId="0" fillId="9" borderId="30" xfId="0" applyFill="1" applyBorder="1" applyAlignment="1">
      <alignment horizontal="center"/>
    </xf>
    <xf numFmtId="0" fontId="20" fillId="12" borderId="50" xfId="49" applyFont="1" applyFill="1" applyBorder="1" applyAlignment="1">
      <alignment horizontal="center" vertical="center" wrapText="1"/>
    </xf>
    <xf numFmtId="0" fontId="0" fillId="0" borderId="74" xfId="0" applyBorder="1"/>
    <xf numFmtId="0" fontId="0" fillId="9" borderId="56" xfId="0" applyFill="1" applyBorder="1" applyAlignment="1">
      <alignment horizontal="center"/>
    </xf>
    <xf numFmtId="0" fontId="20" fillId="9" borderId="0" xfId="49" applyFont="1" applyFill="1" applyBorder="1" applyAlignment="1">
      <alignment horizontal="center" vertical="center" wrapText="1"/>
    </xf>
    <xf numFmtId="0" fontId="86" fillId="9" borderId="0" xfId="953" applyFont="1" applyFill="1" applyBorder="1"/>
    <xf numFmtId="0" fontId="85" fillId="9" borderId="0" xfId="953" applyFont="1" applyFill="1" applyBorder="1" applyAlignment="1">
      <alignment horizontal="right" wrapText="1"/>
    </xf>
    <xf numFmtId="0" fontId="85" fillId="61" borderId="0" xfId="953" applyFont="1" applyFill="1" applyBorder="1" applyAlignment="1">
      <alignment horizontal="center"/>
    </xf>
    <xf numFmtId="0" fontId="20" fillId="9" borderId="0" xfId="0" applyFont="1" applyFill="1" applyBorder="1" applyAlignment="1">
      <alignment horizontal="center"/>
    </xf>
    <xf numFmtId="0" fontId="19" fillId="9" borderId="0" xfId="0" applyFont="1" applyFill="1" applyBorder="1"/>
    <xf numFmtId="0" fontId="0" fillId="9" borderId="25" xfId="0" applyFill="1" applyBorder="1"/>
    <xf numFmtId="178" fontId="0" fillId="9" borderId="54" xfId="934" applyNumberFormat="1" applyFont="1" applyFill="1" applyBorder="1" applyAlignment="1">
      <alignment horizontal="center"/>
    </xf>
    <xf numFmtId="4" fontId="19" fillId="0" borderId="61" xfId="0" applyNumberFormat="1" applyFont="1" applyBorder="1" applyAlignment="1">
      <alignment horizontal="center"/>
    </xf>
    <xf numFmtId="4" fontId="19" fillId="0" borderId="86" xfId="0" applyNumberFormat="1" applyFont="1" applyFill="1" applyBorder="1" applyAlignment="1">
      <alignment horizontal="center"/>
    </xf>
    <xf numFmtId="0" fontId="0" fillId="9" borderId="54" xfId="0" applyFont="1" applyFill="1" applyBorder="1"/>
    <xf numFmtId="0" fontId="0" fillId="9" borderId="58" xfId="0" applyFont="1" applyFill="1" applyBorder="1"/>
    <xf numFmtId="43" fontId="0" fillId="9" borderId="58" xfId="0" applyNumberFormat="1" applyFont="1" applyFill="1" applyBorder="1"/>
    <xf numFmtId="182" fontId="19" fillId="9" borderId="0" xfId="939" applyNumberFormat="1" applyFont="1" applyFill="1" applyBorder="1" applyAlignment="1">
      <alignment horizontal="center"/>
    </xf>
    <xf numFmtId="0" fontId="0" fillId="9" borderId="0" xfId="0" applyFont="1" applyFill="1" applyBorder="1"/>
    <xf numFmtId="0" fontId="0" fillId="57" borderId="53" xfId="0" applyFill="1" applyBorder="1" applyAlignment="1">
      <alignment horizontal="center"/>
    </xf>
    <xf numFmtId="0" fontId="0" fillId="9" borderId="0" xfId="0" applyFont="1" applyFill="1"/>
    <xf numFmtId="9" fontId="0" fillId="9" borderId="108" xfId="889" applyFont="1" applyFill="1" applyBorder="1"/>
    <xf numFmtId="0" fontId="19" fillId="9" borderId="50" xfId="0" applyFont="1" applyFill="1" applyBorder="1" applyAlignment="1">
      <alignment horizontal="center"/>
    </xf>
    <xf numFmtId="0" fontId="20" fillId="9" borderId="50" xfId="0" applyFont="1" applyFill="1" applyBorder="1" applyAlignment="1">
      <alignment horizontal="center"/>
    </xf>
    <xf numFmtId="0" fontId="20" fillId="9" borderId="49" xfId="0" applyFont="1" applyFill="1" applyBorder="1" applyAlignment="1">
      <alignment horizontal="center"/>
    </xf>
    <xf numFmtId="0" fontId="19" fillId="9" borderId="34" xfId="0" applyFont="1" applyFill="1" applyBorder="1" applyAlignment="1">
      <alignment horizontal="center"/>
    </xf>
    <xf numFmtId="0" fontId="0" fillId="9" borderId="103" xfId="0" applyFont="1" applyFill="1" applyBorder="1" applyAlignment="1">
      <alignment horizontal="center"/>
    </xf>
    <xf numFmtId="0" fontId="0" fillId="9" borderId="31" xfId="0" applyFont="1" applyFill="1" applyBorder="1" applyAlignment="1">
      <alignment horizontal="center"/>
    </xf>
    <xf numFmtId="0" fontId="19" fillId="9" borderId="74" xfId="0" applyFont="1" applyFill="1" applyBorder="1" applyAlignment="1">
      <alignment horizontal="center"/>
    </xf>
    <xf numFmtId="0" fontId="0" fillId="9" borderId="87" xfId="0" applyFont="1" applyFill="1" applyBorder="1" applyAlignment="1">
      <alignment horizontal="center"/>
    </xf>
    <xf numFmtId="0" fontId="19" fillId="9" borderId="49" xfId="0" applyFont="1" applyFill="1" applyBorder="1" applyAlignment="1">
      <alignment horizontal="center"/>
    </xf>
    <xf numFmtId="3" fontId="19" fillId="9" borderId="1" xfId="0" applyNumberFormat="1" applyFont="1" applyFill="1" applyBorder="1" applyAlignment="1">
      <alignment horizontal="center" vertical="center"/>
    </xf>
    <xf numFmtId="3" fontId="19" fillId="9" borderId="55" xfId="0" applyNumberFormat="1" applyFont="1" applyFill="1" applyBorder="1" applyAlignment="1">
      <alignment horizontal="center" vertical="center"/>
    </xf>
    <xf numFmtId="168" fontId="19" fillId="9" borderId="1" xfId="0" applyNumberFormat="1" applyFont="1" applyFill="1" applyBorder="1" applyAlignment="1">
      <alignment horizontal="center" vertical="center"/>
    </xf>
    <xf numFmtId="168" fontId="19" fillId="9" borderId="55" xfId="0" applyNumberFormat="1" applyFont="1" applyFill="1" applyBorder="1" applyAlignment="1">
      <alignment horizontal="center" vertical="center"/>
    </xf>
    <xf numFmtId="0" fontId="20" fillId="54" borderId="42" xfId="0" applyFont="1" applyFill="1" applyBorder="1"/>
    <xf numFmtId="0" fontId="20" fillId="54" borderId="45" xfId="0" applyFont="1" applyFill="1" applyBorder="1" applyAlignment="1">
      <alignment horizontal="center"/>
    </xf>
    <xf numFmtId="3" fontId="19" fillId="9" borderId="5" xfId="0" applyNumberFormat="1" applyFont="1" applyFill="1" applyBorder="1" applyAlignment="1">
      <alignment horizontal="center" vertical="center"/>
    </xf>
    <xf numFmtId="168" fontId="19" fillId="9" borderId="5" xfId="0" applyNumberFormat="1" applyFont="1" applyFill="1" applyBorder="1" applyAlignment="1">
      <alignment horizontal="center" vertical="center"/>
    </xf>
    <xf numFmtId="3" fontId="19" fillId="9" borderId="5" xfId="0" applyNumberFormat="1" applyFont="1" applyFill="1" applyBorder="1" applyAlignment="1">
      <alignment horizontal="center"/>
    </xf>
    <xf numFmtId="168" fontId="19" fillId="9" borderId="5" xfId="0" applyNumberFormat="1" applyFont="1" applyFill="1" applyBorder="1" applyAlignment="1">
      <alignment horizontal="center"/>
    </xf>
    <xf numFmtId="0" fontId="20" fillId="54" borderId="109" xfId="0" applyFont="1" applyFill="1" applyBorder="1"/>
    <xf numFmtId="0" fontId="20" fillId="54" borderId="110" xfId="0" applyFont="1" applyFill="1" applyBorder="1" applyAlignment="1">
      <alignment horizontal="center"/>
    </xf>
    <xf numFmtId="168" fontId="19" fillId="9" borderId="106" xfId="0" applyNumberFormat="1" applyFont="1" applyFill="1" applyBorder="1" applyAlignment="1">
      <alignment horizontal="center" vertical="center"/>
    </xf>
    <xf numFmtId="3" fontId="19" fillId="9" borderId="106" xfId="0" applyNumberFormat="1" applyFont="1" applyFill="1" applyBorder="1" applyAlignment="1">
      <alignment horizontal="center" vertical="center"/>
    </xf>
    <xf numFmtId="3" fontId="19" fillId="9" borderId="106" xfId="0" applyNumberFormat="1" applyFont="1" applyFill="1" applyBorder="1" applyAlignment="1">
      <alignment horizontal="center"/>
    </xf>
    <xf numFmtId="168" fontId="19" fillId="9" borderId="106" xfId="0" applyNumberFormat="1" applyFont="1" applyFill="1" applyBorder="1" applyAlignment="1">
      <alignment horizontal="center"/>
    </xf>
    <xf numFmtId="0" fontId="20" fillId="60" borderId="42" xfId="0" applyFont="1" applyFill="1" applyBorder="1"/>
    <xf numFmtId="0" fontId="20" fillId="60" borderId="45" xfId="0" applyFont="1" applyFill="1" applyBorder="1" applyAlignment="1">
      <alignment horizontal="center"/>
    </xf>
    <xf numFmtId="3" fontId="19" fillId="9" borderId="102" xfId="0" applyNumberFormat="1" applyFont="1" applyFill="1" applyBorder="1" applyAlignment="1">
      <alignment horizontal="center" vertical="center"/>
    </xf>
    <xf numFmtId="168" fontId="19" fillId="9" borderId="102" xfId="0" applyNumberFormat="1" applyFont="1" applyFill="1" applyBorder="1" applyAlignment="1">
      <alignment horizontal="center" vertical="center"/>
    </xf>
    <xf numFmtId="3" fontId="19" fillId="9" borderId="102" xfId="0" applyNumberFormat="1" applyFont="1" applyFill="1" applyBorder="1" applyAlignment="1">
      <alignment horizontal="center"/>
    </xf>
    <xf numFmtId="168" fontId="19" fillId="9" borderId="102" xfId="0" applyNumberFormat="1" applyFont="1" applyFill="1" applyBorder="1" applyAlignment="1">
      <alignment horizontal="center"/>
    </xf>
    <xf numFmtId="0" fontId="43" fillId="10" borderId="4" xfId="0" applyFont="1" applyFill="1" applyBorder="1" applyAlignment="1">
      <alignment horizontal="center"/>
    </xf>
    <xf numFmtId="3" fontId="19" fillId="9" borderId="76" xfId="0" applyNumberFormat="1" applyFont="1" applyFill="1" applyBorder="1" applyAlignment="1">
      <alignment horizontal="center" vertical="center"/>
    </xf>
    <xf numFmtId="0" fontId="19" fillId="9" borderId="112" xfId="0" applyFont="1" applyFill="1" applyBorder="1" applyAlignment="1">
      <alignment horizontal="center"/>
    </xf>
    <xf numFmtId="3" fontId="20" fillId="10" borderId="25" xfId="0" applyNumberFormat="1" applyFont="1" applyFill="1" applyBorder="1" applyAlignment="1">
      <alignment horizontal="center" vertical="center" wrapText="1"/>
    </xf>
    <xf numFmtId="3" fontId="20" fillId="10" borderId="25" xfId="0" applyNumberFormat="1" applyFont="1" applyFill="1" applyBorder="1" applyAlignment="1">
      <alignment horizontal="center" vertical="center" wrapText="1"/>
    </xf>
    <xf numFmtId="3" fontId="19" fillId="9" borderId="48" xfId="0" applyNumberFormat="1" applyFont="1" applyFill="1" applyBorder="1" applyAlignment="1">
      <alignment horizontal="center" vertical="center"/>
    </xf>
    <xf numFmtId="3" fontId="19" fillId="9" borderId="112" xfId="0" applyNumberFormat="1" applyFont="1" applyFill="1" applyBorder="1" applyAlignment="1">
      <alignment horizontal="center" vertical="center"/>
    </xf>
    <xf numFmtId="3" fontId="19" fillId="57" borderId="50" xfId="0" applyNumberFormat="1" applyFont="1" applyFill="1" applyBorder="1" applyAlignment="1">
      <alignment horizontal="center" vertical="center"/>
    </xf>
    <xf numFmtId="3" fontId="19" fillId="9" borderId="57" xfId="0" applyNumberFormat="1" applyFont="1" applyFill="1" applyBorder="1" applyAlignment="1">
      <alignment horizontal="center" vertical="center"/>
    </xf>
    <xf numFmtId="3" fontId="19" fillId="9" borderId="50" xfId="0" applyNumberFormat="1" applyFont="1" applyFill="1" applyBorder="1" applyAlignment="1">
      <alignment horizontal="center" vertical="center"/>
    </xf>
    <xf numFmtId="3" fontId="19" fillId="9" borderId="25" xfId="0" applyNumberFormat="1" applyFont="1" applyFill="1" applyBorder="1" applyAlignment="1">
      <alignment horizontal="center" vertical="center"/>
    </xf>
    <xf numFmtId="3" fontId="19" fillId="9" borderId="49" xfId="0" applyNumberFormat="1" applyFont="1" applyFill="1" applyBorder="1" applyAlignment="1">
      <alignment horizontal="center" vertical="center"/>
    </xf>
    <xf numFmtId="3" fontId="19" fillId="0" borderId="57" xfId="0" applyNumberFormat="1" applyFont="1" applyFill="1" applyBorder="1" applyAlignment="1">
      <alignment horizontal="center"/>
    </xf>
    <xf numFmtId="3" fontId="19" fillId="0" borderId="76" xfId="0" applyNumberFormat="1" applyFont="1" applyFill="1" applyBorder="1" applyAlignment="1">
      <alignment horizontal="center" vertical="center"/>
    </xf>
    <xf numFmtId="3" fontId="19" fillId="3" borderId="112" xfId="0" applyNumberFormat="1" applyFont="1" applyFill="1" applyBorder="1" applyAlignment="1">
      <alignment horizontal="center" vertical="center"/>
    </xf>
    <xf numFmtId="3" fontId="19" fillId="3" borderId="57" xfId="0" applyNumberFormat="1" applyFont="1" applyFill="1" applyBorder="1" applyAlignment="1">
      <alignment horizontal="center" vertical="center"/>
    </xf>
    <xf numFmtId="3" fontId="19" fillId="3" borderId="49" xfId="0" applyNumberFormat="1" applyFont="1" applyFill="1" applyBorder="1" applyAlignment="1">
      <alignment horizontal="center" vertical="center"/>
    </xf>
    <xf numFmtId="3" fontId="19" fillId="3" borderId="25" xfId="0" applyNumberFormat="1" applyFont="1" applyFill="1" applyBorder="1" applyAlignment="1">
      <alignment horizontal="center" vertical="center"/>
    </xf>
    <xf numFmtId="3" fontId="19" fillId="3" borderId="50" xfId="0" applyNumberFormat="1" applyFont="1" applyFill="1" applyBorder="1" applyAlignment="1">
      <alignment horizontal="center" vertical="center"/>
    </xf>
    <xf numFmtId="3" fontId="20" fillId="10" borderId="25" xfId="0" applyNumberFormat="1" applyFont="1" applyFill="1" applyBorder="1" applyAlignment="1">
      <alignment horizontal="center" vertical="center" wrapText="1"/>
    </xf>
    <xf numFmtId="3" fontId="19" fillId="0" borderId="112" xfId="0" applyNumberFormat="1" applyFont="1" applyFill="1" applyBorder="1" applyAlignment="1">
      <alignment horizontal="center"/>
    </xf>
    <xf numFmtId="3" fontId="19" fillId="3" borderId="48" xfId="0" applyNumberFormat="1" applyFont="1" applyFill="1" applyBorder="1" applyAlignment="1">
      <alignment horizontal="center" vertical="center"/>
    </xf>
    <xf numFmtId="187" fontId="19" fillId="3" borderId="49" xfId="0" applyNumberFormat="1" applyFont="1" applyFill="1" applyBorder="1" applyAlignment="1">
      <alignment horizontal="center" vertical="center"/>
    </xf>
    <xf numFmtId="0" fontId="20" fillId="10" borderId="61" xfId="0" applyNumberFormat="1" applyFont="1" applyFill="1" applyBorder="1" applyAlignment="1">
      <alignment horizontal="center" vertical="center" wrapText="1"/>
    </xf>
    <xf numFmtId="168" fontId="19" fillId="9" borderId="33" xfId="0" applyNumberFormat="1" applyFont="1" applyFill="1" applyBorder="1" applyAlignment="1">
      <alignment horizontal="center" vertical="center"/>
    </xf>
    <xf numFmtId="168" fontId="19" fillId="9" borderId="34" xfId="0" applyNumberFormat="1" applyFont="1" applyFill="1" applyBorder="1" applyAlignment="1">
      <alignment horizontal="center" vertical="center"/>
    </xf>
    <xf numFmtId="168" fontId="19" fillId="9" borderId="74" xfId="0" applyNumberFormat="1" applyFont="1" applyFill="1" applyBorder="1" applyAlignment="1">
      <alignment horizontal="center" vertical="center"/>
    </xf>
    <xf numFmtId="4" fontId="19" fillId="9" borderId="33" xfId="0" applyNumberFormat="1" applyFont="1" applyFill="1" applyBorder="1" applyAlignment="1">
      <alignment horizontal="center" vertical="center"/>
    </xf>
    <xf numFmtId="168" fontId="19" fillId="9" borderId="34" xfId="0" applyNumberFormat="1" applyFont="1" applyFill="1" applyBorder="1" applyAlignment="1">
      <alignment horizontal="center"/>
    </xf>
    <xf numFmtId="168" fontId="19" fillId="9" borderId="74" xfId="0" applyNumberFormat="1" applyFont="1" applyFill="1" applyBorder="1" applyAlignment="1">
      <alignment horizontal="center"/>
    </xf>
    <xf numFmtId="4" fontId="19" fillId="9" borderId="34" xfId="0" applyNumberFormat="1" applyFont="1" applyFill="1" applyBorder="1" applyAlignment="1">
      <alignment horizontal="center" vertical="center"/>
    </xf>
    <xf numFmtId="4" fontId="19" fillId="9" borderId="74" xfId="0" applyNumberFormat="1" applyFont="1" applyFill="1" applyBorder="1" applyAlignment="1">
      <alignment horizontal="center" vertical="center"/>
    </xf>
    <xf numFmtId="168" fontId="19" fillId="9" borderId="17" xfId="0" applyNumberFormat="1" applyFont="1" applyFill="1" applyBorder="1" applyAlignment="1">
      <alignment horizontal="center" vertical="center"/>
    </xf>
    <xf numFmtId="4" fontId="19" fillId="9" borderId="19" xfId="0" applyNumberFormat="1" applyFont="1" applyFill="1" applyBorder="1" applyAlignment="1">
      <alignment horizontal="center" vertical="center"/>
    </xf>
    <xf numFmtId="168" fontId="19" fillId="9" borderId="19" xfId="0" applyNumberFormat="1" applyFont="1" applyFill="1" applyBorder="1" applyAlignment="1">
      <alignment horizontal="center" vertical="center"/>
    </xf>
    <xf numFmtId="0" fontId="44" fillId="2" borderId="25" xfId="846" applyFont="1" applyFill="1" applyBorder="1" applyAlignment="1">
      <alignment horizontal="center" vertical="center" wrapText="1"/>
    </xf>
    <xf numFmtId="0" fontId="18" fillId="68" borderId="37" xfId="0" applyFont="1" applyFill="1" applyBorder="1" applyAlignment="1">
      <alignment horizontal="center" vertical="center" wrapText="1"/>
    </xf>
    <xf numFmtId="0" fontId="18" fillId="68" borderId="29" xfId="0" applyFont="1" applyFill="1" applyBorder="1" applyAlignment="1">
      <alignment horizontal="center" vertical="center"/>
    </xf>
    <xf numFmtId="0" fontId="89" fillId="9" borderId="84" xfId="0" applyFont="1" applyFill="1" applyBorder="1" applyAlignment="1">
      <alignment horizontal="center" vertical="center"/>
    </xf>
    <xf numFmtId="0" fontId="82" fillId="9" borderId="46" xfId="0" applyFont="1" applyFill="1" applyBorder="1"/>
    <xf numFmtId="3" fontId="89" fillId="3" borderId="49" xfId="0" applyNumberFormat="1" applyFont="1" applyFill="1" applyBorder="1" applyAlignment="1">
      <alignment horizontal="center" vertical="center"/>
    </xf>
    <xf numFmtId="4" fontId="82" fillId="3" borderId="33" xfId="0" applyNumberFormat="1" applyFont="1" applyFill="1" applyBorder="1" applyAlignment="1">
      <alignment horizontal="center" vertical="center"/>
    </xf>
    <xf numFmtId="168" fontId="89" fillId="3" borderId="102" xfId="0" applyNumberFormat="1" applyFont="1" applyFill="1" applyBorder="1" applyAlignment="1">
      <alignment horizontal="center" vertical="center"/>
    </xf>
    <xf numFmtId="168" fontId="89" fillId="58" borderId="102" xfId="0" applyNumberFormat="1" applyFont="1" applyFill="1" applyBorder="1" applyAlignment="1">
      <alignment horizontal="center" vertical="center"/>
    </xf>
    <xf numFmtId="10" fontId="89" fillId="3" borderId="29" xfId="890" applyNumberFormat="1" applyFont="1" applyFill="1" applyBorder="1" applyAlignment="1">
      <alignment horizontal="center" vertical="center"/>
    </xf>
    <xf numFmtId="0" fontId="18" fillId="68" borderId="40" xfId="0" applyFont="1" applyFill="1" applyBorder="1" applyAlignment="1">
      <alignment horizontal="center" vertical="center" wrapText="1"/>
    </xf>
    <xf numFmtId="0" fontId="18" fillId="68" borderId="56" xfId="0" applyFont="1" applyFill="1" applyBorder="1" applyAlignment="1">
      <alignment horizontal="center" vertical="center"/>
    </xf>
    <xf numFmtId="0" fontId="89" fillId="9" borderId="108" xfId="0" applyFont="1" applyFill="1" applyBorder="1" applyAlignment="1">
      <alignment horizontal="center" vertical="center"/>
    </xf>
    <xf numFmtId="3" fontId="89" fillId="3" borderId="50" xfId="0" applyNumberFormat="1" applyFont="1" applyFill="1" applyBorder="1" applyAlignment="1">
      <alignment horizontal="center" vertical="center"/>
    </xf>
    <xf numFmtId="4" fontId="82" fillId="3" borderId="74" xfId="0" applyNumberFormat="1" applyFont="1" applyFill="1" applyBorder="1" applyAlignment="1">
      <alignment horizontal="center" vertical="center"/>
    </xf>
    <xf numFmtId="168" fontId="89" fillId="3" borderId="55" xfId="0" applyNumberFormat="1" applyFont="1" applyFill="1" applyBorder="1" applyAlignment="1">
      <alignment horizontal="center" vertical="center"/>
    </xf>
    <xf numFmtId="168" fontId="89" fillId="58" borderId="55" xfId="0" applyNumberFormat="1" applyFont="1" applyFill="1" applyBorder="1" applyAlignment="1">
      <alignment horizontal="center" vertical="center"/>
    </xf>
    <xf numFmtId="10" fontId="89" fillId="3" borderId="56" xfId="890" applyNumberFormat="1" applyFont="1" applyFill="1" applyBorder="1" applyAlignment="1">
      <alignment horizontal="center" vertical="center"/>
    </xf>
    <xf numFmtId="0" fontId="18" fillId="68" borderId="51" xfId="0" applyFont="1" applyFill="1" applyBorder="1" applyAlignment="1">
      <alignment horizontal="center" vertical="center" wrapText="1"/>
    </xf>
    <xf numFmtId="0" fontId="18" fillId="68" borderId="82" xfId="0" applyFont="1" applyFill="1" applyBorder="1" applyAlignment="1">
      <alignment horizontal="center" vertical="center" wrapText="1"/>
    </xf>
    <xf numFmtId="0" fontId="89" fillId="9" borderId="24" xfId="0" applyFont="1" applyFill="1" applyBorder="1" applyAlignment="1">
      <alignment horizontal="center" vertical="center" wrapText="1"/>
    </xf>
    <xf numFmtId="0" fontId="82" fillId="9" borderId="48" xfId="0" applyFont="1" applyFill="1" applyBorder="1"/>
    <xf numFmtId="3" fontId="89" fillId="9" borderId="48" xfId="0" applyNumberFormat="1" applyFont="1" applyFill="1" applyBorder="1" applyAlignment="1">
      <alignment horizontal="center" vertical="center"/>
    </xf>
    <xf numFmtId="3" fontId="89" fillId="9" borderId="50" xfId="0" applyNumberFormat="1" applyFont="1" applyFill="1" applyBorder="1" applyAlignment="1">
      <alignment horizontal="center" vertical="center" wrapText="1"/>
    </xf>
    <xf numFmtId="3" fontId="18" fillId="3" borderId="50" xfId="0" applyNumberFormat="1" applyFont="1" applyFill="1" applyBorder="1" applyAlignment="1">
      <alignment horizontal="center" vertical="center"/>
    </xf>
    <xf numFmtId="3" fontId="18" fillId="10" borderId="53" xfId="0" applyNumberFormat="1" applyFont="1" applyFill="1" applyBorder="1" applyAlignment="1">
      <alignment horizontal="center" vertical="center" wrapText="1"/>
    </xf>
    <xf numFmtId="3" fontId="18" fillId="10" borderId="54" xfId="0" applyNumberFormat="1" applyFont="1" applyFill="1" applyBorder="1" applyAlignment="1">
      <alignment horizontal="center" vertical="center" wrapText="1"/>
    </xf>
    <xf numFmtId="3" fontId="18" fillId="10" borderId="22" xfId="0" applyNumberFormat="1" applyFont="1" applyFill="1" applyBorder="1" applyAlignment="1">
      <alignment horizontal="center" vertical="center" wrapText="1"/>
    </xf>
    <xf numFmtId="0" fontId="9" fillId="2" borderId="25" xfId="846" applyFont="1" applyFill="1" applyBorder="1" applyAlignment="1">
      <alignment horizontal="center" vertical="center" wrapText="1"/>
    </xf>
    <xf numFmtId="0" fontId="9" fillId="2" borderId="61" xfId="846" applyFont="1" applyFill="1" applyBorder="1" applyAlignment="1">
      <alignment horizontal="center" vertical="center" wrapText="1"/>
    </xf>
    <xf numFmtId="0" fontId="18" fillId="10" borderId="58" xfId="0" applyNumberFormat="1" applyFont="1" applyFill="1" applyBorder="1" applyAlignment="1">
      <alignment horizontal="center" vertical="center" wrapText="1"/>
    </xf>
    <xf numFmtId="3" fontId="18" fillId="10" borderId="58" xfId="0" applyNumberFormat="1" applyFont="1" applyFill="1" applyBorder="1" applyAlignment="1">
      <alignment horizontal="center" vertical="center" wrapText="1"/>
    </xf>
    <xf numFmtId="3" fontId="18" fillId="10" borderId="58" xfId="0" applyNumberFormat="1" applyFont="1" applyFill="1" applyBorder="1" applyAlignment="1">
      <alignment horizontal="center" vertical="center"/>
    </xf>
    <xf numFmtId="4" fontId="82" fillId="3" borderId="60" xfId="0" applyNumberFormat="1" applyFont="1" applyFill="1" applyBorder="1" applyAlignment="1">
      <alignment horizontal="center" vertical="center"/>
    </xf>
    <xf numFmtId="168" fontId="89" fillId="9" borderId="52" xfId="0" applyNumberFormat="1" applyFont="1" applyFill="1" applyBorder="1" applyAlignment="1">
      <alignment horizontal="center" vertical="center"/>
    </xf>
    <xf numFmtId="168" fontId="89" fillId="3" borderId="52" xfId="0" applyNumberFormat="1" applyFont="1" applyFill="1" applyBorder="1" applyAlignment="1">
      <alignment horizontal="center" vertical="center"/>
    </xf>
    <xf numFmtId="168" fontId="89" fillId="58" borderId="52" xfId="0" applyNumberFormat="1" applyFont="1" applyFill="1" applyBorder="1" applyAlignment="1">
      <alignment horizontal="center" vertical="center"/>
    </xf>
    <xf numFmtId="10" fontId="89" fillId="3" borderId="82" xfId="890" applyNumberFormat="1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 wrapText="1"/>
    </xf>
    <xf numFmtId="13" fontId="19" fillId="9" borderId="0" xfId="939" applyNumberFormat="1" applyFont="1" applyFill="1" applyBorder="1" applyAlignment="1">
      <alignment horizontal="right"/>
    </xf>
    <xf numFmtId="0" fontId="19" fillId="9" borderId="108" xfId="0" applyFont="1" applyFill="1" applyBorder="1" applyAlignment="1">
      <alignment horizontal="center"/>
    </xf>
    <xf numFmtId="0" fontId="0" fillId="9" borderId="0" xfId="0" applyFont="1" applyFill="1" applyBorder="1" applyAlignment="1">
      <alignment horizontal="center" vertical="center" wrapText="1"/>
    </xf>
    <xf numFmtId="0" fontId="69" fillId="9" borderId="0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left" vertical="center"/>
    </xf>
    <xf numFmtId="0" fontId="0" fillId="9" borderId="0" xfId="0" applyFill="1" applyBorder="1" applyAlignment="1">
      <alignment horizontal="center" vertical="center" wrapText="1"/>
    </xf>
    <xf numFmtId="0" fontId="0" fillId="0" borderId="0" xfId="0" applyBorder="1"/>
    <xf numFmtId="43" fontId="0" fillId="9" borderId="0" xfId="0" applyNumberFormat="1" applyFont="1" applyFill="1" applyBorder="1"/>
    <xf numFmtId="178" fontId="0" fillId="9" borderId="0" xfId="934" applyNumberFormat="1" applyFont="1" applyFill="1" applyBorder="1" applyAlignment="1">
      <alignment horizontal="center"/>
    </xf>
    <xf numFmtId="182" fontId="78" fillId="9" borderId="0" xfId="0" applyNumberFormat="1" applyFont="1" applyFill="1" applyBorder="1" applyAlignment="1">
      <alignment vertical="center"/>
    </xf>
    <xf numFmtId="182" fontId="20" fillId="9" borderId="0" xfId="0" applyNumberFormat="1" applyFont="1" applyFill="1" applyBorder="1" applyAlignment="1">
      <alignment vertical="center"/>
    </xf>
    <xf numFmtId="182" fontId="20" fillId="9" borderId="0" xfId="0" applyNumberFormat="1" applyFont="1" applyFill="1" applyBorder="1" applyAlignment="1">
      <alignment horizontal="center" vertical="center"/>
    </xf>
    <xf numFmtId="169" fontId="0" fillId="54" borderId="57" xfId="0" applyNumberFormat="1" applyFill="1" applyBorder="1" applyAlignment="1">
      <alignment horizontal="center"/>
    </xf>
    <xf numFmtId="2" fontId="16" fillId="54" borderId="34" xfId="0" applyNumberFormat="1" applyFont="1" applyFill="1" applyBorder="1" applyAlignment="1">
      <alignment horizontal="center"/>
    </xf>
    <xf numFmtId="2" fontId="0" fillId="9" borderId="117" xfId="0" applyNumberFormat="1" applyFill="1" applyBorder="1" applyAlignment="1">
      <alignment horizontal="center"/>
    </xf>
    <xf numFmtId="169" fontId="0" fillId="0" borderId="49" xfId="0" applyNumberFormat="1" applyBorder="1" applyAlignment="1">
      <alignment horizontal="center"/>
    </xf>
    <xf numFmtId="2" fontId="0" fillId="54" borderId="87" xfId="0" applyNumberFormat="1" applyFill="1" applyBorder="1" applyAlignment="1">
      <alignment horizontal="center"/>
    </xf>
    <xf numFmtId="2" fontId="0" fillId="9" borderId="31" xfId="0" applyNumberFormat="1" applyFill="1" applyBorder="1" applyAlignment="1">
      <alignment horizontal="center"/>
    </xf>
    <xf numFmtId="2" fontId="16" fillId="54" borderId="74" xfId="0" applyNumberFormat="1" applyFont="1" applyFill="1" applyBorder="1" applyAlignment="1">
      <alignment horizontal="center"/>
    </xf>
    <xf numFmtId="169" fontId="0" fillId="0" borderId="57" xfId="0" applyNumberFormat="1" applyBorder="1" applyAlignment="1">
      <alignment horizontal="center"/>
    </xf>
    <xf numFmtId="169" fontId="0" fillId="54" borderId="50" xfId="0" applyNumberFormat="1" applyFill="1" applyBorder="1" applyAlignment="1">
      <alignment horizontal="center"/>
    </xf>
    <xf numFmtId="2" fontId="0" fillId="9" borderId="14" xfId="0" applyNumberFormat="1" applyFill="1" applyBorder="1" applyAlignment="1">
      <alignment horizontal="center"/>
    </xf>
    <xf numFmtId="0" fontId="21" fillId="9" borderId="25" xfId="0" applyNumberFormat="1" applyFont="1" applyFill="1" applyBorder="1" applyAlignment="1">
      <alignment horizontal="center"/>
    </xf>
    <xf numFmtId="169" fontId="19" fillId="54" borderId="50" xfId="0" applyNumberFormat="1" applyFont="1" applyFill="1" applyBorder="1" applyAlignment="1">
      <alignment horizontal="center"/>
    </xf>
    <xf numFmtId="2" fontId="0" fillId="54" borderId="31" xfId="0" applyNumberFormat="1" applyFill="1" applyBorder="1" applyAlignment="1">
      <alignment horizontal="center"/>
    </xf>
    <xf numFmtId="2" fontId="0" fillId="9" borderId="116" xfId="0" applyNumberFormat="1" applyFill="1" applyBorder="1" applyAlignment="1">
      <alignment horizontal="center"/>
    </xf>
    <xf numFmtId="4" fontId="19" fillId="10" borderId="36" xfId="0" applyNumberFormat="1" applyFont="1" applyFill="1" applyBorder="1" applyAlignment="1">
      <alignment horizontal="center" vertical="center" wrapText="1"/>
    </xf>
    <xf numFmtId="0" fontId="0" fillId="9" borderId="57" xfId="0" applyFont="1" applyFill="1" applyBorder="1" applyAlignment="1">
      <alignment horizontal="center"/>
    </xf>
    <xf numFmtId="3" fontId="19" fillId="9" borderId="104" xfId="0" applyNumberFormat="1" applyFont="1" applyFill="1" applyBorder="1" applyAlignment="1">
      <alignment horizontal="center"/>
    </xf>
    <xf numFmtId="0" fontId="20" fillId="55" borderId="58" xfId="0" applyFont="1" applyFill="1" applyBorder="1" applyAlignment="1">
      <alignment horizontal="center" vertical="center" wrapText="1"/>
    </xf>
    <xf numFmtId="0" fontId="21" fillId="55" borderId="121" xfId="0" applyFont="1" applyFill="1" applyBorder="1" applyAlignment="1">
      <alignment horizontal="center" vertical="center" wrapText="1"/>
    </xf>
    <xf numFmtId="0" fontId="20" fillId="55" borderId="104" xfId="0" applyFont="1" applyFill="1" applyBorder="1" applyAlignment="1">
      <alignment horizontal="center" vertical="center" wrapText="1"/>
    </xf>
    <xf numFmtId="0" fontId="20" fillId="55" borderId="104" xfId="49" applyFont="1" applyFill="1" applyBorder="1" applyAlignment="1">
      <alignment horizontal="center" wrapText="1"/>
    </xf>
    <xf numFmtId="0" fontId="20" fillId="55" borderId="104" xfId="49" applyFont="1" applyFill="1" applyBorder="1" applyAlignment="1">
      <alignment horizontal="center"/>
    </xf>
    <xf numFmtId="0" fontId="20" fillId="55" borderId="104" xfId="49" applyFont="1" applyFill="1" applyBorder="1" applyAlignment="1">
      <alignment horizontal="center" vertical="center" wrapText="1"/>
    </xf>
    <xf numFmtId="4" fontId="20" fillId="55" borderId="104" xfId="0" applyNumberFormat="1" applyFont="1" applyFill="1" applyBorder="1" applyAlignment="1">
      <alignment horizontal="center" vertical="center" wrapText="1"/>
    </xf>
    <xf numFmtId="0" fontId="20" fillId="55" borderId="53" xfId="49" applyFont="1" applyFill="1" applyBorder="1" applyAlignment="1">
      <alignment horizontal="center" wrapText="1"/>
    </xf>
    <xf numFmtId="4" fontId="20" fillId="55" borderId="81" xfId="0" applyNumberFormat="1" applyFont="1" applyFill="1" applyBorder="1" applyAlignment="1">
      <alignment horizontal="center" vertical="center" wrapText="1"/>
    </xf>
    <xf numFmtId="0" fontId="20" fillId="55" borderId="58" xfId="49" applyFont="1" applyFill="1" applyBorder="1" applyAlignment="1">
      <alignment horizontal="center" wrapText="1"/>
    </xf>
    <xf numFmtId="0" fontId="20" fillId="55" borderId="58" xfId="49" applyFont="1" applyFill="1" applyBorder="1" applyAlignment="1">
      <alignment horizontal="center"/>
    </xf>
    <xf numFmtId="0" fontId="20" fillId="55" borderId="58" xfId="49" applyFont="1" applyFill="1" applyBorder="1" applyAlignment="1">
      <alignment horizontal="center" vertical="center" wrapText="1"/>
    </xf>
    <xf numFmtId="4" fontId="20" fillId="55" borderId="58" xfId="0" applyNumberFormat="1" applyFont="1" applyFill="1" applyBorder="1" applyAlignment="1">
      <alignment horizontal="center" vertical="center" wrapText="1"/>
    </xf>
    <xf numFmtId="4" fontId="20" fillId="55" borderId="54" xfId="0" applyNumberFormat="1" applyFont="1" applyFill="1" applyBorder="1" applyAlignment="1">
      <alignment horizontal="center" vertical="center" wrapText="1"/>
    </xf>
    <xf numFmtId="0" fontId="92" fillId="0" borderId="0" xfId="957" applyAlignment="1" applyProtection="1"/>
    <xf numFmtId="0" fontId="0" fillId="0" borderId="0" xfId="0" applyNumberFormat="1" applyFont="1"/>
    <xf numFmtId="4" fontId="20" fillId="10" borderId="86" xfId="0" applyNumberFormat="1" applyFont="1" applyFill="1" applyBorder="1" applyAlignment="1">
      <alignment horizontal="center" vertical="center" wrapText="1"/>
    </xf>
    <xf numFmtId="4" fontId="19" fillId="0" borderId="116" xfId="0" applyNumberFormat="1" applyFont="1" applyBorder="1" applyAlignment="1">
      <alignment horizontal="center" vertical="center"/>
    </xf>
    <xf numFmtId="0" fontId="95" fillId="61" borderId="0" xfId="951" applyFont="1" applyFill="1" applyBorder="1" applyAlignment="1">
      <alignment horizontal="center"/>
    </xf>
    <xf numFmtId="0" fontId="4" fillId="9" borderId="0" xfId="951" applyFont="1" applyFill="1" applyBorder="1"/>
    <xf numFmtId="0" fontId="95" fillId="9" borderId="0" xfId="951" applyFont="1" applyFill="1" applyBorder="1" applyAlignment="1">
      <alignment wrapText="1"/>
    </xf>
    <xf numFmtId="0" fontId="95" fillId="9" borderId="0" xfId="951" applyFont="1" applyFill="1" applyBorder="1" applyAlignment="1">
      <alignment horizontal="right" wrapText="1"/>
    </xf>
    <xf numFmtId="0" fontId="1" fillId="0" borderId="124" xfId="960" applyFont="1" applyFill="1" applyBorder="1" applyAlignment="1">
      <alignment wrapText="1"/>
    </xf>
    <xf numFmtId="168" fontId="19" fillId="9" borderId="1" xfId="0" applyNumberFormat="1" applyFont="1" applyFill="1" applyBorder="1" applyAlignment="1">
      <alignment horizontal="center" vertical="center"/>
    </xf>
    <xf numFmtId="4" fontId="52" fillId="10" borderId="25" xfId="0" applyNumberFormat="1" applyFont="1" applyFill="1" applyBorder="1" applyAlignment="1">
      <alignment horizontal="center" vertical="center" wrapText="1"/>
    </xf>
    <xf numFmtId="43" fontId="0" fillId="9" borderId="0" xfId="939" applyFont="1" applyFill="1" applyBorder="1"/>
    <xf numFmtId="0" fontId="0" fillId="9" borderId="25" xfId="0" applyFill="1" applyBorder="1" applyAlignment="1">
      <alignment horizontal="center"/>
    </xf>
    <xf numFmtId="0" fontId="0" fillId="69" borderId="55" xfId="0" applyFill="1" applyBorder="1"/>
    <xf numFmtId="2" fontId="0" fillId="69" borderId="55" xfId="0" applyNumberFormat="1" applyFill="1" applyBorder="1" applyAlignment="1">
      <alignment horizontal="center"/>
    </xf>
    <xf numFmtId="2" fontId="0" fillId="69" borderId="87" xfId="0" applyNumberFormat="1" applyFill="1" applyBorder="1" applyAlignment="1">
      <alignment horizontal="center"/>
    </xf>
    <xf numFmtId="169" fontId="0" fillId="69" borderId="50" xfId="0" applyNumberFormat="1" applyFill="1" applyBorder="1" applyAlignment="1">
      <alignment horizontal="center"/>
    </xf>
    <xf numFmtId="2" fontId="16" fillId="69" borderId="74" xfId="0" applyNumberFormat="1" applyFont="1" applyFill="1" applyBorder="1" applyAlignment="1">
      <alignment horizontal="center"/>
    </xf>
    <xf numFmtId="10" fontId="16" fillId="69" borderId="87" xfId="889" applyNumberFormat="1" applyFont="1" applyFill="1" applyBorder="1" applyAlignment="1">
      <alignment horizontal="center"/>
    </xf>
    <xf numFmtId="14" fontId="0" fillId="69" borderId="55" xfId="0" applyNumberFormat="1" applyFill="1" applyBorder="1"/>
    <xf numFmtId="0" fontId="0" fillId="69" borderId="56" xfId="0" applyFill="1" applyBorder="1"/>
    <xf numFmtId="0" fontId="21" fillId="9" borderId="0" xfId="0" applyFont="1" applyFill="1" applyBorder="1" applyAlignment="1">
      <alignment horizontal="center" vertical="center"/>
    </xf>
    <xf numFmtId="22" fontId="0" fillId="9" borderId="0" xfId="0" applyNumberFormat="1" applyFill="1" applyBorder="1" applyAlignment="1">
      <alignment horizontal="center"/>
    </xf>
    <xf numFmtId="0" fontId="0" fillId="9" borderId="0" xfId="0" applyFill="1"/>
    <xf numFmtId="9" fontId="19" fillId="9" borderId="80" xfId="889" applyNumberFormat="1" applyFont="1" applyFill="1" applyBorder="1" applyAlignment="1">
      <alignment horizontal="center"/>
    </xf>
    <xf numFmtId="0" fontId="69" fillId="0" borderId="0" xfId="0" applyFont="1"/>
    <xf numFmtId="0" fontId="69" fillId="9" borderId="0" xfId="0" applyFont="1" applyFill="1" applyBorder="1"/>
    <xf numFmtId="9" fontId="19" fillId="9" borderId="32" xfId="889" applyNumberFormat="1" applyFont="1" applyFill="1" applyBorder="1" applyAlignment="1">
      <alignment horizontal="center"/>
    </xf>
    <xf numFmtId="9" fontId="19" fillId="9" borderId="107" xfId="889" applyNumberFormat="1" applyFont="1" applyFill="1" applyBorder="1" applyAlignment="1">
      <alignment horizontal="center"/>
    </xf>
    <xf numFmtId="0" fontId="71" fillId="64" borderId="25" xfId="0" applyFont="1" applyFill="1" applyBorder="1" applyAlignment="1">
      <alignment horizontal="center" vertical="center" wrapText="1"/>
    </xf>
    <xf numFmtId="4" fontId="43" fillId="9" borderId="0" xfId="912" applyNumberFormat="1" applyFont="1" applyFill="1" applyBorder="1" applyAlignment="1">
      <alignment horizontal="center" vertical="center"/>
    </xf>
    <xf numFmtId="4" fontId="43" fillId="9" borderId="0" xfId="0" applyNumberFormat="1" applyFont="1" applyFill="1" applyBorder="1" applyAlignment="1">
      <alignment horizontal="center" vertical="center"/>
    </xf>
    <xf numFmtId="0" fontId="99" fillId="67" borderId="130" xfId="951" applyFont="1" applyFill="1" applyBorder="1" applyAlignment="1">
      <alignment horizontal="center"/>
    </xf>
    <xf numFmtId="182" fontId="16" fillId="9" borderId="0" xfId="0" applyNumberFormat="1" applyFont="1" applyFill="1" applyBorder="1"/>
    <xf numFmtId="182" fontId="78" fillId="9" borderId="0" xfId="0" applyNumberFormat="1" applyFont="1" applyFill="1" applyBorder="1" applyAlignment="1">
      <alignment horizontal="center" vertical="center"/>
    </xf>
    <xf numFmtId="169" fontId="0" fillId="0" borderId="25" xfId="0" applyNumberFormat="1" applyFont="1" applyBorder="1" applyAlignment="1">
      <alignment horizontal="center"/>
    </xf>
    <xf numFmtId="3" fontId="19" fillId="9" borderId="119" xfId="0" applyNumberFormat="1" applyFont="1" applyFill="1" applyBorder="1" applyAlignment="1">
      <alignment horizontal="center"/>
    </xf>
    <xf numFmtId="168" fontId="20" fillId="9" borderId="25" xfId="0" applyNumberFormat="1" applyFont="1" applyFill="1" applyBorder="1" applyAlignment="1">
      <alignment horizontal="center"/>
    </xf>
    <xf numFmtId="9" fontId="16" fillId="9" borderId="50" xfId="889" applyNumberFormat="1" applyFont="1" applyFill="1" applyBorder="1" applyAlignment="1">
      <alignment horizontal="center"/>
    </xf>
    <xf numFmtId="3" fontId="19" fillId="9" borderId="46" xfId="0" applyNumberFormat="1" applyFont="1" applyFill="1" applyBorder="1" applyAlignment="1">
      <alignment horizontal="center"/>
    </xf>
    <xf numFmtId="0" fontId="0" fillId="9" borderId="48" xfId="0" applyFill="1" applyBorder="1"/>
    <xf numFmtId="0" fontId="0" fillId="9" borderId="0" xfId="0" applyFill="1"/>
    <xf numFmtId="0" fontId="14" fillId="9" borderId="0" xfId="0" applyFont="1" applyFill="1"/>
    <xf numFmtId="0" fontId="19" fillId="9" borderId="32" xfId="0" applyFont="1" applyFill="1" applyBorder="1" applyAlignment="1">
      <alignment horizontal="center"/>
    </xf>
    <xf numFmtId="3" fontId="19" fillId="9" borderId="105" xfId="0" applyNumberFormat="1" applyFont="1" applyFill="1" applyBorder="1" applyAlignment="1">
      <alignment horizontal="center"/>
    </xf>
    <xf numFmtId="3" fontId="19" fillId="9" borderId="15" xfId="0" applyNumberFormat="1" applyFont="1" applyFill="1" applyBorder="1" applyAlignment="1">
      <alignment horizontal="center"/>
    </xf>
    <xf numFmtId="0" fontId="19" fillId="9" borderId="35" xfId="0" applyFont="1" applyFill="1" applyBorder="1" applyAlignment="1">
      <alignment horizontal="center"/>
    </xf>
    <xf numFmtId="3" fontId="19" fillId="9" borderId="52" xfId="0" applyNumberFormat="1" applyFont="1" applyFill="1" applyBorder="1" applyAlignment="1">
      <alignment horizontal="center"/>
    </xf>
    <xf numFmtId="3" fontId="19" fillId="9" borderId="44" xfId="0" applyNumberFormat="1" applyFont="1" applyFill="1" applyBorder="1" applyAlignment="1">
      <alignment horizontal="center"/>
    </xf>
    <xf numFmtId="171" fontId="19" fillId="9" borderId="23" xfId="0" applyNumberFormat="1" applyFont="1" applyFill="1" applyBorder="1" applyAlignment="1">
      <alignment horizontal="center"/>
    </xf>
    <xf numFmtId="171" fontId="19" fillId="9" borderId="24" xfId="0" applyNumberFormat="1" applyFont="1" applyFill="1" applyBorder="1" applyAlignment="1">
      <alignment horizontal="center"/>
    </xf>
    <xf numFmtId="3" fontId="19" fillId="9" borderId="0" xfId="0" applyNumberFormat="1" applyFont="1" applyFill="1" applyBorder="1" applyAlignment="1">
      <alignment horizontal="center"/>
    </xf>
    <xf numFmtId="168" fontId="20" fillId="9" borderId="0" xfId="0" applyNumberFormat="1" applyFont="1" applyFill="1" applyBorder="1" applyAlignment="1">
      <alignment horizontal="center"/>
    </xf>
    <xf numFmtId="9" fontId="19" fillId="9" borderId="6" xfId="889" applyNumberFormat="1" applyFont="1" applyFill="1" applyBorder="1" applyAlignment="1">
      <alignment horizontal="center"/>
    </xf>
    <xf numFmtId="3" fontId="19" fillId="14" borderId="49" xfId="0" applyNumberFormat="1" applyFont="1" applyFill="1" applyBorder="1" applyAlignment="1">
      <alignment horizontal="center" vertical="center"/>
    </xf>
    <xf numFmtId="3" fontId="20" fillId="14" borderId="57" xfId="0" applyNumberFormat="1" applyFont="1" applyFill="1" applyBorder="1" applyAlignment="1">
      <alignment horizontal="center" vertical="center"/>
    </xf>
    <xf numFmtId="3" fontId="20" fillId="14" borderId="50" xfId="0" applyNumberFormat="1" applyFont="1" applyFill="1" applyBorder="1" applyAlignment="1">
      <alignment horizontal="center" vertical="center"/>
    </xf>
    <xf numFmtId="3" fontId="20" fillId="14" borderId="49" xfId="0" applyNumberFormat="1" applyFont="1" applyFill="1" applyBorder="1" applyAlignment="1">
      <alignment horizontal="center" vertical="center"/>
    </xf>
    <xf numFmtId="3" fontId="91" fillId="14" borderId="49" xfId="0" applyNumberFormat="1" applyFont="1" applyFill="1" applyBorder="1" applyAlignment="1">
      <alignment horizontal="center" vertical="center"/>
    </xf>
    <xf numFmtId="3" fontId="91" fillId="14" borderId="57" xfId="0" applyNumberFormat="1" applyFont="1" applyFill="1" applyBorder="1" applyAlignment="1">
      <alignment horizontal="center"/>
    </xf>
    <xf numFmtId="3" fontId="91" fillId="14" borderId="50" xfId="0" applyNumberFormat="1" applyFont="1" applyFill="1" applyBorder="1" applyAlignment="1">
      <alignment horizontal="center"/>
    </xf>
    <xf numFmtId="3" fontId="19" fillId="14" borderId="57" xfId="0" applyNumberFormat="1" applyFont="1" applyFill="1" applyBorder="1" applyAlignment="1">
      <alignment horizontal="center" vertical="center"/>
    </xf>
    <xf numFmtId="3" fontId="19" fillId="14" borderId="50" xfId="0" applyNumberFormat="1" applyFont="1" applyFill="1" applyBorder="1" applyAlignment="1">
      <alignment horizontal="center" vertical="center"/>
    </xf>
    <xf numFmtId="187" fontId="19" fillId="14" borderId="49" xfId="0" applyNumberFormat="1" applyFont="1" applyFill="1" applyBorder="1" applyAlignment="1">
      <alignment horizontal="center" vertical="center"/>
    </xf>
    <xf numFmtId="3" fontId="19" fillId="14" borderId="75" xfId="0" applyNumberFormat="1" applyFont="1" applyFill="1" applyBorder="1" applyAlignment="1">
      <alignment horizontal="center" vertical="center"/>
    </xf>
    <xf numFmtId="3" fontId="19" fillId="14" borderId="76" xfId="0" applyNumberFormat="1" applyFont="1" applyFill="1" applyBorder="1" applyAlignment="1">
      <alignment horizontal="center" vertical="center"/>
    </xf>
    <xf numFmtId="10" fontId="19" fillId="11" borderId="29" xfId="890" applyNumberFormat="1" applyFont="1" applyFill="1" applyBorder="1" applyAlignment="1">
      <alignment horizontal="center"/>
    </xf>
    <xf numFmtId="10" fontId="19" fillId="11" borderId="30" xfId="890" applyNumberFormat="1" applyFont="1" applyFill="1" applyBorder="1" applyAlignment="1">
      <alignment horizontal="center"/>
    </xf>
    <xf numFmtId="10" fontId="19" fillId="11" borderId="56" xfId="890" applyNumberFormat="1" applyFont="1" applyFill="1" applyBorder="1" applyAlignment="1">
      <alignment horizontal="center"/>
    </xf>
    <xf numFmtId="10" fontId="19" fillId="11" borderId="110" xfId="890" applyNumberFormat="1" applyFont="1" applyFill="1" applyBorder="1" applyAlignment="1">
      <alignment horizontal="center"/>
    </xf>
    <xf numFmtId="10" fontId="19" fillId="11" borderId="45" xfId="890" applyNumberFormat="1" applyFont="1" applyFill="1" applyBorder="1" applyAlignment="1">
      <alignment horizontal="center"/>
    </xf>
    <xf numFmtId="0" fontId="0" fillId="9" borderId="140" xfId="0" applyFont="1" applyFill="1" applyBorder="1"/>
    <xf numFmtId="0" fontId="98" fillId="9" borderId="0" xfId="0" applyFont="1" applyFill="1"/>
    <xf numFmtId="0" fontId="17" fillId="0" borderId="41" xfId="0" applyFont="1" applyFill="1" applyBorder="1" applyAlignment="1">
      <alignment horizontal="center" vertical="center"/>
    </xf>
    <xf numFmtId="0" fontId="17" fillId="0" borderId="104" xfId="0" applyFont="1" applyFill="1" applyBorder="1" applyAlignment="1">
      <alignment horizontal="center" vertical="center"/>
    </xf>
    <xf numFmtId="4" fontId="17" fillId="0" borderId="104" xfId="0" applyNumberFormat="1" applyFont="1" applyFill="1" applyBorder="1" applyAlignment="1">
      <alignment horizontal="center" vertical="center" wrapText="1"/>
    </xf>
    <xf numFmtId="4" fontId="17" fillId="0" borderId="105" xfId="0" applyNumberFormat="1" applyFont="1" applyFill="1" applyBorder="1" applyAlignment="1">
      <alignment horizontal="center" vertical="center" wrapText="1"/>
    </xf>
    <xf numFmtId="4" fontId="17" fillId="9" borderId="46" xfId="0" applyNumberFormat="1" applyFont="1" applyFill="1" applyBorder="1" applyAlignment="1">
      <alignment vertical="center" wrapText="1"/>
    </xf>
    <xf numFmtId="4" fontId="17" fillId="0" borderId="62" xfId="0" applyNumberFormat="1" applyFont="1" applyFill="1" applyBorder="1" applyAlignment="1">
      <alignment horizontal="center" vertical="center"/>
    </xf>
    <xf numFmtId="9" fontId="17" fillId="0" borderId="81" xfId="889" applyNumberFormat="1" applyFont="1" applyFill="1" applyBorder="1" applyAlignment="1">
      <alignment horizontal="center" vertical="center"/>
    </xf>
    <xf numFmtId="2" fontId="17" fillId="0" borderId="41" xfId="0" applyNumberFormat="1" applyFont="1" applyFill="1" applyBorder="1" applyAlignment="1">
      <alignment horizontal="center" vertical="center"/>
    </xf>
    <xf numFmtId="0" fontId="69" fillId="9" borderId="3" xfId="0" applyFont="1" applyFill="1" applyBorder="1"/>
    <xf numFmtId="0" fontId="17" fillId="9" borderId="146" xfId="0" applyFont="1" applyFill="1" applyBorder="1" applyAlignment="1">
      <alignment horizontal="center" vertical="center"/>
    </xf>
    <xf numFmtId="4" fontId="17" fillId="0" borderId="146" xfId="0" applyNumberFormat="1" applyFont="1" applyFill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4" fontId="17" fillId="0" borderId="142" xfId="0" applyNumberFormat="1" applyFont="1" applyFill="1" applyBorder="1" applyAlignment="1">
      <alignment horizontal="center" vertical="center"/>
    </xf>
    <xf numFmtId="0" fontId="69" fillId="9" borderId="23" xfId="0" applyFont="1" applyFill="1" applyBorder="1"/>
    <xf numFmtId="9" fontId="69" fillId="9" borderId="146" xfId="889" applyNumberFormat="1" applyFont="1" applyFill="1" applyBorder="1" applyAlignment="1">
      <alignment horizontal="center" vertical="center"/>
    </xf>
    <xf numFmtId="14" fontId="17" fillId="0" borderId="146" xfId="0" applyNumberFormat="1" applyFont="1" applyFill="1" applyBorder="1" applyAlignment="1">
      <alignment horizontal="center" vertical="center"/>
    </xf>
    <xf numFmtId="9" fontId="69" fillId="9" borderId="142" xfId="889" applyNumberFormat="1" applyFont="1" applyFill="1" applyBorder="1" applyAlignment="1">
      <alignment horizontal="center" vertical="center"/>
    </xf>
    <xf numFmtId="14" fontId="17" fillId="0" borderId="142" xfId="0" applyNumberFormat="1" applyFont="1" applyFill="1" applyBorder="1" applyAlignment="1">
      <alignment horizontal="center" vertical="center"/>
    </xf>
    <xf numFmtId="0" fontId="0" fillId="0" borderId="0" xfId="0"/>
    <xf numFmtId="168" fontId="19" fillId="9" borderId="48" xfId="0" applyNumberFormat="1" applyFont="1" applyFill="1" applyBorder="1" applyAlignment="1">
      <alignment horizontal="center"/>
    </xf>
    <xf numFmtId="168" fontId="40" fillId="9" borderId="48" xfId="0" applyNumberFormat="1" applyFont="1" applyFill="1" applyBorder="1" applyAlignment="1">
      <alignment horizontal="center"/>
    </xf>
    <xf numFmtId="0" fontId="39" fillId="9" borderId="0" xfId="0" applyFont="1" applyFill="1"/>
    <xf numFmtId="0" fontId="19" fillId="9" borderId="0" xfId="0" applyFont="1" applyFill="1"/>
    <xf numFmtId="0" fontId="21" fillId="9" borderId="0" xfId="0" applyFont="1" applyFill="1"/>
    <xf numFmtId="3" fontId="19" fillId="9" borderId="0" xfId="0" applyNumberFormat="1" applyFont="1" applyFill="1" applyBorder="1" applyAlignment="1">
      <alignment horizontal="center" vertical="center"/>
    </xf>
    <xf numFmtId="4" fontId="19" fillId="9" borderId="142" xfId="0" applyNumberFormat="1" applyFont="1" applyFill="1" applyBorder="1" applyAlignment="1">
      <alignment horizontal="right"/>
    </xf>
    <xf numFmtId="9" fontId="19" fillId="9" borderId="122" xfId="889" applyFont="1" applyFill="1" applyBorder="1" applyAlignment="1">
      <alignment horizontal="center"/>
    </xf>
    <xf numFmtId="0" fontId="0" fillId="9" borderId="74" xfId="0" applyFill="1" applyBorder="1" applyAlignment="1">
      <alignment horizontal="center" vertical="center" wrapText="1"/>
    </xf>
    <xf numFmtId="0" fontId="0" fillId="9" borderId="0" xfId="0" applyFill="1"/>
    <xf numFmtId="3" fontId="43" fillId="9" borderId="0" xfId="0" applyNumberFormat="1" applyFont="1" applyFill="1" applyBorder="1" applyAlignment="1">
      <alignment horizontal="center"/>
    </xf>
    <xf numFmtId="168" fontId="52" fillId="9" borderId="0" xfId="0" applyNumberFormat="1" applyFont="1" applyFill="1" applyBorder="1" applyAlignment="1">
      <alignment horizontal="center" vertical="center"/>
    </xf>
    <xf numFmtId="0" fontId="19" fillId="9" borderId="0" xfId="888" applyFont="1" applyFill="1" applyBorder="1" applyAlignment="1">
      <alignment horizontal="left"/>
    </xf>
    <xf numFmtId="3" fontId="19" fillId="0" borderId="0" xfId="0" applyNumberFormat="1" applyFont="1" applyBorder="1"/>
    <xf numFmtId="168" fontId="19" fillId="9" borderId="0" xfId="0" applyNumberFormat="1" applyFont="1" applyFill="1" applyBorder="1" applyAlignment="1">
      <alignment horizontal="right"/>
    </xf>
    <xf numFmtId="4" fontId="19" fillId="9" borderId="0" xfId="0" applyNumberFormat="1" applyFont="1" applyFill="1" applyBorder="1" applyAlignment="1">
      <alignment horizontal="right"/>
    </xf>
    <xf numFmtId="0" fontId="20" fillId="71" borderId="40" xfId="0" applyFont="1" applyFill="1" applyBorder="1" applyAlignment="1">
      <alignment horizontal="center"/>
    </xf>
    <xf numFmtId="0" fontId="20" fillId="71" borderId="142" xfId="0" applyFont="1" applyFill="1" applyBorder="1" applyAlignment="1">
      <alignment horizontal="center"/>
    </xf>
    <xf numFmtId="0" fontId="20" fillId="71" borderId="129" xfId="0" applyFont="1" applyFill="1" applyBorder="1" applyAlignment="1">
      <alignment horizontal="center"/>
    </xf>
    <xf numFmtId="0" fontId="20" fillId="71" borderId="56" xfId="0" applyFont="1" applyFill="1" applyBorder="1" applyAlignment="1">
      <alignment horizontal="center"/>
    </xf>
    <xf numFmtId="168" fontId="20" fillId="9" borderId="142" xfId="0" applyNumberFormat="1" applyFont="1" applyFill="1" applyBorder="1" applyAlignment="1">
      <alignment horizontal="right"/>
    </xf>
    <xf numFmtId="0" fontId="20" fillId="56" borderId="40" xfId="0" applyFont="1" applyFill="1" applyBorder="1" applyAlignment="1">
      <alignment horizontal="center"/>
    </xf>
    <xf numFmtId="0" fontId="20" fillId="56" borderId="142" xfId="0" applyFont="1" applyFill="1" applyBorder="1" applyAlignment="1">
      <alignment horizontal="center"/>
    </xf>
    <xf numFmtId="0" fontId="20" fillId="56" borderId="129" xfId="0" applyFont="1" applyFill="1" applyBorder="1" applyAlignment="1">
      <alignment horizontal="center"/>
    </xf>
    <xf numFmtId="0" fontId="20" fillId="56" borderId="56" xfId="0" applyFont="1" applyFill="1" applyBorder="1" applyAlignment="1">
      <alignment horizontal="center"/>
    </xf>
    <xf numFmtId="3" fontId="19" fillId="9" borderId="48" xfId="0" applyNumberFormat="1" applyFont="1" applyFill="1" applyBorder="1" applyAlignment="1">
      <alignment horizontal="center"/>
    </xf>
    <xf numFmtId="3" fontId="19" fillId="9" borderId="47" xfId="0" applyNumberFormat="1" applyFont="1" applyFill="1" applyBorder="1" applyAlignment="1">
      <alignment horizontal="center"/>
    </xf>
    <xf numFmtId="168" fontId="20" fillId="9" borderId="0" xfId="0" applyNumberFormat="1" applyFont="1" applyFill="1" applyBorder="1" applyAlignment="1">
      <alignment horizontal="right"/>
    </xf>
    <xf numFmtId="3" fontId="20" fillId="0" borderId="1" xfId="0" applyNumberFormat="1" applyFont="1" applyBorder="1"/>
    <xf numFmtId="0" fontId="21" fillId="0" borderId="1" xfId="0" applyNumberFormat="1" applyFont="1" applyBorder="1"/>
    <xf numFmtId="3" fontId="20" fillId="9" borderId="0" xfId="0" applyNumberFormat="1" applyFont="1" applyFill="1" applyBorder="1"/>
    <xf numFmtId="9" fontId="20" fillId="9" borderId="0" xfId="889" applyFont="1" applyFill="1" applyBorder="1" applyAlignment="1">
      <alignment horizontal="center"/>
    </xf>
    <xf numFmtId="3" fontId="0" fillId="9" borderId="0" xfId="0" applyNumberFormat="1" applyFont="1" applyFill="1" applyBorder="1"/>
    <xf numFmtId="176" fontId="19" fillId="9" borderId="50" xfId="0" applyNumberFormat="1" applyFont="1" applyFill="1" applyBorder="1" applyAlignment="1">
      <alignment vertical="center" wrapText="1"/>
    </xf>
    <xf numFmtId="0" fontId="20" fillId="71" borderId="133" xfId="0" applyFont="1" applyFill="1" applyBorder="1" applyAlignment="1">
      <alignment horizontal="center" vertical="center" wrapText="1"/>
    </xf>
    <xf numFmtId="0" fontId="20" fillId="71" borderId="105" xfId="0" applyFont="1" applyFill="1" applyBorder="1" applyAlignment="1">
      <alignment horizontal="center"/>
    </xf>
    <xf numFmtId="0" fontId="20" fillId="71" borderId="81" xfId="0" applyFont="1" applyFill="1" applyBorder="1" applyAlignment="1">
      <alignment horizontal="center"/>
    </xf>
    <xf numFmtId="4" fontId="20" fillId="71" borderId="133" xfId="0" applyNumberFormat="1" applyFont="1" applyFill="1" applyBorder="1" applyAlignment="1">
      <alignment horizontal="center" vertical="center" wrapText="1"/>
    </xf>
    <xf numFmtId="0" fontId="20" fillId="71" borderId="29" xfId="0" applyFont="1" applyFill="1" applyBorder="1" applyAlignment="1">
      <alignment horizontal="center" vertical="center" wrapText="1"/>
    </xf>
    <xf numFmtId="3" fontId="20" fillId="0" borderId="142" xfId="0" applyNumberFormat="1" applyFont="1" applyBorder="1"/>
    <xf numFmtId="3" fontId="0" fillId="0" borderId="142" xfId="0" applyNumberFormat="1" applyBorder="1"/>
    <xf numFmtId="9" fontId="20" fillId="9" borderId="56" xfId="889" applyFont="1" applyFill="1" applyBorder="1" applyAlignment="1">
      <alignment horizontal="center"/>
    </xf>
    <xf numFmtId="9" fontId="78" fillId="9" borderId="108" xfId="889" applyFont="1" applyFill="1" applyBorder="1"/>
    <xf numFmtId="4" fontId="20" fillId="10" borderId="46" xfId="0" applyNumberFormat="1" applyFont="1" applyFill="1" applyBorder="1" applyAlignment="1">
      <alignment horizontal="center"/>
    </xf>
    <xf numFmtId="0" fontId="20" fillId="10" borderId="32" xfId="0" applyFont="1" applyFill="1" applyBorder="1" applyAlignment="1">
      <alignment horizontal="center" vertical="center" wrapText="1"/>
    </xf>
    <xf numFmtId="0" fontId="0" fillId="0" borderId="0" xfId="0"/>
    <xf numFmtId="0" fontId="0" fillId="9" borderId="0" xfId="0" applyFill="1"/>
    <xf numFmtId="0" fontId="0" fillId="0" borderId="0" xfId="0" applyBorder="1"/>
    <xf numFmtId="0" fontId="0" fillId="0" borderId="0" xfId="0" applyBorder="1"/>
    <xf numFmtId="0" fontId="0" fillId="9" borderId="0" xfId="0" applyFill="1"/>
    <xf numFmtId="0" fontId="19" fillId="9" borderId="0" xfId="0" applyFont="1" applyFill="1" applyAlignment="1">
      <alignment horizontal="center"/>
    </xf>
    <xf numFmtId="169" fontId="0" fillId="9" borderId="22" xfId="0" applyNumberFormat="1" applyFill="1" applyBorder="1" applyAlignment="1">
      <alignment horizontal="center"/>
    </xf>
    <xf numFmtId="2" fontId="0" fillId="54" borderId="126" xfId="0" applyNumberFormat="1" applyFill="1" applyBorder="1" applyAlignment="1">
      <alignment horizontal="center"/>
    </xf>
    <xf numFmtId="2" fontId="0" fillId="54" borderId="119" xfId="0" applyNumberFormat="1" applyFill="1" applyBorder="1" applyAlignment="1">
      <alignment horizontal="center"/>
    </xf>
    <xf numFmtId="10" fontId="16" fillId="69" borderId="119" xfId="889" applyNumberFormat="1" applyFont="1" applyFill="1" applyBorder="1" applyAlignment="1">
      <alignment horizontal="center"/>
    </xf>
    <xf numFmtId="2" fontId="0" fillId="9" borderId="36" xfId="0" applyNumberFormat="1" applyFill="1" applyBorder="1" applyAlignment="1">
      <alignment horizontal="center"/>
    </xf>
    <xf numFmtId="2" fontId="0" fillId="9" borderId="25" xfId="0" applyNumberFormat="1" applyFill="1" applyBorder="1" applyAlignment="1">
      <alignment horizontal="center"/>
    </xf>
    <xf numFmtId="10" fontId="16" fillId="54" borderId="25" xfId="889" applyNumberFormat="1" applyFont="1" applyFill="1" applyBorder="1" applyAlignment="1">
      <alignment horizontal="center"/>
    </xf>
    <xf numFmtId="0" fontId="0" fillId="15" borderId="50" xfId="0" applyFill="1" applyBorder="1"/>
    <xf numFmtId="0" fontId="0" fillId="15" borderId="55" xfId="0" applyFill="1" applyBorder="1"/>
    <xf numFmtId="0" fontId="0" fillId="15" borderId="1" xfId="0" applyFill="1" applyBorder="1"/>
    <xf numFmtId="0" fontId="19" fillId="54" borderId="46" xfId="0" applyFont="1" applyFill="1" applyBorder="1" applyAlignment="1">
      <alignment horizontal="center"/>
    </xf>
    <xf numFmtId="0" fontId="19" fillId="54" borderId="47" xfId="0" applyFont="1" applyFill="1" applyBorder="1" applyAlignment="1">
      <alignment horizontal="center"/>
    </xf>
    <xf numFmtId="16" fontId="20" fillId="54" borderId="46" xfId="0" applyNumberFormat="1" applyFont="1" applyFill="1" applyBorder="1" applyAlignment="1">
      <alignment horizontal="center"/>
    </xf>
    <xf numFmtId="16" fontId="20" fillId="54" borderId="47" xfId="0" applyNumberFormat="1" applyFont="1" applyFill="1" applyBorder="1" applyAlignment="1">
      <alignment horizontal="center"/>
    </xf>
    <xf numFmtId="16" fontId="106" fillId="54" borderId="46" xfId="0" applyNumberFormat="1" applyFont="1" applyFill="1" applyBorder="1" applyAlignment="1">
      <alignment horizontal="center"/>
    </xf>
    <xf numFmtId="171" fontId="20" fillId="9" borderId="25" xfId="0" applyNumberFormat="1" applyFont="1" applyFill="1" applyBorder="1" applyAlignment="1">
      <alignment horizontal="center"/>
    </xf>
    <xf numFmtId="0" fontId="20" fillId="72" borderId="40" xfId="0" applyFont="1" applyFill="1" applyBorder="1" applyAlignment="1">
      <alignment horizontal="center"/>
    </xf>
    <xf numFmtId="3" fontId="19" fillId="54" borderId="48" xfId="0" applyNumberFormat="1" applyFont="1" applyFill="1" applyBorder="1" applyAlignment="1">
      <alignment horizontal="center"/>
    </xf>
    <xf numFmtId="3" fontId="19" fillId="54" borderId="46" xfId="0" applyNumberFormat="1" applyFont="1" applyFill="1" applyBorder="1" applyAlignment="1">
      <alignment horizontal="center"/>
    </xf>
    <xf numFmtId="14" fontId="20" fillId="54" borderId="48" xfId="0" applyNumberFormat="1" applyFont="1" applyFill="1" applyBorder="1" applyAlignment="1">
      <alignment horizontal="center"/>
    </xf>
    <xf numFmtId="9" fontId="19" fillId="54" borderId="107" xfId="889" applyNumberFormat="1" applyFont="1" applyFill="1" applyBorder="1" applyAlignment="1">
      <alignment horizontal="center"/>
    </xf>
    <xf numFmtId="9" fontId="16" fillId="54" borderId="46" xfId="889" applyNumberFormat="1" applyFont="1" applyFill="1" applyBorder="1" applyAlignment="1">
      <alignment horizontal="center"/>
    </xf>
    <xf numFmtId="171" fontId="19" fillId="54" borderId="10" xfId="0" applyNumberFormat="1" applyFont="1" applyFill="1" applyBorder="1" applyAlignment="1">
      <alignment horizontal="center"/>
    </xf>
    <xf numFmtId="3" fontId="19" fillId="54" borderId="47" xfId="0" applyNumberFormat="1" applyFont="1" applyFill="1" applyBorder="1" applyAlignment="1">
      <alignment horizontal="center"/>
    </xf>
    <xf numFmtId="3" fontId="19" fillId="54" borderId="15" xfId="0" applyNumberFormat="1" applyFont="1" applyFill="1" applyBorder="1" applyAlignment="1">
      <alignment horizontal="center"/>
    </xf>
    <xf numFmtId="3" fontId="19" fillId="54" borderId="16" xfId="0" applyNumberFormat="1" applyFont="1" applyFill="1" applyBorder="1" applyAlignment="1">
      <alignment horizontal="center"/>
    </xf>
    <xf numFmtId="0" fontId="19" fillId="54" borderId="6" xfId="0" applyFont="1" applyFill="1" applyBorder="1" applyAlignment="1">
      <alignment horizontal="center"/>
    </xf>
    <xf numFmtId="168" fontId="21" fillId="9" borderId="25" xfId="0" applyNumberFormat="1" applyFont="1" applyFill="1" applyBorder="1" applyAlignment="1">
      <alignment horizontal="center"/>
    </xf>
    <xf numFmtId="3" fontId="20" fillId="9" borderId="0" xfId="0" applyNumberFormat="1" applyFont="1" applyFill="1" applyBorder="1" applyAlignment="1">
      <alignment horizontal="center"/>
    </xf>
    <xf numFmtId="168" fontId="0" fillId="9" borderId="0" xfId="0" applyNumberFormat="1" applyFill="1"/>
    <xf numFmtId="14" fontId="20" fillId="54" borderId="47" xfId="0" applyNumberFormat="1" applyFont="1" applyFill="1" applyBorder="1" applyAlignment="1">
      <alignment horizontal="center"/>
    </xf>
    <xf numFmtId="171" fontId="19" fillId="54" borderId="48" xfId="0" applyNumberFormat="1" applyFont="1" applyFill="1" applyBorder="1" applyAlignment="1">
      <alignment horizontal="center"/>
    </xf>
    <xf numFmtId="3" fontId="19" fillId="54" borderId="44" xfId="0" applyNumberFormat="1" applyFont="1" applyFill="1" applyBorder="1" applyAlignment="1">
      <alignment horizontal="center"/>
    </xf>
    <xf numFmtId="3" fontId="19" fillId="54" borderId="52" xfId="0" applyNumberFormat="1" applyFont="1" applyFill="1" applyBorder="1" applyAlignment="1">
      <alignment horizontal="center"/>
    </xf>
    <xf numFmtId="0" fontId="19" fillId="54" borderId="35" xfId="0" applyFont="1" applyFill="1" applyBorder="1" applyAlignment="1">
      <alignment horizontal="center"/>
    </xf>
    <xf numFmtId="14" fontId="20" fillId="54" borderId="49" xfId="0" applyNumberFormat="1" applyFont="1" applyFill="1" applyBorder="1" applyAlignment="1">
      <alignment horizontal="center"/>
    </xf>
    <xf numFmtId="171" fontId="19" fillId="54" borderId="46" xfId="0" applyNumberFormat="1" applyFont="1" applyFill="1" applyBorder="1" applyAlignment="1">
      <alignment horizontal="center"/>
    </xf>
    <xf numFmtId="3" fontId="19" fillId="54" borderId="105" xfId="0" applyNumberFormat="1" applyFont="1" applyFill="1" applyBorder="1" applyAlignment="1">
      <alignment horizontal="center"/>
    </xf>
    <xf numFmtId="3" fontId="19" fillId="54" borderId="104" xfId="0" applyNumberFormat="1" applyFont="1" applyFill="1" applyBorder="1" applyAlignment="1">
      <alignment horizontal="center"/>
    </xf>
    <xf numFmtId="0" fontId="19" fillId="54" borderId="32" xfId="0" applyFont="1" applyFill="1" applyBorder="1" applyAlignment="1">
      <alignment horizontal="center"/>
    </xf>
    <xf numFmtId="3" fontId="21" fillId="9" borderId="25" xfId="0" applyNumberFormat="1" applyFont="1" applyFill="1" applyBorder="1" applyAlignment="1">
      <alignment horizontal="center"/>
    </xf>
    <xf numFmtId="3" fontId="20" fillId="9" borderId="25" xfId="0" applyNumberFormat="1" applyFont="1" applyFill="1" applyBorder="1" applyAlignment="1">
      <alignment horizontal="center" vertical="center"/>
    </xf>
    <xf numFmtId="9" fontId="20" fillId="9" borderId="25" xfId="934" applyNumberFormat="1" applyFont="1" applyFill="1" applyBorder="1" applyAlignment="1">
      <alignment horizontal="center"/>
    </xf>
    <xf numFmtId="9" fontId="20" fillId="0" borderId="25" xfId="889" applyFont="1" applyFill="1" applyBorder="1" applyAlignment="1">
      <alignment horizontal="center"/>
    </xf>
    <xf numFmtId="0" fontId="20" fillId="72" borderId="56" xfId="0" applyFont="1" applyFill="1" applyBorder="1" applyAlignment="1">
      <alignment horizontal="center"/>
    </xf>
    <xf numFmtId="0" fontId="80" fillId="9" borderId="0" xfId="898" applyFont="1" applyFill="1" applyBorder="1" applyAlignment="1">
      <alignment horizontal="left"/>
    </xf>
    <xf numFmtId="0" fontId="20" fillId="72" borderId="129" xfId="0" applyFont="1" applyFill="1" applyBorder="1" applyAlignment="1">
      <alignment horizontal="center"/>
    </xf>
    <xf numFmtId="0" fontId="20" fillId="72" borderId="142" xfId="0" applyFont="1" applyFill="1" applyBorder="1" applyAlignment="1">
      <alignment horizontal="center"/>
    </xf>
    <xf numFmtId="0" fontId="116" fillId="0" borderId="149" xfId="967" applyFont="1" applyFill="1" applyBorder="1" applyAlignment="1">
      <alignment wrapText="1"/>
    </xf>
    <xf numFmtId="0" fontId="116" fillId="0" borderId="150" xfId="967" applyFont="1" applyFill="1" applyBorder="1" applyAlignment="1">
      <alignment wrapText="1"/>
    </xf>
    <xf numFmtId="0" fontId="20" fillId="10" borderId="3" xfId="0" applyFont="1" applyFill="1" applyBorder="1" applyAlignment="1">
      <alignment horizontal="center"/>
    </xf>
    <xf numFmtId="168" fontId="19" fillId="9" borderId="1" xfId="0" applyNumberFormat="1" applyFont="1" applyFill="1" applyBorder="1" applyAlignment="1">
      <alignment horizontal="center" vertical="center"/>
    </xf>
    <xf numFmtId="169" fontId="0" fillId="9" borderId="0" xfId="0" applyNumberFormat="1" applyFont="1" applyFill="1" applyBorder="1" applyAlignment="1">
      <alignment horizontal="center"/>
    </xf>
    <xf numFmtId="0" fontId="39" fillId="0" borderId="0" xfId="0" applyFont="1"/>
    <xf numFmtId="0" fontId="99" fillId="64" borderId="131" xfId="951" applyFont="1" applyFill="1" applyBorder="1" applyAlignment="1">
      <alignment horizontal="center" wrapText="1"/>
    </xf>
    <xf numFmtId="0" fontId="105" fillId="9" borderId="0" xfId="968" applyFill="1" applyBorder="1"/>
    <xf numFmtId="0" fontId="117" fillId="9" borderId="0" xfId="968" applyFont="1" applyFill="1" applyBorder="1" applyAlignment="1">
      <alignment horizontal="right" wrapText="1"/>
    </xf>
    <xf numFmtId="0" fontId="117" fillId="9" borderId="0" xfId="968" applyFont="1" applyFill="1" applyBorder="1" applyAlignment="1">
      <alignment wrapText="1"/>
    </xf>
    <xf numFmtId="0" fontId="117" fillId="61" borderId="0" xfId="968" applyFont="1" applyFill="1" applyBorder="1" applyAlignment="1">
      <alignment horizontal="center"/>
    </xf>
    <xf numFmtId="168" fontId="19" fillId="9" borderId="1" xfId="0" applyNumberFormat="1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171" fontId="19" fillId="9" borderId="21" xfId="0" applyNumberFormat="1" applyFont="1" applyFill="1" applyBorder="1" applyAlignment="1">
      <alignment horizontal="center" vertical="center"/>
    </xf>
    <xf numFmtId="167" fontId="19" fillId="9" borderId="25" xfId="0" applyNumberFormat="1" applyFont="1" applyFill="1" applyBorder="1" applyAlignment="1">
      <alignment horizontal="center" vertical="center"/>
    </xf>
    <xf numFmtId="167" fontId="19" fillId="9" borderId="22" xfId="0" applyNumberFormat="1" applyFont="1" applyFill="1" applyBorder="1" applyAlignment="1">
      <alignment horizontal="center"/>
    </xf>
    <xf numFmtId="10" fontId="16" fillId="9" borderId="25" xfId="890" applyNumberFormat="1" applyFont="1" applyFill="1" applyBorder="1" applyAlignment="1">
      <alignment horizontal="center"/>
    </xf>
    <xf numFmtId="171" fontId="19" fillId="9" borderId="3" xfId="0" applyNumberFormat="1" applyFont="1" applyFill="1" applyBorder="1" applyAlignment="1">
      <alignment horizontal="center" vertical="center"/>
    </xf>
    <xf numFmtId="167" fontId="19" fillId="9" borderId="46" xfId="0" applyNumberFormat="1" applyFont="1" applyFill="1" applyBorder="1" applyAlignment="1">
      <alignment horizontal="center" vertical="center"/>
    </xf>
    <xf numFmtId="0" fontId="0" fillId="9" borderId="23" xfId="0" applyFont="1" applyFill="1" applyBorder="1" applyAlignment="1">
      <alignment horizontal="center"/>
    </xf>
    <xf numFmtId="3" fontId="20" fillId="71" borderId="53" xfId="0" applyNumberFormat="1" applyFont="1" applyFill="1" applyBorder="1" applyAlignment="1">
      <alignment horizontal="center" vertical="center" wrapText="1"/>
    </xf>
    <xf numFmtId="0" fontId="44" fillId="71" borderId="58" xfId="846" applyFont="1" applyFill="1" applyBorder="1" applyAlignment="1">
      <alignment horizontal="center" vertical="center" wrapText="1"/>
    </xf>
    <xf numFmtId="3" fontId="20" fillId="71" borderId="58" xfId="0" applyNumberFormat="1" applyFont="1" applyFill="1" applyBorder="1" applyAlignment="1">
      <alignment horizontal="center" vertical="center" wrapText="1"/>
    </xf>
    <xf numFmtId="0" fontId="20" fillId="71" borderId="58" xfId="0" applyNumberFormat="1" applyFont="1" applyFill="1" applyBorder="1" applyAlignment="1">
      <alignment horizontal="center" vertical="center" wrapText="1"/>
    </xf>
    <xf numFmtId="3" fontId="20" fillId="71" borderId="54" xfId="0" applyNumberFormat="1" applyFont="1" applyFill="1" applyBorder="1" applyAlignment="1">
      <alignment horizontal="center" vertical="center" wrapText="1"/>
    </xf>
    <xf numFmtId="168" fontId="0" fillId="9" borderId="0" xfId="0" applyNumberFormat="1" applyFill="1" applyAlignment="1">
      <alignment horizontal="center" vertical="center"/>
    </xf>
    <xf numFmtId="0" fontId="99" fillId="9" borderId="0" xfId="0" applyFont="1" applyFill="1" applyBorder="1" applyAlignment="1">
      <alignment vertical="center"/>
    </xf>
    <xf numFmtId="0" fontId="99" fillId="9" borderId="0" xfId="0" applyFont="1" applyFill="1" applyBorder="1" applyAlignment="1">
      <alignment horizontal="center" vertical="center"/>
    </xf>
    <xf numFmtId="182" fontId="99" fillId="9" borderId="0" xfId="939" applyNumberFormat="1" applyFont="1" applyFill="1" applyBorder="1" applyAlignment="1">
      <alignment vertical="center"/>
    </xf>
    <xf numFmtId="0" fontId="118" fillId="9" borderId="0" xfId="0" applyFont="1" applyFill="1" applyBorder="1" applyAlignment="1">
      <alignment horizontal="center" vertical="center"/>
    </xf>
    <xf numFmtId="4" fontId="52" fillId="10" borderId="25" xfId="0" applyNumberFormat="1" applyFont="1" applyFill="1" applyBorder="1" applyAlignment="1">
      <alignment horizontal="center" vertical="center"/>
    </xf>
    <xf numFmtId="182" fontId="19" fillId="9" borderId="136" xfId="939" applyNumberFormat="1" applyFont="1" applyFill="1" applyBorder="1" applyAlignment="1">
      <alignment horizontal="center"/>
    </xf>
    <xf numFmtId="0" fontId="99" fillId="67" borderId="119" xfId="951" applyFont="1" applyFill="1" applyBorder="1" applyAlignment="1">
      <alignment horizontal="center"/>
    </xf>
    <xf numFmtId="0" fontId="0" fillId="9" borderId="0" xfId="0" applyNumberFormat="1" applyFill="1"/>
    <xf numFmtId="182" fontId="19" fillId="9" borderId="74" xfId="939" applyNumberFormat="1" applyFont="1" applyFill="1" applyBorder="1" applyAlignment="1">
      <alignment horizontal="center" vertical="center"/>
    </xf>
    <xf numFmtId="4" fontId="19" fillId="0" borderId="129" xfId="0" applyNumberFormat="1" applyFont="1" applyFill="1" applyBorder="1" applyAlignment="1">
      <alignment horizontal="center" vertical="center"/>
    </xf>
    <xf numFmtId="169" fontId="93" fillId="9" borderId="154" xfId="955" applyNumberFormat="1" applyFont="1" applyFill="1" applyBorder="1" applyAlignment="1">
      <alignment horizontal="center" wrapText="1"/>
    </xf>
    <xf numFmtId="0" fontId="99" fillId="67" borderId="109" xfId="951" applyFont="1" applyFill="1" applyBorder="1" applyAlignment="1">
      <alignment horizontal="center"/>
    </xf>
    <xf numFmtId="0" fontId="40" fillId="9" borderId="0" xfId="937" applyFill="1" applyBorder="1"/>
    <xf numFmtId="4" fontId="19" fillId="9" borderId="131" xfId="0" applyNumberFormat="1" applyFont="1" applyFill="1" applyBorder="1" applyAlignment="1">
      <alignment horizontal="center"/>
    </xf>
    <xf numFmtId="0" fontId="99" fillId="67" borderId="134" xfId="951" applyFont="1" applyFill="1" applyBorder="1" applyAlignment="1">
      <alignment horizontal="center"/>
    </xf>
    <xf numFmtId="178" fontId="0" fillId="9" borderId="110" xfId="934" applyNumberFormat="1" applyFont="1" applyFill="1" applyBorder="1" applyAlignment="1">
      <alignment horizontal="center"/>
    </xf>
    <xf numFmtId="0" fontId="0" fillId="0" borderId="127" xfId="0" applyFont="1" applyFill="1" applyBorder="1"/>
    <xf numFmtId="0" fontId="0" fillId="0" borderId="110" xfId="0" applyFont="1" applyFill="1" applyBorder="1"/>
    <xf numFmtId="0" fontId="0" fillId="0" borderId="134" xfId="0" applyFont="1" applyBorder="1"/>
    <xf numFmtId="14" fontId="0" fillId="0" borderId="127" xfId="0" applyNumberFormat="1" applyFont="1" applyFill="1" applyBorder="1" applyAlignment="1">
      <alignment horizontal="center"/>
    </xf>
    <xf numFmtId="9" fontId="0" fillId="9" borderId="122" xfId="934" applyNumberFormat="1" applyFont="1" applyFill="1" applyBorder="1" applyAlignment="1">
      <alignment horizontal="center"/>
    </xf>
    <xf numFmtId="0" fontId="0" fillId="0" borderId="122" xfId="0" applyFont="1" applyFill="1" applyBorder="1"/>
    <xf numFmtId="0" fontId="0" fillId="0" borderId="140" xfId="0" applyFont="1" applyBorder="1"/>
    <xf numFmtId="14" fontId="0" fillId="0" borderId="120" xfId="0" applyNumberFormat="1" applyFont="1" applyFill="1" applyBorder="1" applyAlignment="1">
      <alignment horizontal="center"/>
    </xf>
    <xf numFmtId="178" fontId="16" fillId="9" borderId="122" xfId="934" applyNumberFormat="1" applyFont="1" applyFill="1" applyBorder="1" applyAlignment="1">
      <alignment horizontal="center"/>
    </xf>
    <xf numFmtId="4" fontId="16" fillId="9" borderId="163" xfId="0" applyNumberFormat="1" applyFont="1" applyFill="1" applyBorder="1" applyAlignment="1">
      <alignment horizontal="center"/>
    </xf>
    <xf numFmtId="14" fontId="0" fillId="9" borderId="120" xfId="0" applyNumberFormat="1" applyFont="1" applyFill="1" applyBorder="1" applyAlignment="1">
      <alignment horizontal="center"/>
    </xf>
    <xf numFmtId="14" fontId="0" fillId="9" borderId="147" xfId="0" applyNumberFormat="1" applyFont="1" applyFill="1" applyBorder="1" applyAlignment="1">
      <alignment horizontal="center"/>
    </xf>
    <xf numFmtId="14" fontId="19" fillId="9" borderId="146" xfId="0" applyNumberFormat="1" applyFont="1" applyFill="1" applyBorder="1" applyAlignment="1">
      <alignment horizontal="center"/>
    </xf>
    <xf numFmtId="14" fontId="0" fillId="9" borderId="148" xfId="0" applyNumberFormat="1" applyFont="1" applyFill="1" applyBorder="1" applyAlignment="1">
      <alignment horizontal="center"/>
    </xf>
    <xf numFmtId="178" fontId="16" fillId="9" borderId="147" xfId="934" applyNumberFormat="1" applyFont="1" applyFill="1" applyBorder="1" applyAlignment="1">
      <alignment horizontal="center"/>
    </xf>
    <xf numFmtId="4" fontId="16" fillId="9" borderId="136" xfId="0" applyNumberFormat="1" applyFont="1" applyFill="1" applyBorder="1" applyAlignment="1">
      <alignment horizontal="center"/>
    </xf>
    <xf numFmtId="0" fontId="0" fillId="9" borderId="142" xfId="0" applyFont="1" applyFill="1" applyBorder="1"/>
    <xf numFmtId="0" fontId="0" fillId="9" borderId="122" xfId="0" applyFont="1" applyFill="1" applyBorder="1"/>
    <xf numFmtId="0" fontId="0" fillId="9" borderId="120" xfId="0" applyFont="1" applyFill="1" applyBorder="1"/>
    <xf numFmtId="0" fontId="19" fillId="9" borderId="122" xfId="0" applyFont="1" applyFill="1" applyBorder="1" applyAlignment="1">
      <alignment vertical="center" wrapText="1"/>
    </xf>
    <xf numFmtId="0" fontId="19" fillId="9" borderId="120" xfId="0" applyFont="1" applyFill="1" applyBorder="1" applyAlignment="1">
      <alignment vertical="center" wrapText="1"/>
    </xf>
    <xf numFmtId="178" fontId="0" fillId="9" borderId="122" xfId="934" applyNumberFormat="1" applyFont="1" applyFill="1" applyBorder="1" applyAlignment="1">
      <alignment horizontal="center"/>
    </xf>
    <xf numFmtId="4" fontId="19" fillId="9" borderId="163" xfId="0" applyNumberFormat="1" applyFont="1" applyFill="1" applyBorder="1" applyAlignment="1">
      <alignment horizontal="center"/>
    </xf>
    <xf numFmtId="4" fontId="19" fillId="0" borderId="131" xfId="0" applyNumberFormat="1" applyFont="1" applyBorder="1" applyAlignment="1">
      <alignment horizontal="center" vertical="center"/>
    </xf>
    <xf numFmtId="182" fontId="19" fillId="0" borderId="163" xfId="939" applyNumberFormat="1" applyFont="1" applyBorder="1" applyAlignment="1">
      <alignment horizontal="center" vertical="center"/>
    </xf>
    <xf numFmtId="0" fontId="19" fillId="0" borderId="141" xfId="0" applyFont="1" applyFill="1" applyBorder="1" applyAlignment="1">
      <alignment horizontal="center"/>
    </xf>
    <xf numFmtId="0" fontId="19" fillId="9" borderId="147" xfId="0" applyFont="1" applyFill="1" applyBorder="1" applyAlignment="1">
      <alignment vertical="center" wrapText="1"/>
    </xf>
    <xf numFmtId="0" fontId="0" fillId="9" borderId="146" xfId="0" applyFont="1" applyFill="1" applyBorder="1"/>
    <xf numFmtId="0" fontId="19" fillId="9" borderId="148" xfId="0" applyFont="1" applyFill="1" applyBorder="1" applyAlignment="1">
      <alignment vertical="center" wrapText="1"/>
    </xf>
    <xf numFmtId="178" fontId="0" fillId="9" borderId="147" xfId="934" applyNumberFormat="1" applyFont="1" applyFill="1" applyBorder="1" applyAlignment="1">
      <alignment horizontal="center"/>
    </xf>
    <xf numFmtId="4" fontId="19" fillId="9" borderId="136" xfId="0" applyNumberFormat="1" applyFont="1" applyFill="1" applyBorder="1" applyAlignment="1">
      <alignment horizontal="center"/>
    </xf>
    <xf numFmtId="182" fontId="19" fillId="0" borderId="136" xfId="939" applyNumberFormat="1" applyFont="1" applyBorder="1" applyAlignment="1">
      <alignment horizontal="center" vertical="center"/>
    </xf>
    <xf numFmtId="0" fontId="19" fillId="0" borderId="145" xfId="0" applyFont="1" applyFill="1" applyBorder="1" applyAlignment="1">
      <alignment horizontal="center"/>
    </xf>
    <xf numFmtId="4" fontId="17" fillId="0" borderId="50" xfId="0" applyNumberFormat="1" applyFont="1" applyFill="1" applyBorder="1" applyAlignment="1">
      <alignment horizontal="center" vertical="center"/>
    </xf>
    <xf numFmtId="4" fontId="17" fillId="0" borderId="49" xfId="0" applyNumberFormat="1" applyFont="1" applyFill="1" applyBorder="1" applyAlignment="1">
      <alignment horizontal="center" vertical="center"/>
    </xf>
    <xf numFmtId="4" fontId="94" fillId="9" borderId="74" xfId="0" applyNumberFormat="1" applyFont="1" applyFill="1" applyBorder="1" applyAlignment="1">
      <alignment horizontal="center" vertical="center"/>
    </xf>
    <xf numFmtId="0" fontId="19" fillId="9" borderId="145" xfId="0" applyFont="1" applyFill="1" applyBorder="1" applyAlignment="1">
      <alignment horizontal="center"/>
    </xf>
    <xf numFmtId="4" fontId="17" fillId="0" borderId="116" xfId="0" applyNumberFormat="1" applyFont="1" applyFill="1" applyBorder="1" applyAlignment="1">
      <alignment horizontal="center" vertical="center"/>
    </xf>
    <xf numFmtId="4" fontId="19" fillId="9" borderId="126" xfId="0" applyNumberFormat="1" applyFont="1" applyFill="1" applyBorder="1" applyAlignment="1">
      <alignment horizontal="center"/>
    </xf>
    <xf numFmtId="0" fontId="19" fillId="9" borderId="40" xfId="0" applyFon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19" fillId="9" borderId="141" xfId="0" applyFont="1" applyFill="1" applyBorder="1" applyAlignment="1">
      <alignment horizontal="center"/>
    </xf>
    <xf numFmtId="182" fontId="19" fillId="9" borderId="163" xfId="939" applyNumberFormat="1" applyFont="1" applyFill="1" applyBorder="1" applyAlignment="1">
      <alignment horizontal="center"/>
    </xf>
    <xf numFmtId="4" fontId="19" fillId="9" borderId="116" xfId="0" applyNumberFormat="1" applyFont="1" applyFill="1" applyBorder="1" applyAlignment="1">
      <alignment horizontal="center"/>
    </xf>
    <xf numFmtId="4" fontId="19" fillId="9" borderId="119" xfId="0" applyNumberFormat="1" applyFont="1" applyFill="1" applyBorder="1" applyAlignment="1">
      <alignment horizontal="center"/>
    </xf>
    <xf numFmtId="4" fontId="94" fillId="9" borderId="136" xfId="0" applyNumberFormat="1" applyFont="1" applyFill="1" applyBorder="1" applyAlignment="1">
      <alignment horizontal="center" vertical="center"/>
    </xf>
    <xf numFmtId="182" fontId="19" fillId="9" borderId="126" xfId="939" applyNumberFormat="1" applyFont="1" applyFill="1" applyBorder="1" applyAlignment="1">
      <alignment horizontal="center"/>
    </xf>
    <xf numFmtId="4" fontId="19" fillId="9" borderId="129" xfId="0" applyNumberFormat="1" applyFont="1" applyFill="1" applyBorder="1" applyAlignment="1">
      <alignment horizontal="center" vertical="center"/>
    </xf>
    <xf numFmtId="169" fontId="19" fillId="9" borderId="50" xfId="0" applyNumberFormat="1" applyFont="1" applyFill="1" applyBorder="1" applyAlignment="1">
      <alignment horizontal="center" vertical="center"/>
    </xf>
    <xf numFmtId="0" fontId="19" fillId="9" borderId="80" xfId="0" applyFont="1" applyFill="1" applyBorder="1" applyAlignment="1">
      <alignment horizontal="center"/>
    </xf>
    <xf numFmtId="178" fontId="0" fillId="9" borderId="56" xfId="934" applyNumberFormat="1" applyFont="1" applyFill="1" applyBorder="1" applyAlignment="1">
      <alignment horizontal="center"/>
    </xf>
    <xf numFmtId="0" fontId="19" fillId="9" borderId="109" xfId="0" applyFont="1" applyFill="1" applyBorder="1" applyAlignment="1">
      <alignment horizontal="center"/>
    </xf>
    <xf numFmtId="0" fontId="37" fillId="64" borderId="72" xfId="0" applyFont="1" applyFill="1" applyBorder="1" applyAlignment="1">
      <alignment horizontal="center" vertical="center" wrapText="1"/>
    </xf>
    <xf numFmtId="0" fontId="37" fillId="64" borderId="41" xfId="0" applyFont="1" applyFill="1" applyBorder="1" applyAlignment="1">
      <alignment horizontal="center" vertical="center" wrapText="1"/>
    </xf>
    <xf numFmtId="0" fontId="37" fillId="64" borderId="0" xfId="0" applyFont="1" applyFill="1" applyBorder="1" applyAlignment="1">
      <alignment horizontal="center" vertical="center"/>
    </xf>
    <xf numFmtId="0" fontId="0" fillId="9" borderId="40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55" xfId="0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center"/>
    </xf>
    <xf numFmtId="0" fontId="0" fillId="0" borderId="0" xfId="0"/>
    <xf numFmtId="0" fontId="0" fillId="0" borderId="0" xfId="0" applyBorder="1"/>
    <xf numFmtId="0" fontId="0" fillId="9" borderId="0" xfId="0" applyFill="1" applyBorder="1"/>
    <xf numFmtId="0" fontId="21" fillId="13" borderId="143" xfId="0" applyFont="1" applyFill="1" applyBorder="1" applyAlignment="1">
      <alignment horizontal="center"/>
    </xf>
    <xf numFmtId="0" fontId="37" fillId="64" borderId="25" xfId="0" applyFont="1" applyFill="1" applyBorder="1" applyAlignment="1">
      <alignment horizontal="center" wrapText="1"/>
    </xf>
    <xf numFmtId="0" fontId="20" fillId="9" borderId="86" xfId="0" applyFont="1" applyFill="1" applyBorder="1" applyAlignment="1">
      <alignment horizontal="center" vertical="center"/>
    </xf>
    <xf numFmtId="0" fontId="20" fillId="9" borderId="58" xfId="0" applyFont="1" applyFill="1" applyBorder="1" applyAlignment="1">
      <alignment horizontal="center" vertical="center"/>
    </xf>
    <xf numFmtId="0" fontId="20" fillId="9" borderId="61" xfId="0" applyFont="1" applyFill="1" applyBorder="1" applyAlignment="1">
      <alignment horizontal="center" vertical="center"/>
    </xf>
    <xf numFmtId="0" fontId="21" fillId="13" borderId="114" xfId="0" applyFont="1" applyFill="1" applyBorder="1" applyAlignment="1">
      <alignment horizontal="center"/>
    </xf>
    <xf numFmtId="0" fontId="72" fillId="65" borderId="126" xfId="947" applyFont="1" applyFill="1" applyBorder="1" applyAlignment="1">
      <alignment horizontal="center" wrapText="1"/>
    </xf>
    <xf numFmtId="0" fontId="72" fillId="65" borderId="134" xfId="947" applyFont="1" applyFill="1" applyBorder="1" applyAlignment="1">
      <alignment horizontal="center" wrapText="1"/>
    </xf>
    <xf numFmtId="0" fontId="72" fillId="19" borderId="134" xfId="947" applyFont="1" applyFill="1" applyBorder="1" applyAlignment="1">
      <alignment horizontal="center" wrapText="1"/>
    </xf>
    <xf numFmtId="0" fontId="96" fillId="19" borderId="134" xfId="0" applyFont="1" applyFill="1" applyBorder="1" applyAlignment="1">
      <alignment horizontal="center" wrapText="1"/>
    </xf>
    <xf numFmtId="0" fontId="72" fillId="65" borderId="119" xfId="947" applyFont="1" applyFill="1" applyBorder="1" applyAlignment="1">
      <alignment horizontal="center" wrapText="1"/>
    </xf>
    <xf numFmtId="0" fontId="0" fillId="9" borderId="47" xfId="0" applyNumberFormat="1" applyFont="1" applyFill="1" applyBorder="1" applyAlignment="1">
      <alignment horizontal="center"/>
    </xf>
    <xf numFmtId="0" fontId="138" fillId="9" borderId="0" xfId="0" applyFont="1" applyFill="1"/>
    <xf numFmtId="0" fontId="138" fillId="0" borderId="0" xfId="0" applyFont="1"/>
    <xf numFmtId="0" fontId="139" fillId="9" borderId="0" xfId="0" applyFont="1" applyFill="1" applyAlignment="1">
      <alignment horizontal="center"/>
    </xf>
    <xf numFmtId="0" fontId="140" fillId="9" borderId="0" xfId="893" applyFont="1" applyFill="1"/>
    <xf numFmtId="0" fontId="141" fillId="9" borderId="0" xfId="0" applyFont="1" applyFill="1"/>
    <xf numFmtId="0" fontId="44" fillId="2" borderId="49" xfId="815" applyFont="1" applyFill="1" applyBorder="1" applyAlignment="1">
      <alignment horizontal="center"/>
    </xf>
    <xf numFmtId="0" fontId="44" fillId="2" borderId="13" xfId="815" applyFont="1" applyFill="1" applyBorder="1" applyAlignment="1">
      <alignment horizontal="center" vertical="center" wrapText="1"/>
    </xf>
    <xf numFmtId="0" fontId="44" fillId="2" borderId="75" xfId="815" applyFont="1" applyFill="1" applyBorder="1" applyAlignment="1">
      <alignment horizontal="center" vertical="center" wrapText="1"/>
    </xf>
    <xf numFmtId="0" fontId="44" fillId="11" borderId="39" xfId="893" applyFont="1" applyFill="1" applyBorder="1" applyAlignment="1">
      <alignment horizontal="center" vertical="center" wrapText="1"/>
    </xf>
    <xf numFmtId="0" fontId="44" fillId="11" borderId="0" xfId="872" applyFont="1" applyFill="1" applyBorder="1" applyAlignment="1">
      <alignment horizontal="center" vertical="center" wrapText="1"/>
    </xf>
    <xf numFmtId="0" fontId="44" fillId="11" borderId="16" xfId="872" applyFont="1" applyFill="1" applyBorder="1" applyAlignment="1">
      <alignment horizontal="center" vertical="center" wrapText="1"/>
    </xf>
    <xf numFmtId="0" fontId="44" fillId="11" borderId="18" xfId="872" applyFont="1" applyFill="1" applyBorder="1" applyAlignment="1">
      <alignment horizontal="center" vertical="center" wrapText="1"/>
    </xf>
    <xf numFmtId="0" fontId="44" fillId="11" borderId="85" xfId="872" applyFont="1" applyFill="1" applyBorder="1" applyAlignment="1">
      <alignment horizontal="center" vertical="center" wrapText="1"/>
    </xf>
    <xf numFmtId="166" fontId="141" fillId="9" borderId="41" xfId="0" applyNumberFormat="1" applyFont="1" applyFill="1" applyBorder="1" applyAlignment="1">
      <alignment horizontal="center" vertical="center"/>
    </xf>
    <xf numFmtId="175" fontId="141" fillId="9" borderId="3" xfId="0" applyNumberFormat="1" applyFont="1" applyFill="1" applyBorder="1" applyAlignment="1">
      <alignment horizontal="center" vertical="center"/>
    </xf>
    <xf numFmtId="175" fontId="141" fillId="9" borderId="72" xfId="0" applyNumberFormat="1" applyFont="1" applyFill="1" applyBorder="1" applyAlignment="1">
      <alignment horizontal="center" vertical="center"/>
    </xf>
    <xf numFmtId="175" fontId="141" fillId="9" borderId="62" xfId="0" applyNumberFormat="1" applyFont="1" applyFill="1" applyBorder="1" applyAlignment="1">
      <alignment horizontal="center" vertical="center"/>
    </xf>
    <xf numFmtId="10" fontId="141" fillId="9" borderId="3" xfId="889" applyNumberFormat="1" applyFont="1" applyFill="1" applyBorder="1" applyAlignment="1">
      <alignment horizontal="center" vertical="center"/>
    </xf>
    <xf numFmtId="166" fontId="141" fillId="9" borderId="42" xfId="0" applyNumberFormat="1" applyFont="1" applyFill="1" applyBorder="1" applyAlignment="1">
      <alignment horizontal="center" vertical="center"/>
    </xf>
    <xf numFmtId="175" fontId="141" fillId="9" borderId="12" xfId="0" applyNumberFormat="1" applyFont="1" applyFill="1" applyBorder="1" applyAlignment="1">
      <alignment horizontal="center" vertical="center"/>
    </xf>
    <xf numFmtId="175" fontId="141" fillId="9" borderId="5" xfId="0" applyNumberFormat="1" applyFont="1" applyFill="1" applyBorder="1" applyAlignment="1">
      <alignment horizontal="center" vertical="center"/>
    </xf>
    <xf numFmtId="175" fontId="141" fillId="9" borderId="19" xfId="0" applyNumberFormat="1" applyFont="1" applyFill="1" applyBorder="1" applyAlignment="1">
      <alignment horizontal="center" vertical="center"/>
    </xf>
    <xf numFmtId="10" fontId="141" fillId="9" borderId="12" xfId="889" applyNumberFormat="1" applyFont="1" applyFill="1" applyBorder="1" applyAlignment="1">
      <alignment horizontal="center" vertical="center"/>
    </xf>
    <xf numFmtId="175" fontId="141" fillId="9" borderId="7" xfId="0" applyNumberFormat="1" applyFont="1" applyFill="1" applyBorder="1" applyAlignment="1">
      <alignment horizontal="center" vertical="center"/>
    </xf>
    <xf numFmtId="175" fontId="141" fillId="9" borderId="2" xfId="0" applyNumberFormat="1" applyFont="1" applyFill="1" applyBorder="1" applyAlignment="1">
      <alignment horizontal="center" vertical="center"/>
    </xf>
    <xf numFmtId="175" fontId="141" fillId="9" borderId="17" xfId="0" applyNumberFormat="1" applyFont="1" applyFill="1" applyBorder="1" applyAlignment="1">
      <alignment horizontal="center" vertical="center"/>
    </xf>
    <xf numFmtId="10" fontId="141" fillId="9" borderId="7" xfId="889" applyNumberFormat="1" applyFont="1" applyFill="1" applyBorder="1" applyAlignment="1">
      <alignment horizontal="center" vertical="center"/>
    </xf>
    <xf numFmtId="166" fontId="141" fillId="9" borderId="51" xfId="0" applyNumberFormat="1" applyFont="1" applyFill="1" applyBorder="1" applyAlignment="1">
      <alignment horizontal="center" vertical="center"/>
    </xf>
    <xf numFmtId="175" fontId="141" fillId="9" borderId="4" xfId="0" applyNumberFormat="1" applyFont="1" applyFill="1" applyBorder="1" applyAlignment="1">
      <alignment horizontal="center" vertical="center"/>
    </xf>
    <xf numFmtId="175" fontId="141" fillId="9" borderId="52" xfId="0" applyNumberFormat="1" applyFont="1" applyFill="1" applyBorder="1" applyAlignment="1">
      <alignment horizontal="center" vertical="center"/>
    </xf>
    <xf numFmtId="175" fontId="141" fillId="9" borderId="60" xfId="0" applyNumberFormat="1" applyFont="1" applyFill="1" applyBorder="1" applyAlignment="1">
      <alignment horizontal="center" vertical="center"/>
    </xf>
    <xf numFmtId="166" fontId="141" fillId="9" borderId="0" xfId="0" applyNumberFormat="1" applyFont="1" applyFill="1" applyBorder="1" applyAlignment="1">
      <alignment horizontal="center" vertical="center"/>
    </xf>
    <xf numFmtId="175" fontId="141" fillId="9" borderId="0" xfId="0" applyNumberFormat="1" applyFont="1" applyFill="1" applyBorder="1" applyAlignment="1">
      <alignment horizontal="center" vertical="center"/>
    </xf>
    <xf numFmtId="175" fontId="141" fillId="9" borderId="16" xfId="0" applyNumberFormat="1" applyFont="1" applyFill="1" applyBorder="1" applyAlignment="1">
      <alignment horizontal="center" vertical="center"/>
    </xf>
    <xf numFmtId="10" fontId="141" fillId="9" borderId="0" xfId="889" applyNumberFormat="1" applyFont="1" applyFill="1" applyBorder="1" applyAlignment="1">
      <alignment horizontal="center" vertical="center"/>
    </xf>
    <xf numFmtId="0" fontId="138" fillId="9" borderId="0" xfId="0" applyFont="1" applyFill="1" applyBorder="1"/>
    <xf numFmtId="169" fontId="141" fillId="9" borderId="0" xfId="0" applyNumberFormat="1" applyFont="1" applyFill="1" applyBorder="1" applyAlignment="1">
      <alignment horizontal="center" vertical="center"/>
    </xf>
    <xf numFmtId="165" fontId="141" fillId="9" borderId="0" xfId="893" applyNumberFormat="1" applyFont="1" applyFill="1" applyBorder="1" applyAlignment="1">
      <alignment horizontal="center" vertical="center"/>
    </xf>
    <xf numFmtId="10" fontId="141" fillId="9" borderId="0" xfId="0" applyNumberFormat="1" applyFont="1" applyFill="1" applyBorder="1" applyAlignment="1">
      <alignment horizontal="center" vertical="center"/>
    </xf>
    <xf numFmtId="166" fontId="141" fillId="9" borderId="32" xfId="0" applyNumberFormat="1" applyFont="1" applyFill="1" applyBorder="1" applyAlignment="1">
      <alignment horizontal="center" vertical="center"/>
    </xf>
    <xf numFmtId="175" fontId="141" fillId="9" borderId="104" xfId="0" applyNumberFormat="1" applyFont="1" applyFill="1" applyBorder="1" applyAlignment="1">
      <alignment horizontal="center" vertical="center"/>
    </xf>
    <xf numFmtId="166" fontId="141" fillId="9" borderId="77" xfId="0" applyNumberFormat="1" applyFont="1" applyFill="1" applyBorder="1" applyAlignment="1">
      <alignment horizontal="center" vertical="center"/>
    </xf>
    <xf numFmtId="175" fontId="141" fillId="9" borderId="18" xfId="0" applyNumberFormat="1" applyFont="1" applyFill="1" applyBorder="1" applyAlignment="1">
      <alignment horizontal="center" vertical="center"/>
    </xf>
    <xf numFmtId="166" fontId="141" fillId="9" borderId="114" xfId="0" applyNumberFormat="1" applyFont="1" applyFill="1" applyBorder="1" applyAlignment="1">
      <alignment horizontal="center" vertical="center"/>
    </xf>
    <xf numFmtId="166" fontId="141" fillId="9" borderId="6" xfId="0" applyNumberFormat="1" applyFont="1" applyFill="1" applyBorder="1" applyAlignment="1">
      <alignment horizontal="center" vertical="center"/>
    </xf>
    <xf numFmtId="10" fontId="141" fillId="9" borderId="4" xfId="889" applyNumberFormat="1" applyFont="1" applyFill="1" applyBorder="1" applyAlignment="1">
      <alignment horizontal="center" vertical="center"/>
    </xf>
    <xf numFmtId="0" fontId="138" fillId="0" borderId="0" xfId="0" applyFont="1" applyBorder="1"/>
    <xf numFmtId="0" fontId="141" fillId="9" borderId="0" xfId="43" applyFont="1" applyFill="1" applyBorder="1" applyAlignment="1">
      <alignment horizontal="left" vertical="center" wrapText="1"/>
    </xf>
    <xf numFmtId="166" fontId="141" fillId="9" borderId="91" xfId="0" applyNumberFormat="1" applyFont="1" applyFill="1" applyBorder="1" applyAlignment="1">
      <alignment horizontal="center" vertical="center"/>
    </xf>
    <xf numFmtId="169" fontId="141" fillId="9" borderId="16" xfId="950" applyNumberFormat="1" applyFont="1" applyFill="1" applyBorder="1" applyAlignment="1">
      <alignment horizontal="center" vertical="center" wrapText="1"/>
    </xf>
    <xf numFmtId="166" fontId="141" fillId="9" borderId="99" xfId="0" applyNumberFormat="1" applyFont="1" applyFill="1" applyBorder="1" applyAlignment="1">
      <alignment horizontal="center" vertical="center"/>
    </xf>
    <xf numFmtId="10" fontId="141" fillId="9" borderId="138" xfId="889" applyNumberFormat="1" applyFont="1" applyFill="1" applyBorder="1" applyAlignment="1">
      <alignment horizontal="center" vertical="center"/>
    </xf>
    <xf numFmtId="166" fontId="141" fillId="9" borderId="100" xfId="0" applyNumberFormat="1" applyFont="1" applyFill="1" applyBorder="1" applyAlignment="1">
      <alignment horizontal="center" vertical="center"/>
    </xf>
    <xf numFmtId="10" fontId="141" fillId="9" borderId="127" xfId="889" applyNumberFormat="1" applyFont="1" applyFill="1" applyBorder="1" applyAlignment="1">
      <alignment horizontal="center" vertical="center"/>
    </xf>
    <xf numFmtId="166" fontId="141" fillId="9" borderId="96" xfId="0" applyNumberFormat="1" applyFont="1" applyFill="1" applyBorder="1" applyAlignment="1">
      <alignment horizontal="center" vertical="center"/>
    </xf>
    <xf numFmtId="166" fontId="141" fillId="9" borderId="92" xfId="0" applyNumberFormat="1" applyFont="1" applyFill="1" applyBorder="1" applyAlignment="1">
      <alignment horizontal="center" vertical="center"/>
    </xf>
    <xf numFmtId="175" fontId="141" fillId="9" borderId="15" xfId="0" applyNumberFormat="1" applyFont="1" applyFill="1" applyBorder="1" applyAlignment="1">
      <alignment horizontal="center" vertical="center"/>
    </xf>
    <xf numFmtId="10" fontId="141" fillId="9" borderId="15" xfId="889" applyNumberFormat="1" applyFont="1" applyFill="1" applyBorder="1" applyAlignment="1">
      <alignment horizontal="center" vertical="center"/>
    </xf>
    <xf numFmtId="166" fontId="141" fillId="9" borderId="101" xfId="0" applyNumberFormat="1" applyFont="1" applyFill="1" applyBorder="1" applyAlignment="1">
      <alignment horizontal="center" vertical="center"/>
    </xf>
    <xf numFmtId="175" fontId="141" fillId="9" borderId="44" xfId="0" applyNumberFormat="1" applyFont="1" applyFill="1" applyBorder="1" applyAlignment="1">
      <alignment horizontal="center" vertical="center"/>
    </xf>
    <xf numFmtId="186" fontId="141" fillId="9" borderId="0" xfId="0" applyNumberFormat="1" applyFont="1" applyFill="1" applyBorder="1" applyAlignment="1">
      <alignment horizontal="center" vertical="center"/>
    </xf>
    <xf numFmtId="0" fontId="141" fillId="9" borderId="0" xfId="0" applyFont="1" applyFill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10" fontId="141" fillId="9" borderId="0" xfId="889" applyNumberFormat="1" applyFont="1" applyFill="1" applyAlignment="1">
      <alignment horizontal="center" vertical="center"/>
    </xf>
    <xf numFmtId="175" fontId="141" fillId="9" borderId="134" xfId="0" applyNumberFormat="1" applyFont="1" applyFill="1" applyBorder="1" applyAlignment="1">
      <alignment horizontal="center" vertical="center"/>
    </xf>
    <xf numFmtId="175" fontId="141" fillId="9" borderId="144" xfId="0" applyNumberFormat="1" applyFont="1" applyFill="1" applyBorder="1" applyAlignment="1">
      <alignment horizontal="center" vertical="center"/>
    </xf>
    <xf numFmtId="0" fontId="141" fillId="9" borderId="0" xfId="950" applyFont="1" applyFill="1" applyBorder="1" applyAlignment="1">
      <alignment horizontal="right"/>
    </xf>
    <xf numFmtId="0" fontId="44" fillId="9" borderId="0" xfId="801" applyFont="1" applyFill="1" applyBorder="1" applyAlignment="1">
      <alignment horizontal="center" vertical="center" wrapText="1"/>
    </xf>
    <xf numFmtId="9" fontId="141" fillId="9" borderId="0" xfId="889" applyFont="1" applyFill="1" applyBorder="1" applyAlignment="1">
      <alignment horizontal="center" vertical="center"/>
    </xf>
    <xf numFmtId="0" fontId="139" fillId="9" borderId="0" xfId="0" applyFont="1" applyFill="1"/>
    <xf numFmtId="0" fontId="139" fillId="0" borderId="0" xfId="0" applyFont="1"/>
    <xf numFmtId="10" fontId="141" fillId="9" borderId="0" xfId="890" applyNumberFormat="1" applyFont="1" applyFill="1" applyBorder="1" applyAlignment="1">
      <alignment horizontal="center" vertical="center"/>
    </xf>
    <xf numFmtId="166" fontId="141" fillId="9" borderId="62" xfId="0" applyNumberFormat="1" applyFont="1" applyFill="1" applyBorder="1" applyAlignment="1">
      <alignment horizontal="center" vertical="center"/>
    </xf>
    <xf numFmtId="175" fontId="141" fillId="9" borderId="105" xfId="0" applyNumberFormat="1" applyFont="1" applyFill="1" applyBorder="1" applyAlignment="1">
      <alignment horizontal="center" vertical="center"/>
    </xf>
    <xf numFmtId="10" fontId="141" fillId="9" borderId="23" xfId="889" applyNumberFormat="1" applyFont="1" applyFill="1" applyBorder="1" applyAlignment="1">
      <alignment horizontal="center" vertical="center"/>
    </xf>
    <xf numFmtId="175" fontId="141" fillId="9" borderId="14" xfId="0" applyNumberFormat="1" applyFont="1" applyFill="1" applyBorder="1" applyAlignment="1">
      <alignment horizontal="center" vertical="center"/>
    </xf>
    <xf numFmtId="10" fontId="141" fillId="9" borderId="26" xfId="889" applyNumberFormat="1" applyFont="1" applyFill="1" applyBorder="1" applyAlignment="1">
      <alignment horizontal="center" vertical="center"/>
    </xf>
    <xf numFmtId="10" fontId="141" fillId="9" borderId="10" xfId="889" applyNumberFormat="1" applyFont="1" applyFill="1" applyBorder="1" applyAlignment="1">
      <alignment horizontal="center" vertical="center"/>
    </xf>
    <xf numFmtId="175" fontId="141" fillId="9" borderId="119" xfId="0" applyNumberFormat="1" applyFont="1" applyFill="1" applyBorder="1" applyAlignment="1">
      <alignment horizontal="center" vertical="center"/>
    </xf>
    <xf numFmtId="166" fontId="141" fillId="9" borderId="18" xfId="0" applyNumberFormat="1" applyFont="1" applyFill="1" applyBorder="1" applyAlignment="1">
      <alignment horizontal="center" vertical="center"/>
    </xf>
    <xf numFmtId="166" fontId="141" fillId="9" borderId="35" xfId="0" applyNumberFormat="1" applyFont="1" applyFill="1" applyBorder="1" applyAlignment="1">
      <alignment horizontal="center" vertical="center"/>
    </xf>
    <xf numFmtId="166" fontId="141" fillId="9" borderId="60" xfId="0" applyNumberFormat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 textRotation="90"/>
    </xf>
    <xf numFmtId="0" fontId="141" fillId="9" borderId="0" xfId="45" applyFont="1" applyFill="1" applyBorder="1" applyAlignment="1">
      <alignment horizontal="center" vertical="center" wrapText="1"/>
    </xf>
    <xf numFmtId="166" fontId="141" fillId="9" borderId="7" xfId="0" applyNumberFormat="1" applyFont="1" applyFill="1" applyBorder="1" applyAlignment="1">
      <alignment horizontal="center" vertical="center"/>
    </xf>
    <xf numFmtId="166" fontId="141" fillId="9" borderId="12" xfId="0" applyNumberFormat="1" applyFont="1" applyFill="1" applyBorder="1" applyAlignment="1">
      <alignment horizontal="center" vertical="center"/>
    </xf>
    <xf numFmtId="0" fontId="141" fillId="9" borderId="0" xfId="47" applyFont="1" applyFill="1" applyBorder="1" applyAlignment="1">
      <alignment horizontal="center" vertical="center" wrapText="1"/>
    </xf>
    <xf numFmtId="175" fontId="141" fillId="9" borderId="0" xfId="0" applyNumberFormat="1" applyFont="1" applyFill="1" applyAlignment="1">
      <alignment horizontal="center" vertical="center"/>
    </xf>
    <xf numFmtId="166" fontId="141" fillId="9" borderId="137" xfId="0" applyNumberFormat="1" applyFont="1" applyFill="1" applyBorder="1" applyAlignment="1">
      <alignment horizontal="center" vertical="center"/>
    </xf>
    <xf numFmtId="175" fontId="141" fillId="9" borderId="138" xfId="0" applyNumberFormat="1" applyFont="1" applyFill="1" applyBorder="1" applyAlignment="1">
      <alignment horizontal="center" vertical="center"/>
    </xf>
    <xf numFmtId="166" fontId="141" fillId="9" borderId="126" xfId="0" applyNumberFormat="1" applyFont="1" applyFill="1" applyBorder="1" applyAlignment="1">
      <alignment horizontal="center" vertical="center"/>
    </xf>
    <xf numFmtId="175" fontId="141" fillId="9" borderId="127" xfId="0" applyNumberFormat="1" applyFont="1" applyFill="1" applyBorder="1" applyAlignment="1">
      <alignment horizontal="center" vertical="center"/>
    </xf>
    <xf numFmtId="175" fontId="141" fillId="9" borderId="126" xfId="0" applyNumberFormat="1" applyFont="1" applyFill="1" applyBorder="1" applyAlignment="1">
      <alignment horizontal="center" vertical="center"/>
    </xf>
    <xf numFmtId="0" fontId="139" fillId="0" borderId="0" xfId="0" applyFont="1" applyAlignment="1">
      <alignment horizontal="center"/>
    </xf>
    <xf numFmtId="9" fontId="44" fillId="9" borderId="54" xfId="889" applyFont="1" applyFill="1" applyBorder="1" applyAlignment="1">
      <alignment horizontal="center" vertical="center"/>
    </xf>
    <xf numFmtId="2" fontId="141" fillId="9" borderId="0" xfId="0" applyNumberFormat="1" applyFont="1" applyFill="1" applyBorder="1" applyAlignment="1">
      <alignment horizontal="center" vertical="center"/>
    </xf>
    <xf numFmtId="166" fontId="141" fillId="9" borderId="16" xfId="0" applyNumberFormat="1" applyFont="1" applyFill="1" applyBorder="1" applyAlignment="1">
      <alignment horizontal="center" vertical="center"/>
    </xf>
    <xf numFmtId="166" fontId="141" fillId="9" borderId="52" xfId="0" applyNumberFormat="1" applyFont="1" applyFill="1" applyBorder="1" applyAlignment="1">
      <alignment horizontal="center" vertical="center"/>
    </xf>
    <xf numFmtId="0" fontId="141" fillId="9" borderId="0" xfId="799" applyFont="1" applyFill="1" applyBorder="1" applyAlignment="1">
      <alignment horizontal="center" vertical="center" wrapText="1"/>
    </xf>
    <xf numFmtId="180" fontId="141" fillId="9" borderId="0" xfId="0" applyNumberFormat="1" applyFont="1" applyFill="1" applyAlignment="1">
      <alignment horizontal="center" vertical="center"/>
    </xf>
    <xf numFmtId="0" fontId="141" fillId="9" borderId="0" xfId="0" applyFont="1" applyFill="1" applyAlignment="1">
      <alignment horizontal="center"/>
    </xf>
    <xf numFmtId="175" fontId="141" fillId="9" borderId="123" xfId="0" applyNumberFormat="1" applyFont="1" applyFill="1" applyBorder="1" applyAlignment="1">
      <alignment horizontal="center" vertical="center"/>
    </xf>
    <xf numFmtId="0" fontId="141" fillId="9" borderId="0" xfId="803" applyFont="1" applyFill="1" applyBorder="1" applyAlignment="1">
      <alignment horizontal="center" vertical="center" wrapText="1"/>
    </xf>
    <xf numFmtId="0" fontId="1" fillId="9" borderId="0" xfId="0" applyFont="1" applyFill="1" applyBorder="1"/>
    <xf numFmtId="0" fontId="138" fillId="9" borderId="0" xfId="0" applyFont="1" applyFill="1" applyBorder="1" applyAlignment="1"/>
    <xf numFmtId="0" fontId="141" fillId="9" borderId="0" xfId="0" applyFont="1" applyFill="1" applyBorder="1" applyAlignment="1">
      <alignment horizontal="center" vertical="center"/>
    </xf>
    <xf numFmtId="175" fontId="44" fillId="9" borderId="0" xfId="0" applyNumberFormat="1" applyFont="1" applyFill="1" applyAlignment="1">
      <alignment horizontal="center" vertical="center"/>
    </xf>
    <xf numFmtId="165" fontId="141" fillId="9" borderId="0" xfId="893" applyNumberFormat="1" applyFont="1" applyFill="1" applyAlignment="1">
      <alignment horizontal="center" vertical="center"/>
    </xf>
    <xf numFmtId="165" fontId="141" fillId="9" borderId="0" xfId="0" applyNumberFormat="1" applyFont="1" applyFill="1" applyAlignment="1">
      <alignment horizontal="center" vertical="center"/>
    </xf>
    <xf numFmtId="175" fontId="44" fillId="56" borderId="53" xfId="0" applyNumberFormat="1" applyFont="1" applyFill="1" applyBorder="1" applyAlignment="1">
      <alignment horizontal="center" vertical="center" wrapText="1"/>
    </xf>
    <xf numFmtId="175" fontId="44" fillId="56" borderId="58" xfId="0" applyNumberFormat="1" applyFont="1" applyFill="1" applyBorder="1" applyAlignment="1">
      <alignment horizontal="center" vertical="center" wrapText="1"/>
    </xf>
    <xf numFmtId="175" fontId="44" fillId="56" borderId="86" xfId="0" applyNumberFormat="1" applyFont="1" applyFill="1" applyBorder="1" applyAlignment="1">
      <alignment horizontal="center" vertical="center" wrapText="1"/>
    </xf>
    <xf numFmtId="165" fontId="44" fillId="56" borderId="53" xfId="893" applyNumberFormat="1" applyFont="1" applyFill="1" applyBorder="1" applyAlignment="1">
      <alignment horizontal="center" vertical="center" wrapText="1"/>
    </xf>
    <xf numFmtId="165" fontId="44" fillId="56" borderId="58" xfId="0" applyNumberFormat="1" applyFont="1" applyFill="1" applyBorder="1" applyAlignment="1">
      <alignment horizontal="center" vertical="center" wrapText="1"/>
    </xf>
    <xf numFmtId="165" fontId="44" fillId="9" borderId="58" xfId="0" applyNumberFormat="1" applyFont="1" applyFill="1" applyBorder="1" applyAlignment="1">
      <alignment horizontal="center" vertical="center" wrapText="1"/>
    </xf>
    <xf numFmtId="165" fontId="44" fillId="56" borderId="54" xfId="0" applyNumberFormat="1" applyFont="1" applyFill="1" applyBorder="1" applyAlignment="1">
      <alignment horizontal="center" vertical="center" wrapText="1"/>
    </xf>
    <xf numFmtId="0" fontId="141" fillId="9" borderId="0" xfId="43" applyFont="1" applyFill="1" applyBorder="1" applyAlignment="1">
      <alignment vertical="center" wrapText="1"/>
    </xf>
    <xf numFmtId="166" fontId="141" fillId="9" borderId="3" xfId="0" applyNumberFormat="1" applyFont="1" applyFill="1" applyBorder="1" applyAlignment="1">
      <alignment horizontal="center" vertical="center"/>
    </xf>
    <xf numFmtId="166" fontId="141" fillId="57" borderId="7" xfId="0" applyNumberFormat="1" applyFont="1" applyFill="1" applyBorder="1" applyAlignment="1">
      <alignment horizontal="center" vertical="center"/>
    </xf>
    <xf numFmtId="166" fontId="141" fillId="57" borderId="0" xfId="0" applyNumberFormat="1" applyFont="1" applyFill="1" applyBorder="1" applyAlignment="1">
      <alignment horizontal="center" vertical="center"/>
    </xf>
    <xf numFmtId="166" fontId="141" fillId="57" borderId="12" xfId="0" applyNumberFormat="1" applyFont="1" applyFill="1" applyBorder="1" applyAlignment="1">
      <alignment horizontal="center" vertical="center"/>
    </xf>
    <xf numFmtId="40" fontId="141" fillId="9" borderId="0" xfId="0" applyNumberFormat="1" applyFont="1" applyFill="1" applyBorder="1" applyAlignment="1">
      <alignment horizontal="center" vertical="center"/>
    </xf>
    <xf numFmtId="0" fontId="141" fillId="9" borderId="0" xfId="893" applyFont="1" applyFill="1" applyAlignment="1">
      <alignment horizontal="center" vertical="center"/>
    </xf>
    <xf numFmtId="0" fontId="140" fillId="20" borderId="0" xfId="893" applyFont="1"/>
    <xf numFmtId="165" fontId="0" fillId="9" borderId="0" xfId="0" applyNumberFormat="1" applyFont="1" applyFill="1"/>
    <xf numFmtId="0" fontId="104" fillId="2" borderId="25" xfId="815" applyFont="1" applyFill="1" applyBorder="1" applyAlignment="1">
      <alignment horizontal="center" vertical="center" wrapText="1"/>
    </xf>
    <xf numFmtId="0" fontId="104" fillId="2" borderId="46" xfId="815" applyFont="1" applyFill="1" applyBorder="1" applyAlignment="1">
      <alignment horizontal="center" vertical="center" wrapText="1"/>
    </xf>
    <xf numFmtId="0" fontId="104" fillId="2" borderId="41" xfId="846" applyFont="1" applyFill="1" applyBorder="1" applyAlignment="1">
      <alignment horizontal="center" vertical="center" wrapText="1"/>
    </xf>
    <xf numFmtId="0" fontId="104" fillId="2" borderId="72" xfId="846" applyFont="1" applyFill="1" applyBorder="1" applyAlignment="1">
      <alignment horizontal="center" vertical="center" wrapText="1"/>
    </xf>
    <xf numFmtId="0" fontId="144" fillId="2" borderId="72" xfId="0" applyFont="1" applyFill="1" applyBorder="1" applyAlignment="1">
      <alignment horizontal="center" vertical="center" wrapText="1"/>
    </xf>
    <xf numFmtId="0" fontId="104" fillId="2" borderId="72" xfId="872" applyFont="1" applyFill="1" applyBorder="1" applyAlignment="1">
      <alignment horizontal="center" vertical="center" wrapText="1"/>
    </xf>
    <xf numFmtId="0" fontId="104" fillId="2" borderId="3" xfId="872" applyFont="1" applyFill="1" applyBorder="1" applyAlignment="1">
      <alignment horizontal="center" vertical="center" wrapText="1"/>
    </xf>
    <xf numFmtId="0" fontId="104" fillId="2" borderId="81" xfId="872" applyFont="1" applyFill="1" applyBorder="1" applyAlignment="1">
      <alignment horizontal="center" vertical="center" wrapText="1"/>
    </xf>
    <xf numFmtId="0" fontId="104" fillId="18" borderId="8" xfId="872" applyFont="1" applyFill="1" applyBorder="1" applyAlignment="1">
      <alignment horizontal="center" vertical="center" wrapText="1"/>
    </xf>
    <xf numFmtId="0" fontId="104" fillId="18" borderId="2" xfId="872" applyFont="1" applyFill="1" applyBorder="1" applyAlignment="1">
      <alignment horizontal="center" vertical="center" wrapText="1"/>
    </xf>
    <xf numFmtId="165" fontId="104" fillId="18" borderId="2" xfId="872" applyNumberFormat="1" applyFont="1" applyFill="1" applyBorder="1" applyAlignment="1">
      <alignment horizontal="center" vertical="center" wrapText="1"/>
    </xf>
    <xf numFmtId="0" fontId="104" fillId="18" borderId="9" xfId="872" applyFont="1" applyFill="1" applyBorder="1" applyAlignment="1">
      <alignment horizontal="center" vertical="center" wrapText="1"/>
    </xf>
    <xf numFmtId="172" fontId="19" fillId="9" borderId="41" xfId="0" applyNumberFormat="1" applyFont="1" applyFill="1" applyBorder="1" applyAlignment="1">
      <alignment horizontal="center"/>
    </xf>
    <xf numFmtId="172" fontId="19" fillId="9" borderId="72" xfId="0" applyNumberFormat="1" applyFont="1" applyFill="1" applyBorder="1" applyAlignment="1">
      <alignment horizontal="center"/>
    </xf>
    <xf numFmtId="0" fontId="19" fillId="9" borderId="43" xfId="0" applyFont="1" applyFill="1" applyBorder="1" applyAlignment="1">
      <alignment horizontal="center"/>
    </xf>
    <xf numFmtId="173" fontId="19" fillId="9" borderId="3" xfId="0" applyNumberFormat="1" applyFont="1" applyFill="1" applyBorder="1" applyAlignment="1">
      <alignment horizontal="center"/>
    </xf>
    <xf numFmtId="10" fontId="19" fillId="9" borderId="81" xfId="0" applyNumberFormat="1" applyFont="1" applyFill="1" applyBorder="1" applyAlignment="1">
      <alignment horizontal="center"/>
    </xf>
    <xf numFmtId="172" fontId="19" fillId="9" borderId="42" xfId="0" applyNumberFormat="1" applyFont="1" applyFill="1" applyBorder="1" applyAlignment="1">
      <alignment horizontal="center"/>
    </xf>
    <xf numFmtId="172" fontId="19" fillId="9" borderId="5" xfId="0" applyNumberFormat="1" applyFont="1" applyFill="1" applyBorder="1" applyAlignment="1">
      <alignment horizontal="center"/>
    </xf>
    <xf numFmtId="0" fontId="19" fillId="9" borderId="14" xfId="0" applyFont="1" applyFill="1" applyBorder="1" applyAlignment="1">
      <alignment horizontal="center"/>
    </xf>
    <xf numFmtId="173" fontId="19" fillId="9" borderId="12" xfId="0" applyNumberFormat="1" applyFont="1" applyFill="1" applyBorder="1" applyAlignment="1">
      <alignment horizontal="center"/>
    </xf>
    <xf numFmtId="10" fontId="19" fillId="9" borderId="45" xfId="0" applyNumberFormat="1" applyFont="1" applyFill="1" applyBorder="1" applyAlignment="1">
      <alignment horizontal="center"/>
    </xf>
    <xf numFmtId="172" fontId="19" fillId="9" borderId="8" xfId="0" applyNumberFormat="1" applyFont="1" applyFill="1" applyBorder="1" applyAlignment="1">
      <alignment horizontal="center"/>
    </xf>
    <xf numFmtId="172" fontId="19" fillId="9" borderId="2" xfId="0" applyNumberFormat="1" applyFont="1" applyFill="1" applyBorder="1" applyAlignment="1">
      <alignment horizontal="center"/>
    </xf>
    <xf numFmtId="0" fontId="19" fillId="9" borderId="13" xfId="0" applyFont="1" applyFill="1" applyBorder="1" applyAlignment="1">
      <alignment horizontal="center"/>
    </xf>
    <xf numFmtId="173" fontId="19" fillId="9" borderId="7" xfId="0" applyNumberFormat="1" applyFont="1" applyFill="1" applyBorder="1" applyAlignment="1">
      <alignment horizontal="center"/>
    </xf>
    <xf numFmtId="10" fontId="19" fillId="9" borderId="9" xfId="0" applyNumberFormat="1" applyFont="1" applyFill="1" applyBorder="1" applyAlignment="1">
      <alignment horizontal="center"/>
    </xf>
    <xf numFmtId="172" fontId="19" fillId="9" borderId="39" xfId="0" applyNumberFormat="1" applyFont="1" applyFill="1" applyBorder="1" applyAlignment="1">
      <alignment horizontal="center"/>
    </xf>
    <xf numFmtId="172" fontId="19" fillId="9" borderId="16" xfId="0" applyNumberFormat="1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173" fontId="19" fillId="9" borderId="0" xfId="0" applyNumberFormat="1" applyFont="1" applyFill="1" applyBorder="1" applyAlignment="1">
      <alignment horizontal="center"/>
    </xf>
    <xf numFmtId="10" fontId="19" fillId="9" borderId="85" xfId="0" applyNumberFormat="1" applyFont="1" applyFill="1" applyBorder="1" applyAlignment="1">
      <alignment horizontal="center"/>
    </xf>
    <xf numFmtId="172" fontId="19" fillId="9" borderId="51" xfId="0" applyNumberFormat="1" applyFont="1" applyFill="1" applyBorder="1" applyAlignment="1">
      <alignment horizontal="center"/>
    </xf>
    <xf numFmtId="172" fontId="19" fillId="9" borderId="52" xfId="0" applyNumberFormat="1" applyFont="1" applyFill="1" applyBorder="1" applyAlignment="1">
      <alignment horizontal="center"/>
    </xf>
    <xf numFmtId="0" fontId="19" fillId="9" borderId="44" xfId="0" applyFont="1" applyFill="1" applyBorder="1" applyAlignment="1">
      <alignment horizontal="center"/>
    </xf>
    <xf numFmtId="173" fontId="19" fillId="9" borderId="4" xfId="0" applyNumberFormat="1" applyFont="1" applyFill="1" applyBorder="1" applyAlignment="1">
      <alignment horizontal="center"/>
    </xf>
    <xf numFmtId="10" fontId="19" fillId="9" borderId="82" xfId="0" applyNumberFormat="1" applyFont="1" applyFill="1" applyBorder="1" applyAlignment="1">
      <alignment horizontal="center"/>
    </xf>
    <xf numFmtId="0" fontId="17" fillId="9" borderId="0" xfId="813" applyFont="1" applyFill="1" applyBorder="1" applyAlignment="1">
      <alignment horizontal="center" vertical="center" wrapText="1"/>
    </xf>
    <xf numFmtId="172" fontId="19" fillId="9" borderId="0" xfId="0" applyNumberFormat="1" applyFont="1" applyFill="1" applyBorder="1" applyAlignment="1">
      <alignment horizontal="center"/>
    </xf>
    <xf numFmtId="169" fontId="19" fillId="9" borderId="0" xfId="0" applyNumberFormat="1" applyFont="1" applyFill="1" applyBorder="1" applyAlignment="1">
      <alignment horizontal="center"/>
    </xf>
    <xf numFmtId="10" fontId="19" fillId="9" borderId="0" xfId="0" applyNumberFormat="1" applyFont="1" applyFill="1" applyBorder="1" applyAlignment="1">
      <alignment horizontal="center"/>
    </xf>
    <xf numFmtId="0" fontId="19" fillId="0" borderId="0" xfId="0" applyFont="1" applyFill="1" applyBorder="1"/>
    <xf numFmtId="172" fontId="19" fillId="9" borderId="62" xfId="0" applyNumberFormat="1" applyFont="1" applyFill="1" applyBorder="1" applyAlignment="1">
      <alignment horizontal="center"/>
    </xf>
    <xf numFmtId="169" fontId="19" fillId="9" borderId="3" xfId="0" applyNumberFormat="1" applyFont="1" applyFill="1" applyBorder="1" applyAlignment="1">
      <alignment horizontal="center"/>
    </xf>
    <xf numFmtId="173" fontId="19" fillId="9" borderId="62" xfId="0" applyNumberFormat="1" applyFont="1" applyFill="1" applyBorder="1" applyAlignment="1">
      <alignment horizontal="center"/>
    </xf>
    <xf numFmtId="10" fontId="19" fillId="9" borderId="3" xfId="0" applyNumberFormat="1" applyFont="1" applyFill="1" applyBorder="1" applyAlignment="1">
      <alignment horizontal="center"/>
    </xf>
    <xf numFmtId="169" fontId="19" fillId="9" borderId="52" xfId="0" applyNumberFormat="1" applyFont="1" applyFill="1" applyBorder="1" applyAlignment="1">
      <alignment horizontal="center"/>
    </xf>
    <xf numFmtId="0" fontId="17" fillId="9" borderId="0" xfId="831" applyFont="1" applyFill="1" applyBorder="1" applyAlignment="1">
      <alignment horizontal="center" vertical="center" wrapText="1"/>
    </xf>
    <xf numFmtId="169" fontId="19" fillId="9" borderId="105" xfId="0" applyNumberFormat="1" applyFont="1" applyFill="1" applyBorder="1" applyAlignment="1">
      <alignment horizontal="center"/>
    </xf>
    <xf numFmtId="0" fontId="19" fillId="9" borderId="104" xfId="0" applyFont="1" applyFill="1" applyBorder="1" applyAlignment="1">
      <alignment horizontal="center"/>
    </xf>
    <xf numFmtId="172" fontId="19" fillId="9" borderId="137" xfId="0" applyNumberFormat="1" applyFont="1" applyFill="1" applyBorder="1" applyAlignment="1">
      <alignment horizontal="center"/>
    </xf>
    <xf numFmtId="169" fontId="19" fillId="9" borderId="138" xfId="0" applyNumberFormat="1" applyFont="1" applyFill="1" applyBorder="1" applyAlignment="1">
      <alignment horizontal="center"/>
    </xf>
    <xf numFmtId="10" fontId="19" fillId="9" borderId="47" xfId="0" applyNumberFormat="1" applyFont="1" applyFill="1" applyBorder="1" applyAlignment="1">
      <alignment horizontal="center"/>
    </xf>
    <xf numFmtId="172" fontId="19" fillId="9" borderId="18" xfId="0" applyNumberFormat="1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10" fontId="19" fillId="9" borderId="48" xfId="0" applyNumberFormat="1" applyFont="1" applyFill="1" applyBorder="1" applyAlignment="1">
      <alignment horizontal="center"/>
    </xf>
    <xf numFmtId="173" fontId="19" fillId="9" borderId="18" xfId="0" applyNumberFormat="1" applyFont="1" applyFill="1" applyBorder="1" applyAlignment="1">
      <alignment horizontal="center"/>
    </xf>
    <xf numFmtId="10" fontId="19" fillId="9" borderId="10" xfId="0" applyNumberFormat="1" applyFont="1" applyFill="1" applyBorder="1" applyAlignment="1">
      <alignment horizontal="center"/>
    </xf>
    <xf numFmtId="0" fontId="19" fillId="9" borderId="52" xfId="0" applyFont="1" applyFill="1" applyBorder="1" applyAlignment="1">
      <alignment horizontal="center"/>
    </xf>
    <xf numFmtId="0" fontId="17" fillId="9" borderId="0" xfId="833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wrapText="1"/>
    </xf>
    <xf numFmtId="2" fontId="19" fillId="9" borderId="0" xfId="0" applyNumberFormat="1" applyFont="1" applyFill="1" applyBorder="1" applyAlignment="1">
      <alignment horizontal="center"/>
    </xf>
    <xf numFmtId="0" fontId="17" fillId="9" borderId="0" xfId="835" applyFont="1" applyFill="1" applyBorder="1" applyAlignment="1">
      <alignment horizontal="center" vertical="center" wrapText="1"/>
    </xf>
    <xf numFmtId="0" fontId="19" fillId="9" borderId="105" xfId="0" applyFont="1" applyFill="1" applyBorder="1" applyAlignment="1">
      <alignment horizontal="center"/>
    </xf>
    <xf numFmtId="173" fontId="19" fillId="9" borderId="23" xfId="0" applyNumberFormat="1" applyFont="1" applyFill="1" applyBorder="1" applyAlignment="1">
      <alignment horizontal="center"/>
    </xf>
    <xf numFmtId="10" fontId="19" fillId="9" borderId="23" xfId="889" applyNumberFormat="1" applyFont="1" applyFill="1" applyBorder="1" applyAlignment="1">
      <alignment horizontal="center"/>
    </xf>
    <xf numFmtId="0" fontId="17" fillId="9" borderId="0" xfId="837" applyFont="1" applyFill="1" applyBorder="1" applyAlignment="1">
      <alignment horizontal="center" vertical="center" wrapText="1"/>
    </xf>
    <xf numFmtId="10" fontId="19" fillId="9" borderId="0" xfId="889" applyNumberFormat="1" applyFont="1" applyFill="1" applyBorder="1" applyAlignment="1">
      <alignment horizontal="center"/>
    </xf>
    <xf numFmtId="10" fontId="19" fillId="9" borderId="23" xfId="0" applyNumberFormat="1" applyFont="1" applyFill="1" applyBorder="1" applyAlignment="1">
      <alignment horizontal="center"/>
    </xf>
    <xf numFmtId="173" fontId="19" fillId="9" borderId="137" xfId="0" applyNumberFormat="1" applyFont="1" applyFill="1" applyBorder="1" applyAlignment="1">
      <alignment horizontal="center"/>
    </xf>
    <xf numFmtId="175" fontId="19" fillId="9" borderId="16" xfId="0" applyNumberFormat="1" applyFont="1" applyFill="1" applyBorder="1" applyAlignment="1">
      <alignment horizontal="center"/>
    </xf>
    <xf numFmtId="0" fontId="17" fillId="0" borderId="0" xfId="844" applyFont="1" applyFill="1" applyBorder="1" applyAlignment="1">
      <alignment horizontal="center" vertical="center" wrapText="1"/>
    </xf>
    <xf numFmtId="175" fontId="19" fillId="9" borderId="0" xfId="0" applyNumberFormat="1" applyFont="1" applyFill="1" applyBorder="1" applyAlignment="1">
      <alignment horizontal="center"/>
    </xf>
    <xf numFmtId="2" fontId="19" fillId="9" borderId="0" xfId="0" applyNumberFormat="1" applyFont="1" applyFill="1" applyBorder="1" applyAlignment="1">
      <alignment horizontal="center" wrapText="1"/>
    </xf>
    <xf numFmtId="172" fontId="19" fillId="9" borderId="3" xfId="0" applyNumberFormat="1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7" fillId="9" borderId="0" xfId="840" applyFont="1" applyFill="1" applyBorder="1" applyAlignment="1">
      <alignment horizontal="center" vertical="center" wrapText="1"/>
    </xf>
    <xf numFmtId="173" fontId="19" fillId="9" borderId="0" xfId="0" applyNumberFormat="1" applyFont="1" applyFill="1" applyAlignment="1">
      <alignment horizontal="center"/>
    </xf>
    <xf numFmtId="10" fontId="19" fillId="9" borderId="105" xfId="0" applyNumberFormat="1" applyFont="1" applyFill="1" applyBorder="1" applyAlignment="1">
      <alignment horizontal="center"/>
    </xf>
    <xf numFmtId="172" fontId="19" fillId="9" borderId="138" xfId="0" applyNumberFormat="1" applyFont="1" applyFill="1" applyBorder="1" applyAlignment="1">
      <alignment horizontal="center"/>
    </xf>
    <xf numFmtId="0" fontId="19" fillId="9" borderId="138" xfId="0" applyFont="1" applyFill="1" applyBorder="1" applyAlignment="1">
      <alignment horizontal="center"/>
    </xf>
    <xf numFmtId="10" fontId="19" fillId="9" borderId="15" xfId="0" applyNumberFormat="1" applyFont="1" applyFill="1" applyBorder="1" applyAlignment="1">
      <alignment horizontal="center"/>
    </xf>
    <xf numFmtId="169" fontId="19" fillId="9" borderId="134" xfId="0" applyNumberFormat="1" applyFont="1" applyFill="1" applyBorder="1" applyAlignment="1">
      <alignment horizontal="center"/>
    </xf>
    <xf numFmtId="169" fontId="19" fillId="9" borderId="144" xfId="0" applyNumberFormat="1" applyFont="1" applyFill="1" applyBorder="1" applyAlignment="1">
      <alignment horizontal="center"/>
    </xf>
    <xf numFmtId="169" fontId="19" fillId="9" borderId="16" xfId="0" applyNumberFormat="1" applyFont="1" applyFill="1" applyBorder="1" applyAlignment="1">
      <alignment horizontal="center"/>
    </xf>
    <xf numFmtId="10" fontId="19" fillId="9" borderId="138" xfId="0" applyNumberFormat="1" applyFont="1" applyFill="1" applyBorder="1" applyAlignment="1">
      <alignment horizontal="center"/>
    </xf>
    <xf numFmtId="169" fontId="19" fillId="9" borderId="0" xfId="0" applyNumberFormat="1" applyFont="1" applyFill="1" applyAlignment="1">
      <alignment horizontal="center"/>
    </xf>
    <xf numFmtId="165" fontId="0" fillId="0" borderId="0" xfId="0" applyNumberFormat="1" applyFont="1"/>
    <xf numFmtId="0" fontId="44" fillId="9" borderId="0" xfId="0" applyFont="1" applyFill="1" applyAlignment="1">
      <alignment horizontal="center"/>
    </xf>
    <xf numFmtId="10" fontId="141" fillId="9" borderId="0" xfId="0" applyNumberFormat="1" applyFont="1" applyFill="1"/>
    <xf numFmtId="0" fontId="44" fillId="9" borderId="0" xfId="0" applyFont="1" applyFill="1" applyAlignment="1">
      <alignment vertical="center"/>
    </xf>
    <xf numFmtId="0" fontId="141" fillId="0" borderId="0" xfId="0" applyFont="1"/>
    <xf numFmtId="0" fontId="141" fillId="9" borderId="0" xfId="0" applyFont="1" applyFill="1" applyBorder="1"/>
    <xf numFmtId="0" fontId="146" fillId="9" borderId="0" xfId="0" applyFont="1" applyFill="1"/>
    <xf numFmtId="0" fontId="44" fillId="9" borderId="0" xfId="0" applyFont="1" applyFill="1"/>
    <xf numFmtId="0" fontId="44" fillId="0" borderId="0" xfId="815" applyFont="1" applyFill="1" applyBorder="1" applyAlignment="1">
      <alignment horizontal="center"/>
    </xf>
    <xf numFmtId="0" fontId="44" fillId="0" borderId="0" xfId="0" applyFont="1" applyFill="1" applyBorder="1" applyAlignment="1">
      <alignment horizontal="center"/>
    </xf>
    <xf numFmtId="0" fontId="44" fillId="9" borderId="0" xfId="0" applyFont="1" applyFill="1" applyBorder="1" applyAlignment="1">
      <alignment horizontal="center"/>
    </xf>
    <xf numFmtId="0" fontId="44" fillId="2" borderId="32" xfId="815" applyFont="1" applyFill="1" applyBorder="1" applyAlignment="1">
      <alignment horizontal="center" vertical="center" wrapText="1"/>
    </xf>
    <xf numFmtId="0" fontId="44" fillId="58" borderId="25" xfId="815" applyFont="1" applyFill="1" applyBorder="1" applyAlignment="1">
      <alignment horizontal="center" vertical="center" wrapText="1"/>
    </xf>
    <xf numFmtId="0" fontId="44" fillId="2" borderId="3" xfId="846" applyFont="1" applyFill="1" applyBorder="1" applyAlignment="1">
      <alignment horizontal="center" vertical="center" wrapText="1"/>
    </xf>
    <xf numFmtId="0" fontId="44" fillId="2" borderId="41" xfId="0" applyFont="1" applyFill="1" applyBorder="1" applyAlignment="1">
      <alignment horizontal="center" vertical="center" wrapText="1"/>
    </xf>
    <xf numFmtId="0" fontId="44" fillId="2" borderId="104" xfId="0" applyFont="1" applyFill="1" applyBorder="1" applyAlignment="1">
      <alignment horizontal="center" vertical="center" wrapText="1"/>
    </xf>
    <xf numFmtId="0" fontId="44" fillId="2" borderId="105" xfId="0" applyFont="1" applyFill="1" applyBorder="1" applyAlignment="1">
      <alignment horizontal="center" vertical="center" wrapText="1"/>
    </xf>
    <xf numFmtId="0" fontId="44" fillId="2" borderId="46" xfId="872" applyFont="1" applyFill="1" applyBorder="1" applyAlignment="1">
      <alignment horizontal="center" vertical="center" wrapText="1"/>
    </xf>
    <xf numFmtId="0" fontId="44" fillId="2" borderId="3" xfId="872" applyFont="1" applyFill="1" applyBorder="1" applyAlignment="1">
      <alignment horizontal="center" vertical="center" wrapText="1"/>
    </xf>
    <xf numFmtId="0" fontId="44" fillId="73" borderId="41" xfId="0" applyFont="1" applyFill="1" applyBorder="1" applyAlignment="1">
      <alignment horizontal="center" vertical="center" wrapText="1"/>
    </xf>
    <xf numFmtId="0" fontId="44" fillId="73" borderId="104" xfId="0" applyFont="1" applyFill="1" applyBorder="1" applyAlignment="1">
      <alignment horizontal="center" vertical="center" wrapText="1"/>
    </xf>
    <xf numFmtId="0" fontId="44" fillId="73" borderId="105" xfId="0" applyFont="1" applyFill="1" applyBorder="1" applyAlignment="1">
      <alignment horizontal="center" vertical="center" wrapText="1"/>
    </xf>
    <xf numFmtId="0" fontId="44" fillId="73" borderId="3" xfId="872" applyFont="1" applyFill="1" applyBorder="1" applyAlignment="1">
      <alignment horizontal="center" vertical="center" wrapText="1"/>
    </xf>
    <xf numFmtId="0" fontId="44" fillId="73" borderId="46" xfId="872" applyFont="1" applyFill="1" applyBorder="1" applyAlignment="1">
      <alignment horizontal="center" vertical="center" wrapText="1"/>
    </xf>
    <xf numFmtId="0" fontId="44" fillId="13" borderId="41" xfId="0" applyFont="1" applyFill="1" applyBorder="1" applyAlignment="1">
      <alignment horizontal="center" vertical="center" wrapText="1"/>
    </xf>
    <xf numFmtId="0" fontId="44" fillId="13" borderId="104" xfId="0" applyFont="1" applyFill="1" applyBorder="1" applyAlignment="1">
      <alignment horizontal="center" vertical="center" wrapText="1"/>
    </xf>
    <xf numFmtId="0" fontId="44" fillId="13" borderId="46" xfId="872" applyFont="1" applyFill="1" applyBorder="1" applyAlignment="1">
      <alignment horizontal="center" vertical="center" wrapText="1"/>
    </xf>
    <xf numFmtId="0" fontId="44" fillId="12" borderId="46" xfId="872" applyFont="1" applyFill="1" applyBorder="1" applyAlignment="1">
      <alignment horizontal="center" vertical="center" wrapText="1"/>
    </xf>
    <xf numFmtId="0" fontId="44" fillId="14" borderId="41" xfId="0" applyFont="1" applyFill="1" applyBorder="1" applyAlignment="1">
      <alignment horizontal="center" vertical="center" wrapText="1"/>
    </xf>
    <xf numFmtId="0" fontId="44" fillId="14" borderId="104" xfId="0" applyFont="1" applyFill="1" applyBorder="1" applyAlignment="1">
      <alignment horizontal="center" vertical="center" wrapText="1"/>
    </xf>
    <xf numFmtId="0" fontId="44" fillId="14" borderId="104" xfId="872" applyFont="1" applyFill="1" applyBorder="1" applyAlignment="1">
      <alignment horizontal="center" vertical="center" wrapText="1"/>
    </xf>
    <xf numFmtId="0" fontId="44" fillId="14" borderId="105" xfId="872" applyFont="1" applyFill="1" applyBorder="1" applyAlignment="1">
      <alignment horizontal="center" vertical="center" wrapText="1"/>
    </xf>
    <xf numFmtId="0" fontId="44" fillId="14" borderId="46" xfId="872" applyFont="1" applyFill="1" applyBorder="1" applyAlignment="1">
      <alignment horizontal="center" vertical="center" wrapText="1"/>
    </xf>
    <xf numFmtId="0" fontId="44" fillId="11" borderId="104" xfId="0" applyFont="1" applyFill="1" applyBorder="1" applyAlignment="1">
      <alignment horizontal="center" vertical="center" wrapText="1"/>
    </xf>
    <xf numFmtId="0" fontId="44" fillId="11" borderId="104" xfId="872" applyFont="1" applyFill="1" applyBorder="1" applyAlignment="1">
      <alignment horizontal="center" vertical="center" wrapText="1"/>
    </xf>
    <xf numFmtId="0" fontId="44" fillId="11" borderId="105" xfId="872" applyFont="1" applyFill="1" applyBorder="1" applyAlignment="1">
      <alignment horizontal="center" vertical="center" wrapText="1"/>
    </xf>
    <xf numFmtId="0" fontId="44" fillId="11" borderId="46" xfId="872" applyFont="1" applyFill="1" applyBorder="1" applyAlignment="1">
      <alignment horizontal="center" vertical="center" wrapText="1"/>
    </xf>
    <xf numFmtId="0" fontId="44" fillId="57" borderId="62" xfId="0" applyFont="1" applyFill="1" applyBorder="1" applyAlignment="1">
      <alignment horizontal="center" vertical="center" wrapText="1"/>
    </xf>
    <xf numFmtId="0" fontId="44" fillId="57" borderId="104" xfId="0" applyFont="1" applyFill="1" applyBorder="1" applyAlignment="1">
      <alignment horizontal="center" vertical="center" wrapText="1"/>
    </xf>
    <xf numFmtId="0" fontId="44" fillId="57" borderId="104" xfId="872" applyFont="1" applyFill="1" applyBorder="1" applyAlignment="1">
      <alignment horizontal="center" vertical="center" wrapText="1"/>
    </xf>
    <xf numFmtId="0" fontId="44" fillId="57" borderId="105" xfId="872" applyFont="1" applyFill="1" applyBorder="1" applyAlignment="1">
      <alignment horizontal="center" vertical="center" wrapText="1"/>
    </xf>
    <xf numFmtId="0" fontId="44" fillId="56" borderId="3" xfId="0" applyFont="1" applyFill="1" applyBorder="1" applyAlignment="1">
      <alignment horizontal="center" vertical="center" wrapText="1"/>
    </xf>
    <xf numFmtId="173" fontId="141" fillId="9" borderId="41" xfId="0" applyNumberFormat="1" applyFont="1" applyFill="1" applyBorder="1" applyAlignment="1">
      <alignment horizontal="center" vertical="center"/>
    </xf>
    <xf numFmtId="173" fontId="141" fillId="9" borderId="62" xfId="0" applyNumberFormat="1" applyFont="1" applyFill="1" applyBorder="1" applyAlignment="1">
      <alignment horizontal="center" vertical="center"/>
    </xf>
    <xf numFmtId="173" fontId="141" fillId="9" borderId="105" xfId="0" applyNumberFormat="1" applyFont="1" applyFill="1" applyBorder="1" applyAlignment="1">
      <alignment horizontal="center" vertical="center"/>
    </xf>
    <xf numFmtId="173" fontId="141" fillId="9" borderId="39" xfId="0" applyNumberFormat="1" applyFont="1" applyFill="1" applyBorder="1" applyAlignment="1">
      <alignment horizontal="center" vertical="center"/>
    </xf>
    <xf numFmtId="173" fontId="141" fillId="9" borderId="18" xfId="0" applyNumberFormat="1" applyFont="1" applyFill="1" applyBorder="1" applyAlignment="1">
      <alignment horizontal="center" vertical="center"/>
    </xf>
    <xf numFmtId="173" fontId="141" fillId="9" borderId="42" xfId="0" applyNumberFormat="1" applyFont="1" applyFill="1" applyBorder="1" applyAlignment="1">
      <alignment horizontal="center" vertical="center"/>
    </xf>
    <xf numFmtId="172" fontId="141" fillId="9" borderId="42" xfId="0" applyNumberFormat="1" applyFont="1" applyFill="1" applyBorder="1" applyAlignment="1">
      <alignment horizontal="center" vertical="center"/>
    </xf>
    <xf numFmtId="172" fontId="141" fillId="9" borderId="26" xfId="0" applyNumberFormat="1" applyFont="1" applyFill="1" applyBorder="1" applyAlignment="1">
      <alignment horizontal="center" vertical="center"/>
    </xf>
    <xf numFmtId="189" fontId="141" fillId="9" borderId="16" xfId="0" applyNumberFormat="1" applyFont="1" applyFill="1" applyBorder="1" applyAlignment="1">
      <alignment horizontal="center" vertical="center"/>
    </xf>
    <xf numFmtId="173" fontId="141" fillId="9" borderId="15" xfId="0" applyNumberFormat="1" applyFont="1" applyFill="1" applyBorder="1" applyAlignment="1">
      <alignment horizontal="center" vertical="center"/>
    </xf>
    <xf numFmtId="189" fontId="141" fillId="9" borderId="0" xfId="0" applyNumberFormat="1" applyFont="1" applyFill="1" applyBorder="1" applyAlignment="1">
      <alignment horizontal="center" vertical="center"/>
    </xf>
    <xf numFmtId="0" fontId="141" fillId="9" borderId="16" xfId="0" applyFont="1" applyFill="1" applyBorder="1" applyAlignment="1">
      <alignment horizontal="center" vertical="center"/>
    </xf>
    <xf numFmtId="0" fontId="141" fillId="15" borderId="0" xfId="0" applyFont="1" applyFill="1"/>
    <xf numFmtId="173" fontId="141" fillId="9" borderId="0" xfId="0" applyNumberFormat="1" applyFont="1" applyFill="1" applyBorder="1"/>
    <xf numFmtId="0" fontId="141" fillId="0" borderId="0" xfId="0" applyFont="1" applyFill="1"/>
    <xf numFmtId="0" fontId="44" fillId="57" borderId="0" xfId="0" applyFont="1" applyFill="1" applyBorder="1" applyAlignment="1">
      <alignment horizontal="center" vertical="center"/>
    </xf>
    <xf numFmtId="0" fontId="141" fillId="9" borderId="0" xfId="844" applyFont="1" applyFill="1" applyBorder="1" applyAlignment="1">
      <alignment horizontal="left" vertical="center" wrapText="1"/>
    </xf>
    <xf numFmtId="172" fontId="141" fillId="9" borderId="0" xfId="0" applyNumberFormat="1" applyFont="1" applyFill="1" applyBorder="1" applyAlignment="1">
      <alignment horizontal="center" vertical="center"/>
    </xf>
    <xf numFmtId="172" fontId="141" fillId="9" borderId="0" xfId="0" applyNumberFormat="1" applyFont="1" applyFill="1" applyBorder="1" applyAlignment="1">
      <alignment horizontal="center"/>
    </xf>
    <xf numFmtId="0" fontId="141" fillId="9" borderId="0" xfId="0" applyNumberFormat="1" applyFont="1" applyFill="1" applyBorder="1" applyAlignment="1">
      <alignment horizontal="center"/>
    </xf>
    <xf numFmtId="0" fontId="141" fillId="9" borderId="0" xfId="0" applyFont="1" applyFill="1" applyBorder="1" applyAlignment="1"/>
    <xf numFmtId="173" fontId="141" fillId="9" borderId="0" xfId="0" applyNumberFormat="1" applyFont="1" applyFill="1"/>
    <xf numFmtId="0" fontId="44" fillId="2" borderId="46" xfId="815" applyFont="1" applyFill="1" applyBorder="1" applyAlignment="1">
      <alignment horizontal="center" vertical="center" wrapText="1"/>
    </xf>
    <xf numFmtId="0" fontId="44" fillId="2" borderId="36" xfId="815" applyFont="1" applyFill="1" applyBorder="1" applyAlignment="1">
      <alignment horizontal="center" vertical="center" wrapText="1"/>
    </xf>
    <xf numFmtId="0" fontId="44" fillId="2" borderId="41" xfId="846" applyFont="1" applyFill="1" applyBorder="1" applyAlignment="1">
      <alignment horizontal="center" vertical="center" wrapText="1"/>
    </xf>
    <xf numFmtId="0" fontId="44" fillId="2" borderId="81" xfId="846" applyFont="1" applyFill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44" fillId="73" borderId="25" xfId="872" applyFont="1" applyFill="1" applyBorder="1" applyAlignment="1">
      <alignment horizontal="center" vertical="center" wrapText="1"/>
    </xf>
    <xf numFmtId="0" fontId="44" fillId="15" borderId="41" xfId="0" applyFont="1" applyFill="1" applyBorder="1" applyAlignment="1">
      <alignment horizontal="center" vertical="center" wrapText="1"/>
    </xf>
    <xf numFmtId="0" fontId="44" fillId="15" borderId="104" xfId="0" applyFont="1" applyFill="1" applyBorder="1" applyAlignment="1">
      <alignment horizontal="center" vertical="center" wrapText="1"/>
    </xf>
    <xf numFmtId="0" fontId="44" fillId="15" borderId="104" xfId="872" applyFont="1" applyFill="1" applyBorder="1" applyAlignment="1">
      <alignment horizontal="center" vertical="center" wrapText="1"/>
    </xf>
    <xf numFmtId="0" fontId="44" fillId="15" borderId="3" xfId="872" applyFont="1" applyFill="1" applyBorder="1" applyAlignment="1">
      <alignment horizontal="center" vertical="center" wrapText="1"/>
    </xf>
    <xf numFmtId="0" fontId="44" fillId="15" borderId="46" xfId="872" applyFont="1" applyFill="1" applyBorder="1" applyAlignment="1">
      <alignment horizontal="center" vertical="center" wrapText="1"/>
    </xf>
    <xf numFmtId="0" fontId="44" fillId="56" borderId="32" xfId="872" applyFont="1" applyFill="1" applyBorder="1" applyAlignment="1">
      <alignment horizontal="center" vertical="center" wrapText="1"/>
    </xf>
    <xf numFmtId="0" fontId="44" fillId="56" borderId="46" xfId="0" applyFont="1" applyFill="1" applyBorder="1" applyAlignment="1">
      <alignment horizontal="center" vertical="center" wrapText="1"/>
    </xf>
    <xf numFmtId="0" fontId="44" fillId="56" borderId="46" xfId="872" applyFont="1" applyFill="1" applyBorder="1" applyAlignment="1">
      <alignment horizontal="center" vertical="center" wrapText="1"/>
    </xf>
    <xf numFmtId="0" fontId="141" fillId="0" borderId="0" xfId="0" applyFont="1" applyBorder="1"/>
    <xf numFmtId="0" fontId="44" fillId="9" borderId="0" xfId="0" applyFont="1" applyFill="1" applyBorder="1"/>
    <xf numFmtId="1" fontId="141" fillId="9" borderId="0" xfId="0" applyNumberFormat="1" applyFont="1" applyFill="1"/>
    <xf numFmtId="172" fontId="141" fillId="9" borderId="32" xfId="0" applyNumberFormat="1" applyFont="1" applyFill="1" applyBorder="1" applyAlignment="1">
      <alignment horizontal="center" vertical="center"/>
    </xf>
    <xf numFmtId="172" fontId="141" fillId="9" borderId="81" xfId="0" applyNumberFormat="1" applyFont="1" applyFill="1" applyBorder="1" applyAlignment="1">
      <alignment horizontal="center" vertical="center"/>
    </xf>
    <xf numFmtId="169" fontId="141" fillId="9" borderId="0" xfId="0" applyNumberFormat="1" applyFont="1" applyFill="1" applyBorder="1"/>
    <xf numFmtId="173" fontId="141" fillId="9" borderId="0" xfId="0" applyNumberFormat="1" applyFont="1" applyFill="1" applyBorder="1" applyAlignment="1">
      <alignment horizontal="left"/>
    </xf>
    <xf numFmtId="0" fontId="141" fillId="9" borderId="0" xfId="0" applyFont="1" applyFill="1" applyBorder="1" applyAlignment="1">
      <alignment horizontal="center"/>
    </xf>
    <xf numFmtId="172" fontId="141" fillId="9" borderId="6" xfId="0" applyNumberFormat="1" applyFont="1" applyFill="1" applyBorder="1" applyAlignment="1">
      <alignment horizontal="center" vertical="center"/>
    </xf>
    <xf numFmtId="172" fontId="141" fillId="9" borderId="85" xfId="0" applyNumberFormat="1" applyFont="1" applyFill="1" applyBorder="1" applyAlignment="1">
      <alignment horizontal="center" vertical="center"/>
    </xf>
    <xf numFmtId="0" fontId="141" fillId="9" borderId="0" xfId="0" applyFont="1" applyFill="1" applyBorder="1" applyAlignment="1">
      <alignment horizontal="left"/>
    </xf>
    <xf numFmtId="0" fontId="141" fillId="9" borderId="0" xfId="0" applyNumberFormat="1" applyFont="1" applyFill="1" applyBorder="1"/>
    <xf numFmtId="173" fontId="142" fillId="9" borderId="0" xfId="0" applyNumberFormat="1" applyFont="1" applyFill="1" applyBorder="1" applyAlignment="1">
      <alignment horizontal="left" vertical="center"/>
    </xf>
    <xf numFmtId="0" fontId="142" fillId="9" borderId="0" xfId="0" applyNumberFormat="1" applyFont="1" applyFill="1" applyBorder="1" applyAlignment="1">
      <alignment horizontal="left"/>
    </xf>
    <xf numFmtId="0" fontId="142" fillId="9" borderId="0" xfId="0" applyFont="1" applyFill="1" applyBorder="1" applyAlignment="1">
      <alignment horizontal="left"/>
    </xf>
    <xf numFmtId="173" fontId="142" fillId="9" borderId="0" xfId="0" applyNumberFormat="1" applyFont="1" applyFill="1" applyBorder="1" applyAlignment="1">
      <alignment horizontal="left"/>
    </xf>
    <xf numFmtId="172" fontId="141" fillId="9" borderId="77" xfId="0" applyNumberFormat="1" applyFont="1" applyFill="1" applyBorder="1" applyAlignment="1">
      <alignment horizontal="center" vertical="center"/>
    </xf>
    <xf numFmtId="172" fontId="141" fillId="9" borderId="45" xfId="0" applyNumberFormat="1" applyFont="1" applyFill="1" applyBorder="1" applyAlignment="1">
      <alignment horizontal="center" vertical="center"/>
    </xf>
    <xf numFmtId="0" fontId="141" fillId="9" borderId="0" xfId="0" applyNumberFormat="1" applyFont="1" applyFill="1" applyBorder="1" applyAlignment="1">
      <alignment horizontal="left"/>
    </xf>
    <xf numFmtId="172" fontId="141" fillId="9" borderId="35" xfId="0" applyNumberFormat="1" applyFont="1" applyFill="1" applyBorder="1" applyAlignment="1">
      <alignment horizontal="center" vertical="center"/>
    </xf>
    <xf numFmtId="172" fontId="141" fillId="9" borderId="82" xfId="0" applyNumberFormat="1" applyFont="1" applyFill="1" applyBorder="1" applyAlignment="1">
      <alignment horizontal="center" vertical="center"/>
    </xf>
    <xf numFmtId="173" fontId="141" fillId="9" borderId="0" xfId="0" applyNumberFormat="1" applyFont="1" applyFill="1" applyBorder="1" applyAlignment="1">
      <alignment horizontal="center"/>
    </xf>
    <xf numFmtId="173" fontId="141" fillId="9" borderId="0" xfId="0" applyNumberFormat="1" applyFont="1" applyFill="1" applyAlignment="1">
      <alignment horizontal="center"/>
    </xf>
    <xf numFmtId="0" fontId="141" fillId="0" borderId="0" xfId="0" applyFont="1" applyFill="1" applyBorder="1" applyAlignment="1">
      <alignment horizontal="center"/>
    </xf>
    <xf numFmtId="169" fontId="141" fillId="0" borderId="0" xfId="0" applyNumberFormat="1" applyFont="1" applyFill="1" applyBorder="1" applyAlignment="1">
      <alignment horizontal="center"/>
    </xf>
    <xf numFmtId="173" fontId="141" fillId="0" borderId="0" xfId="0" applyNumberFormat="1" applyFont="1"/>
    <xf numFmtId="172" fontId="141" fillId="9" borderId="41" xfId="0" applyNumberFormat="1" applyFont="1" applyFill="1" applyBorder="1" applyAlignment="1">
      <alignment horizontal="center"/>
    </xf>
    <xf numFmtId="172" fontId="141" fillId="9" borderId="23" xfId="0" applyNumberFormat="1" applyFont="1" applyFill="1" applyBorder="1" applyAlignment="1">
      <alignment horizontal="center"/>
    </xf>
    <xf numFmtId="173" fontId="141" fillId="9" borderId="62" xfId="0" applyNumberFormat="1" applyFont="1" applyFill="1" applyBorder="1" applyAlignment="1">
      <alignment horizontal="center"/>
    </xf>
    <xf numFmtId="173" fontId="141" fillId="9" borderId="3" xfId="0" applyNumberFormat="1" applyFont="1" applyFill="1" applyBorder="1" applyAlignment="1">
      <alignment horizontal="center"/>
    </xf>
    <xf numFmtId="173" fontId="141" fillId="9" borderId="105" xfId="0" applyNumberFormat="1" applyFont="1" applyFill="1" applyBorder="1" applyAlignment="1">
      <alignment horizontal="center"/>
    </xf>
    <xf numFmtId="2" fontId="138" fillId="9" borderId="0" xfId="0" applyNumberFormat="1" applyFont="1" applyFill="1" applyBorder="1" applyAlignment="1">
      <alignment horizontal="right"/>
    </xf>
    <xf numFmtId="0" fontId="138" fillId="9" borderId="0" xfId="0" applyNumberFormat="1" applyFont="1" applyFill="1" applyBorder="1"/>
    <xf numFmtId="172" fontId="141" fillId="9" borderId="39" xfId="0" applyNumberFormat="1" applyFont="1" applyFill="1" applyBorder="1" applyAlignment="1">
      <alignment horizontal="center"/>
    </xf>
    <xf numFmtId="172" fontId="141" fillId="9" borderId="10" xfId="0" applyNumberFormat="1" applyFont="1" applyFill="1" applyBorder="1" applyAlignment="1">
      <alignment horizontal="center"/>
    </xf>
    <xf numFmtId="173" fontId="141" fillId="9" borderId="18" xfId="0" applyNumberFormat="1" applyFont="1" applyFill="1" applyBorder="1" applyAlignment="1">
      <alignment horizontal="center"/>
    </xf>
    <xf numFmtId="173" fontId="141" fillId="9" borderId="15" xfId="0" applyNumberFormat="1" applyFont="1" applyFill="1" applyBorder="1" applyAlignment="1">
      <alignment horizontal="center"/>
    </xf>
    <xf numFmtId="2" fontId="142" fillId="9" borderId="0" xfId="0" applyNumberFormat="1" applyFont="1" applyFill="1" applyBorder="1"/>
    <xf numFmtId="172" fontId="141" fillId="9" borderId="42" xfId="0" applyNumberFormat="1" applyFont="1" applyFill="1" applyBorder="1" applyAlignment="1">
      <alignment horizontal="center"/>
    </xf>
    <xf numFmtId="172" fontId="141" fillId="9" borderId="85" xfId="0" applyNumberFormat="1" applyFont="1" applyFill="1" applyBorder="1" applyAlignment="1">
      <alignment horizontal="center"/>
    </xf>
    <xf numFmtId="172" fontId="141" fillId="9" borderId="51" xfId="0" applyNumberFormat="1" applyFont="1" applyFill="1" applyBorder="1" applyAlignment="1">
      <alignment horizontal="center"/>
    </xf>
    <xf numFmtId="165" fontId="44" fillId="58" borderId="51" xfId="0" applyNumberFormat="1" applyFont="1" applyFill="1" applyBorder="1" applyAlignment="1">
      <alignment horizontal="center"/>
    </xf>
    <xf numFmtId="173" fontId="44" fillId="58" borderId="52" xfId="0" applyNumberFormat="1" applyFont="1" applyFill="1" applyBorder="1" applyAlignment="1">
      <alignment horizontal="center"/>
    </xf>
    <xf numFmtId="173" fontId="44" fillId="58" borderId="82" xfId="0" applyNumberFormat="1" applyFont="1" applyFill="1" applyBorder="1" applyAlignment="1">
      <alignment horizontal="center"/>
    </xf>
    <xf numFmtId="9" fontId="44" fillId="58" borderId="48" xfId="934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45" fillId="61" borderId="0" xfId="964" applyFont="1" applyFill="1" applyBorder="1" applyAlignment="1">
      <alignment horizontal="center"/>
    </xf>
    <xf numFmtId="0" fontId="1" fillId="0" borderId="164" xfId="960" applyFont="1" applyFill="1" applyBorder="1" applyAlignment="1">
      <alignment wrapText="1"/>
    </xf>
    <xf numFmtId="0" fontId="1" fillId="9" borderId="0" xfId="960" applyFont="1" applyFill="1" applyBorder="1" applyAlignment="1">
      <alignment wrapText="1"/>
    </xf>
    <xf numFmtId="0" fontId="20" fillId="55" borderId="41" xfId="49" applyFont="1" applyFill="1" applyBorder="1" applyAlignment="1">
      <alignment horizontal="center" wrapText="1"/>
    </xf>
    <xf numFmtId="0" fontId="0" fillId="9" borderId="146" xfId="0" applyFill="1" applyBorder="1" applyAlignment="1">
      <alignment horizontal="center" vertical="center" wrapText="1"/>
    </xf>
    <xf numFmtId="0" fontId="0" fillId="9" borderId="146" xfId="0" applyFont="1" applyFill="1" applyBorder="1" applyAlignment="1">
      <alignment horizontal="center"/>
    </xf>
    <xf numFmtId="0" fontId="0" fillId="9" borderId="116" xfId="0" applyFont="1" applyFill="1" applyBorder="1" applyAlignment="1">
      <alignment horizontal="center"/>
    </xf>
    <xf numFmtId="0" fontId="19" fillId="9" borderId="136" xfId="0" applyFont="1" applyFill="1" applyBorder="1" applyAlignment="1">
      <alignment horizontal="center"/>
    </xf>
    <xf numFmtId="9" fontId="0" fillId="9" borderId="147" xfId="889" applyFont="1" applyFill="1" applyBorder="1"/>
    <xf numFmtId="0" fontId="0" fillId="9" borderId="142" xfId="0" applyFill="1" applyBorder="1" applyAlignment="1">
      <alignment horizontal="center" vertical="center" wrapText="1"/>
    </xf>
    <xf numFmtId="0" fontId="0" fillId="9" borderId="142" xfId="0" applyFont="1" applyFill="1" applyBorder="1" applyAlignment="1">
      <alignment horizontal="center"/>
    </xf>
    <xf numFmtId="0" fontId="0" fillId="9" borderId="129" xfId="0" applyFont="1" applyFill="1" applyBorder="1" applyAlignment="1">
      <alignment horizontal="center"/>
    </xf>
    <xf numFmtId="9" fontId="78" fillId="9" borderId="147" xfId="889" applyFont="1" applyFill="1" applyBorder="1"/>
    <xf numFmtId="0" fontId="19" fillId="9" borderId="135" xfId="0" applyFont="1" applyFill="1" applyBorder="1" applyAlignment="1">
      <alignment horizontal="center"/>
    </xf>
    <xf numFmtId="9" fontId="0" fillId="9" borderId="135" xfId="889" applyFont="1" applyFill="1" applyBorder="1"/>
    <xf numFmtId="0" fontId="20" fillId="9" borderId="50" xfId="0" applyNumberFormat="1" applyFont="1" applyFill="1" applyBorder="1" applyAlignment="1">
      <alignment horizontal="center"/>
    </xf>
    <xf numFmtId="0" fontId="21" fillId="96" borderId="132" xfId="0" applyNumberFormat="1" applyFont="1" applyFill="1" applyBorder="1" applyAlignment="1">
      <alignment horizontal="center"/>
    </xf>
    <xf numFmtId="0" fontId="0" fillId="9" borderId="136" xfId="0" applyFont="1" applyFill="1" applyBorder="1" applyAlignment="1">
      <alignment horizontal="center" vertical="center" wrapText="1"/>
    </xf>
    <xf numFmtId="0" fontId="20" fillId="96" borderId="46" xfId="0" applyNumberFormat="1" applyFont="1" applyFill="1" applyBorder="1" applyAlignment="1">
      <alignment horizontal="center"/>
    </xf>
    <xf numFmtId="0" fontId="0" fillId="9" borderId="145" xfId="0" applyFont="1" applyFill="1" applyBorder="1" applyAlignment="1">
      <alignment horizontal="center" vertical="center" wrapText="1"/>
    </xf>
    <xf numFmtId="9" fontId="0" fillId="9" borderId="23" xfId="889" applyFont="1" applyFill="1" applyBorder="1"/>
    <xf numFmtId="0" fontId="0" fillId="9" borderId="1" xfId="0" applyFont="1" applyFill="1" applyBorder="1" applyAlignment="1">
      <alignment horizontal="left" vertical="center"/>
    </xf>
    <xf numFmtId="0" fontId="0" fillId="9" borderId="28" xfId="0" applyFont="1" applyFill="1" applyBorder="1" applyAlignment="1">
      <alignment horizontal="center" vertical="center" wrapText="1"/>
    </xf>
    <xf numFmtId="0" fontId="0" fillId="9" borderId="49" xfId="0" applyFont="1" applyFill="1" applyBorder="1" applyAlignment="1">
      <alignment horizontal="center"/>
    </xf>
    <xf numFmtId="0" fontId="0" fillId="96" borderId="57" xfId="0" applyNumberFormat="1" applyFont="1" applyFill="1" applyBorder="1" applyAlignment="1">
      <alignment horizontal="center"/>
    </xf>
    <xf numFmtId="0" fontId="0" fillId="9" borderId="48" xfId="0" applyNumberFormat="1" applyFont="1" applyFill="1" applyBorder="1" applyAlignment="1">
      <alignment horizontal="center"/>
    </xf>
    <xf numFmtId="0" fontId="19" fillId="9" borderId="165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 vertical="center"/>
    </xf>
    <xf numFmtId="166" fontId="141" fillId="9" borderId="127" xfId="0" applyNumberFormat="1" applyFont="1" applyFill="1" applyBorder="1" applyAlignment="1">
      <alignment horizontal="center" vertical="center"/>
    </xf>
    <xf numFmtId="166" fontId="141" fillId="9" borderId="166" xfId="0" applyNumberFormat="1" applyFont="1" applyFill="1" applyBorder="1" applyAlignment="1">
      <alignment horizontal="center" vertical="center"/>
    </xf>
    <xf numFmtId="166" fontId="141" fillId="9" borderId="165" xfId="0" applyNumberFormat="1" applyFont="1" applyFill="1" applyBorder="1" applyAlignment="1">
      <alignment horizontal="center" vertical="center"/>
    </xf>
    <xf numFmtId="165" fontId="44" fillId="9" borderId="36" xfId="893" applyNumberFormat="1" applyFont="1" applyFill="1" applyBorder="1" applyAlignment="1">
      <alignment horizontal="center" vertical="center"/>
    </xf>
    <xf numFmtId="165" fontId="44" fillId="9" borderId="21" xfId="893" applyNumberFormat="1" applyFont="1" applyFill="1" applyBorder="1" applyAlignment="1">
      <alignment horizontal="center" vertical="center"/>
    </xf>
    <xf numFmtId="9" fontId="19" fillId="9" borderId="147" xfId="889" applyFont="1" applyFill="1" applyBorder="1"/>
    <xf numFmtId="9" fontId="19" fillId="9" borderId="45" xfId="889" applyFont="1" applyFill="1" applyBorder="1"/>
    <xf numFmtId="9" fontId="19" fillId="9" borderId="30" xfId="889" applyFont="1" applyFill="1" applyBorder="1"/>
    <xf numFmtId="9" fontId="19" fillId="9" borderId="56" xfId="889" applyFont="1" applyFill="1" applyBorder="1"/>
    <xf numFmtId="173" fontId="141" fillId="9" borderId="0" xfId="0" applyNumberFormat="1" applyFont="1" applyFill="1" applyBorder="1" applyAlignment="1">
      <alignment horizontal="center" vertical="center"/>
    </xf>
    <xf numFmtId="0" fontId="44" fillId="97" borderId="46" xfId="872" applyFont="1" applyFill="1" applyBorder="1" applyAlignment="1">
      <alignment horizontal="center" vertical="center" wrapText="1"/>
    </xf>
    <xf numFmtId="0" fontId="44" fillId="97" borderId="46" xfId="0" applyFont="1" applyFill="1" applyBorder="1" applyAlignment="1">
      <alignment horizontal="center" vertical="center" wrapText="1"/>
    </xf>
    <xf numFmtId="0" fontId="44" fillId="97" borderId="3" xfId="0" applyFont="1" applyFill="1" applyBorder="1" applyAlignment="1">
      <alignment horizontal="center" vertical="center" wrapText="1"/>
    </xf>
    <xf numFmtId="0" fontId="44" fillId="97" borderId="23" xfId="872" applyFont="1" applyFill="1" applyBorder="1" applyAlignment="1">
      <alignment horizontal="center" vertical="center" wrapText="1"/>
    </xf>
    <xf numFmtId="0" fontId="44" fillId="71" borderId="46" xfId="872" applyFont="1" applyFill="1" applyBorder="1" applyAlignment="1">
      <alignment horizontal="center" vertical="center" wrapText="1"/>
    </xf>
    <xf numFmtId="0" fontId="44" fillId="13" borderId="3" xfId="872" applyFont="1" applyFill="1" applyBorder="1" applyAlignment="1">
      <alignment horizontal="center" vertical="center" wrapText="1"/>
    </xf>
    <xf numFmtId="0" fontId="44" fillId="13" borderId="105" xfId="0" applyFont="1" applyFill="1" applyBorder="1" applyAlignment="1">
      <alignment horizontal="center" vertical="center" wrapText="1"/>
    </xf>
    <xf numFmtId="168" fontId="21" fillId="71" borderId="25" xfId="0" applyNumberFormat="1" applyFont="1" applyFill="1" applyBorder="1" applyAlignment="1">
      <alignment horizontal="center"/>
    </xf>
    <xf numFmtId="9" fontId="20" fillId="0" borderId="54" xfId="889" applyFont="1" applyFill="1" applyBorder="1" applyAlignment="1">
      <alignment horizontal="center"/>
    </xf>
    <xf numFmtId="4" fontId="19" fillId="9" borderId="140" xfId="0" applyNumberFormat="1" applyFont="1" applyFill="1" applyBorder="1" applyAlignment="1">
      <alignment horizontal="center"/>
    </xf>
    <xf numFmtId="0" fontId="19" fillId="9" borderId="0" xfId="0" applyFont="1" applyFill="1" applyBorder="1" applyAlignment="1">
      <alignment horizontal="center"/>
    </xf>
    <xf numFmtId="0" fontId="80" fillId="64" borderId="41" xfId="926" applyFont="1" applyFill="1" applyBorder="1" applyAlignment="1">
      <alignment horizontal="center" vertical="center" wrapText="1"/>
    </xf>
    <xf numFmtId="0" fontId="80" fillId="64" borderId="104" xfId="926" applyFont="1" applyFill="1" applyBorder="1" applyAlignment="1">
      <alignment horizontal="center" vertical="center" wrapText="1"/>
    </xf>
    <xf numFmtId="0" fontId="80" fillId="64" borderId="16" xfId="926" applyFont="1" applyFill="1" applyBorder="1" applyAlignment="1">
      <alignment horizontal="center" vertical="center" wrapText="1"/>
    </xf>
    <xf numFmtId="0" fontId="80" fillId="64" borderId="105" xfId="926" applyFont="1" applyFill="1" applyBorder="1" applyAlignment="1">
      <alignment horizontal="center" vertical="center" wrapText="1"/>
    </xf>
    <xf numFmtId="0" fontId="72" fillId="0" borderId="0" xfId="937" applyFont="1" applyFill="1"/>
    <xf numFmtId="0" fontId="0" fillId="0" borderId="140" xfId="0" applyNumberFormat="1" applyBorder="1"/>
    <xf numFmtId="168" fontId="141" fillId="9" borderId="0" xfId="950" applyNumberFormat="1" applyFont="1" applyFill="1" applyBorder="1" applyAlignment="1">
      <alignment horizontal="right" vertical="center" wrapText="1"/>
    </xf>
    <xf numFmtId="169" fontId="141" fillId="9" borderId="0" xfId="950" applyNumberFormat="1" applyFont="1" applyFill="1" applyBorder="1" applyAlignment="1">
      <alignment horizontal="right" vertical="center" wrapText="1"/>
    </xf>
    <xf numFmtId="185" fontId="141" fillId="9" borderId="0" xfId="950" applyNumberFormat="1" applyFont="1" applyFill="1" applyBorder="1" applyAlignment="1">
      <alignment horizontal="right" vertical="center" wrapText="1"/>
    </xf>
    <xf numFmtId="184" fontId="141" fillId="9" borderId="0" xfId="950" applyNumberFormat="1" applyFont="1" applyFill="1" applyBorder="1" applyAlignment="1">
      <alignment horizontal="right" vertical="center" wrapText="1"/>
    </xf>
    <xf numFmtId="175" fontId="141" fillId="9" borderId="0" xfId="0" applyNumberFormat="1" applyFont="1" applyFill="1" applyBorder="1" applyAlignment="1">
      <alignment horizontal="right" vertical="center"/>
    </xf>
    <xf numFmtId="169" fontId="141" fillId="9" borderId="0" xfId="950" applyNumberFormat="1" applyFont="1" applyFill="1" applyBorder="1" applyAlignment="1">
      <alignment horizontal="right"/>
    </xf>
    <xf numFmtId="175" fontId="141" fillId="9" borderId="166" xfId="0" applyNumberFormat="1" applyFont="1" applyFill="1" applyBorder="1" applyAlignment="1">
      <alignment horizontal="center" vertical="center"/>
    </xf>
    <xf numFmtId="0" fontId="141" fillId="9" borderId="16" xfId="0" applyNumberFormat="1" applyFont="1" applyFill="1" applyBorder="1" applyAlignment="1">
      <alignment horizontal="center"/>
    </xf>
    <xf numFmtId="0" fontId="141" fillId="9" borderId="16" xfId="0" applyFont="1" applyFill="1" applyBorder="1" applyAlignment="1">
      <alignment horizontal="center"/>
    </xf>
    <xf numFmtId="0" fontId="141" fillId="9" borderId="167" xfId="0" applyNumberFormat="1" applyFont="1" applyFill="1" applyBorder="1" applyAlignment="1">
      <alignment horizontal="center"/>
    </xf>
    <xf numFmtId="0" fontId="19" fillId="9" borderId="16" xfId="0" applyNumberFormat="1" applyFont="1" applyFill="1" applyBorder="1" applyAlignment="1">
      <alignment horizontal="center"/>
    </xf>
    <xf numFmtId="0" fontId="141" fillId="9" borderId="104" xfId="0" applyNumberFormat="1" applyFont="1" applyFill="1" applyBorder="1" applyAlignment="1">
      <alignment horizontal="center"/>
    </xf>
    <xf numFmtId="0" fontId="141" fillId="9" borderId="16" xfId="0" applyNumberFormat="1" applyFont="1" applyFill="1" applyBorder="1" applyAlignment="1">
      <alignment horizontal="center" vertical="center"/>
    </xf>
    <xf numFmtId="0" fontId="141" fillId="9" borderId="134" xfId="0" applyNumberFormat="1" applyFont="1" applyFill="1" applyBorder="1" applyAlignment="1">
      <alignment horizontal="center"/>
    </xf>
    <xf numFmtId="168" fontId="0" fillId="9" borderId="0" xfId="0" applyNumberFormat="1" applyFill="1" applyBorder="1" applyAlignment="1">
      <alignment horizontal="center"/>
    </xf>
    <xf numFmtId="0" fontId="0" fillId="58" borderId="24" xfId="0" applyFill="1" applyBorder="1"/>
    <xf numFmtId="0" fontId="0" fillId="58" borderId="23" xfId="0" applyFill="1" applyBorder="1"/>
    <xf numFmtId="0" fontId="138" fillId="9" borderId="104" xfId="0" applyNumberFormat="1" applyFont="1" applyFill="1" applyBorder="1" applyAlignment="1">
      <alignment horizontal="center"/>
    </xf>
    <xf numFmtId="168" fontId="21" fillId="71" borderId="48" xfId="0" applyNumberFormat="1" applyFont="1" applyFill="1" applyBorder="1" applyAlignment="1">
      <alignment horizontal="center"/>
    </xf>
    <xf numFmtId="0" fontId="138" fillId="9" borderId="104" xfId="0" applyFont="1" applyFill="1" applyBorder="1" applyAlignment="1">
      <alignment horizontal="center" vertical="center"/>
    </xf>
    <xf numFmtId="0" fontId="138" fillId="9" borderId="167" xfId="0" applyNumberFormat="1" applyFont="1" applyFill="1" applyBorder="1" applyAlignment="1">
      <alignment horizontal="center"/>
    </xf>
    <xf numFmtId="0" fontId="142" fillId="9" borderId="52" xfId="0" applyNumberFormat="1" applyFont="1" applyFill="1" applyBorder="1" applyAlignment="1">
      <alignment horizontal="center"/>
    </xf>
    <xf numFmtId="0" fontId="138" fillId="9" borderId="168" xfId="0" applyNumberFormat="1" applyFont="1" applyFill="1" applyBorder="1" applyAlignment="1">
      <alignment horizontal="center"/>
    </xf>
    <xf numFmtId="180" fontId="141" fillId="9" borderId="0" xfId="0" applyNumberFormat="1" applyFont="1" applyFill="1" applyBorder="1" applyAlignment="1">
      <alignment horizontal="center" vertical="center"/>
    </xf>
    <xf numFmtId="0" fontId="0" fillId="0" borderId="0" xfId="0" applyNumberFormat="1"/>
    <xf numFmtId="10" fontId="141" fillId="9" borderId="166" xfId="889" applyNumberFormat="1" applyFont="1" applyFill="1" applyBorder="1" applyAlignment="1">
      <alignment horizontal="center" vertical="center"/>
    </xf>
    <xf numFmtId="175" fontId="141" fillId="9" borderId="165" xfId="0" applyNumberFormat="1" applyFont="1" applyFill="1" applyBorder="1" applyAlignment="1">
      <alignment horizontal="center" vertical="center"/>
    </xf>
    <xf numFmtId="0" fontId="138" fillId="9" borderId="16" xfId="0" applyNumberFormat="1" applyFont="1" applyFill="1" applyBorder="1" applyAlignment="1">
      <alignment horizontal="center"/>
    </xf>
    <xf numFmtId="180" fontId="141" fillId="9" borderId="144" xfId="0" applyNumberFormat="1" applyFont="1" applyFill="1" applyBorder="1" applyAlignment="1">
      <alignment horizontal="center" vertical="center"/>
    </xf>
    <xf numFmtId="175" fontId="141" fillId="9" borderId="129" xfId="0" applyNumberFormat="1" applyFont="1" applyFill="1" applyBorder="1" applyAlignment="1">
      <alignment horizontal="center" vertical="center"/>
    </xf>
    <xf numFmtId="173" fontId="19" fillId="9" borderId="52" xfId="0" applyNumberFormat="1" applyFont="1" applyFill="1" applyBorder="1" applyAlignment="1">
      <alignment horizontal="center"/>
    </xf>
    <xf numFmtId="10" fontId="19" fillId="9" borderId="104" xfId="0" applyNumberFormat="1" applyFont="1" applyFill="1" applyBorder="1" applyAlignment="1">
      <alignment horizontal="center"/>
    </xf>
    <xf numFmtId="0" fontId="138" fillId="9" borderId="134" xfId="0" applyNumberFormat="1" applyFont="1" applyFill="1" applyBorder="1" applyAlignment="1">
      <alignment horizontal="center"/>
    </xf>
    <xf numFmtId="173" fontId="19" fillId="9" borderId="104" xfId="0" applyNumberFormat="1" applyFont="1" applyFill="1" applyBorder="1" applyAlignment="1">
      <alignment horizontal="center"/>
    </xf>
    <xf numFmtId="173" fontId="19" fillId="9" borderId="16" xfId="0" applyNumberFormat="1" applyFont="1" applyFill="1" applyBorder="1" applyAlignment="1">
      <alignment horizontal="center"/>
    </xf>
    <xf numFmtId="10" fontId="141" fillId="9" borderId="125" xfId="889" applyNumberFormat="1" applyFont="1" applyFill="1" applyBorder="1" applyAlignment="1">
      <alignment horizontal="center" vertical="center"/>
    </xf>
    <xf numFmtId="10" fontId="19" fillId="9" borderId="52" xfId="0" applyNumberFormat="1" applyFont="1" applyFill="1" applyBorder="1" applyAlignment="1">
      <alignment horizontal="center"/>
    </xf>
    <xf numFmtId="10" fontId="19" fillId="9" borderId="16" xfId="0" applyNumberFormat="1" applyFont="1" applyFill="1" applyBorder="1" applyAlignment="1">
      <alignment horizontal="center"/>
    </xf>
    <xf numFmtId="169" fontId="19" fillId="9" borderId="104" xfId="0" applyNumberFormat="1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 wrapText="1"/>
    </xf>
    <xf numFmtId="2" fontId="19" fillId="9" borderId="16" xfId="0" applyNumberFormat="1" applyFont="1" applyFill="1" applyBorder="1" applyAlignment="1">
      <alignment horizontal="center"/>
    </xf>
    <xf numFmtId="2" fontId="19" fillId="9" borderId="104" xfId="0" applyNumberFormat="1" applyFont="1" applyFill="1" applyBorder="1" applyAlignment="1">
      <alignment horizontal="center"/>
    </xf>
    <xf numFmtId="173" fontId="19" fillId="9" borderId="10" xfId="0" applyNumberFormat="1" applyFont="1" applyFill="1" applyBorder="1" applyAlignment="1">
      <alignment horizontal="center"/>
    </xf>
    <xf numFmtId="0" fontId="39" fillId="64" borderId="140" xfId="0" applyFont="1" applyFill="1" applyBorder="1" applyAlignment="1">
      <alignment horizontal="center"/>
    </xf>
    <xf numFmtId="0" fontId="37" fillId="64" borderId="23" xfId="910" applyFont="1" applyFill="1" applyBorder="1" applyAlignment="1">
      <alignment horizontal="center" vertical="center"/>
    </xf>
    <xf numFmtId="0" fontId="4" fillId="0" borderId="141" xfId="0" applyFont="1" applyFill="1" applyBorder="1"/>
    <xf numFmtId="0" fontId="4" fillId="0" borderId="39" xfId="0" applyFont="1" applyFill="1" applyBorder="1"/>
    <xf numFmtId="9" fontId="19" fillId="0" borderId="147" xfId="934" applyFont="1" applyFill="1" applyBorder="1"/>
    <xf numFmtId="9" fontId="17" fillId="0" borderId="45" xfId="934" applyFont="1" applyFill="1" applyBorder="1"/>
    <xf numFmtId="168" fontId="17" fillId="0" borderId="16" xfId="0" applyNumberFormat="1" applyFont="1" applyFill="1" applyBorder="1"/>
    <xf numFmtId="168" fontId="17" fillId="0" borderId="52" xfId="0" applyNumberFormat="1" applyFont="1" applyFill="1" applyBorder="1"/>
    <xf numFmtId="9" fontId="17" fillId="0" borderId="82" xfId="934" applyFont="1" applyFill="1" applyBorder="1"/>
    <xf numFmtId="168" fontId="19" fillId="0" borderId="104" xfId="0" applyNumberFormat="1" applyFont="1" applyFill="1" applyBorder="1"/>
    <xf numFmtId="168" fontId="19" fillId="0" borderId="105" xfId="0" applyNumberFormat="1" applyFont="1" applyFill="1" applyBorder="1"/>
    <xf numFmtId="177" fontId="17" fillId="0" borderId="16" xfId="0" applyNumberFormat="1" applyFont="1" applyFill="1" applyBorder="1"/>
    <xf numFmtId="168" fontId="19" fillId="9" borderId="48" xfId="0" applyNumberFormat="1" applyFont="1" applyFill="1" applyBorder="1" applyAlignment="1">
      <alignment horizontal="center"/>
    </xf>
    <xf numFmtId="169" fontId="0" fillId="0" borderId="46" xfId="0" applyNumberFormat="1" applyBorder="1" applyAlignment="1">
      <alignment horizontal="center"/>
    </xf>
    <xf numFmtId="169" fontId="0" fillId="0" borderId="47" xfId="0" applyNumberFormat="1" applyBorder="1" applyAlignment="1">
      <alignment horizontal="center"/>
    </xf>
    <xf numFmtId="168" fontId="19" fillId="0" borderId="140" xfId="0" applyNumberFormat="1" applyFont="1" applyFill="1" applyBorder="1"/>
    <xf numFmtId="174" fontId="19" fillId="0" borderId="140" xfId="0" applyNumberFormat="1" applyFont="1" applyFill="1" applyBorder="1"/>
    <xf numFmtId="177" fontId="19" fillId="0" borderId="140" xfId="0" applyNumberFormat="1" applyFont="1" applyFill="1" applyBorder="1"/>
    <xf numFmtId="174" fontId="19" fillId="0" borderId="52" xfId="0" applyNumberFormat="1" applyFont="1" applyBorder="1"/>
    <xf numFmtId="168" fontId="19" fillId="0" borderId="52" xfId="0" applyNumberFormat="1" applyFont="1" applyFill="1" applyBorder="1"/>
    <xf numFmtId="3" fontId="19" fillId="0" borderId="140" xfId="0" applyNumberFormat="1" applyFont="1" applyFill="1" applyBorder="1" applyAlignment="1">
      <alignment horizontal="center"/>
    </xf>
    <xf numFmtId="0" fontId="168" fillId="0" borderId="141" xfId="0" applyFont="1" applyFill="1" applyBorder="1"/>
    <xf numFmtId="0" fontId="168" fillId="0" borderId="39" xfId="0" applyFont="1" applyFill="1" applyBorder="1"/>
    <xf numFmtId="0" fontId="168" fillId="3" borderId="40" xfId="0" applyFont="1" applyFill="1" applyBorder="1"/>
    <xf numFmtId="3" fontId="19" fillId="0" borderId="16" xfId="0" applyNumberFormat="1" applyFont="1" applyFill="1" applyBorder="1" applyAlignment="1">
      <alignment horizontal="center"/>
    </xf>
    <xf numFmtId="3" fontId="19" fillId="0" borderId="142" xfId="0" applyNumberFormat="1" applyFont="1" applyFill="1" applyBorder="1" applyAlignment="1">
      <alignment horizontal="center"/>
    </xf>
    <xf numFmtId="9" fontId="19" fillId="0" borderId="56" xfId="934" applyFont="1" applyBorder="1" applyAlignment="1">
      <alignment horizontal="right"/>
    </xf>
    <xf numFmtId="177" fontId="19" fillId="0" borderId="140" xfId="0" applyNumberFormat="1" applyFont="1" applyFill="1" applyBorder="1" applyAlignment="1">
      <alignment horizontal="center"/>
    </xf>
    <xf numFmtId="168" fontId="19" fillId="0" borderId="140" xfId="0" applyNumberFormat="1" applyFont="1" applyFill="1" applyBorder="1" applyAlignment="1">
      <alignment horizontal="center"/>
    </xf>
    <xf numFmtId="174" fontId="19" fillId="0" borderId="52" xfId="0" applyNumberFormat="1" applyFont="1" applyFill="1" applyBorder="1" applyAlignment="1">
      <alignment horizontal="center"/>
    </xf>
    <xf numFmtId="177" fontId="19" fillId="0" borderId="142" xfId="0" applyNumberFormat="1" applyFont="1" applyBorder="1"/>
    <xf numFmtId="0" fontId="7" fillId="0" borderId="140" xfId="956" applyFont="1" applyFill="1" applyBorder="1" applyAlignment="1">
      <alignment wrapText="1"/>
    </xf>
    <xf numFmtId="188" fontId="19" fillId="0" borderId="140" xfId="0" applyNumberFormat="1" applyFont="1" applyFill="1" applyBorder="1"/>
    <xf numFmtId="188" fontId="19" fillId="0" borderId="52" xfId="0" applyNumberFormat="1" applyFont="1" applyBorder="1"/>
    <xf numFmtId="9" fontId="19" fillId="0" borderId="122" xfId="934" applyFont="1" applyFill="1" applyBorder="1" applyAlignment="1">
      <alignment horizontal="right"/>
    </xf>
    <xf numFmtId="0" fontId="168" fillId="0" borderId="145" xfId="0" applyFont="1" applyFill="1" applyBorder="1"/>
    <xf numFmtId="168" fontId="19" fillId="0" borderId="146" xfId="0" applyNumberFormat="1" applyFont="1" applyFill="1" applyBorder="1"/>
    <xf numFmtId="168" fontId="19" fillId="0" borderId="104" xfId="0" applyNumberFormat="1" applyFont="1" applyFill="1" applyBorder="1" applyAlignment="1">
      <alignment horizontal="center"/>
    </xf>
    <xf numFmtId="174" fontId="19" fillId="0" borderId="146" xfId="0" applyNumberFormat="1" applyFont="1" applyFill="1" applyBorder="1" applyAlignment="1">
      <alignment horizontal="center"/>
    </xf>
    <xf numFmtId="177" fontId="19" fillId="0" borderId="105" xfId="0" applyNumberFormat="1" applyFont="1" applyFill="1" applyBorder="1"/>
    <xf numFmtId="9" fontId="19" fillId="0" borderId="147" xfId="934" applyFont="1" applyFill="1" applyBorder="1" applyAlignment="1">
      <alignment horizontal="right"/>
    </xf>
    <xf numFmtId="177" fontId="19" fillId="0" borderId="134" xfId="0" applyNumberFormat="1" applyFont="1" applyFill="1" applyBorder="1" applyAlignment="1">
      <alignment horizontal="center"/>
    </xf>
    <xf numFmtId="191" fontId="19" fillId="0" borderId="146" xfId="0" applyNumberFormat="1" applyFont="1" applyFill="1" applyBorder="1"/>
    <xf numFmtId="191" fontId="19" fillId="0" borderId="140" xfId="0" applyNumberFormat="1" applyFont="1" applyFill="1" applyBorder="1"/>
    <xf numFmtId="191" fontId="19" fillId="0" borderId="16" xfId="0" applyNumberFormat="1" applyFont="1" applyFill="1" applyBorder="1"/>
    <xf numFmtId="168" fontId="19" fillId="9" borderId="48" xfId="0" applyNumberFormat="1" applyFont="1" applyFill="1" applyBorder="1" applyAlignment="1">
      <alignment horizontal="center"/>
    </xf>
    <xf numFmtId="169" fontId="0" fillId="0" borderId="46" xfId="0" applyNumberFormat="1" applyBorder="1" applyAlignment="1">
      <alignment horizontal="center"/>
    </xf>
    <xf numFmtId="168" fontId="40" fillId="9" borderId="48" xfId="0" applyNumberFormat="1" applyFont="1" applyFill="1" applyBorder="1" applyAlignment="1">
      <alignment horizontal="center"/>
    </xf>
    <xf numFmtId="0" fontId="19" fillId="9" borderId="0" xfId="0" applyFont="1" applyFill="1"/>
    <xf numFmtId="0" fontId="19" fillId="9" borderId="0" xfId="0" applyFont="1" applyFill="1" applyBorder="1"/>
    <xf numFmtId="4" fontId="0" fillId="9" borderId="174" xfId="0" applyNumberFormat="1" applyFont="1" applyFill="1" applyBorder="1" applyAlignment="1">
      <alignment horizontal="center"/>
    </xf>
    <xf numFmtId="169" fontId="19" fillId="9" borderId="112" xfId="0" applyNumberFormat="1" applyFont="1" applyFill="1" applyBorder="1" applyAlignment="1">
      <alignment horizontal="center" vertical="center"/>
    </xf>
    <xf numFmtId="173" fontId="141" fillId="9" borderId="175" xfId="0" applyNumberFormat="1" applyFont="1" applyFill="1" applyBorder="1" applyAlignment="1">
      <alignment horizontal="center"/>
    </xf>
    <xf numFmtId="0" fontId="85" fillId="67" borderId="172" xfId="42136" applyFont="1" applyFill="1" applyBorder="1" applyAlignment="1">
      <alignment horizontal="center"/>
    </xf>
    <xf numFmtId="0" fontId="37" fillId="64" borderId="50" xfId="0" applyFont="1" applyFill="1" applyBorder="1" applyAlignment="1">
      <alignment horizontal="center"/>
    </xf>
    <xf numFmtId="0" fontId="39" fillId="64" borderId="0" xfId="0" applyFont="1" applyFill="1" applyAlignment="1">
      <alignment horizontal="center"/>
    </xf>
    <xf numFmtId="0" fontId="37" fillId="64" borderId="170" xfId="0" applyFont="1" applyFill="1" applyBorder="1" applyAlignment="1">
      <alignment horizontal="center"/>
    </xf>
    <xf numFmtId="0" fontId="37" fillId="64" borderId="171" xfId="0" applyFont="1" applyFill="1" applyBorder="1" applyAlignment="1">
      <alignment horizontal="center"/>
    </xf>
    <xf numFmtId="0" fontId="37" fillId="64" borderId="176" xfId="0" applyFont="1" applyFill="1" applyBorder="1" applyAlignment="1">
      <alignment horizontal="center"/>
    </xf>
    <xf numFmtId="0" fontId="0" fillId="0" borderId="61" xfId="0" applyNumberFormat="1" applyBorder="1"/>
    <xf numFmtId="0" fontId="0" fillId="0" borderId="86" xfId="0" applyNumberFormat="1" applyBorder="1"/>
    <xf numFmtId="0" fontId="0" fillId="0" borderId="0" xfId="0" applyNumberFormat="1" applyBorder="1"/>
    <xf numFmtId="0" fontId="39" fillId="64" borderId="49" xfId="0" applyFont="1" applyFill="1" applyBorder="1"/>
    <xf numFmtId="0" fontId="37" fillId="64" borderId="177" xfId="0" applyFont="1" applyFill="1" applyBorder="1" applyAlignment="1">
      <alignment horizontal="center"/>
    </xf>
    <xf numFmtId="0" fontId="37" fillId="64" borderId="178" xfId="0" applyFont="1" applyFill="1" applyBorder="1" applyAlignment="1">
      <alignment horizontal="center"/>
    </xf>
    <xf numFmtId="0" fontId="39" fillId="64" borderId="174" xfId="0" applyFont="1" applyFill="1" applyBorder="1"/>
    <xf numFmtId="0" fontId="39" fillId="64" borderId="179" xfId="0" applyFont="1" applyFill="1" applyBorder="1" applyAlignment="1">
      <alignment horizontal="center"/>
    </xf>
    <xf numFmtId="0" fontId="0" fillId="0" borderId="180" xfId="0" applyNumberFormat="1" applyBorder="1"/>
    <xf numFmtId="0" fontId="40" fillId="9" borderId="0" xfId="937" applyFill="1" applyBorder="1" applyAlignment="1">
      <alignment horizontal="center"/>
    </xf>
    <xf numFmtId="9" fontId="19" fillId="54" borderId="46" xfId="889" applyNumberFormat="1" applyFont="1" applyFill="1" applyBorder="1" applyAlignment="1">
      <alignment horizontal="center"/>
    </xf>
    <xf numFmtId="9" fontId="19" fillId="54" borderId="49" xfId="889" applyNumberFormat="1" applyFont="1" applyFill="1" applyBorder="1" applyAlignment="1">
      <alignment horizontal="center"/>
    </xf>
    <xf numFmtId="9" fontId="19" fillId="54" borderId="24" xfId="889" applyNumberFormat="1" applyFont="1" applyFill="1" applyBorder="1" applyAlignment="1">
      <alignment horizontal="center"/>
    </xf>
    <xf numFmtId="9" fontId="19" fillId="54" borderId="50" xfId="889" applyNumberFormat="1" applyFont="1" applyFill="1" applyBorder="1" applyAlignment="1">
      <alignment horizontal="center"/>
    </xf>
    <xf numFmtId="9" fontId="20" fillId="9" borderId="46" xfId="889" applyNumberFormat="1" applyFont="1" applyFill="1" applyBorder="1" applyAlignment="1">
      <alignment horizontal="center"/>
    </xf>
    <xf numFmtId="168" fontId="19" fillId="9" borderId="48" xfId="0" applyNumberFormat="1" applyFont="1" applyFill="1" applyBorder="1" applyAlignment="1">
      <alignment horizontal="center" vertical="center"/>
    </xf>
    <xf numFmtId="9" fontId="16" fillId="9" borderId="80" xfId="889" applyNumberFormat="1" applyFont="1" applyFill="1" applyBorder="1" applyAlignment="1">
      <alignment horizontal="center"/>
    </xf>
    <xf numFmtId="0" fontId="0" fillId="9" borderId="182" xfId="0" applyFill="1" applyBorder="1"/>
    <xf numFmtId="0" fontId="39" fillId="9" borderId="0" xfId="0" applyFont="1" applyFill="1" applyAlignment="1">
      <alignment horizontal="center" vertical="center"/>
    </xf>
    <xf numFmtId="173" fontId="39" fillId="9" borderId="0" xfId="0" applyNumberFormat="1" applyFont="1" applyFill="1" applyAlignment="1">
      <alignment horizontal="center" vertical="center"/>
    </xf>
    <xf numFmtId="0" fontId="19" fillId="0" borderId="140" xfId="0" applyNumberFormat="1" applyFont="1" applyBorder="1"/>
    <xf numFmtId="0" fontId="0" fillId="0" borderId="169" xfId="0" applyBorder="1"/>
    <xf numFmtId="0" fontId="7" fillId="0" borderId="182" xfId="946" applyFont="1" applyFill="1" applyBorder="1" applyAlignment="1">
      <alignment wrapText="1"/>
    </xf>
    <xf numFmtId="0" fontId="7" fillId="0" borderId="182" xfId="958" applyFont="1" applyFill="1" applyBorder="1" applyAlignment="1">
      <alignment horizontal="right" wrapText="1"/>
    </xf>
    <xf numFmtId="0" fontId="7" fillId="0" borderId="182" xfId="948" applyFont="1" applyFill="1" applyBorder="1" applyAlignment="1">
      <alignment wrapText="1"/>
    </xf>
    <xf numFmtId="0" fontId="7" fillId="0" borderId="182" xfId="959" applyFont="1" applyFill="1" applyBorder="1" applyAlignment="1">
      <alignment horizontal="right" wrapText="1"/>
    </xf>
    <xf numFmtId="0" fontId="7" fillId="0" borderId="182" xfId="959" applyFont="1" applyFill="1" applyBorder="1" applyAlignment="1">
      <alignment wrapText="1"/>
    </xf>
    <xf numFmtId="15" fontId="7" fillId="0" borderId="182" xfId="959" applyNumberFormat="1" applyFont="1" applyFill="1" applyBorder="1" applyAlignment="1">
      <alignment horizontal="right" wrapText="1"/>
    </xf>
    <xf numFmtId="0" fontId="93" fillId="0" borderId="182" xfId="946" applyFont="1" applyFill="1" applyBorder="1" applyAlignment="1">
      <alignment wrapText="1"/>
    </xf>
    <xf numFmtId="0" fontId="7" fillId="0" borderId="182" xfId="946" applyFont="1" applyFill="1" applyBorder="1" applyAlignment="1">
      <alignment horizontal="right" wrapText="1"/>
    </xf>
    <xf numFmtId="0" fontId="7" fillId="0" borderId="182" xfId="948" applyFont="1" applyFill="1" applyBorder="1" applyAlignment="1">
      <alignment horizontal="right" wrapText="1"/>
    </xf>
    <xf numFmtId="15" fontId="7" fillId="0" borderId="182" xfId="948" applyNumberFormat="1" applyFont="1" applyFill="1" applyBorder="1" applyAlignment="1">
      <alignment horizontal="right" wrapText="1"/>
    </xf>
    <xf numFmtId="0" fontId="7" fillId="0" borderId="182" xfId="945" applyFont="1" applyFill="1" applyBorder="1" applyAlignment="1">
      <alignment wrapText="1"/>
    </xf>
    <xf numFmtId="0" fontId="7" fillId="0" borderId="182" xfId="949" applyFont="1" applyFill="1" applyBorder="1" applyAlignment="1">
      <alignment horizontal="right" wrapText="1"/>
    </xf>
    <xf numFmtId="0" fontId="7" fillId="0" borderId="182" xfId="949" applyFont="1" applyFill="1" applyBorder="1" applyAlignment="1">
      <alignment wrapText="1"/>
    </xf>
    <xf numFmtId="15" fontId="7" fillId="0" borderId="182" xfId="949" applyNumberFormat="1" applyFont="1" applyFill="1" applyBorder="1" applyAlignment="1">
      <alignment horizontal="right" wrapText="1"/>
    </xf>
    <xf numFmtId="0" fontId="7" fillId="0" borderId="182" xfId="945" applyFont="1" applyFill="1" applyBorder="1" applyAlignment="1">
      <alignment horizontal="right" wrapText="1"/>
    </xf>
    <xf numFmtId="0" fontId="161" fillId="0" borderId="182" xfId="946" applyFont="1" applyFill="1" applyBorder="1" applyAlignment="1">
      <alignment wrapText="1"/>
    </xf>
    <xf numFmtId="0" fontId="161" fillId="0" borderId="182" xfId="958" applyFont="1" applyFill="1" applyBorder="1" applyAlignment="1">
      <alignment horizontal="right" wrapText="1"/>
    </xf>
    <xf numFmtId="0" fontId="161" fillId="0" borderId="182" xfId="948" applyFont="1" applyFill="1" applyBorder="1" applyAlignment="1">
      <alignment wrapText="1"/>
    </xf>
    <xf numFmtId="0" fontId="161" fillId="0" borderId="182" xfId="959" applyFont="1" applyFill="1" applyBorder="1" applyAlignment="1">
      <alignment horizontal="right" wrapText="1"/>
    </xf>
    <xf numFmtId="0" fontId="161" fillId="0" borderId="182" xfId="959" applyFont="1" applyFill="1" applyBorder="1" applyAlignment="1">
      <alignment wrapText="1"/>
    </xf>
    <xf numFmtId="15" fontId="161" fillId="0" borderId="182" xfId="949" applyNumberFormat="1" applyFont="1" applyFill="1" applyBorder="1" applyAlignment="1">
      <alignment horizontal="right" wrapText="1"/>
    </xf>
    <xf numFmtId="0" fontId="162" fillId="0" borderId="182" xfId="946" applyFont="1" applyFill="1" applyBorder="1" applyAlignment="1">
      <alignment wrapText="1"/>
    </xf>
    <xf numFmtId="0" fontId="161" fillId="0" borderId="182" xfId="946" applyFont="1" applyFill="1" applyBorder="1" applyAlignment="1">
      <alignment horizontal="right" wrapText="1"/>
    </xf>
    <xf numFmtId="0" fontId="161" fillId="0" borderId="182" xfId="948" applyFont="1" applyFill="1" applyBorder="1" applyAlignment="1">
      <alignment horizontal="right" wrapText="1"/>
    </xf>
    <xf numFmtId="0" fontId="161" fillId="0" borderId="182" xfId="945" applyFont="1" applyFill="1" applyBorder="1" applyAlignment="1">
      <alignment wrapText="1"/>
    </xf>
    <xf numFmtId="0" fontId="161" fillId="0" borderId="182" xfId="949" applyFont="1" applyFill="1" applyBorder="1" applyAlignment="1">
      <alignment horizontal="right" wrapText="1"/>
    </xf>
    <xf numFmtId="0" fontId="161" fillId="0" borderId="182" xfId="949" applyFont="1" applyFill="1" applyBorder="1" applyAlignment="1">
      <alignment wrapText="1"/>
    </xf>
    <xf numFmtId="0" fontId="161" fillId="0" borderId="182" xfId="945" applyFont="1" applyFill="1" applyBorder="1" applyAlignment="1">
      <alignment horizontal="right" wrapText="1"/>
    </xf>
    <xf numFmtId="0" fontId="69" fillId="0" borderId="182" xfId="0" applyFont="1" applyFill="1" applyBorder="1"/>
    <xf numFmtId="15" fontId="69" fillId="0" borderId="182" xfId="0" applyNumberFormat="1" applyFont="1" applyFill="1" applyBorder="1"/>
    <xf numFmtId="0" fontId="7" fillId="0" borderId="182" xfId="963" applyFont="1" applyFill="1" applyBorder="1" applyAlignment="1">
      <alignment horizontal="right" wrapText="1"/>
    </xf>
    <xf numFmtId="0" fontId="7" fillId="0" borderId="182" xfId="963" applyFont="1" applyFill="1" applyBorder="1" applyAlignment="1">
      <alignment wrapText="1"/>
    </xf>
    <xf numFmtId="15" fontId="7" fillId="0" borderId="182" xfId="963" applyNumberFormat="1" applyFont="1" applyFill="1" applyBorder="1" applyAlignment="1">
      <alignment horizontal="right" wrapText="1"/>
    </xf>
    <xf numFmtId="0" fontId="72" fillId="0" borderId="182" xfId="937" applyFont="1" applyFill="1" applyBorder="1"/>
    <xf numFmtId="0" fontId="17" fillId="0" borderId="182" xfId="0" applyFont="1" applyFill="1" applyBorder="1"/>
    <xf numFmtId="0" fontId="69" fillId="9" borderId="182" xfId="0" applyFont="1" applyFill="1" applyBorder="1"/>
    <xf numFmtId="0" fontId="69" fillId="0" borderId="182" xfId="0" applyNumberFormat="1" applyFont="1" applyBorder="1" applyAlignment="1">
      <alignment horizontal="center"/>
    </xf>
    <xf numFmtId="0" fontId="39" fillId="64" borderId="182" xfId="0" applyFont="1" applyFill="1" applyBorder="1" applyAlignment="1">
      <alignment horizontal="center"/>
    </xf>
    <xf numFmtId="0" fontId="0" fillId="0" borderId="182" xfId="0" applyBorder="1"/>
    <xf numFmtId="0" fontId="37" fillId="64" borderId="182" xfId="0" applyFont="1" applyFill="1" applyBorder="1" applyAlignment="1">
      <alignment horizontal="center"/>
    </xf>
    <xf numFmtId="0" fontId="0" fillId="0" borderId="182" xfId="0" applyNumberFormat="1" applyBorder="1"/>
    <xf numFmtId="0" fontId="39" fillId="64" borderId="184" xfId="0" applyFont="1" applyFill="1" applyBorder="1" applyAlignment="1">
      <alignment horizontal="center"/>
    </xf>
    <xf numFmtId="10" fontId="141" fillId="9" borderId="16" xfId="889" applyNumberFormat="1" applyFont="1" applyFill="1" applyBorder="1" applyAlignment="1">
      <alignment horizontal="center" vertical="center"/>
    </xf>
    <xf numFmtId="0" fontId="44" fillId="2" borderId="186" xfId="846" applyFont="1" applyFill="1" applyBorder="1" applyAlignment="1">
      <alignment horizontal="center" vertical="center" wrapText="1"/>
    </xf>
    <xf numFmtId="173" fontId="141" fillId="9" borderId="172" xfId="0" applyNumberFormat="1" applyFont="1" applyFill="1" applyBorder="1" applyAlignment="1">
      <alignment horizontal="center" vertical="center"/>
    </xf>
    <xf numFmtId="173" fontId="141" fillId="9" borderId="181" xfId="0" applyNumberFormat="1" applyFont="1" applyFill="1" applyBorder="1" applyAlignment="1">
      <alignment horizontal="center" vertical="center"/>
    </xf>
    <xf numFmtId="172" fontId="141" fillId="9" borderId="188" xfId="0" applyNumberFormat="1" applyFont="1" applyFill="1" applyBorder="1" applyAlignment="1">
      <alignment horizontal="center" vertical="center"/>
    </xf>
    <xf numFmtId="172" fontId="141" fillId="9" borderId="189" xfId="0" applyNumberFormat="1" applyFont="1" applyFill="1" applyBorder="1" applyAlignment="1">
      <alignment horizontal="center" vertical="center"/>
    </xf>
    <xf numFmtId="173" fontId="141" fillId="9" borderId="185" xfId="0" applyNumberFormat="1" applyFont="1" applyFill="1" applyBorder="1" applyAlignment="1">
      <alignment horizontal="center" vertical="center"/>
    </xf>
    <xf numFmtId="165" fontId="141" fillId="9" borderId="172" xfId="0" applyNumberFormat="1" applyFont="1" applyFill="1" applyBorder="1" applyAlignment="1">
      <alignment horizontal="center" vertical="center"/>
    </xf>
    <xf numFmtId="173" fontId="141" fillId="9" borderId="172" xfId="0" applyNumberFormat="1" applyFont="1" applyFill="1" applyBorder="1" applyAlignment="1">
      <alignment horizontal="center"/>
    </xf>
    <xf numFmtId="173" fontId="141" fillId="9" borderId="182" xfId="0" applyNumberFormat="1" applyFont="1" applyFill="1" applyBorder="1" applyAlignment="1">
      <alignment horizontal="center"/>
    </xf>
    <xf numFmtId="172" fontId="141" fillId="9" borderId="184" xfId="0" applyNumberFormat="1" applyFont="1" applyFill="1" applyBorder="1" applyAlignment="1">
      <alignment horizontal="center" vertical="center"/>
    </xf>
    <xf numFmtId="172" fontId="141" fillId="9" borderId="187" xfId="0" applyNumberFormat="1" applyFont="1" applyFill="1" applyBorder="1" applyAlignment="1">
      <alignment horizontal="center" vertical="center"/>
    </xf>
    <xf numFmtId="172" fontId="141" fillId="9" borderId="188" xfId="0" applyNumberFormat="1" applyFont="1" applyFill="1" applyBorder="1" applyAlignment="1">
      <alignment horizontal="center"/>
    </xf>
    <xf numFmtId="172" fontId="141" fillId="9" borderId="187" xfId="0" applyNumberFormat="1" applyFont="1" applyFill="1" applyBorder="1" applyAlignment="1">
      <alignment horizontal="center"/>
    </xf>
    <xf numFmtId="173" fontId="141" fillId="9" borderId="172" xfId="0" applyNumberFormat="1" applyFont="1" applyFill="1" applyBorder="1" applyAlignment="1"/>
    <xf numFmtId="173" fontId="141" fillId="9" borderId="182" xfId="0" applyNumberFormat="1" applyFont="1" applyFill="1" applyBorder="1" applyAlignment="1"/>
    <xf numFmtId="9" fontId="141" fillId="9" borderId="81" xfId="889" applyFont="1" applyFill="1" applyBorder="1" applyAlignment="1">
      <alignment horizontal="center" vertical="center"/>
    </xf>
    <xf numFmtId="9" fontId="141" fillId="9" borderId="45" xfId="889" applyFont="1" applyFill="1" applyBorder="1" applyAlignment="1">
      <alignment horizontal="center" vertical="center"/>
    </xf>
    <xf numFmtId="9" fontId="141" fillId="9" borderId="187" xfId="889" applyFont="1" applyFill="1" applyBorder="1" applyAlignment="1">
      <alignment horizontal="center" vertical="center"/>
    </xf>
    <xf numFmtId="9" fontId="141" fillId="9" borderId="85" xfId="889" applyFont="1" applyFill="1" applyBorder="1" applyAlignment="1">
      <alignment horizontal="center" vertical="center"/>
    </xf>
    <xf numFmtId="0" fontId="19" fillId="9" borderId="46" xfId="0" applyFont="1" applyFill="1" applyBorder="1" applyAlignment="1">
      <alignment horizontal="center" vertical="center"/>
    </xf>
    <xf numFmtId="3" fontId="19" fillId="9" borderId="21" xfId="0" applyNumberFormat="1" applyFont="1" applyFill="1" applyBorder="1" applyAlignment="1">
      <alignment horizontal="center" vertical="center"/>
    </xf>
    <xf numFmtId="0" fontId="116" fillId="0" borderId="152" xfId="967" applyFont="1" applyFill="1" applyBorder="1" applyAlignment="1">
      <alignment horizontal="center" wrapText="1"/>
    </xf>
    <xf numFmtId="0" fontId="116" fillId="0" borderId="153" xfId="967" applyFont="1" applyFill="1" applyBorder="1" applyAlignment="1">
      <alignment horizontal="center" wrapText="1"/>
    </xf>
    <xf numFmtId="0" fontId="116" fillId="0" borderId="151" xfId="967" applyFont="1" applyFill="1" applyBorder="1" applyAlignment="1">
      <alignment horizontal="center" wrapText="1"/>
    </xf>
    <xf numFmtId="0" fontId="116" fillId="0" borderId="139" xfId="967" applyFont="1" applyFill="1" applyBorder="1" applyAlignment="1">
      <alignment horizontal="center" wrapText="1"/>
    </xf>
    <xf numFmtId="0" fontId="19" fillId="9" borderId="181" xfId="0" applyFont="1" applyFill="1" applyBorder="1" applyAlignment="1">
      <alignment horizontal="center"/>
    </xf>
    <xf numFmtId="172" fontId="19" fillId="9" borderId="188" xfId="0" applyNumberFormat="1" applyFont="1" applyFill="1" applyBorder="1" applyAlignment="1">
      <alignment horizontal="center"/>
    </xf>
    <xf numFmtId="172" fontId="19" fillId="9" borderId="194" xfId="0" applyNumberFormat="1" applyFont="1" applyFill="1" applyBorder="1" applyAlignment="1">
      <alignment horizontal="center"/>
    </xf>
    <xf numFmtId="0" fontId="19" fillId="9" borderId="200" xfId="0" applyFont="1" applyFill="1" applyBorder="1" applyAlignment="1">
      <alignment horizontal="center"/>
    </xf>
    <xf numFmtId="169" fontId="19" fillId="9" borderId="193" xfId="0" applyNumberFormat="1" applyFont="1" applyFill="1" applyBorder="1" applyAlignment="1">
      <alignment horizontal="center"/>
    </xf>
    <xf numFmtId="169" fontId="19" fillId="9" borderId="201" xfId="0" applyNumberFormat="1" applyFont="1" applyFill="1" applyBorder="1" applyAlignment="1">
      <alignment horizontal="center"/>
    </xf>
    <xf numFmtId="173" fontId="19" fillId="9" borderId="194" xfId="0" applyNumberFormat="1" applyFont="1" applyFill="1" applyBorder="1" applyAlignment="1">
      <alignment horizontal="center"/>
    </xf>
    <xf numFmtId="10" fontId="19" fillId="9" borderId="201" xfId="0" applyNumberFormat="1" applyFont="1" applyFill="1" applyBorder="1" applyAlignment="1">
      <alignment horizontal="center"/>
    </xf>
    <xf numFmtId="169" fontId="19" fillId="9" borderId="172" xfId="0" applyNumberFormat="1" applyFont="1" applyFill="1" applyBorder="1" applyAlignment="1">
      <alignment horizontal="center"/>
    </xf>
    <xf numFmtId="172" fontId="19" fillId="9" borderId="195" xfId="0" applyNumberFormat="1" applyFont="1" applyFill="1" applyBorder="1" applyAlignment="1">
      <alignment horizontal="center"/>
    </xf>
    <xf numFmtId="0" fontId="19" fillId="9" borderId="202" xfId="0" applyFont="1" applyFill="1" applyBorder="1" applyAlignment="1">
      <alignment horizontal="center"/>
    </xf>
    <xf numFmtId="169" fontId="19" fillId="9" borderId="173" xfId="0" applyNumberFormat="1" applyFont="1" applyFill="1" applyBorder="1" applyAlignment="1">
      <alignment horizontal="center"/>
    </xf>
    <xf numFmtId="169" fontId="19" fillId="9" borderId="197" xfId="0" applyNumberFormat="1" applyFont="1" applyFill="1" applyBorder="1" applyAlignment="1">
      <alignment horizontal="center"/>
    </xf>
    <xf numFmtId="173" fontId="19" fillId="9" borderId="195" xfId="0" applyNumberFormat="1" applyFont="1" applyFill="1" applyBorder="1" applyAlignment="1">
      <alignment horizontal="center"/>
    </xf>
    <xf numFmtId="10" fontId="19" fillId="9" borderId="197" xfId="0" applyNumberFormat="1" applyFont="1" applyFill="1" applyBorder="1" applyAlignment="1">
      <alignment horizontal="center"/>
    </xf>
    <xf numFmtId="169" fontId="19" fillId="9" borderId="181" xfId="0" applyNumberFormat="1" applyFont="1" applyFill="1" applyBorder="1" applyAlignment="1">
      <alignment horizontal="center"/>
    </xf>
    <xf numFmtId="169" fontId="19" fillId="9" borderId="200" xfId="0" applyNumberFormat="1" applyFont="1" applyFill="1" applyBorder="1" applyAlignment="1">
      <alignment horizontal="center"/>
    </xf>
    <xf numFmtId="169" fontId="19" fillId="9" borderId="15" xfId="0" applyNumberFormat="1" applyFont="1" applyFill="1" applyBorder="1" applyAlignment="1">
      <alignment horizontal="center"/>
    </xf>
    <xf numFmtId="169" fontId="19" fillId="9" borderId="202" xfId="0" applyNumberFormat="1" applyFont="1" applyFill="1" applyBorder="1" applyAlignment="1">
      <alignment horizontal="center"/>
    </xf>
    <xf numFmtId="0" fontId="19" fillId="9" borderId="104" xfId="0" applyFont="1" applyFill="1" applyBorder="1" applyAlignment="1">
      <alignment horizontal="center" vertical="center"/>
    </xf>
    <xf numFmtId="0" fontId="19" fillId="9" borderId="16" xfId="0" applyNumberFormat="1" applyFont="1" applyFill="1" applyBorder="1" applyAlignment="1">
      <alignment horizontal="center" vertical="center"/>
    </xf>
    <xf numFmtId="0" fontId="19" fillId="9" borderId="193" xfId="0" applyNumberFormat="1" applyFont="1" applyFill="1" applyBorder="1" applyAlignment="1">
      <alignment horizontal="center" vertical="center"/>
    </xf>
    <xf numFmtId="0" fontId="19" fillId="9" borderId="193" xfId="0" applyFont="1" applyFill="1" applyBorder="1" applyAlignment="1">
      <alignment horizontal="center" vertical="center"/>
    </xf>
    <xf numFmtId="0" fontId="19" fillId="9" borderId="193" xfId="0" applyNumberFormat="1" applyFont="1" applyFill="1" applyBorder="1" applyAlignment="1">
      <alignment horizontal="center"/>
    </xf>
    <xf numFmtId="0" fontId="19" fillId="9" borderId="193" xfId="0" applyFont="1" applyFill="1" applyBorder="1" applyAlignment="1">
      <alignment horizontal="center" wrapText="1"/>
    </xf>
    <xf numFmtId="169" fontId="19" fillId="9" borderId="193" xfId="0" applyNumberFormat="1" applyFont="1" applyFill="1" applyBorder="1" applyAlignment="1">
      <alignment horizontal="center" vertical="center"/>
    </xf>
    <xf numFmtId="0" fontId="19" fillId="9" borderId="199" xfId="941" applyFont="1" applyFill="1" applyBorder="1" applyAlignment="1">
      <alignment horizontal="center" wrapText="1"/>
    </xf>
    <xf numFmtId="0" fontId="19" fillId="9" borderId="193" xfId="0" applyFont="1" applyFill="1" applyBorder="1" applyAlignment="1">
      <alignment horizontal="center"/>
    </xf>
    <xf numFmtId="0" fontId="19" fillId="9" borderId="104" xfId="0" applyNumberFormat="1" applyFont="1" applyFill="1" applyBorder="1" applyAlignment="1">
      <alignment horizontal="center"/>
    </xf>
    <xf numFmtId="2" fontId="19" fillId="9" borderId="193" xfId="0" applyNumberFormat="1" applyFont="1" applyFill="1" applyBorder="1" applyAlignment="1">
      <alignment horizontal="center"/>
    </xf>
    <xf numFmtId="175" fontId="19" fillId="9" borderId="193" xfId="0" applyNumberFormat="1" applyFont="1" applyFill="1" applyBorder="1" applyAlignment="1">
      <alignment horizontal="center"/>
    </xf>
    <xf numFmtId="172" fontId="19" fillId="9" borderId="32" xfId="0" applyNumberFormat="1" applyFont="1" applyFill="1" applyBorder="1" applyAlignment="1">
      <alignment horizontal="center"/>
    </xf>
    <xf numFmtId="172" fontId="19" fillId="9" borderId="104" xfId="0" applyNumberFormat="1" applyFont="1" applyFill="1" applyBorder="1" applyAlignment="1">
      <alignment horizontal="center"/>
    </xf>
    <xf numFmtId="172" fontId="19" fillId="9" borderId="77" xfId="0" applyNumberFormat="1" applyFont="1" applyFill="1" applyBorder="1" applyAlignment="1">
      <alignment horizontal="center"/>
    </xf>
    <xf numFmtId="172" fontId="19" fillId="9" borderId="184" xfId="0" applyNumberFormat="1" applyFont="1" applyFill="1" applyBorder="1" applyAlignment="1">
      <alignment horizontal="center"/>
    </xf>
    <xf numFmtId="172" fontId="19" fillId="9" borderId="193" xfId="0" applyNumberFormat="1" applyFont="1" applyFill="1" applyBorder="1" applyAlignment="1">
      <alignment horizontal="center"/>
    </xf>
    <xf numFmtId="172" fontId="19" fillId="9" borderId="6" xfId="0" applyNumberFormat="1" applyFont="1" applyFill="1" applyBorder="1" applyAlignment="1">
      <alignment horizontal="center"/>
    </xf>
    <xf numFmtId="172" fontId="19" fillId="9" borderId="35" xfId="0" applyNumberFormat="1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175" fontId="141" fillId="9" borderId="193" xfId="0" applyNumberFormat="1" applyFont="1" applyFill="1" applyBorder="1" applyAlignment="1">
      <alignment horizontal="center" vertical="center"/>
    </xf>
    <xf numFmtId="175" fontId="141" fillId="9" borderId="172" xfId="0" applyNumberFormat="1" applyFont="1" applyFill="1" applyBorder="1" applyAlignment="1">
      <alignment horizontal="center" vertical="center"/>
    </xf>
    <xf numFmtId="0" fontId="0" fillId="0" borderId="55" xfId="0" applyFont="1" applyBorder="1" applyAlignment="1">
      <alignment horizontal="right"/>
    </xf>
    <xf numFmtId="0" fontId="141" fillId="9" borderId="193" xfId="0" applyNumberFormat="1" applyFont="1" applyFill="1" applyBorder="1" applyAlignment="1">
      <alignment horizontal="center"/>
    </xf>
    <xf numFmtId="175" fontId="141" fillId="9" borderId="195" xfId="0" applyNumberFormat="1" applyFont="1" applyFill="1" applyBorder="1" applyAlignment="1">
      <alignment horizontal="center" vertical="center"/>
    </xf>
    <xf numFmtId="0" fontId="141" fillId="9" borderId="196" xfId="0" applyNumberFormat="1" applyFont="1" applyFill="1" applyBorder="1" applyAlignment="1">
      <alignment horizontal="center"/>
    </xf>
    <xf numFmtId="3" fontId="20" fillId="71" borderId="104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168" fontId="19" fillId="9" borderId="1" xfId="0" applyNumberFormat="1" applyFont="1" applyFill="1" applyBorder="1" applyAlignment="1">
      <alignment horizontal="right" vertical="center"/>
    </xf>
    <xf numFmtId="0" fontId="19" fillId="9" borderId="182" xfId="0" applyFont="1" applyFill="1" applyBorder="1"/>
    <xf numFmtId="0" fontId="0" fillId="0" borderId="0" xfId="0"/>
    <xf numFmtId="0" fontId="0" fillId="9" borderId="0" xfId="0" applyFill="1"/>
    <xf numFmtId="0" fontId="0" fillId="9" borderId="76" xfId="0" applyNumberFormat="1" applyFill="1" applyBorder="1" applyAlignment="1">
      <alignment horizontal="center"/>
    </xf>
    <xf numFmtId="169" fontId="19" fillId="9" borderId="48" xfId="0" applyNumberFormat="1" applyFont="1" applyFill="1" applyBorder="1" applyAlignment="1">
      <alignment horizontal="center"/>
    </xf>
    <xf numFmtId="0" fontId="19" fillId="9" borderId="172" xfId="0" applyFont="1" applyFill="1" applyBorder="1" applyAlignment="1">
      <alignment horizontal="center"/>
    </xf>
    <xf numFmtId="169" fontId="19" fillId="9" borderId="199" xfId="940" applyNumberFormat="1" applyFont="1" applyFill="1" applyBorder="1" applyAlignment="1">
      <alignment horizontal="center" wrapText="1"/>
    </xf>
    <xf numFmtId="0" fontId="19" fillId="9" borderId="196" xfId="0" applyNumberFormat="1" applyFont="1" applyFill="1" applyBorder="1" applyAlignment="1">
      <alignment horizontal="center"/>
    </xf>
    <xf numFmtId="0" fontId="20" fillId="54" borderId="49" xfId="0" applyFont="1" applyFill="1" applyBorder="1" applyAlignment="1">
      <alignment horizontal="center"/>
    </xf>
    <xf numFmtId="0" fontId="19" fillId="54" borderId="49" xfId="0" applyFont="1" applyFill="1" applyBorder="1" applyAlignment="1">
      <alignment horizontal="center"/>
    </xf>
    <xf numFmtId="0" fontId="19" fillId="9" borderId="183" xfId="0" applyFont="1" applyFill="1" applyBorder="1" applyAlignment="1">
      <alignment horizontal="center"/>
    </xf>
    <xf numFmtId="176" fontId="19" fillId="54" borderId="49" xfId="0" applyNumberFormat="1" applyFont="1" applyFill="1" applyBorder="1" applyAlignment="1">
      <alignment horizontal="center" vertical="center" wrapText="1"/>
    </xf>
    <xf numFmtId="4" fontId="19" fillId="54" borderId="46" xfId="0" applyNumberFormat="1" applyFont="1" applyFill="1" applyBorder="1" applyAlignment="1">
      <alignment horizontal="center"/>
    </xf>
    <xf numFmtId="0" fontId="141" fillId="9" borderId="0" xfId="49" applyFont="1" applyFill="1" applyBorder="1" applyAlignment="1">
      <alignment horizontal="center" vertical="center" wrapText="1"/>
    </xf>
    <xf numFmtId="0" fontId="138" fillId="9" borderId="0" xfId="0" applyFont="1" applyFill="1" applyBorder="1" applyAlignment="1">
      <alignment horizontal="center" vertical="center"/>
    </xf>
    <xf numFmtId="0" fontId="141" fillId="9" borderId="0" xfId="43" applyFont="1" applyFill="1" applyBorder="1" applyAlignment="1">
      <alignment horizontal="center" vertical="center" wrapText="1"/>
    </xf>
    <xf numFmtId="166" fontId="141" fillId="9" borderId="105" xfId="0" applyNumberFormat="1" applyFont="1" applyFill="1" applyBorder="1" applyAlignment="1">
      <alignment horizontal="center" vertical="center"/>
    </xf>
    <xf numFmtId="166" fontId="141" fillId="9" borderId="202" xfId="0" applyNumberFormat="1" applyFont="1" applyFill="1" applyBorder="1" applyAlignment="1">
      <alignment horizontal="center" vertical="center"/>
    </xf>
    <xf numFmtId="173" fontId="141" fillId="9" borderId="165" xfId="0" applyNumberFormat="1" applyFont="1" applyFill="1" applyBorder="1" applyAlignment="1">
      <alignment horizontal="center" vertical="center"/>
    </xf>
    <xf numFmtId="189" fontId="141" fillId="9" borderId="0" xfId="0" applyNumberFormat="1" applyFont="1" applyFill="1"/>
    <xf numFmtId="189" fontId="141" fillId="9" borderId="193" xfId="0" applyNumberFormat="1" applyFont="1" applyFill="1" applyBorder="1" applyAlignment="1">
      <alignment horizontal="center" vertical="center"/>
    </xf>
    <xf numFmtId="173" fontId="141" fillId="9" borderId="201" xfId="0" applyNumberFormat="1" applyFont="1" applyFill="1" applyBorder="1" applyAlignment="1">
      <alignment horizontal="center" vertical="center"/>
    </xf>
    <xf numFmtId="173" fontId="141" fillId="9" borderId="193" xfId="0" applyNumberFormat="1" applyFont="1" applyFill="1" applyBorder="1" applyAlignment="1">
      <alignment horizontal="center" vertical="center"/>
    </xf>
    <xf numFmtId="0" fontId="141" fillId="9" borderId="193" xfId="0" applyFont="1" applyFill="1" applyBorder="1"/>
    <xf numFmtId="9" fontId="141" fillId="9" borderId="187" xfId="934" applyFont="1" applyFill="1" applyBorder="1" applyAlignment="1">
      <alignment horizontal="center" vertical="center"/>
    </xf>
    <xf numFmtId="173" fontId="141" fillId="9" borderId="197" xfId="0" applyNumberFormat="1" applyFont="1" applyFill="1" applyBorder="1" applyAlignment="1">
      <alignment horizontal="center" vertical="center"/>
    </xf>
    <xf numFmtId="173" fontId="141" fillId="9" borderId="202" xfId="0" applyNumberFormat="1" applyFont="1" applyFill="1" applyBorder="1" applyAlignment="1">
      <alignment horizontal="center" vertical="center"/>
    </xf>
    <xf numFmtId="173" fontId="141" fillId="9" borderId="166" xfId="0" applyNumberFormat="1" applyFont="1" applyFill="1" applyBorder="1" applyAlignment="1">
      <alignment horizontal="center" vertical="center"/>
    </xf>
    <xf numFmtId="9" fontId="141" fillId="9" borderId="82" xfId="934" applyFont="1" applyFill="1" applyBorder="1" applyAlignment="1">
      <alignment horizontal="center" vertical="center"/>
    </xf>
    <xf numFmtId="9" fontId="141" fillId="9" borderId="45" xfId="934" applyFont="1" applyFill="1" applyBorder="1" applyAlignment="1">
      <alignment horizontal="center" vertical="center"/>
    </xf>
    <xf numFmtId="173" fontId="170" fillId="9" borderId="0" xfId="0" applyNumberFormat="1" applyFont="1" applyFill="1" applyBorder="1"/>
    <xf numFmtId="0" fontId="169" fillId="9" borderId="0" xfId="0" applyFont="1" applyFill="1"/>
    <xf numFmtId="0" fontId="0" fillId="0" borderId="0" xfId="0"/>
    <xf numFmtId="0" fontId="0" fillId="9" borderId="0" xfId="0" applyFill="1"/>
    <xf numFmtId="0" fontId="141" fillId="9" borderId="193" xfId="0" applyFont="1" applyFill="1" applyBorder="1" applyAlignment="1">
      <alignment horizontal="center" vertical="center"/>
    </xf>
    <xf numFmtId="0" fontId="0" fillId="9" borderId="174" xfId="0" applyNumberFormat="1" applyFill="1" applyBorder="1" applyAlignment="1">
      <alignment horizontal="center"/>
    </xf>
    <xf numFmtId="0" fontId="0" fillId="0" borderId="46" xfId="0" applyFont="1" applyBorder="1"/>
    <xf numFmtId="0" fontId="0" fillId="0" borderId="48" xfId="0" applyFont="1" applyBorder="1"/>
    <xf numFmtId="2" fontId="19" fillId="9" borderId="52" xfId="0" applyNumberFormat="1" applyFont="1" applyFill="1" applyBorder="1" applyAlignment="1">
      <alignment horizontal="center"/>
    </xf>
    <xf numFmtId="175" fontId="19" fillId="9" borderId="52" xfId="0" applyNumberFormat="1" applyFont="1" applyFill="1" applyBorder="1" applyAlignment="1">
      <alignment horizontal="center"/>
    </xf>
    <xf numFmtId="10" fontId="19" fillId="9" borderId="193" xfId="0" applyNumberFormat="1" applyFont="1" applyFill="1" applyBorder="1" applyAlignment="1">
      <alignment horizontal="center"/>
    </xf>
    <xf numFmtId="173" fontId="19" fillId="9" borderId="193" xfId="0" applyNumberFormat="1" applyFont="1" applyFill="1" applyBorder="1" applyAlignment="1">
      <alignment horizontal="center"/>
    </xf>
    <xf numFmtId="165" fontId="141" fillId="9" borderId="16" xfId="0" applyNumberFormat="1" applyFont="1" applyFill="1" applyBorder="1" applyAlignment="1">
      <alignment horizontal="center" vertical="center"/>
    </xf>
    <xf numFmtId="165" fontId="141" fillId="9" borderId="51" xfId="893" applyNumberFormat="1" applyFont="1" applyFill="1" applyBorder="1" applyAlignment="1">
      <alignment horizontal="center" vertical="center"/>
    </xf>
    <xf numFmtId="165" fontId="141" fillId="9" borderId="0" xfId="0" applyNumberFormat="1" applyFont="1" applyFill="1" applyBorder="1" applyAlignment="1">
      <alignment horizontal="center" vertical="center"/>
    </xf>
    <xf numFmtId="173" fontId="141" fillId="9" borderId="52" xfId="0" applyNumberFormat="1" applyFont="1" applyFill="1" applyBorder="1" applyAlignment="1">
      <alignment horizontal="center" vertical="center"/>
    </xf>
    <xf numFmtId="173" fontId="141" fillId="9" borderId="16" xfId="0" applyNumberFormat="1" applyFont="1" applyFill="1" applyBorder="1" applyAlignment="1">
      <alignment horizontal="center" vertical="center"/>
    </xf>
    <xf numFmtId="173" fontId="141" fillId="9" borderId="104" xfId="0" applyNumberFormat="1" applyFont="1" applyFill="1" applyBorder="1" applyAlignment="1">
      <alignment horizontal="center" vertical="center"/>
    </xf>
    <xf numFmtId="173" fontId="19" fillId="9" borderId="51" xfId="0" applyNumberFormat="1" applyFont="1" applyFill="1" applyBorder="1" applyAlignment="1">
      <alignment horizontal="center" vertical="center"/>
    </xf>
    <xf numFmtId="173" fontId="19" fillId="9" borderId="52" xfId="0" applyNumberFormat="1" applyFont="1" applyFill="1" applyBorder="1" applyAlignment="1">
      <alignment horizontal="center" vertical="center"/>
    </xf>
    <xf numFmtId="10" fontId="19" fillId="9" borderId="82" xfId="0" applyNumberFormat="1" applyFont="1" applyFill="1" applyBorder="1" applyAlignment="1">
      <alignment horizontal="center" vertical="center"/>
    </xf>
    <xf numFmtId="173" fontId="19" fillId="9" borderId="173" xfId="0" applyNumberFormat="1" applyFont="1" applyFill="1" applyBorder="1" applyAlignment="1">
      <alignment horizontal="center" vertical="center"/>
    </xf>
    <xf numFmtId="173" fontId="19" fillId="9" borderId="0" xfId="0" applyNumberFormat="1" applyFont="1" applyFill="1" applyBorder="1" applyAlignment="1">
      <alignment horizontal="center" vertical="center"/>
    </xf>
    <xf numFmtId="173" fontId="141" fillId="9" borderId="16" xfId="0" applyNumberFormat="1" applyFont="1" applyFill="1" applyBorder="1" applyAlignment="1">
      <alignment horizontal="center"/>
    </xf>
    <xf numFmtId="173" fontId="141" fillId="9" borderId="172" xfId="0" applyNumberFormat="1" applyFont="1" applyFill="1" applyBorder="1" applyAlignment="1">
      <alignment horizontal="center"/>
    </xf>
    <xf numFmtId="173" fontId="141" fillId="9" borderId="51" xfId="0" applyNumberFormat="1" applyFont="1" applyFill="1" applyBorder="1" applyAlignment="1">
      <alignment horizontal="center"/>
    </xf>
    <xf numFmtId="173" fontId="141" fillId="9" borderId="52" xfId="0" applyNumberFormat="1" applyFont="1" applyFill="1" applyBorder="1" applyAlignment="1">
      <alignment horizontal="center"/>
    </xf>
    <xf numFmtId="173" fontId="141" fillId="9" borderId="104" xfId="0" applyNumberFormat="1" applyFont="1" applyFill="1" applyBorder="1" applyAlignment="1">
      <alignment horizontal="center"/>
    </xf>
    <xf numFmtId="173" fontId="141" fillId="9" borderId="47" xfId="0" applyNumberFormat="1" applyFont="1" applyFill="1" applyBorder="1" applyAlignment="1">
      <alignment horizontal="center" vertical="center"/>
    </xf>
    <xf numFmtId="173" fontId="141" fillId="9" borderId="183" xfId="0" applyNumberFormat="1" applyFont="1" applyFill="1" applyBorder="1" applyAlignment="1">
      <alignment horizontal="center" vertical="center"/>
    </xf>
    <xf numFmtId="173" fontId="141" fillId="9" borderId="184" xfId="0" applyNumberFormat="1" applyFont="1" applyFill="1" applyBorder="1" applyAlignment="1">
      <alignment horizontal="center" vertical="center"/>
    </xf>
    <xf numFmtId="173" fontId="141" fillId="9" borderId="35" xfId="0" applyNumberFormat="1" applyFont="1" applyFill="1" applyBorder="1" applyAlignment="1">
      <alignment horizontal="center" vertical="center"/>
    </xf>
    <xf numFmtId="173" fontId="141" fillId="9" borderId="190" xfId="0" applyNumberFormat="1" applyFont="1" applyFill="1" applyBorder="1" applyAlignment="1">
      <alignment horizontal="center" vertical="center"/>
    </xf>
    <xf numFmtId="173" fontId="141" fillId="9" borderId="6" xfId="0" applyNumberFormat="1" applyFont="1" applyFill="1" applyBorder="1" applyAlignment="1">
      <alignment horizontal="center" vertical="center"/>
    </xf>
    <xf numFmtId="173" fontId="141" fillId="9" borderId="0" xfId="0" applyNumberFormat="1" applyFont="1" applyFill="1" applyBorder="1" applyAlignment="1">
      <alignment horizontal="center" vertical="center"/>
    </xf>
    <xf numFmtId="173" fontId="141" fillId="9" borderId="77" xfId="0" applyNumberFormat="1" applyFont="1" applyFill="1" applyBorder="1" applyAlignment="1">
      <alignment horizontal="center" vertical="center"/>
    </xf>
    <xf numFmtId="173" fontId="141" fillId="9" borderId="138" xfId="0" applyNumberFormat="1" applyFont="1" applyFill="1" applyBorder="1" applyAlignment="1">
      <alignment horizontal="center" vertical="center"/>
    </xf>
    <xf numFmtId="173" fontId="141" fillId="9" borderId="3" xfId="0" applyNumberFormat="1" applyFont="1" applyFill="1" applyBorder="1" applyAlignment="1">
      <alignment horizontal="center" vertical="center"/>
    </xf>
    <xf numFmtId="173" fontId="141" fillId="9" borderId="46" xfId="0" applyNumberFormat="1" applyFont="1" applyFill="1" applyBorder="1" applyAlignment="1">
      <alignment horizontal="center" vertical="center"/>
    </xf>
    <xf numFmtId="173" fontId="141" fillId="9" borderId="32" xfId="0" applyNumberFormat="1" applyFont="1" applyFill="1" applyBorder="1" applyAlignment="1">
      <alignment horizontal="center" vertical="center"/>
    </xf>
    <xf numFmtId="173" fontId="141" fillId="9" borderId="174" xfId="0" applyNumberFormat="1" applyFont="1" applyFill="1" applyBorder="1" applyAlignment="1">
      <alignment horizontal="center" vertical="center"/>
    </xf>
    <xf numFmtId="173" fontId="141" fillId="9" borderId="50" xfId="0" applyNumberFormat="1" applyFont="1" applyFill="1" applyBorder="1" applyAlignment="1">
      <alignment horizontal="center" vertical="center"/>
    </xf>
    <xf numFmtId="173" fontId="141" fillId="9" borderId="188" xfId="0" applyNumberFormat="1" applyFont="1" applyFill="1" applyBorder="1" applyAlignment="1">
      <alignment horizontal="center" vertical="center"/>
    </xf>
    <xf numFmtId="173" fontId="141" fillId="9" borderId="51" xfId="0" applyNumberFormat="1" applyFont="1" applyFill="1" applyBorder="1" applyAlignment="1">
      <alignment horizontal="center" vertical="center"/>
    </xf>
    <xf numFmtId="0" fontId="39" fillId="64" borderId="172" xfId="0" applyFont="1" applyFill="1" applyBorder="1"/>
    <xf numFmtId="0" fontId="85" fillId="64" borderId="182" xfId="42136" applyFont="1" applyFill="1" applyBorder="1" applyAlignment="1">
      <alignment horizontal="center" wrapText="1"/>
    </xf>
    <xf numFmtId="0" fontId="21" fillId="9" borderId="182" xfId="0" applyFont="1" applyFill="1" applyBorder="1"/>
    <xf numFmtId="0" fontId="20" fillId="9" borderId="182" xfId="0" applyFont="1" applyFill="1" applyBorder="1"/>
    <xf numFmtId="0" fontId="76" fillId="9" borderId="0" xfId="0" applyFont="1" applyFill="1"/>
    <xf numFmtId="0" fontId="20" fillId="58" borderId="46" xfId="0" applyFont="1" applyFill="1" applyBorder="1" applyAlignment="1">
      <alignment horizontal="center"/>
    </xf>
    <xf numFmtId="0" fontId="171" fillId="67" borderId="204" xfId="947" applyFont="1" applyFill="1" applyBorder="1" applyAlignment="1">
      <alignment horizontal="center"/>
    </xf>
    <xf numFmtId="0" fontId="20" fillId="58" borderId="48" xfId="0" applyFont="1" applyFill="1" applyBorder="1" applyAlignment="1">
      <alignment horizontal="center"/>
    </xf>
    <xf numFmtId="0" fontId="39" fillId="64" borderId="182" xfId="0" applyFont="1" applyFill="1" applyBorder="1" applyAlignment="1">
      <alignment horizontal="center" vertical="center"/>
    </xf>
    <xf numFmtId="0" fontId="0" fillId="0" borderId="178" xfId="0" applyBorder="1"/>
    <xf numFmtId="0" fontId="0" fillId="0" borderId="76" xfId="0" applyFont="1" applyBorder="1"/>
    <xf numFmtId="0" fontId="0" fillId="0" borderId="174" xfId="0" applyFont="1" applyBorder="1"/>
    <xf numFmtId="0" fontId="18" fillId="9" borderId="182" xfId="0" applyFont="1" applyFill="1" applyBorder="1" applyAlignment="1">
      <alignment horizontal="center" vertical="center"/>
    </xf>
    <xf numFmtId="0" fontId="0" fillId="0" borderId="180" xfId="0" applyFont="1" applyBorder="1"/>
    <xf numFmtId="0" fontId="0" fillId="9" borderId="193" xfId="0" applyFill="1" applyBorder="1"/>
    <xf numFmtId="0" fontId="0" fillId="0" borderId="193" xfId="0" applyBorder="1"/>
    <xf numFmtId="0" fontId="0" fillId="0" borderId="205" xfId="0" applyFont="1" applyBorder="1"/>
    <xf numFmtId="0" fontId="0" fillId="58" borderId="58" xfId="0" applyFill="1" applyBorder="1"/>
    <xf numFmtId="0" fontId="21" fillId="58" borderId="25" xfId="0" applyFont="1" applyFill="1" applyBorder="1"/>
    <xf numFmtId="0" fontId="82" fillId="9" borderId="0" xfId="0" applyFont="1" applyFill="1"/>
    <xf numFmtId="0" fontId="172" fillId="67" borderId="193" xfId="42140" applyFont="1" applyFill="1" applyBorder="1" applyAlignment="1">
      <alignment horizontal="center"/>
    </xf>
    <xf numFmtId="0" fontId="37" fillId="100" borderId="0" xfId="0" applyFont="1" applyFill="1" applyBorder="1" applyAlignment="1">
      <alignment horizontal="center"/>
    </xf>
    <xf numFmtId="0" fontId="172" fillId="67" borderId="204" xfId="947" applyFont="1" applyFill="1" applyBorder="1" applyAlignment="1">
      <alignment horizontal="center"/>
    </xf>
    <xf numFmtId="0" fontId="19" fillId="9" borderId="182" xfId="0" applyNumberFormat="1" applyFont="1" applyFill="1" applyBorder="1" applyAlignment="1">
      <alignment horizontal="center"/>
    </xf>
    <xf numFmtId="0" fontId="19" fillId="9" borderId="182" xfId="0" applyNumberFormat="1" applyFont="1" applyFill="1" applyBorder="1" applyAlignment="1"/>
    <xf numFmtId="0" fontId="37" fillId="100" borderId="182" xfId="0" applyFont="1" applyFill="1" applyBorder="1" applyAlignment="1">
      <alignment horizontal="center"/>
    </xf>
    <xf numFmtId="0" fontId="20" fillId="96" borderId="182" xfId="0" applyNumberFormat="1" applyFont="1" applyFill="1" applyBorder="1" applyAlignment="1">
      <alignment horizontal="center"/>
    </xf>
    <xf numFmtId="0" fontId="19" fillId="9" borderId="182" xfId="0" applyFont="1" applyFill="1" applyBorder="1" applyAlignment="1">
      <alignment horizontal="center"/>
    </xf>
    <xf numFmtId="0" fontId="19" fillId="9" borderId="193" xfId="0" applyNumberFormat="1" applyFont="1" applyFill="1" applyBorder="1"/>
    <xf numFmtId="0" fontId="19" fillId="9" borderId="204" xfId="0" applyNumberFormat="1" applyFont="1" applyFill="1" applyBorder="1"/>
    <xf numFmtId="0" fontId="0" fillId="99" borderId="58" xfId="0" applyNumberFormat="1" applyFont="1" applyFill="1" applyBorder="1"/>
    <xf numFmtId="0" fontId="21" fillId="99" borderId="25" xfId="0" applyNumberFormat="1" applyFont="1" applyFill="1" applyBorder="1"/>
    <xf numFmtId="0" fontId="171" fillId="64" borderId="193" xfId="947" applyFont="1" applyFill="1" applyBorder="1" applyAlignment="1">
      <alignment horizontal="center" wrapText="1"/>
    </xf>
    <xf numFmtId="0" fontId="39" fillId="64" borderId="177" xfId="0" applyFont="1" applyFill="1" applyBorder="1" applyAlignment="1">
      <alignment horizontal="center"/>
    </xf>
    <xf numFmtId="0" fontId="39" fillId="64" borderId="206" xfId="0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center" vertical="center"/>
    </xf>
    <xf numFmtId="0" fontId="0" fillId="9" borderId="16" xfId="0" applyNumberFormat="1" applyFont="1" applyFill="1" applyBorder="1" applyAlignment="1">
      <alignment horizontal="center"/>
    </xf>
    <xf numFmtId="0" fontId="16" fillId="9" borderId="16" xfId="0" applyNumberFormat="1" applyFont="1" applyFill="1" applyBorder="1" applyAlignment="1">
      <alignment horizontal="center"/>
    </xf>
    <xf numFmtId="175" fontId="138" fillId="9" borderId="0" xfId="0" applyNumberFormat="1" applyFont="1" applyFill="1" applyAlignment="1">
      <alignment horizontal="center"/>
    </xf>
    <xf numFmtId="165" fontId="141" fillId="9" borderId="53" xfId="893" applyNumberFormat="1" applyFont="1" applyFill="1" applyBorder="1" applyAlignment="1">
      <alignment horizontal="center" vertical="center"/>
    </xf>
    <xf numFmtId="165" fontId="141" fillId="9" borderId="58" xfId="893" applyNumberFormat="1" applyFont="1" applyFill="1" applyBorder="1" applyAlignment="1">
      <alignment horizontal="center" vertical="center"/>
    </xf>
    <xf numFmtId="9" fontId="141" fillId="9" borderId="54" xfId="889" applyFont="1" applyFill="1" applyBorder="1" applyAlignment="1">
      <alignment horizontal="center" vertical="center"/>
    </xf>
    <xf numFmtId="165" fontId="141" fillId="9" borderId="52" xfId="893" applyNumberFormat="1" applyFont="1" applyFill="1" applyBorder="1" applyAlignment="1">
      <alignment horizontal="center" vertical="center"/>
    </xf>
    <xf numFmtId="9" fontId="141" fillId="9" borderId="82" xfId="889" applyFont="1" applyFill="1" applyBorder="1" applyAlignment="1">
      <alignment horizontal="center" vertical="center"/>
    </xf>
    <xf numFmtId="179" fontId="141" fillId="9" borderId="51" xfId="893" applyNumberFormat="1" applyFont="1" applyFill="1" applyBorder="1" applyAlignment="1">
      <alignment horizontal="center" vertical="center"/>
    </xf>
    <xf numFmtId="179" fontId="141" fillId="9" borderId="52" xfId="893" applyNumberFormat="1" applyFont="1" applyFill="1" applyBorder="1" applyAlignment="1">
      <alignment horizontal="center" vertical="center"/>
    </xf>
    <xf numFmtId="179" fontId="141" fillId="9" borderId="51" xfId="0" applyNumberFormat="1" applyFont="1" applyFill="1" applyBorder="1" applyAlignment="1">
      <alignment horizontal="center" vertical="center"/>
    </xf>
    <xf numFmtId="179" fontId="141" fillId="9" borderId="52" xfId="0" applyNumberFormat="1" applyFont="1" applyFill="1" applyBorder="1" applyAlignment="1">
      <alignment horizontal="center" vertical="center"/>
    </xf>
    <xf numFmtId="0" fontId="138" fillId="9" borderId="0" xfId="0" applyFont="1" applyFill="1" applyAlignment="1">
      <alignment horizontal="center"/>
    </xf>
    <xf numFmtId="10" fontId="141" fillId="9" borderId="54" xfId="890" applyNumberFormat="1" applyFont="1" applyFill="1" applyBorder="1" applyAlignment="1">
      <alignment horizontal="center" vertical="center"/>
    </xf>
    <xf numFmtId="0" fontId="138" fillId="9" borderId="193" xfId="0" applyNumberFormat="1" applyFont="1" applyFill="1" applyBorder="1" applyAlignment="1">
      <alignment horizontal="center"/>
    </xf>
    <xf numFmtId="0" fontId="0" fillId="9" borderId="52" xfId="0" applyNumberFormat="1" applyFont="1" applyFill="1" applyBorder="1" applyAlignment="1">
      <alignment horizontal="center"/>
    </xf>
    <xf numFmtId="175" fontId="141" fillId="9" borderId="207" xfId="0" applyNumberFormat="1" applyFont="1" applyFill="1" applyBorder="1" applyAlignment="1">
      <alignment horizontal="center" vertical="center"/>
    </xf>
    <xf numFmtId="179" fontId="141" fillId="9" borderId="35" xfId="893" applyNumberFormat="1" applyFont="1" applyFill="1" applyBorder="1" applyAlignment="1">
      <alignment horizontal="center" vertical="center"/>
    </xf>
    <xf numFmtId="179" fontId="141" fillId="9" borderId="195" xfId="893" applyNumberFormat="1" applyFont="1" applyFill="1" applyBorder="1" applyAlignment="1">
      <alignment horizontal="center" vertical="center"/>
    </xf>
    <xf numFmtId="169" fontId="141" fillId="9" borderId="172" xfId="950" applyNumberFormat="1" applyFont="1" applyFill="1" applyBorder="1" applyAlignment="1">
      <alignment horizontal="center" vertical="center" wrapText="1"/>
    </xf>
    <xf numFmtId="169" fontId="141" fillId="9" borderId="193" xfId="950" applyNumberFormat="1" applyFont="1" applyFill="1" applyBorder="1" applyAlignment="1">
      <alignment horizontal="center" vertical="center" wrapText="1"/>
    </xf>
    <xf numFmtId="175" fontId="141" fillId="9" borderId="206" xfId="0" applyNumberFormat="1" applyFont="1" applyFill="1" applyBorder="1" applyAlignment="1">
      <alignment horizontal="center" vertical="center"/>
    </xf>
    <xf numFmtId="175" fontId="141" fillId="9" borderId="201" xfId="0" applyNumberFormat="1" applyFont="1" applyFill="1" applyBorder="1" applyAlignment="1">
      <alignment horizontal="center" vertical="center"/>
    </xf>
    <xf numFmtId="10" fontId="141" fillId="9" borderId="201" xfId="889" applyNumberFormat="1" applyFont="1" applyFill="1" applyBorder="1" applyAlignment="1">
      <alignment horizontal="center" vertical="center"/>
    </xf>
    <xf numFmtId="175" fontId="141" fillId="9" borderId="204" xfId="0" applyNumberFormat="1" applyFont="1" applyFill="1" applyBorder="1" applyAlignment="1">
      <alignment horizontal="center" vertical="center"/>
    </xf>
    <xf numFmtId="175" fontId="141" fillId="9" borderId="202" xfId="0" applyNumberFormat="1" applyFont="1" applyFill="1" applyBorder="1" applyAlignment="1">
      <alignment horizontal="center" vertical="center"/>
    </xf>
    <xf numFmtId="10" fontId="141" fillId="9" borderId="208" xfId="889" applyNumberFormat="1" applyFont="1" applyFill="1" applyBorder="1" applyAlignment="1">
      <alignment horizontal="center" vertical="center"/>
    </xf>
    <xf numFmtId="0" fontId="19" fillId="9" borderId="172" xfId="0" applyNumberFormat="1" applyFont="1" applyFill="1" applyBorder="1" applyAlignment="1">
      <alignment horizontal="center"/>
    </xf>
    <xf numFmtId="9" fontId="19" fillId="9" borderId="82" xfId="889" applyFont="1" applyFill="1" applyBorder="1" applyAlignment="1">
      <alignment horizontal="center" vertical="center"/>
    </xf>
    <xf numFmtId="165" fontId="19" fillId="9" borderId="51" xfId="0" applyNumberFormat="1" applyFont="1" applyFill="1" applyBorder="1" applyAlignment="1">
      <alignment horizontal="center" vertical="center"/>
    </xf>
    <xf numFmtId="165" fontId="19" fillId="9" borderId="52" xfId="0" applyNumberFormat="1" applyFont="1" applyFill="1" applyBorder="1" applyAlignment="1">
      <alignment horizontal="center" vertical="center"/>
    </xf>
    <xf numFmtId="182" fontId="19" fillId="9" borderId="51" xfId="939" applyNumberFormat="1" applyFont="1" applyFill="1" applyBorder="1" applyAlignment="1">
      <alignment horizontal="left" vertical="center"/>
    </xf>
    <xf numFmtId="173" fontId="19" fillId="9" borderId="53" xfId="0" applyNumberFormat="1" applyFont="1" applyFill="1" applyBorder="1" applyAlignment="1">
      <alignment horizontal="center" vertical="center"/>
    </xf>
    <xf numFmtId="173" fontId="19" fillId="9" borderId="58" xfId="0" applyNumberFormat="1" applyFont="1" applyFill="1" applyBorder="1" applyAlignment="1">
      <alignment horizontal="center" vertical="center"/>
    </xf>
    <xf numFmtId="9" fontId="19" fillId="9" borderId="54" xfId="889" applyFont="1" applyFill="1" applyBorder="1" applyAlignment="1">
      <alignment horizontal="center" vertical="center"/>
    </xf>
    <xf numFmtId="179" fontId="19" fillId="9" borderId="51" xfId="0" applyNumberFormat="1" applyFont="1" applyFill="1" applyBorder="1" applyAlignment="1">
      <alignment horizontal="center" vertical="center"/>
    </xf>
    <xf numFmtId="179" fontId="19" fillId="9" borderId="52" xfId="0" applyNumberFormat="1" applyFont="1" applyFill="1" applyBorder="1" applyAlignment="1">
      <alignment horizontal="center" vertical="center"/>
    </xf>
    <xf numFmtId="9" fontId="19" fillId="9" borderId="82" xfId="0" applyNumberFormat="1" applyFont="1" applyFill="1" applyBorder="1" applyAlignment="1">
      <alignment horizontal="center" vertical="center"/>
    </xf>
    <xf numFmtId="0" fontId="39" fillId="9" borderId="0" xfId="0" applyFont="1" applyFill="1" applyAlignment="1">
      <alignment horizontal="center"/>
    </xf>
    <xf numFmtId="169" fontId="39" fillId="9" borderId="0" xfId="0" applyNumberFormat="1" applyFont="1" applyFill="1" applyAlignment="1">
      <alignment horizontal="center"/>
    </xf>
    <xf numFmtId="0" fontId="39" fillId="9" borderId="0" xfId="0" applyFont="1" applyFill="1" applyAlignment="1"/>
    <xf numFmtId="172" fontId="141" fillId="9" borderId="41" xfId="0" applyNumberFormat="1" applyFont="1" applyFill="1" applyBorder="1" applyAlignment="1">
      <alignment horizontal="center" vertical="center"/>
    </xf>
    <xf numFmtId="172" fontId="141" fillId="9" borderId="23" xfId="0" applyNumberFormat="1" applyFont="1" applyFill="1" applyBorder="1" applyAlignment="1">
      <alignment horizontal="center" vertical="center"/>
    </xf>
    <xf numFmtId="172" fontId="141" fillId="9" borderId="39" xfId="0" applyNumberFormat="1" applyFont="1" applyFill="1" applyBorder="1" applyAlignment="1">
      <alignment horizontal="center" vertical="center"/>
    </xf>
    <xf numFmtId="172" fontId="141" fillId="9" borderId="10" xfId="0" applyNumberFormat="1" applyFont="1" applyFill="1" applyBorder="1" applyAlignment="1">
      <alignment horizontal="center" vertical="center"/>
    </xf>
    <xf numFmtId="169" fontId="141" fillId="9" borderId="16" xfId="0" applyNumberFormat="1" applyFont="1" applyFill="1" applyBorder="1" applyAlignment="1">
      <alignment horizontal="center" vertical="center"/>
    </xf>
    <xf numFmtId="172" fontId="141" fillId="9" borderId="51" xfId="0" applyNumberFormat="1" applyFont="1" applyFill="1" applyBorder="1" applyAlignment="1">
      <alignment horizontal="center" vertical="center"/>
    </xf>
    <xf numFmtId="179" fontId="141" fillId="58" borderId="175" xfId="0" applyNumberFormat="1" applyFont="1" applyFill="1" applyBorder="1" applyAlignment="1">
      <alignment horizontal="center"/>
    </xf>
    <xf numFmtId="173" fontId="141" fillId="98" borderId="175" xfId="0" applyNumberFormat="1" applyFont="1" applyFill="1" applyBorder="1" applyAlignment="1">
      <alignment horizontal="center"/>
    </xf>
    <xf numFmtId="9" fontId="141" fillId="58" borderId="25" xfId="934" applyFont="1" applyFill="1" applyBorder="1" applyAlignment="1">
      <alignment horizontal="center"/>
    </xf>
    <xf numFmtId="173" fontId="142" fillId="9" borderId="0" xfId="0" applyNumberFormat="1" applyFont="1" applyFill="1" applyBorder="1"/>
    <xf numFmtId="0" fontId="142" fillId="9" borderId="0" xfId="0" applyNumberFormat="1" applyFont="1" applyFill="1" applyBorder="1"/>
    <xf numFmtId="0" fontId="142" fillId="9" borderId="0" xfId="0" applyFont="1" applyFill="1" applyBorder="1"/>
    <xf numFmtId="173" fontId="141" fillId="9" borderId="58" xfId="0" applyNumberFormat="1" applyFont="1" applyFill="1" applyBorder="1" applyAlignment="1">
      <alignment horizontal="center"/>
    </xf>
    <xf numFmtId="9" fontId="141" fillId="9" borderId="25" xfId="934" applyFont="1" applyFill="1" applyBorder="1" applyAlignment="1">
      <alignment horizontal="center"/>
    </xf>
    <xf numFmtId="0" fontId="44" fillId="19" borderId="46" xfId="872" applyFont="1" applyFill="1" applyBorder="1" applyAlignment="1">
      <alignment horizontal="center" vertical="center" wrapText="1"/>
    </xf>
    <xf numFmtId="0" fontId="141" fillId="9" borderId="193" xfId="0" applyFont="1" applyFill="1" applyBorder="1" applyAlignment="1">
      <alignment horizontal="center"/>
    </xf>
    <xf numFmtId="0" fontId="141" fillId="9" borderId="172" xfId="0" applyNumberFormat="1" applyFont="1" applyFill="1" applyBorder="1" applyAlignment="1">
      <alignment horizontal="center"/>
    </xf>
    <xf numFmtId="173" fontId="141" fillId="9" borderId="171" xfId="0" applyNumberFormat="1" applyFont="1" applyFill="1" applyBorder="1" applyAlignment="1">
      <alignment horizontal="center" vertical="center"/>
    </xf>
    <xf numFmtId="173" fontId="141" fillId="9" borderId="206" xfId="0" applyNumberFormat="1" applyFont="1" applyFill="1" applyBorder="1" applyAlignment="1">
      <alignment horizontal="center" vertical="center"/>
    </xf>
    <xf numFmtId="173" fontId="141" fillId="9" borderId="211" xfId="0" applyNumberFormat="1" applyFont="1" applyFill="1" applyBorder="1" applyAlignment="1">
      <alignment horizontal="center" vertical="center"/>
    </xf>
    <xf numFmtId="173" fontId="141" fillId="9" borderId="208" xfId="0" applyNumberFormat="1" applyFont="1" applyFill="1" applyBorder="1" applyAlignment="1">
      <alignment horizontal="center" vertical="center"/>
    </xf>
    <xf numFmtId="0" fontId="44" fillId="11" borderId="62" xfId="0" applyFont="1" applyFill="1" applyBorder="1" applyAlignment="1">
      <alignment horizontal="center" vertical="center" wrapText="1"/>
    </xf>
    <xf numFmtId="173" fontId="141" fillId="9" borderId="204" xfId="0" applyNumberFormat="1" applyFont="1" applyFill="1" applyBorder="1" applyAlignment="1">
      <alignment horizontal="center" vertical="center"/>
    </xf>
    <xf numFmtId="189" fontId="141" fillId="9" borderId="206" xfId="0" applyNumberFormat="1" applyFont="1" applyFill="1" applyBorder="1" applyAlignment="1">
      <alignment horizontal="center" vertical="center"/>
    </xf>
    <xf numFmtId="0" fontId="44" fillId="12" borderId="41" xfId="0" applyFont="1" applyFill="1" applyBorder="1" applyAlignment="1">
      <alignment horizontal="center" vertical="center" wrapText="1"/>
    </xf>
    <xf numFmtId="0" fontId="44" fillId="12" borderId="104" xfId="0" applyFont="1" applyFill="1" applyBorder="1" applyAlignment="1">
      <alignment horizontal="center" vertical="center" wrapText="1"/>
    </xf>
    <xf numFmtId="0" fontId="44" fillId="12" borderId="105" xfId="0" applyFont="1" applyFill="1" applyBorder="1" applyAlignment="1">
      <alignment horizontal="center" vertical="center" wrapText="1"/>
    </xf>
    <xf numFmtId="0" fontId="44" fillId="12" borderId="23" xfId="872" applyFont="1" applyFill="1" applyBorder="1" applyAlignment="1">
      <alignment horizontal="center" vertical="center" wrapText="1"/>
    </xf>
    <xf numFmtId="172" fontId="141" fillId="9" borderId="205" xfId="0" applyNumberFormat="1" applyFont="1" applyFill="1" applyBorder="1" applyAlignment="1">
      <alignment horizontal="center" vertical="center"/>
    </xf>
    <xf numFmtId="172" fontId="141" fillId="9" borderId="209" xfId="0" applyNumberFormat="1" applyFont="1" applyFill="1" applyBorder="1" applyAlignment="1">
      <alignment horizontal="center" vertical="center"/>
    </xf>
    <xf numFmtId="0" fontId="44" fillId="2" borderId="62" xfId="872" applyFont="1" applyFill="1" applyBorder="1" applyAlignment="1">
      <alignment horizontal="center" vertical="center" wrapText="1"/>
    </xf>
    <xf numFmtId="0" fontId="44" fillId="2" borderId="193" xfId="872" applyFont="1" applyFill="1" applyBorder="1" applyAlignment="1">
      <alignment horizontal="center" vertical="center" wrapText="1"/>
    </xf>
    <xf numFmtId="0" fontId="1" fillId="9" borderId="212" xfId="966" applyFont="1" applyFill="1" applyBorder="1" applyAlignment="1">
      <alignment horizontal="center" wrapText="1"/>
    </xf>
    <xf numFmtId="173" fontId="141" fillId="9" borderId="208" xfId="0" applyNumberFormat="1" applyFont="1" applyFill="1" applyBorder="1" applyAlignment="1">
      <alignment horizontal="center"/>
    </xf>
    <xf numFmtId="0" fontId="44" fillId="73" borderId="104" xfId="872" applyFont="1" applyFill="1" applyBorder="1" applyAlignment="1">
      <alignment horizontal="center" vertical="center" wrapText="1"/>
    </xf>
    <xf numFmtId="0" fontId="44" fillId="2" borderId="62" xfId="0" applyFont="1" applyFill="1" applyBorder="1" applyAlignment="1">
      <alignment horizontal="center" vertical="center" wrapText="1"/>
    </xf>
    <xf numFmtId="0" fontId="44" fillId="2" borderId="23" xfId="0" applyFont="1" applyFill="1" applyBorder="1" applyAlignment="1">
      <alignment horizontal="center" vertical="center" wrapText="1"/>
    </xf>
    <xf numFmtId="0" fontId="44" fillId="2" borderId="105" xfId="872" applyFont="1" applyFill="1" applyBorder="1" applyAlignment="1">
      <alignment horizontal="center" vertical="center" wrapText="1"/>
    </xf>
    <xf numFmtId="0" fontId="44" fillId="73" borderId="3" xfId="0" applyFont="1" applyFill="1" applyBorder="1" applyAlignment="1">
      <alignment horizontal="center" vertical="center" wrapText="1"/>
    </xf>
    <xf numFmtId="0" fontId="44" fillId="73" borderId="105" xfId="872" applyFont="1" applyFill="1" applyBorder="1" applyAlignment="1">
      <alignment horizontal="center" vertical="center" wrapText="1"/>
    </xf>
    <xf numFmtId="0" fontId="44" fillId="16" borderId="32" xfId="0" applyFont="1" applyFill="1" applyBorder="1" applyAlignment="1">
      <alignment horizontal="center" vertical="center" wrapText="1"/>
    </xf>
    <xf numFmtId="0" fontId="44" fillId="16" borderId="104" xfId="0" applyFont="1" applyFill="1" applyBorder="1" applyAlignment="1">
      <alignment horizontal="center" vertical="center" wrapText="1"/>
    </xf>
    <xf numFmtId="0" fontId="44" fillId="16" borderId="3" xfId="872" applyFont="1" applyFill="1" applyBorder="1" applyAlignment="1">
      <alignment horizontal="center" vertical="center" wrapText="1"/>
    </xf>
    <xf numFmtId="0" fontId="44" fillId="16" borderId="104" xfId="872" applyFont="1" applyFill="1" applyBorder="1" applyAlignment="1">
      <alignment horizontal="center" vertical="center" wrapText="1"/>
    </xf>
    <xf numFmtId="0" fontId="44" fillId="72" borderId="41" xfId="872" applyFont="1" applyFill="1" applyBorder="1" applyAlignment="1">
      <alignment horizontal="center" vertical="center" wrapText="1"/>
    </xf>
    <xf numFmtId="0" fontId="44" fillId="72" borderId="104" xfId="0" applyFont="1" applyFill="1" applyBorder="1" applyAlignment="1">
      <alignment horizontal="center" vertical="center" wrapText="1"/>
    </xf>
    <xf numFmtId="0" fontId="44" fillId="72" borderId="104" xfId="872" applyFont="1" applyFill="1" applyBorder="1" applyAlignment="1">
      <alignment horizontal="center" vertical="center" wrapText="1"/>
    </xf>
    <xf numFmtId="0" fontId="44" fillId="72" borderId="104" xfId="872" applyFont="1" applyFill="1" applyBorder="1" applyAlignment="1">
      <alignment vertical="center" wrapText="1"/>
    </xf>
    <xf numFmtId="0" fontId="44" fillId="72" borderId="81" xfId="872" applyFont="1" applyFill="1" applyBorder="1" applyAlignment="1">
      <alignment horizontal="center" vertical="center" wrapText="1"/>
    </xf>
    <xf numFmtId="173" fontId="141" fillId="9" borderId="213" xfId="0" applyNumberFormat="1" applyFont="1" applyFill="1" applyBorder="1" applyAlignment="1">
      <alignment horizontal="center"/>
    </xf>
    <xf numFmtId="0" fontId="138" fillId="9" borderId="207" xfId="0" applyNumberFormat="1" applyFont="1" applyFill="1" applyBorder="1" applyAlignment="1">
      <alignment horizontal="center"/>
    </xf>
    <xf numFmtId="173" fontId="141" fillId="9" borderId="207" xfId="0" applyNumberFormat="1" applyFont="1" applyFill="1" applyBorder="1" applyAlignment="1">
      <alignment horizontal="center"/>
    </xf>
    <xf numFmtId="173" fontId="141" fillId="9" borderId="214" xfId="0" applyNumberFormat="1" applyFont="1" applyFill="1" applyBorder="1" applyAlignment="1">
      <alignment horizontal="center"/>
    </xf>
    <xf numFmtId="173" fontId="141" fillId="9" borderId="215" xfId="0" applyNumberFormat="1" applyFont="1" applyFill="1" applyBorder="1" applyAlignment="1">
      <alignment horizontal="center"/>
    </xf>
    <xf numFmtId="172" fontId="141" fillId="9" borderId="216" xfId="0" applyNumberFormat="1" applyFont="1" applyFill="1" applyBorder="1" applyAlignment="1">
      <alignment horizontal="center"/>
    </xf>
    <xf numFmtId="172" fontId="141" fillId="9" borderId="209" xfId="0" applyNumberFormat="1" applyFont="1" applyFill="1" applyBorder="1" applyAlignment="1">
      <alignment horizontal="center"/>
    </xf>
    <xf numFmtId="173" fontId="141" fillId="9" borderId="211" xfId="0" applyNumberFormat="1" applyFont="1" applyFill="1" applyBorder="1" applyAlignment="1">
      <alignment horizontal="center"/>
    </xf>
    <xf numFmtId="173" fontId="141" fillId="9" borderId="202" xfId="0" applyNumberFormat="1" applyFont="1" applyFill="1" applyBorder="1" applyAlignment="1">
      <alignment horizontal="center"/>
    </xf>
    <xf numFmtId="173" fontId="141" fillId="9" borderId="81" xfId="0" applyNumberFormat="1" applyFont="1" applyFill="1" applyBorder="1" applyAlignment="1">
      <alignment horizontal="center" vertical="center"/>
    </xf>
    <xf numFmtId="173" fontId="141" fillId="9" borderId="85" xfId="0" applyNumberFormat="1" applyFont="1" applyFill="1" applyBorder="1" applyAlignment="1">
      <alignment horizontal="center" vertical="center"/>
    </xf>
    <xf numFmtId="173" fontId="141" fillId="9" borderId="187" xfId="0" applyNumberFormat="1" applyFont="1" applyFill="1" applyBorder="1" applyAlignment="1">
      <alignment horizontal="center" vertical="center"/>
    </xf>
    <xf numFmtId="173" fontId="141" fillId="9" borderId="45" xfId="0" applyNumberFormat="1" applyFont="1" applyFill="1" applyBorder="1" applyAlignment="1">
      <alignment horizontal="center" vertical="center"/>
    </xf>
    <xf numFmtId="173" fontId="141" fillId="9" borderId="82" xfId="0" applyNumberFormat="1" applyFont="1" applyFill="1" applyBorder="1" applyAlignment="1">
      <alignment horizontal="center" vertical="center"/>
    </xf>
    <xf numFmtId="173" fontId="141" fillId="9" borderId="215" xfId="0" applyNumberFormat="1" applyFont="1" applyFill="1" applyBorder="1" applyAlignment="1">
      <alignment horizontal="center" vertical="center"/>
    </xf>
    <xf numFmtId="173" fontId="141" fillId="9" borderId="207" xfId="0" applyNumberFormat="1" applyFont="1" applyFill="1" applyBorder="1" applyAlignment="1">
      <alignment horizontal="center" vertical="center"/>
    </xf>
    <xf numFmtId="173" fontId="141" fillId="9" borderId="82" xfId="0" applyNumberFormat="1" applyFont="1" applyFill="1" applyBorder="1" applyAlignment="1">
      <alignment horizontal="center"/>
    </xf>
    <xf numFmtId="173" fontId="141" fillId="9" borderId="217" xfId="0" applyNumberFormat="1" applyFont="1" applyFill="1" applyBorder="1" applyAlignment="1">
      <alignment horizontal="center" vertical="center"/>
    </xf>
    <xf numFmtId="173" fontId="141" fillId="9" borderId="218" xfId="0" applyNumberFormat="1" applyFont="1" applyFill="1" applyBorder="1" applyAlignment="1">
      <alignment horizontal="center" vertical="center"/>
    </xf>
    <xf numFmtId="0" fontId="141" fillId="9" borderId="217" xfId="0" applyFont="1" applyFill="1" applyBorder="1" applyAlignment="1">
      <alignment horizontal="center" vertical="center"/>
    </xf>
    <xf numFmtId="0" fontId="44" fillId="73" borderId="175" xfId="0" applyFont="1" applyFill="1" applyBorder="1" applyAlignment="1">
      <alignment horizontal="center" vertical="center" wrapText="1"/>
    </xf>
    <xf numFmtId="0" fontId="44" fillId="73" borderId="61" xfId="0" applyFont="1" applyFill="1" applyBorder="1" applyAlignment="1">
      <alignment horizontal="center" vertical="center" wrapText="1"/>
    </xf>
    <xf numFmtId="0" fontId="44" fillId="73" borderId="86" xfId="0" applyFont="1" applyFill="1" applyBorder="1" applyAlignment="1">
      <alignment horizontal="center" vertical="center" wrapText="1"/>
    </xf>
    <xf numFmtId="0" fontId="44" fillId="73" borderId="21" xfId="872" applyFont="1" applyFill="1" applyBorder="1" applyAlignment="1">
      <alignment horizontal="center" vertical="center" wrapText="1"/>
    </xf>
    <xf numFmtId="0" fontId="138" fillId="9" borderId="207" xfId="0" applyNumberFormat="1" applyFont="1" applyFill="1" applyBorder="1"/>
    <xf numFmtId="173" fontId="141" fillId="9" borderId="217" xfId="0" applyNumberFormat="1" applyFont="1" applyFill="1" applyBorder="1" applyAlignment="1">
      <alignment horizontal="center"/>
    </xf>
    <xf numFmtId="172" fontId="141" fillId="9" borderId="219" xfId="0" applyNumberFormat="1" applyFont="1" applyFill="1" applyBorder="1" applyAlignment="1">
      <alignment horizontal="center"/>
    </xf>
    <xf numFmtId="173" fontId="141" fillId="9" borderId="220" xfId="0" applyNumberFormat="1" applyFont="1" applyFill="1" applyBorder="1" applyAlignment="1">
      <alignment horizontal="center"/>
    </xf>
    <xf numFmtId="173" fontId="141" fillId="9" borderId="218" xfId="0" applyNumberFormat="1" applyFont="1" applyFill="1" applyBorder="1" applyAlignment="1">
      <alignment horizontal="center"/>
    </xf>
    <xf numFmtId="0" fontId="141" fillId="9" borderId="217" xfId="0" applyNumberFormat="1" applyFont="1" applyFill="1" applyBorder="1" applyAlignment="1">
      <alignment horizontal="center"/>
    </xf>
    <xf numFmtId="173" fontId="141" fillId="9" borderId="221" xfId="0" applyNumberFormat="1" applyFont="1" applyFill="1" applyBorder="1" applyAlignment="1">
      <alignment horizontal="center"/>
    </xf>
    <xf numFmtId="0" fontId="69" fillId="9" borderId="182" xfId="0" applyNumberFormat="1" applyFont="1" applyFill="1" applyBorder="1" applyAlignment="1">
      <alignment horizontal="center"/>
    </xf>
    <xf numFmtId="0" fontId="69" fillId="9" borderId="182" xfId="0" applyNumberFormat="1" applyFont="1" applyFill="1" applyBorder="1" applyAlignment="1">
      <alignment horizontal="center" vertical="center"/>
    </xf>
    <xf numFmtId="168" fontId="20" fillId="9" borderId="61" xfId="0" applyNumberFormat="1" applyFont="1" applyFill="1" applyBorder="1" applyAlignment="1">
      <alignment horizontal="center"/>
    </xf>
    <xf numFmtId="0" fontId="37" fillId="64" borderId="48" xfId="0" applyFont="1" applyFill="1" applyBorder="1" applyAlignment="1">
      <alignment horizontal="center" vertical="center"/>
    </xf>
    <xf numFmtId="169" fontId="72" fillId="0" borderId="169" xfId="888" applyNumberFormat="1" applyFont="1" applyFill="1" applyBorder="1" applyAlignment="1">
      <alignment horizontal="right"/>
    </xf>
    <xf numFmtId="0" fontId="72" fillId="0" borderId="169" xfId="888" applyFont="1" applyFill="1" applyBorder="1" applyAlignment="1">
      <alignment horizontal="right"/>
    </xf>
    <xf numFmtId="0" fontId="72" fillId="0" borderId="169" xfId="888" applyNumberFormat="1" applyFont="1" applyFill="1" applyBorder="1" applyAlignment="1"/>
    <xf numFmtId="169" fontId="72" fillId="0" borderId="182" xfId="888" applyNumberFormat="1" applyFont="1" applyFill="1" applyBorder="1" applyAlignment="1">
      <alignment horizontal="right"/>
    </xf>
    <xf numFmtId="0" fontId="72" fillId="0" borderId="182" xfId="888" applyFont="1" applyFill="1" applyBorder="1" applyAlignment="1">
      <alignment horizontal="right"/>
    </xf>
    <xf numFmtId="2" fontId="72" fillId="0" borderId="182" xfId="888" applyNumberFormat="1" applyFont="1" applyFill="1" applyBorder="1" applyAlignment="1">
      <alignment horizontal="right"/>
    </xf>
    <xf numFmtId="0" fontId="72" fillId="0" borderId="207" xfId="888" applyNumberFormat="1" applyFont="1" applyFill="1" applyBorder="1" applyAlignment="1"/>
    <xf numFmtId="0" fontId="72" fillId="0" borderId="207" xfId="888" applyFont="1" applyFill="1" applyBorder="1" applyAlignment="1">
      <alignment horizontal="right"/>
    </xf>
    <xf numFmtId="0" fontId="40" fillId="0" borderId="207" xfId="888" applyFont="1" applyFill="1" applyBorder="1" applyAlignment="1">
      <alignment horizontal="right"/>
    </xf>
    <xf numFmtId="1" fontId="72" fillId="0" borderId="207" xfId="888" applyNumberFormat="1" applyFont="1" applyFill="1" applyBorder="1" applyAlignment="1">
      <alignment horizontal="right"/>
    </xf>
    <xf numFmtId="169" fontId="72" fillId="0" borderId="207" xfId="888" applyNumberFormat="1" applyFont="1" applyFill="1" applyBorder="1" applyAlignment="1">
      <alignment horizontal="right"/>
    </xf>
    <xf numFmtId="0" fontId="17" fillId="0" borderId="182" xfId="888" applyFont="1" applyFill="1" applyBorder="1" applyAlignment="1">
      <alignment horizontal="right"/>
    </xf>
    <xf numFmtId="0" fontId="17" fillId="0" borderId="207" xfId="888" applyNumberFormat="1" applyFont="1" applyFill="1" applyBorder="1" applyAlignment="1"/>
    <xf numFmtId="0" fontId="17" fillId="0" borderId="207" xfId="888" applyFont="1" applyFill="1" applyBorder="1" applyAlignment="1">
      <alignment horizontal="right"/>
    </xf>
    <xf numFmtId="0" fontId="72" fillId="0" borderId="171" xfId="888" applyFont="1" applyFill="1" applyBorder="1" applyAlignment="1">
      <alignment horizontal="right"/>
    </xf>
    <xf numFmtId="0" fontId="173" fillId="0" borderId="182" xfId="0" applyFont="1" applyFill="1" applyBorder="1"/>
    <xf numFmtId="9" fontId="17" fillId="9" borderId="224" xfId="934" applyNumberFormat="1" applyFont="1" applyFill="1" applyBorder="1"/>
    <xf numFmtId="9" fontId="17" fillId="9" borderId="45" xfId="934" applyNumberFormat="1" applyFont="1" applyFill="1" applyBorder="1"/>
    <xf numFmtId="9" fontId="17" fillId="9" borderId="82" xfId="934" applyNumberFormat="1" applyFont="1" applyFill="1" applyBorder="1"/>
    <xf numFmtId="9" fontId="17" fillId="0" borderId="45" xfId="934" applyNumberFormat="1" applyFont="1" applyFill="1" applyBorder="1"/>
    <xf numFmtId="9" fontId="104" fillId="9" borderId="82" xfId="934" applyNumberFormat="1" applyFont="1" applyFill="1" applyBorder="1"/>
    <xf numFmtId="168" fontId="19" fillId="0" borderId="169" xfId="0" applyNumberFormat="1" applyFont="1" applyFill="1" applyBorder="1"/>
    <xf numFmtId="168" fontId="19" fillId="0" borderId="182" xfId="0" applyNumberFormat="1" applyFont="1" applyFill="1" applyBorder="1"/>
    <xf numFmtId="168" fontId="19" fillId="0" borderId="171" xfId="0" applyNumberFormat="1" applyFont="1" applyBorder="1"/>
    <xf numFmtId="175" fontId="141" fillId="9" borderId="220" xfId="0" applyNumberFormat="1" applyFont="1" applyFill="1" applyBorder="1" applyAlignment="1">
      <alignment horizontal="center" vertical="center"/>
    </xf>
    <xf numFmtId="175" fontId="141" fillId="9" borderId="214" xfId="0" applyNumberFormat="1" applyFont="1" applyFill="1" applyBorder="1" applyAlignment="1">
      <alignment horizontal="center" vertical="center"/>
    </xf>
    <xf numFmtId="175" fontId="141" fillId="9" borderId="211" xfId="0" applyNumberFormat="1" applyFont="1" applyFill="1" applyBorder="1" applyAlignment="1">
      <alignment horizontal="center" vertical="center"/>
    </xf>
    <xf numFmtId="166" fontId="141" fillId="9" borderId="23" xfId="0" applyNumberFormat="1" applyFont="1" applyFill="1" applyBorder="1" applyAlignment="1">
      <alignment horizontal="center" vertical="center"/>
    </xf>
    <xf numFmtId="166" fontId="141" fillId="9" borderId="216" xfId="0" applyNumberFormat="1" applyFont="1" applyFill="1" applyBorder="1" applyAlignment="1">
      <alignment horizontal="center" vertical="center"/>
    </xf>
    <xf numFmtId="166" fontId="141" fillId="9" borderId="184" xfId="0" applyNumberFormat="1" applyFont="1" applyFill="1" applyBorder="1" applyAlignment="1">
      <alignment horizontal="center" vertical="center"/>
    </xf>
    <xf numFmtId="166" fontId="141" fillId="9" borderId="10" xfId="0" applyNumberFormat="1" applyFont="1" applyFill="1" applyBorder="1" applyAlignment="1">
      <alignment horizontal="center" vertical="center"/>
    </xf>
    <xf numFmtId="166" fontId="141" fillId="9" borderId="209" xfId="0" applyNumberFormat="1" applyFont="1" applyFill="1" applyBorder="1" applyAlignment="1">
      <alignment horizontal="center" vertical="center"/>
    </xf>
    <xf numFmtId="169" fontId="141" fillId="9" borderId="18" xfId="950" applyNumberFormat="1" applyFont="1" applyFill="1" applyBorder="1" applyAlignment="1">
      <alignment horizontal="center" vertical="center" wrapText="1"/>
    </xf>
    <xf numFmtId="169" fontId="141" fillId="9" borderId="214" xfId="950" applyNumberFormat="1" applyFont="1" applyFill="1" applyBorder="1" applyAlignment="1">
      <alignment horizontal="center" vertical="center" wrapText="1"/>
    </xf>
    <xf numFmtId="169" fontId="141" fillId="9" borderId="220" xfId="950" applyNumberFormat="1" applyFont="1" applyFill="1" applyBorder="1" applyAlignment="1">
      <alignment horizontal="center" vertical="center" wrapText="1"/>
    </xf>
    <xf numFmtId="168" fontId="141" fillId="9" borderId="220" xfId="950" applyNumberFormat="1" applyFont="1" applyFill="1" applyBorder="1" applyAlignment="1">
      <alignment horizontal="center" vertical="center" wrapText="1"/>
    </xf>
    <xf numFmtId="185" fontId="141" fillId="9" borderId="220" xfId="950" applyNumberFormat="1" applyFont="1" applyFill="1" applyBorder="1" applyAlignment="1">
      <alignment horizontal="center" vertical="center" wrapText="1"/>
    </xf>
    <xf numFmtId="184" fontId="141" fillId="9" borderId="18" xfId="950" applyNumberFormat="1" applyFont="1" applyFill="1" applyBorder="1" applyAlignment="1">
      <alignment horizontal="center" vertical="center" wrapText="1"/>
    </xf>
    <xf numFmtId="169" fontId="141" fillId="9" borderId="0" xfId="950" applyNumberFormat="1" applyFont="1" applyFill="1" applyBorder="1" applyAlignment="1">
      <alignment horizontal="center" vertical="center" wrapText="1"/>
    </xf>
    <xf numFmtId="166" fontId="141" fillId="9" borderId="226" xfId="0" applyNumberFormat="1" applyFont="1" applyFill="1" applyBorder="1" applyAlignment="1">
      <alignment horizontal="center" vertical="center"/>
    </xf>
    <xf numFmtId="166" fontId="141" fillId="9" borderId="227" xfId="0" applyNumberFormat="1" applyFont="1" applyFill="1" applyBorder="1" applyAlignment="1">
      <alignment horizontal="center" vertical="center"/>
    </xf>
    <xf numFmtId="166" fontId="141" fillId="9" borderId="228" xfId="0" applyNumberFormat="1" applyFont="1" applyFill="1" applyBorder="1" applyAlignment="1">
      <alignment horizontal="center" vertical="center"/>
    </xf>
    <xf numFmtId="166" fontId="141" fillId="9" borderId="229" xfId="0" applyNumberFormat="1" applyFont="1" applyFill="1" applyBorder="1" applyAlignment="1">
      <alignment horizontal="center" vertical="center"/>
    </xf>
    <xf numFmtId="166" fontId="141" fillId="9" borderId="230" xfId="0" applyNumberFormat="1" applyFont="1" applyFill="1" applyBorder="1" applyAlignment="1">
      <alignment horizontal="center" vertical="center"/>
    </xf>
    <xf numFmtId="166" fontId="141" fillId="9" borderId="231" xfId="0" applyNumberFormat="1" applyFont="1" applyFill="1" applyBorder="1" applyAlignment="1">
      <alignment horizontal="center" vertical="center"/>
    </xf>
    <xf numFmtId="0" fontId="174" fillId="0" borderId="0" xfId="0" applyFont="1"/>
    <xf numFmtId="165" fontId="138" fillId="9" borderId="0" xfId="0" applyNumberFormat="1" applyFont="1" applyFill="1"/>
    <xf numFmtId="165" fontId="141" fillId="9" borderId="0" xfId="0" applyNumberFormat="1" applyFont="1" applyFill="1" applyBorder="1" applyAlignment="1">
      <alignment horizontal="center" vertical="center"/>
    </xf>
    <xf numFmtId="0" fontId="0" fillId="0" borderId="177" xfId="0" applyBorder="1"/>
    <xf numFmtId="0" fontId="37" fillId="64" borderId="193" xfId="0" applyFont="1" applyFill="1" applyBorder="1" applyAlignment="1">
      <alignment horizontal="center"/>
    </xf>
    <xf numFmtId="173" fontId="141" fillId="15" borderId="0" xfId="0" applyNumberFormat="1" applyFont="1" applyFill="1" applyBorder="1" applyAlignment="1">
      <alignment horizontal="center" vertical="center"/>
    </xf>
    <xf numFmtId="168" fontId="19" fillId="15" borderId="140" xfId="0" applyNumberFormat="1" applyFont="1" applyFill="1" applyBorder="1"/>
    <xf numFmtId="0" fontId="19" fillId="15" borderId="0" xfId="0" applyFont="1" applyFill="1" applyBorder="1"/>
    <xf numFmtId="191" fontId="19" fillId="15" borderId="140" xfId="0" applyNumberFormat="1" applyFont="1" applyFill="1" applyBorder="1"/>
    <xf numFmtId="165" fontId="99" fillId="9" borderId="0" xfId="0" applyNumberFormat="1" applyFont="1" applyFill="1" applyBorder="1" applyAlignment="1">
      <alignment horizontal="center" vertical="center"/>
    </xf>
    <xf numFmtId="166" fontId="141" fillId="9" borderId="225" xfId="0" applyNumberFormat="1" applyFont="1" applyFill="1" applyBorder="1" applyAlignment="1">
      <alignment horizontal="center" vertical="center"/>
    </xf>
    <xf numFmtId="168" fontId="141" fillId="9" borderId="62" xfId="950" applyNumberFormat="1" applyFont="1" applyFill="1" applyBorder="1" applyAlignment="1">
      <alignment horizontal="center" vertical="center" wrapText="1"/>
    </xf>
    <xf numFmtId="166" fontId="141" fillId="9" borderId="98" xfId="0" applyNumberFormat="1" applyFont="1" applyFill="1" applyBorder="1" applyAlignment="1">
      <alignment horizontal="center" vertical="center"/>
    </xf>
    <xf numFmtId="180" fontId="141" fillId="9" borderId="48" xfId="0" applyNumberFormat="1" applyFont="1" applyFill="1" applyBorder="1" applyAlignment="1">
      <alignment vertical="center"/>
    </xf>
    <xf numFmtId="175" fontId="141" fillId="9" borderId="48" xfId="0" applyNumberFormat="1" applyFont="1" applyFill="1" applyBorder="1" applyAlignment="1">
      <alignment horizontal="center" vertical="center"/>
    </xf>
    <xf numFmtId="168" fontId="141" fillId="9" borderId="3" xfId="950" applyNumberFormat="1" applyFont="1" applyFill="1" applyBorder="1" applyAlignment="1">
      <alignment horizontal="right" vertical="center" wrapText="1"/>
    </xf>
    <xf numFmtId="10" fontId="141" fillId="9" borderId="104" xfId="889" applyNumberFormat="1" applyFont="1" applyFill="1" applyBorder="1" applyAlignment="1">
      <alignment horizontal="center" vertical="center"/>
    </xf>
    <xf numFmtId="166" fontId="141" fillId="9" borderId="214" xfId="0" applyNumberFormat="1" applyFont="1" applyFill="1" applyBorder="1" applyAlignment="1">
      <alignment horizontal="center" vertical="center"/>
    </xf>
    <xf numFmtId="169" fontId="141" fillId="9" borderId="138" xfId="950" applyNumberFormat="1" applyFont="1" applyFill="1" applyBorder="1" applyAlignment="1">
      <alignment horizontal="right" vertical="center" wrapText="1"/>
    </xf>
    <xf numFmtId="10" fontId="141" fillId="9" borderId="207" xfId="889" applyNumberFormat="1" applyFont="1" applyFill="1" applyBorder="1" applyAlignment="1">
      <alignment horizontal="center" vertical="center"/>
    </xf>
    <xf numFmtId="175" fontId="141" fillId="9" borderId="218" xfId="0" applyNumberFormat="1" applyFont="1" applyFill="1" applyBorder="1" applyAlignment="1">
      <alignment horizontal="center" vertical="center"/>
    </xf>
    <xf numFmtId="10" fontId="141" fillId="9" borderId="193" xfId="889" applyNumberFormat="1" applyFont="1" applyFill="1" applyBorder="1" applyAlignment="1">
      <alignment horizontal="center" vertical="center"/>
    </xf>
    <xf numFmtId="0" fontId="141" fillId="9" borderId="138" xfId="950" applyFont="1" applyFill="1" applyBorder="1" applyAlignment="1">
      <alignment horizontal="right"/>
    </xf>
    <xf numFmtId="0" fontId="141" fillId="9" borderId="207" xfId="0" applyNumberFormat="1" applyFont="1" applyFill="1" applyBorder="1" applyAlignment="1">
      <alignment horizontal="center"/>
    </xf>
    <xf numFmtId="0" fontId="141" fillId="9" borderId="193" xfId="0" applyNumberFormat="1" applyFont="1" applyFill="1" applyBorder="1" applyAlignment="1">
      <alignment horizontal="center" vertical="center"/>
    </xf>
    <xf numFmtId="0" fontId="0" fillId="9" borderId="207" xfId="0" applyNumberFormat="1" applyFont="1" applyFill="1" applyBorder="1" applyAlignment="1">
      <alignment horizontal="center"/>
    </xf>
    <xf numFmtId="175" fontId="141" fillId="9" borderId="138" xfId="0" applyNumberFormat="1" applyFont="1" applyFill="1" applyBorder="1" applyAlignment="1">
      <alignment horizontal="right" vertical="center"/>
    </xf>
    <xf numFmtId="169" fontId="141" fillId="9" borderId="138" xfId="950" applyNumberFormat="1" applyFont="1" applyFill="1" applyBorder="1" applyAlignment="1">
      <alignment horizontal="right"/>
    </xf>
    <xf numFmtId="166" fontId="141" fillId="9" borderId="211" xfId="0" applyNumberFormat="1" applyFont="1" applyFill="1" applyBorder="1" applyAlignment="1">
      <alignment horizontal="center" vertical="center"/>
    </xf>
    <xf numFmtId="175" fontId="141" fillId="9" borderId="208" xfId="0" applyNumberFormat="1" applyFont="1" applyFill="1" applyBorder="1" applyAlignment="1">
      <alignment horizontal="center" vertical="center"/>
    </xf>
    <xf numFmtId="10" fontId="141" fillId="9" borderId="52" xfId="889" applyNumberFormat="1" applyFont="1" applyFill="1" applyBorder="1" applyAlignment="1">
      <alignment horizontal="center" vertical="center"/>
    </xf>
    <xf numFmtId="173" fontId="141" fillId="9" borderId="193" xfId="950" applyNumberFormat="1" applyFont="1" applyFill="1" applyBorder="1" applyAlignment="1">
      <alignment horizontal="center" vertical="center" wrapText="1"/>
    </xf>
    <xf numFmtId="169" fontId="141" fillId="9" borderId="207" xfId="950" applyNumberFormat="1" applyFont="1" applyFill="1" applyBorder="1" applyAlignment="1">
      <alignment horizontal="center" vertical="center" wrapText="1"/>
    </xf>
    <xf numFmtId="173" fontId="141" fillId="9" borderId="16" xfId="950" applyNumberFormat="1" applyFont="1" applyFill="1" applyBorder="1" applyAlignment="1">
      <alignment horizontal="center" vertical="center" wrapText="1"/>
    </xf>
    <xf numFmtId="169" fontId="141" fillId="9" borderId="16" xfId="950" applyNumberFormat="1" applyFont="1" applyFill="1" applyBorder="1" applyAlignment="1">
      <alignment horizontal="center"/>
    </xf>
    <xf numFmtId="165" fontId="141" fillId="9" borderId="51" xfId="893" applyNumberFormat="1" applyFont="1" applyFill="1" applyBorder="1" applyAlignment="1">
      <alignment horizontal="center" vertical="center"/>
    </xf>
    <xf numFmtId="0" fontId="44" fillId="2" borderId="104" xfId="872" applyFont="1" applyFill="1" applyBorder="1" applyAlignment="1">
      <alignment horizontal="center" vertical="center" wrapText="1"/>
    </xf>
    <xf numFmtId="0" fontId="0" fillId="0" borderId="16" xfId="0" applyNumberFormat="1" applyBorder="1" applyAlignment="1">
      <alignment horizontal="center"/>
    </xf>
    <xf numFmtId="0" fontId="44" fillId="2" borderId="105" xfId="846" applyFont="1" applyFill="1" applyBorder="1" applyAlignment="1">
      <alignment horizontal="center" vertical="center" wrapText="1"/>
    </xf>
    <xf numFmtId="0" fontId="3" fillId="2" borderId="10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4" fillId="2" borderId="81" xfId="872" applyFont="1" applyFill="1" applyBorder="1" applyAlignment="1">
      <alignment horizontal="center" vertical="center" wrapText="1"/>
    </xf>
    <xf numFmtId="166" fontId="141" fillId="9" borderId="213" xfId="0" applyNumberFormat="1" applyFont="1" applyFill="1" applyBorder="1" applyAlignment="1">
      <alignment horizontal="center" vertical="center"/>
    </xf>
    <xf numFmtId="166" fontId="141" fillId="9" borderId="188" xfId="0" applyNumberFormat="1" applyFont="1" applyFill="1" applyBorder="1" applyAlignment="1">
      <alignment horizontal="center" vertical="center"/>
    </xf>
    <xf numFmtId="166" fontId="141" fillId="9" borderId="204" xfId="0" applyNumberFormat="1" applyFont="1" applyFill="1" applyBorder="1" applyAlignment="1">
      <alignment horizontal="center" vertical="center"/>
    </xf>
    <xf numFmtId="10" fontId="141" fillId="9" borderId="218" xfId="889" applyNumberFormat="1" applyFont="1" applyFill="1" applyBorder="1" applyAlignment="1">
      <alignment horizontal="center" vertical="center"/>
    </xf>
    <xf numFmtId="10" fontId="141" fillId="9" borderId="204" xfId="889" applyNumberFormat="1" applyFont="1" applyFill="1" applyBorder="1" applyAlignment="1">
      <alignment horizontal="center" vertical="center"/>
    </xf>
    <xf numFmtId="10" fontId="141" fillId="9" borderId="202" xfId="889" applyNumberFormat="1" applyFont="1" applyFill="1" applyBorder="1" applyAlignment="1">
      <alignment horizontal="center" vertical="center"/>
    </xf>
    <xf numFmtId="0" fontId="141" fillId="9" borderId="46" xfId="0" applyNumberFormat="1" applyFont="1" applyFill="1" applyBorder="1" applyAlignment="1">
      <alignment horizontal="center"/>
    </xf>
    <xf numFmtId="0" fontId="141" fillId="9" borderId="47" xfId="0" applyNumberFormat="1" applyFont="1" applyFill="1" applyBorder="1" applyAlignment="1">
      <alignment horizontal="center"/>
    </xf>
    <xf numFmtId="175" fontId="141" fillId="9" borderId="183" xfId="0" applyNumberFormat="1" applyFont="1" applyFill="1" applyBorder="1" applyAlignment="1">
      <alignment horizontal="center" vertical="center"/>
    </xf>
    <xf numFmtId="175" fontId="141" fillId="9" borderId="47" xfId="0" applyNumberFormat="1" applyFont="1" applyFill="1" applyBorder="1" applyAlignment="1">
      <alignment horizontal="center" vertical="center"/>
    </xf>
    <xf numFmtId="0" fontId="141" fillId="9" borderId="183" xfId="0" applyNumberFormat="1" applyFont="1" applyFill="1" applyBorder="1" applyAlignment="1">
      <alignment horizontal="center"/>
    </xf>
    <xf numFmtId="175" fontId="141" fillId="9" borderId="76" xfId="0" applyNumberFormat="1" applyFont="1" applyFill="1" applyBorder="1" applyAlignment="1">
      <alignment horizontal="center" vertical="center"/>
    </xf>
    <xf numFmtId="0" fontId="141" fillId="9" borderId="47" xfId="0" applyFont="1" applyFill="1" applyBorder="1" applyAlignment="1">
      <alignment horizontal="center"/>
    </xf>
    <xf numFmtId="0" fontId="141" fillId="9" borderId="47" xfId="0" applyNumberFormat="1" applyFont="1" applyFill="1" applyBorder="1" applyAlignment="1">
      <alignment horizontal="center" vertical="center"/>
    </xf>
    <xf numFmtId="0" fontId="19" fillId="9" borderId="47" xfId="0" applyNumberFormat="1" applyFont="1" applyFill="1" applyBorder="1" applyAlignment="1">
      <alignment horizontal="center"/>
    </xf>
    <xf numFmtId="0" fontId="0" fillId="9" borderId="47" xfId="0" applyNumberFormat="1" applyFill="1" applyBorder="1" applyAlignment="1">
      <alignment horizontal="center"/>
    </xf>
    <xf numFmtId="0" fontId="93" fillId="70" borderId="232" xfId="42138" applyFont="1" applyFill="1" applyBorder="1" applyAlignment="1">
      <alignment horizontal="center"/>
    </xf>
    <xf numFmtId="0" fontId="93" fillId="0" borderId="233" xfId="42138" applyFont="1" applyFill="1" applyBorder="1" applyAlignment="1">
      <alignment horizontal="right" wrapText="1"/>
    </xf>
    <xf numFmtId="0" fontId="93" fillId="0" borderId="233" xfId="42138" applyFont="1" applyFill="1" applyBorder="1" applyAlignment="1">
      <alignment wrapText="1"/>
    </xf>
    <xf numFmtId="15" fontId="93" fillId="0" borderId="233" xfId="42138" applyNumberFormat="1" applyFont="1" applyFill="1" applyBorder="1" applyAlignment="1">
      <alignment horizontal="right" wrapText="1"/>
    </xf>
    <xf numFmtId="168" fontId="19" fillId="9" borderId="104" xfId="0" applyNumberFormat="1" applyFont="1" applyFill="1" applyBorder="1" applyAlignment="1">
      <alignment horizontal="left" vertical="center"/>
    </xf>
    <xf numFmtId="168" fontId="19" fillId="9" borderId="182" xfId="0" applyNumberFormat="1" applyFont="1" applyFill="1" applyBorder="1" applyAlignment="1">
      <alignment horizontal="left" vertical="center"/>
    </xf>
    <xf numFmtId="0" fontId="19" fillId="9" borderId="0" xfId="0" applyFont="1" applyFill="1" applyBorder="1" applyAlignment="1">
      <alignment horizontal="right"/>
    </xf>
    <xf numFmtId="0" fontId="19" fillId="9" borderId="182" xfId="0" applyFont="1" applyFill="1" applyBorder="1" applyAlignment="1">
      <alignment horizontal="right"/>
    </xf>
    <xf numFmtId="3" fontId="20" fillId="71" borderId="58" xfId="0" applyNumberFormat="1" applyFont="1" applyFill="1" applyBorder="1" applyAlignment="1">
      <alignment horizontal="center" wrapText="1"/>
    </xf>
    <xf numFmtId="3" fontId="20" fillId="71" borderId="41" xfId="0" applyNumberFormat="1" applyFont="1" applyFill="1" applyBorder="1" applyAlignment="1">
      <alignment horizontal="center" vertical="center" wrapText="1"/>
    </xf>
    <xf numFmtId="0" fontId="44" fillId="71" borderId="104" xfId="846" applyFont="1" applyFill="1" applyBorder="1" applyAlignment="1">
      <alignment horizontal="center" vertical="center" wrapText="1"/>
    </xf>
    <xf numFmtId="0" fontId="20" fillId="71" borderId="104" xfId="0" applyNumberFormat="1" applyFont="1" applyFill="1" applyBorder="1" applyAlignment="1">
      <alignment horizontal="center" vertical="center" wrapText="1"/>
    </xf>
    <xf numFmtId="3" fontId="20" fillId="71" borderId="104" xfId="0" applyNumberFormat="1" applyFont="1" applyFill="1" applyBorder="1" applyAlignment="1">
      <alignment horizontal="center" wrapText="1"/>
    </xf>
    <xf numFmtId="3" fontId="20" fillId="71" borderId="8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169" xfId="0" applyBorder="1" applyAlignment="1">
      <alignment horizontal="right"/>
    </xf>
    <xf numFmtId="0" fontId="40" fillId="0" borderId="182" xfId="952" applyFont="1" applyFill="1" applyBorder="1" applyAlignment="1">
      <alignment horizontal="left" wrapText="1"/>
    </xf>
    <xf numFmtId="168" fontId="19" fillId="9" borderId="182" xfId="0" applyNumberFormat="1" applyFont="1" applyFill="1" applyBorder="1" applyAlignment="1">
      <alignment horizontal="right" vertical="center"/>
    </xf>
    <xf numFmtId="0" fontId="40" fillId="0" borderId="171" xfId="952" applyFont="1" applyFill="1" applyBorder="1" applyAlignment="1">
      <alignment horizontal="left" wrapText="1"/>
    </xf>
    <xf numFmtId="0" fontId="0" fillId="0" borderId="171" xfId="0" applyFont="1" applyBorder="1" applyAlignment="1">
      <alignment horizontal="right"/>
    </xf>
    <xf numFmtId="0" fontId="0" fillId="9" borderId="0" xfId="0" applyFill="1" applyAlignment="1">
      <alignment horizontal="left" indent="1"/>
    </xf>
    <xf numFmtId="0" fontId="0" fillId="9" borderId="0" xfId="0" applyFill="1" applyAlignment="1">
      <alignment horizontal="left" indent="2"/>
    </xf>
    <xf numFmtId="0" fontId="0" fillId="9" borderId="0" xfId="0" applyNumberFormat="1" applyFill="1" applyAlignment="1">
      <alignment horizontal="right"/>
    </xf>
    <xf numFmtId="0" fontId="19" fillId="9" borderId="46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0" fillId="0" borderId="48" xfId="0" applyBorder="1"/>
    <xf numFmtId="0" fontId="39" fillId="64" borderId="182" xfId="0" applyFont="1" applyFill="1" applyBorder="1" applyAlignment="1">
      <alignment horizontal="center" vertical="center" wrapText="1"/>
    </xf>
    <xf numFmtId="0" fontId="39" fillId="64" borderId="193" xfId="0" applyFont="1" applyFill="1" applyBorder="1" applyAlignment="1">
      <alignment horizontal="center" vertical="center"/>
    </xf>
    <xf numFmtId="165" fontId="141" fillId="9" borderId="52" xfId="0" applyNumberFormat="1" applyFont="1" applyFill="1" applyBorder="1" applyAlignment="1">
      <alignment horizontal="center" vertical="center"/>
    </xf>
    <xf numFmtId="167" fontId="19" fillId="9" borderId="47" xfId="0" applyNumberFormat="1" applyFont="1" applyFill="1" applyBorder="1" applyAlignment="1">
      <alignment horizontal="center" vertical="center"/>
    </xf>
    <xf numFmtId="10" fontId="19" fillId="9" borderId="47" xfId="890" applyNumberFormat="1" applyFont="1" applyFill="1" applyBorder="1" applyAlignment="1">
      <alignment horizontal="center"/>
    </xf>
    <xf numFmtId="0" fontId="0" fillId="9" borderId="10" xfId="0" applyFont="1" applyFill="1" applyBorder="1" applyAlignment="1">
      <alignment horizontal="center"/>
    </xf>
    <xf numFmtId="0" fontId="21" fillId="99" borderId="36" xfId="0" applyNumberFormat="1" applyFont="1" applyFill="1" applyBorder="1"/>
    <xf numFmtId="0" fontId="21" fillId="99" borderId="36" xfId="0" applyNumberFormat="1" applyFont="1" applyFill="1" applyBorder="1" applyAlignment="1">
      <alignment horizontal="center"/>
    </xf>
    <xf numFmtId="0" fontId="20" fillId="9" borderId="35" xfId="0" applyFont="1" applyFill="1" applyBorder="1" applyAlignment="1">
      <alignment horizontal="center"/>
    </xf>
    <xf numFmtId="170" fontId="19" fillId="9" borderId="23" xfId="0" applyNumberFormat="1" applyFont="1" applyFill="1" applyBorder="1" applyAlignment="1">
      <alignment horizontal="center" vertical="center" wrapText="1"/>
    </xf>
    <xf numFmtId="170" fontId="19" fillId="9" borderId="10" xfId="0" applyNumberFormat="1" applyFont="1" applyFill="1" applyBorder="1" applyAlignment="1">
      <alignment horizontal="center" vertical="center" wrapText="1"/>
    </xf>
    <xf numFmtId="0" fontId="0" fillId="9" borderId="46" xfId="0" applyNumberFormat="1" applyFill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15" borderId="47" xfId="0" applyNumberFormat="1" applyFill="1" applyBorder="1" applyAlignment="1">
      <alignment horizontal="center"/>
    </xf>
    <xf numFmtId="0" fontId="19" fillId="9" borderId="207" xfId="0" applyFont="1" applyFill="1" applyBorder="1" applyAlignment="1">
      <alignment horizontal="center" vertical="center"/>
    </xf>
    <xf numFmtId="0" fontId="19" fillId="9" borderId="193" xfId="0" applyNumberFormat="1" applyFont="1" applyFill="1" applyBorder="1" applyAlignment="1"/>
    <xf numFmtId="0" fontId="19" fillId="9" borderId="213" xfId="0" applyFont="1" applyFill="1" applyBorder="1" applyAlignment="1">
      <alignment horizontal="center"/>
    </xf>
    <xf numFmtId="0" fontId="19" fillId="9" borderId="207" xfId="0" applyFont="1" applyFill="1" applyBorder="1" applyAlignment="1">
      <alignment horizontal="center"/>
    </xf>
    <xf numFmtId="173" fontId="19" fillId="9" borderId="216" xfId="0" applyNumberFormat="1" applyFont="1" applyFill="1" applyBorder="1" applyAlignment="1">
      <alignment horizontal="center"/>
    </xf>
    <xf numFmtId="172" fontId="19" fillId="9" borderId="206" xfId="0" applyNumberFormat="1" applyFont="1" applyFill="1" applyBorder="1" applyAlignment="1">
      <alignment horizontal="center"/>
    </xf>
    <xf numFmtId="0" fontId="19" fillId="9" borderId="204" xfId="0" applyFont="1" applyFill="1" applyBorder="1" applyAlignment="1">
      <alignment horizontal="center"/>
    </xf>
    <xf numFmtId="173" fontId="19" fillId="9" borderId="205" xfId="0" applyNumberFormat="1" applyFont="1" applyFill="1" applyBorder="1" applyAlignment="1">
      <alignment horizontal="center"/>
    </xf>
    <xf numFmtId="10" fontId="19" fillId="9" borderId="183" xfId="0" applyNumberFormat="1" applyFont="1" applyFill="1" applyBorder="1" applyAlignment="1">
      <alignment horizontal="center"/>
    </xf>
    <xf numFmtId="172" fontId="19" fillId="9" borderId="214" xfId="0" applyNumberFormat="1" applyFont="1" applyFill="1" applyBorder="1" applyAlignment="1">
      <alignment horizontal="center"/>
    </xf>
    <xf numFmtId="169" fontId="19" fillId="9" borderId="204" xfId="0" applyNumberFormat="1" applyFont="1" applyFill="1" applyBorder="1" applyAlignment="1">
      <alignment horizontal="center"/>
    </xf>
    <xf numFmtId="169" fontId="19" fillId="9" borderId="213" xfId="0" applyNumberFormat="1" applyFont="1" applyFill="1" applyBorder="1" applyAlignment="1">
      <alignment horizontal="center"/>
    </xf>
    <xf numFmtId="172" fontId="19" fillId="9" borderId="211" xfId="0" applyNumberFormat="1" applyFont="1" applyFill="1" applyBorder="1" applyAlignment="1">
      <alignment horizontal="center"/>
    </xf>
    <xf numFmtId="169" fontId="19" fillId="9" borderId="208" xfId="0" applyNumberFormat="1" applyFont="1" applyFill="1" applyBorder="1" applyAlignment="1">
      <alignment horizontal="center"/>
    </xf>
    <xf numFmtId="173" fontId="19" fillId="9" borderId="209" xfId="0" applyNumberFormat="1" applyFont="1" applyFill="1" applyBorder="1" applyAlignment="1">
      <alignment horizontal="center"/>
    </xf>
    <xf numFmtId="173" fontId="19" fillId="9" borderId="207" xfId="0" applyNumberFormat="1" applyFont="1" applyFill="1" applyBorder="1" applyAlignment="1">
      <alignment horizontal="center"/>
    </xf>
    <xf numFmtId="10" fontId="19" fillId="9" borderId="207" xfId="0" applyNumberFormat="1" applyFont="1" applyFill="1" applyBorder="1" applyAlignment="1">
      <alignment horizontal="center"/>
    </xf>
    <xf numFmtId="0" fontId="0" fillId="9" borderId="16" xfId="0" applyNumberFormat="1" applyFill="1" applyBorder="1" applyAlignment="1">
      <alignment horizontal="center"/>
    </xf>
    <xf numFmtId="0" fontId="19" fillId="9" borderId="207" xfId="0" applyNumberFormat="1" applyFont="1" applyFill="1" applyBorder="1" applyAlignment="1">
      <alignment horizontal="center"/>
    </xf>
    <xf numFmtId="183" fontId="141" fillId="9" borderId="206" xfId="939" applyNumberFormat="1" applyFont="1" applyFill="1" applyBorder="1" applyAlignment="1">
      <alignment horizontal="center" vertical="center"/>
    </xf>
    <xf numFmtId="0" fontId="0" fillId="9" borderId="207" xfId="0" applyFill="1" applyBorder="1"/>
    <xf numFmtId="0" fontId="141" fillId="9" borderId="193" xfId="0" applyFont="1" applyFill="1" applyBorder="1" applyAlignment="1">
      <alignment vertical="center"/>
    </xf>
    <xf numFmtId="0" fontId="0" fillId="0" borderId="207" xfId="0" applyNumberFormat="1" applyBorder="1" applyAlignment="1"/>
    <xf numFmtId="0" fontId="141" fillId="9" borderId="193" xfId="0" applyNumberFormat="1" applyFont="1" applyFill="1" applyBorder="1" applyAlignment="1"/>
    <xf numFmtId="0" fontId="0" fillId="0" borderId="46" xfId="0" applyBorder="1"/>
    <xf numFmtId="0" fontId="0" fillId="9" borderId="182" xfId="0" applyNumberFormat="1" applyFill="1" applyBorder="1"/>
    <xf numFmtId="4" fontId="0" fillId="9" borderId="222" xfId="0" applyNumberFormat="1" applyFont="1" applyFill="1" applyBorder="1" applyAlignment="1">
      <alignment horizontal="center"/>
    </xf>
    <xf numFmtId="4" fontId="0" fillId="9" borderId="183" xfId="0" applyNumberFormat="1" applyFont="1" applyFill="1" applyBorder="1" applyAlignment="1">
      <alignment horizontal="center"/>
    </xf>
    <xf numFmtId="0" fontId="39" fillId="64" borderId="193" xfId="0" applyFont="1" applyFill="1" applyBorder="1" applyAlignment="1">
      <alignment horizontal="center"/>
    </xf>
    <xf numFmtId="0" fontId="0" fillId="0" borderId="193" xfId="0" applyNumberFormat="1" applyBorder="1"/>
    <xf numFmtId="0" fontId="39" fillId="64" borderId="175" xfId="0" applyFont="1" applyFill="1" applyBorder="1" applyAlignment="1">
      <alignment horizontal="center"/>
    </xf>
    <xf numFmtId="0" fontId="0" fillId="0" borderId="58" xfId="0" applyBorder="1"/>
    <xf numFmtId="0" fontId="99" fillId="64" borderId="204" xfId="951" applyFont="1" applyFill="1" applyBorder="1" applyAlignment="1">
      <alignment horizontal="center" wrapText="1"/>
    </xf>
    <xf numFmtId="0" fontId="39" fillId="64" borderId="25" xfId="0" applyFont="1" applyFill="1" applyBorder="1" applyAlignment="1">
      <alignment horizontal="center"/>
    </xf>
    <xf numFmtId="0" fontId="0" fillId="0" borderId="86" xfId="0" applyBorder="1"/>
    <xf numFmtId="0" fontId="21" fillId="0" borderId="25" xfId="0" applyFont="1" applyBorder="1"/>
    <xf numFmtId="0" fontId="20" fillId="9" borderId="178" xfId="0" applyFont="1" applyFill="1" applyBorder="1"/>
    <xf numFmtId="0" fontId="21" fillId="9" borderId="193" xfId="0" applyFont="1" applyFill="1" applyBorder="1"/>
    <xf numFmtId="0" fontId="20" fillId="9" borderId="25" xfId="0" applyFont="1" applyFill="1" applyBorder="1"/>
    <xf numFmtId="0" fontId="21" fillId="0" borderId="25" xfId="0" applyNumberFormat="1" applyFont="1" applyBorder="1"/>
    <xf numFmtId="0" fontId="0" fillId="0" borderId="205" xfId="0" applyNumberFormat="1" applyBorder="1"/>
    <xf numFmtId="0" fontId="21" fillId="9" borderId="182" xfId="0" applyNumberFormat="1" applyFont="1" applyFill="1" applyBorder="1" applyAlignment="1">
      <alignment horizontal="center"/>
    </xf>
    <xf numFmtId="0" fontId="171" fillId="67" borderId="235" xfId="42140" applyFont="1" applyFill="1" applyBorder="1" applyAlignment="1">
      <alignment horizontal="center"/>
    </xf>
    <xf numFmtId="2" fontId="141" fillId="9" borderId="51" xfId="0" applyNumberFormat="1" applyFont="1" applyFill="1" applyBorder="1" applyAlignment="1">
      <alignment horizontal="center" vertical="center"/>
    </xf>
    <xf numFmtId="2" fontId="141" fillId="9" borderId="52" xfId="0" applyNumberFormat="1" applyFont="1" applyFill="1" applyBorder="1" applyAlignment="1">
      <alignment horizontal="center" vertical="center"/>
    </xf>
    <xf numFmtId="166" fontId="141" fillId="9" borderId="206" xfId="0" applyNumberFormat="1" applyFont="1" applyFill="1" applyBorder="1" applyAlignment="1">
      <alignment horizontal="center" vertical="center"/>
    </xf>
    <xf numFmtId="180" fontId="141" fillId="9" borderId="193" xfId="0" applyNumberFormat="1" applyFont="1" applyFill="1" applyBorder="1" applyAlignment="1">
      <alignment horizontal="center" vertical="center"/>
    </xf>
    <xf numFmtId="181" fontId="141" fillId="9" borderId="193" xfId="0" applyNumberFormat="1" applyFont="1" applyFill="1" applyBorder="1" applyAlignment="1">
      <alignment horizontal="center" vertical="center"/>
    </xf>
    <xf numFmtId="10" fontId="141" fillId="9" borderId="213" xfId="889" applyNumberFormat="1" applyFont="1" applyFill="1" applyBorder="1" applyAlignment="1">
      <alignment horizontal="center" vertical="center"/>
    </xf>
    <xf numFmtId="166" fontId="141" fillId="9" borderId="193" xfId="0" applyNumberFormat="1" applyFont="1" applyFill="1" applyBorder="1" applyAlignment="1">
      <alignment horizontal="center" vertical="center"/>
    </xf>
    <xf numFmtId="166" fontId="141" fillId="9" borderId="207" xfId="0" applyNumberFormat="1" applyFont="1" applyFill="1" applyBorder="1" applyAlignment="1">
      <alignment horizontal="center" vertical="center"/>
    </xf>
    <xf numFmtId="175" fontId="141" fillId="9" borderId="236" xfId="0" applyNumberFormat="1" applyFont="1" applyFill="1" applyBorder="1" applyAlignment="1">
      <alignment horizontal="center" vertical="center"/>
    </xf>
    <xf numFmtId="175" fontId="141" fillId="9" borderId="173" xfId="0" applyNumberFormat="1" applyFont="1" applyFill="1" applyBorder="1" applyAlignment="1">
      <alignment horizontal="center" vertical="center"/>
    </xf>
    <xf numFmtId="175" fontId="141" fillId="9" borderId="237" xfId="0" applyNumberFormat="1" applyFont="1" applyFill="1" applyBorder="1" applyAlignment="1">
      <alignment horizontal="center" vertical="center"/>
    </xf>
    <xf numFmtId="10" fontId="141" fillId="9" borderId="238" xfId="889" applyNumberFormat="1" applyFont="1" applyFill="1" applyBorder="1" applyAlignment="1">
      <alignment horizontal="center" vertical="center"/>
    </xf>
    <xf numFmtId="172" fontId="19" fillId="9" borderId="207" xfId="0" applyNumberFormat="1" applyFont="1" applyFill="1" applyBorder="1" applyAlignment="1">
      <alignment horizontal="center"/>
    </xf>
    <xf numFmtId="173" fontId="19" fillId="9" borderId="214" xfId="0" applyNumberFormat="1" applyFont="1" applyFill="1" applyBorder="1" applyAlignment="1">
      <alignment horizontal="center"/>
    </xf>
    <xf numFmtId="0" fontId="19" fillId="9" borderId="218" xfId="0" applyFont="1" applyFill="1" applyBorder="1" applyAlignment="1">
      <alignment horizontal="center"/>
    </xf>
    <xf numFmtId="169" fontId="19" fillId="9" borderId="218" xfId="0" applyNumberFormat="1" applyFont="1" applyFill="1" applyBorder="1" applyAlignment="1">
      <alignment horizontal="center"/>
    </xf>
    <xf numFmtId="173" fontId="19" fillId="9" borderId="206" xfId="0" applyNumberFormat="1" applyFont="1" applyFill="1" applyBorder="1" applyAlignment="1">
      <alignment horizontal="center"/>
    </xf>
    <xf numFmtId="10" fontId="19" fillId="9" borderId="218" xfId="0" applyNumberFormat="1" applyFont="1" applyFill="1" applyBorder="1" applyAlignment="1">
      <alignment horizontal="center"/>
    </xf>
    <xf numFmtId="10" fontId="19" fillId="9" borderId="205" xfId="0" applyNumberFormat="1" applyFont="1" applyFill="1" applyBorder="1" applyAlignment="1">
      <alignment horizontal="center"/>
    </xf>
    <xf numFmtId="169" fontId="19" fillId="9" borderId="236" xfId="0" applyNumberFormat="1" applyFont="1" applyFill="1" applyBorder="1" applyAlignment="1">
      <alignment horizontal="center"/>
    </xf>
    <xf numFmtId="173" fontId="19" fillId="9" borderId="211" xfId="0" applyNumberFormat="1" applyFont="1" applyFill="1" applyBorder="1" applyAlignment="1">
      <alignment horizontal="center"/>
    </xf>
    <xf numFmtId="10" fontId="19" fillId="9" borderId="209" xfId="0" applyNumberFormat="1" applyFont="1" applyFill="1" applyBorder="1" applyAlignment="1">
      <alignment horizontal="center"/>
    </xf>
    <xf numFmtId="10" fontId="19" fillId="9" borderId="216" xfId="0" applyNumberFormat="1" applyFont="1" applyFill="1" applyBorder="1" applyAlignment="1">
      <alignment horizontal="center"/>
    </xf>
    <xf numFmtId="175" fontId="19" fillId="9" borderId="207" xfId="0" applyNumberFormat="1" applyFont="1" applyFill="1" applyBorder="1" applyAlignment="1">
      <alignment horizontal="center"/>
    </xf>
    <xf numFmtId="0" fontId="19" fillId="9" borderId="52" xfId="0" applyNumberFormat="1" applyFont="1" applyFill="1" applyBorder="1" applyAlignment="1">
      <alignment horizontal="center"/>
    </xf>
    <xf numFmtId="0" fontId="0" fillId="0" borderId="16" xfId="0" applyNumberFormat="1" applyBorder="1"/>
    <xf numFmtId="169" fontId="19" fillId="9" borderId="207" xfId="0" applyNumberFormat="1" applyFont="1" applyFill="1" applyBorder="1" applyAlignment="1">
      <alignment horizontal="center"/>
    </xf>
    <xf numFmtId="171" fontId="19" fillId="9" borderId="208" xfId="0" applyNumberFormat="1" applyFont="1" applyFill="1" applyBorder="1" applyAlignment="1">
      <alignment horizontal="center" vertical="center"/>
    </xf>
    <xf numFmtId="0" fontId="0" fillId="9" borderId="182" xfId="0" applyNumberFormat="1" applyFill="1" applyBorder="1" applyAlignment="1">
      <alignment horizontal="center"/>
    </xf>
    <xf numFmtId="170" fontId="19" fillId="9" borderId="22" xfId="0" applyNumberFormat="1" applyFont="1" applyFill="1" applyBorder="1" applyAlignment="1">
      <alignment horizontal="center" vertical="center" wrapText="1"/>
    </xf>
    <xf numFmtId="169" fontId="20" fillId="9" borderId="6" xfId="0" applyNumberFormat="1" applyFont="1" applyFill="1" applyBorder="1" applyAlignment="1">
      <alignment horizontal="center" wrapText="1"/>
    </xf>
    <xf numFmtId="0" fontId="19" fillId="9" borderId="36" xfId="0" applyFont="1" applyFill="1" applyBorder="1" applyAlignment="1">
      <alignment horizontal="center"/>
    </xf>
    <xf numFmtId="0" fontId="19" fillId="9" borderId="234" xfId="961" applyFont="1" applyFill="1" applyBorder="1" applyAlignment="1">
      <alignment horizontal="center" wrapText="1"/>
    </xf>
    <xf numFmtId="2" fontId="19" fillId="9" borderId="207" xfId="0" applyNumberFormat="1" applyFont="1" applyFill="1" applyBorder="1" applyAlignment="1">
      <alignment horizontal="center"/>
    </xf>
    <xf numFmtId="0" fontId="0" fillId="0" borderId="0" xfId="0" applyNumberFormat="1"/>
    <xf numFmtId="165" fontId="141" fillId="9" borderId="51" xfId="0" applyNumberFormat="1" applyFont="1" applyFill="1" applyBorder="1" applyAlignment="1">
      <alignment horizontal="center" vertical="center"/>
    </xf>
    <xf numFmtId="166" fontId="141" fillId="9" borderId="104" xfId="0" applyNumberFormat="1" applyFont="1" applyFill="1" applyBorder="1" applyAlignment="1">
      <alignment horizontal="center" vertical="center"/>
    </xf>
    <xf numFmtId="175" fontId="141" fillId="9" borderId="215" xfId="0" applyNumberFormat="1" applyFont="1" applyFill="1" applyBorder="1" applyAlignment="1">
      <alignment horizontal="center" vertical="center"/>
    </xf>
    <xf numFmtId="10" fontId="141" fillId="9" borderId="215" xfId="889" applyNumberFormat="1" applyFont="1" applyFill="1" applyBorder="1" applyAlignment="1">
      <alignment horizontal="center" vertical="center"/>
    </xf>
    <xf numFmtId="175" fontId="141" fillId="9" borderId="137" xfId="0" applyNumberFormat="1" applyFont="1" applyFill="1" applyBorder="1" applyAlignment="1">
      <alignment horizontal="center" vertical="center"/>
    </xf>
    <xf numFmtId="10" fontId="141" fillId="9" borderId="236" xfId="889" applyNumberFormat="1" applyFont="1" applyFill="1" applyBorder="1" applyAlignment="1">
      <alignment horizontal="center" vertical="center"/>
    </xf>
    <xf numFmtId="173" fontId="19" fillId="15" borderId="18" xfId="0" applyNumberFormat="1" applyFont="1" applyFill="1" applyBorder="1" applyAlignment="1">
      <alignment horizontal="center"/>
    </xf>
    <xf numFmtId="10" fontId="19" fillId="15" borderId="15" xfId="0" applyNumberFormat="1" applyFont="1" applyFill="1" applyBorder="1" applyAlignment="1">
      <alignment horizontal="center"/>
    </xf>
    <xf numFmtId="172" fontId="19" fillId="15" borderId="42" xfId="0" applyNumberFormat="1" applyFont="1" applyFill="1" applyBorder="1" applyAlignment="1">
      <alignment horizontal="center"/>
    </xf>
    <xf numFmtId="169" fontId="19" fillId="15" borderId="138" xfId="0" applyNumberFormat="1" applyFont="1" applyFill="1" applyBorder="1" applyAlignment="1">
      <alignment horizontal="center"/>
    </xf>
    <xf numFmtId="0" fontId="0" fillId="15" borderId="207" xfId="0" applyNumberFormat="1" applyFont="1" applyFill="1" applyBorder="1" applyAlignment="1">
      <alignment horizontal="center"/>
    </xf>
    <xf numFmtId="172" fontId="19" fillId="15" borderId="214" xfId="0" applyNumberFormat="1" applyFont="1" applyFill="1" applyBorder="1" applyAlignment="1">
      <alignment horizontal="center"/>
    </xf>
    <xf numFmtId="0" fontId="19" fillId="15" borderId="213" xfId="0" applyFont="1" applyFill="1" applyBorder="1" applyAlignment="1">
      <alignment horizontal="center"/>
    </xf>
    <xf numFmtId="0" fontId="19" fillId="15" borderId="207" xfId="0" applyFont="1" applyFill="1" applyBorder="1" applyAlignment="1">
      <alignment horizontal="center"/>
    </xf>
    <xf numFmtId="172" fontId="19" fillId="15" borderId="188" xfId="0" applyNumberFormat="1" applyFont="1" applyFill="1" applyBorder="1" applyAlignment="1">
      <alignment horizontal="center"/>
    </xf>
    <xf numFmtId="172" fontId="19" fillId="15" borderId="206" xfId="0" applyNumberFormat="1" applyFont="1" applyFill="1" applyBorder="1" applyAlignment="1">
      <alignment horizontal="center"/>
    </xf>
    <xf numFmtId="0" fontId="19" fillId="15" borderId="204" xfId="0" applyFont="1" applyFill="1" applyBorder="1" applyAlignment="1">
      <alignment horizontal="center"/>
    </xf>
    <xf numFmtId="0" fontId="19" fillId="15" borderId="193" xfId="0" applyFont="1" applyFill="1" applyBorder="1" applyAlignment="1">
      <alignment horizontal="center"/>
    </xf>
    <xf numFmtId="169" fontId="19" fillId="15" borderId="218" xfId="0" applyNumberFormat="1" applyFont="1" applyFill="1" applyBorder="1" applyAlignment="1">
      <alignment horizontal="center"/>
    </xf>
    <xf numFmtId="173" fontId="19" fillId="15" borderId="206" xfId="0" applyNumberFormat="1" applyFont="1" applyFill="1" applyBorder="1" applyAlignment="1">
      <alignment horizontal="center"/>
    </xf>
    <xf numFmtId="10" fontId="19" fillId="15" borderId="205" xfId="0" applyNumberFormat="1" applyFont="1" applyFill="1" applyBorder="1" applyAlignment="1">
      <alignment horizontal="center"/>
    </xf>
    <xf numFmtId="169" fontId="19" fillId="15" borderId="0" xfId="0" applyNumberFormat="1" applyFont="1" applyFill="1" applyBorder="1" applyAlignment="1">
      <alignment horizontal="center"/>
    </xf>
    <xf numFmtId="10" fontId="19" fillId="15" borderId="10" xfId="0" applyNumberFormat="1" applyFont="1" applyFill="1" applyBorder="1" applyAlignment="1">
      <alignment horizontal="center"/>
    </xf>
    <xf numFmtId="166" fontId="141" fillId="9" borderId="205" xfId="0" applyNumberFormat="1" applyFont="1" applyFill="1" applyBorder="1" applyAlignment="1">
      <alignment horizontal="center" vertical="center"/>
    </xf>
    <xf numFmtId="175" fontId="184" fillId="9" borderId="206" xfId="0" applyNumberFormat="1" applyFont="1" applyFill="1" applyBorder="1" applyAlignment="1">
      <alignment horizontal="center" vertical="center"/>
    </xf>
    <xf numFmtId="168" fontId="141" fillId="9" borderId="201" xfId="950" applyNumberFormat="1" applyFont="1" applyFill="1" applyBorder="1" applyAlignment="1">
      <alignment horizontal="right" vertical="center" wrapText="1"/>
    </xf>
    <xf numFmtId="0" fontId="141" fillId="9" borderId="201" xfId="950" applyFont="1" applyFill="1" applyBorder="1" applyAlignment="1">
      <alignment horizontal="right"/>
    </xf>
    <xf numFmtId="169" fontId="141" fillId="9" borderId="201" xfId="950" applyNumberFormat="1" applyFont="1" applyFill="1" applyBorder="1" applyAlignment="1">
      <alignment horizontal="right" vertical="center" wrapText="1"/>
    </xf>
    <xf numFmtId="175" fontId="141" fillId="9" borderId="201" xfId="0" applyNumberFormat="1" applyFont="1" applyFill="1" applyBorder="1" applyAlignment="1">
      <alignment horizontal="right" vertical="center"/>
    </xf>
    <xf numFmtId="169" fontId="141" fillId="9" borderId="201" xfId="950" applyNumberFormat="1" applyFont="1" applyFill="1" applyBorder="1" applyAlignment="1">
      <alignment horizontal="right"/>
    </xf>
    <xf numFmtId="166" fontId="141" fillId="9" borderId="237" xfId="0" applyNumberFormat="1" applyFont="1" applyFill="1" applyBorder="1" applyAlignment="1">
      <alignment horizontal="center" vertical="center"/>
    </xf>
    <xf numFmtId="169" fontId="141" fillId="9" borderId="236" xfId="950" applyNumberFormat="1" applyFont="1" applyFill="1" applyBorder="1" applyAlignment="1">
      <alignment horizontal="right"/>
    </xf>
    <xf numFmtId="0" fontId="0" fillId="71" borderId="0" xfId="0" applyFont="1" applyFill="1" applyBorder="1"/>
    <xf numFmtId="0" fontId="0" fillId="71" borderId="0" xfId="0" applyFont="1" applyFill="1"/>
    <xf numFmtId="0" fontId="19" fillId="71" borderId="0" xfId="0" applyFont="1" applyFill="1" applyBorder="1"/>
    <xf numFmtId="0" fontId="21" fillId="71" borderId="0" xfId="0" applyFont="1" applyFill="1"/>
    <xf numFmtId="165" fontId="0" fillId="71" borderId="0" xfId="0" applyNumberFormat="1" applyFont="1" applyFill="1"/>
    <xf numFmtId="0" fontId="104" fillId="71" borderId="0" xfId="815" applyFont="1" applyFill="1" applyBorder="1" applyAlignment="1">
      <alignment horizontal="center"/>
    </xf>
    <xf numFmtId="10" fontId="19" fillId="9" borderId="213" xfId="0" applyNumberFormat="1" applyFont="1" applyFill="1" applyBorder="1" applyAlignment="1">
      <alignment horizontal="center"/>
    </xf>
    <xf numFmtId="10" fontId="19" fillId="9" borderId="204" xfId="0" applyNumberFormat="1" applyFont="1" applyFill="1" applyBorder="1" applyAlignment="1">
      <alignment horizontal="center"/>
    </xf>
    <xf numFmtId="0" fontId="19" fillId="9" borderId="201" xfId="0" applyFont="1" applyFill="1" applyBorder="1" applyAlignment="1">
      <alignment horizontal="center"/>
    </xf>
    <xf numFmtId="169" fontId="19" fillId="15" borderId="201" xfId="0" applyNumberFormat="1" applyFont="1" applyFill="1" applyBorder="1" applyAlignment="1">
      <alignment horizontal="center"/>
    </xf>
    <xf numFmtId="172" fontId="19" fillId="9" borderId="201" xfId="0" applyNumberFormat="1" applyFont="1" applyFill="1" applyBorder="1" applyAlignment="1">
      <alignment horizontal="center"/>
    </xf>
    <xf numFmtId="172" fontId="19" fillId="9" borderId="237" xfId="0" applyNumberFormat="1" applyFont="1" applyFill="1" applyBorder="1" applyAlignment="1">
      <alignment horizontal="center"/>
    </xf>
    <xf numFmtId="0" fontId="19" fillId="9" borderId="238" xfId="0" applyFont="1" applyFill="1" applyBorder="1" applyAlignment="1">
      <alignment horizontal="center"/>
    </xf>
    <xf numFmtId="173" fontId="19" fillId="9" borderId="237" xfId="0" applyNumberFormat="1" applyFont="1" applyFill="1" applyBorder="1" applyAlignment="1">
      <alignment horizontal="center"/>
    </xf>
    <xf numFmtId="10" fontId="19" fillId="9" borderId="236" xfId="0" applyNumberFormat="1" applyFont="1" applyFill="1" applyBorder="1" applyAlignment="1">
      <alignment horizontal="center"/>
    </xf>
    <xf numFmtId="0" fontId="20" fillId="15" borderId="193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175" fontId="141" fillId="59" borderId="207" xfId="0" applyNumberFormat="1" applyFont="1" applyFill="1" applyBorder="1" applyAlignment="1">
      <alignment horizontal="center" vertical="center"/>
    </xf>
    <xf numFmtId="175" fontId="44" fillId="59" borderId="48" xfId="0" applyNumberFormat="1" applyFont="1" applyFill="1" applyBorder="1" applyAlignment="1">
      <alignment horizontal="center" vertical="center"/>
    </xf>
    <xf numFmtId="169" fontId="19" fillId="59" borderId="48" xfId="0" applyNumberFormat="1" applyFont="1" applyFill="1" applyBorder="1" applyAlignment="1">
      <alignment horizontal="center"/>
    </xf>
    <xf numFmtId="169" fontId="19" fillId="59" borderId="25" xfId="0" applyNumberFormat="1" applyFont="1" applyFill="1" applyBorder="1" applyAlignment="1">
      <alignment horizontal="center"/>
    </xf>
    <xf numFmtId="169" fontId="20" fillId="59" borderId="169" xfId="0" applyNumberFormat="1" applyFont="1" applyFill="1" applyBorder="1" applyAlignment="1">
      <alignment horizontal="center"/>
    </xf>
    <xf numFmtId="173" fontId="19" fillId="71" borderId="0" xfId="0" applyNumberFormat="1" applyFont="1" applyFill="1" applyBorder="1"/>
    <xf numFmtId="0" fontId="4" fillId="0" borderId="223" xfId="0" applyFont="1" applyFill="1" applyBorder="1"/>
    <xf numFmtId="177" fontId="19" fillId="0" borderId="169" xfId="0" applyNumberFormat="1" applyFont="1" applyFill="1" applyBorder="1"/>
    <xf numFmtId="177" fontId="17" fillId="0" borderId="182" xfId="0" applyNumberFormat="1" applyFont="1" applyFill="1" applyBorder="1"/>
    <xf numFmtId="168" fontId="17" fillId="0" borderId="182" xfId="0" applyNumberFormat="1" applyFont="1" applyFill="1" applyBorder="1"/>
    <xf numFmtId="0" fontId="4" fillId="0" borderId="170" xfId="0" applyFont="1" applyFill="1" applyBorder="1"/>
    <xf numFmtId="168" fontId="19" fillId="0" borderId="171" xfId="0" applyNumberFormat="1" applyFont="1" applyFill="1" applyBorder="1"/>
    <xf numFmtId="9" fontId="20" fillId="9" borderId="54" xfId="889" applyFont="1" applyFill="1" applyBorder="1" applyAlignment="1">
      <alignment horizontal="center"/>
    </xf>
    <xf numFmtId="3" fontId="20" fillId="0" borderId="51" xfId="0" applyNumberFormat="1" applyFont="1" applyBorder="1"/>
    <xf numFmtId="3" fontId="0" fillId="0" borderId="52" xfId="0" applyNumberFormat="1" applyFont="1" applyBorder="1"/>
    <xf numFmtId="168" fontId="20" fillId="9" borderId="52" xfId="0" applyNumberFormat="1" applyFont="1" applyFill="1" applyBorder="1" applyAlignment="1">
      <alignment horizontal="right"/>
    </xf>
    <xf numFmtId="4" fontId="19" fillId="9" borderId="52" xfId="0" applyNumberFormat="1" applyFont="1" applyFill="1" applyBorder="1" applyAlignment="1">
      <alignment horizontal="right"/>
    </xf>
    <xf numFmtId="9" fontId="20" fillId="9" borderId="82" xfId="889" applyFont="1" applyFill="1" applyBorder="1" applyAlignment="1">
      <alignment horizontal="center"/>
    </xf>
    <xf numFmtId="3" fontId="19" fillId="0" borderId="52" xfId="0" applyNumberFormat="1" applyFont="1" applyBorder="1"/>
    <xf numFmtId="0" fontId="0" fillId="0" borderId="52" xfId="0" applyFont="1" applyBorder="1"/>
    <xf numFmtId="0" fontId="0" fillId="0" borderId="52" xfId="0" applyNumberFormat="1" applyFont="1" applyBorder="1"/>
    <xf numFmtId="9" fontId="19" fillId="9" borderId="82" xfId="889" applyFont="1" applyFill="1" applyBorder="1" applyAlignment="1">
      <alignment horizontal="center"/>
    </xf>
    <xf numFmtId="0" fontId="19" fillId="72" borderId="58" xfId="0" applyFont="1" applyFill="1" applyBorder="1" applyAlignment="1">
      <alignment horizontal="center" vertical="center" wrapText="1"/>
    </xf>
    <xf numFmtId="0" fontId="19" fillId="72" borderId="86" xfId="0" applyFont="1" applyFill="1" applyBorder="1" applyAlignment="1">
      <alignment horizontal="center"/>
    </xf>
    <xf numFmtId="0" fontId="19" fillId="72" borderId="54" xfId="0" applyFont="1" applyFill="1" applyBorder="1" applyAlignment="1">
      <alignment horizontal="center"/>
    </xf>
    <xf numFmtId="4" fontId="19" fillId="72" borderId="58" xfId="0" applyNumberFormat="1" applyFont="1" applyFill="1" applyBorder="1" applyAlignment="1">
      <alignment horizontal="center" vertical="center" wrapText="1"/>
    </xf>
    <xf numFmtId="0" fontId="19" fillId="72" borderId="54" xfId="0" applyFont="1" applyFill="1" applyBorder="1" applyAlignment="1">
      <alignment horizontal="center" vertical="center" wrapText="1"/>
    </xf>
    <xf numFmtId="3" fontId="20" fillId="0" borderId="86" xfId="0" applyNumberFormat="1" applyFont="1" applyBorder="1"/>
    <xf numFmtId="168" fontId="20" fillId="9" borderId="61" xfId="0" applyNumberFormat="1" applyFont="1" applyFill="1" applyBorder="1" applyAlignment="1">
      <alignment horizontal="right"/>
    </xf>
    <xf numFmtId="4" fontId="20" fillId="9" borderId="58" xfId="0" applyNumberFormat="1" applyFont="1" applyFill="1" applyBorder="1" applyAlignment="1">
      <alignment horizontal="right"/>
    </xf>
    <xf numFmtId="3" fontId="19" fillId="0" borderId="16" xfId="0" applyNumberFormat="1" applyFont="1" applyBorder="1"/>
    <xf numFmtId="0" fontId="0" fillId="0" borderId="16" xfId="0" applyBorder="1"/>
    <xf numFmtId="0" fontId="0" fillId="0" borderId="16" xfId="0" applyNumberFormat="1" applyFont="1" applyBorder="1"/>
    <xf numFmtId="4" fontId="19" fillId="9" borderId="16" xfId="0" applyNumberFormat="1" applyFont="1" applyFill="1" applyBorder="1" applyAlignment="1">
      <alignment horizontal="right"/>
    </xf>
    <xf numFmtId="9" fontId="19" fillId="9" borderId="85" xfId="889" applyFont="1" applyFill="1" applyBorder="1" applyAlignment="1">
      <alignment horizontal="center"/>
    </xf>
    <xf numFmtId="0" fontId="20" fillId="56" borderId="58" xfId="0" applyFont="1" applyFill="1" applyBorder="1" applyAlignment="1">
      <alignment horizontal="center" vertical="center" wrapText="1"/>
    </xf>
    <xf numFmtId="0" fontId="20" fillId="56" borderId="86" xfId="0" applyFont="1" applyFill="1" applyBorder="1" applyAlignment="1">
      <alignment horizontal="center"/>
    </xf>
    <xf numFmtId="0" fontId="20" fillId="56" borderId="54" xfId="0" applyFont="1" applyFill="1" applyBorder="1" applyAlignment="1">
      <alignment horizontal="center"/>
    </xf>
    <xf numFmtId="4" fontId="20" fillId="56" borderId="58" xfId="0" applyNumberFormat="1" applyFont="1" applyFill="1" applyBorder="1" applyAlignment="1">
      <alignment horizontal="center" vertical="center" wrapText="1"/>
    </xf>
    <xf numFmtId="0" fontId="20" fillId="56" borderId="54" xfId="0" applyFont="1" applyFill="1" applyBorder="1" applyAlignment="1">
      <alignment horizontal="center" vertical="center" wrapText="1"/>
    </xf>
    <xf numFmtId="4" fontId="21" fillId="0" borderId="175" xfId="0" applyNumberFormat="1" applyFont="1" applyBorder="1"/>
    <xf numFmtId="3" fontId="21" fillId="0" borderId="54" xfId="0" applyNumberFormat="1" applyFont="1" applyBorder="1"/>
    <xf numFmtId="0" fontId="19" fillId="9" borderId="223" xfId="926" applyFont="1" applyFill="1" applyBorder="1" applyAlignment="1">
      <alignment horizontal="left"/>
    </xf>
    <xf numFmtId="0" fontId="19" fillId="0" borderId="141" xfId="926" applyFont="1" applyFill="1" applyBorder="1" applyAlignment="1">
      <alignment horizontal="left"/>
    </xf>
    <xf numFmtId="169" fontId="72" fillId="0" borderId="182" xfId="888" applyNumberFormat="1" applyFont="1" applyFill="1" applyBorder="1" applyAlignment="1"/>
    <xf numFmtId="169" fontId="40" fillId="0" borderId="182" xfId="888" applyNumberFormat="1" applyFont="1" applyFill="1" applyBorder="1" applyAlignment="1">
      <alignment horizontal="right"/>
    </xf>
    <xf numFmtId="0" fontId="19" fillId="0" borderId="170" xfId="926" applyFont="1" applyFill="1" applyBorder="1" applyAlignment="1">
      <alignment horizontal="left"/>
    </xf>
    <xf numFmtId="169" fontId="72" fillId="0" borderId="171" xfId="888" applyNumberFormat="1" applyFont="1" applyFill="1" applyBorder="1" applyAlignment="1">
      <alignment horizontal="right"/>
    </xf>
    <xf numFmtId="169" fontId="72" fillId="0" borderId="171" xfId="888" applyNumberFormat="1" applyFont="1" applyFill="1" applyBorder="1" applyAlignment="1"/>
    <xf numFmtId="0" fontId="19" fillId="9" borderId="239" xfId="926" applyFont="1" applyFill="1" applyBorder="1" applyAlignment="1">
      <alignment horizontal="left"/>
    </xf>
    <xf numFmtId="169" fontId="72" fillId="0" borderId="223" xfId="888" applyNumberFormat="1" applyFont="1" applyFill="1" applyBorder="1" applyAlignment="1">
      <alignment horizontal="right"/>
    </xf>
    <xf numFmtId="0" fontId="19" fillId="9" borderId="179" xfId="926" applyFont="1" applyFill="1" applyBorder="1" applyAlignment="1">
      <alignment horizontal="left"/>
    </xf>
    <xf numFmtId="169" fontId="72" fillId="0" borderId="141" xfId="888" applyNumberFormat="1" applyFont="1" applyFill="1" applyBorder="1" applyAlignment="1">
      <alignment horizontal="right"/>
    </xf>
    <xf numFmtId="0" fontId="19" fillId="0" borderId="179" xfId="926" applyFont="1" applyFill="1" applyBorder="1" applyAlignment="1">
      <alignment horizontal="left"/>
    </xf>
    <xf numFmtId="169" fontId="17" fillId="0" borderId="141" xfId="888" applyNumberFormat="1" applyFont="1" applyFill="1" applyBorder="1" applyAlignment="1">
      <alignment horizontal="right"/>
    </xf>
    <xf numFmtId="0" fontId="19" fillId="9" borderId="80" xfId="926" applyFont="1" applyFill="1" applyBorder="1" applyAlignment="1">
      <alignment horizontal="left"/>
    </xf>
    <xf numFmtId="169" fontId="72" fillId="0" borderId="170" xfId="888" applyNumberFormat="1" applyFont="1" applyFill="1" applyBorder="1" applyAlignment="1">
      <alignment horizontal="right"/>
    </xf>
    <xf numFmtId="0" fontId="72" fillId="0" borderId="52" xfId="888" applyNumberFormat="1" applyFont="1" applyFill="1" applyBorder="1" applyAlignment="1"/>
    <xf numFmtId="0" fontId="72" fillId="0" borderId="52" xfId="888" applyFont="1" applyFill="1" applyBorder="1" applyAlignment="1">
      <alignment horizontal="right"/>
    </xf>
    <xf numFmtId="9" fontId="104" fillId="9" borderId="45" xfId="934" applyNumberFormat="1" applyFont="1" applyFill="1" applyBorder="1"/>
    <xf numFmtId="0" fontId="7" fillId="9" borderId="233" xfId="947" applyFont="1" applyFill="1" applyBorder="1" applyAlignment="1">
      <alignment horizontal="center" wrapText="1"/>
    </xf>
    <xf numFmtId="0" fontId="80" fillId="64" borderId="193" xfId="0" applyFont="1" applyFill="1" applyBorder="1" applyAlignment="1">
      <alignment horizontal="center" vertical="center" wrapText="1"/>
    </xf>
    <xf numFmtId="0" fontId="7" fillId="0" borderId="182" xfId="937" applyFont="1" applyFill="1" applyBorder="1"/>
    <xf numFmtId="192" fontId="7" fillId="0" borderId="182" xfId="937" applyNumberFormat="1" applyFont="1" applyFill="1" applyBorder="1"/>
    <xf numFmtId="0" fontId="161" fillId="0" borderId="182" xfId="942" applyFont="1" applyFill="1" applyBorder="1" applyAlignment="1">
      <alignment horizontal="justify" vertical="top"/>
    </xf>
    <xf numFmtId="0" fontId="161" fillId="0" borderId="182" xfId="0" applyFont="1" applyFill="1" applyBorder="1"/>
    <xf numFmtId="0" fontId="173" fillId="0" borderId="182" xfId="0" applyFont="1" applyBorder="1"/>
    <xf numFmtId="0" fontId="173" fillId="9" borderId="182" xfId="0" applyFont="1" applyFill="1" applyBorder="1"/>
    <xf numFmtId="170" fontId="141" fillId="9" borderId="25" xfId="0" applyNumberFormat="1" applyFont="1" applyFill="1" applyBorder="1" applyAlignment="1">
      <alignment horizontal="center" vertical="center"/>
    </xf>
    <xf numFmtId="170" fontId="141" fillId="9" borderId="0" xfId="0" applyNumberFormat="1" applyFont="1" applyFill="1" applyBorder="1" applyAlignment="1">
      <alignment horizontal="center" vertical="center"/>
    </xf>
    <xf numFmtId="175" fontId="141" fillId="15" borderId="104" xfId="0" applyNumberFormat="1" applyFont="1" applyFill="1" applyBorder="1" applyAlignment="1">
      <alignment horizontal="center" vertical="center"/>
    </xf>
    <xf numFmtId="175" fontId="141" fillId="15" borderId="16" xfId="0" applyNumberFormat="1" applyFont="1" applyFill="1" applyBorder="1" applyAlignment="1">
      <alignment horizontal="center" vertical="center"/>
    </xf>
    <xf numFmtId="175" fontId="141" fillId="15" borderId="207" xfId="0" applyNumberFormat="1" applyFont="1" applyFill="1" applyBorder="1" applyAlignment="1">
      <alignment horizontal="center" vertical="center"/>
    </xf>
    <xf numFmtId="0" fontId="19" fillId="15" borderId="179" xfId="926" applyFont="1" applyFill="1" applyBorder="1" applyAlignment="1">
      <alignment horizontal="left"/>
    </xf>
    <xf numFmtId="169" fontId="72" fillId="15" borderId="141" xfId="888" applyNumberFormat="1" applyFont="1" applyFill="1" applyBorder="1" applyAlignment="1">
      <alignment horizontal="right"/>
    </xf>
    <xf numFmtId="0" fontId="72" fillId="15" borderId="182" xfId="888" applyFont="1" applyFill="1" applyBorder="1" applyAlignment="1">
      <alignment horizontal="right"/>
    </xf>
    <xf numFmtId="0" fontId="72" fillId="15" borderId="207" xfId="888" applyNumberFormat="1" applyFont="1" applyFill="1" applyBorder="1" applyAlignment="1"/>
    <xf numFmtId="0" fontId="72" fillId="15" borderId="207" xfId="888" applyFont="1" applyFill="1" applyBorder="1" applyAlignment="1">
      <alignment horizontal="right"/>
    </xf>
    <xf numFmtId="2" fontId="72" fillId="15" borderId="207" xfId="888" applyNumberFormat="1" applyFont="1" applyFill="1" applyBorder="1" applyAlignment="1">
      <alignment horizontal="right"/>
    </xf>
    <xf numFmtId="9" fontId="17" fillId="15" borderId="45" xfId="934" applyNumberFormat="1" applyFont="1" applyFill="1" applyBorder="1"/>
    <xf numFmtId="0" fontId="17" fillId="9" borderId="48" xfId="0" applyFont="1" applyFill="1" applyBorder="1"/>
    <xf numFmtId="0" fontId="0" fillId="15" borderId="16" xfId="0" applyNumberFormat="1" applyFill="1" applyBorder="1" applyAlignment="1">
      <alignment horizontal="center"/>
    </xf>
    <xf numFmtId="169" fontId="19" fillId="9" borderId="238" xfId="0" applyNumberFormat="1" applyFont="1" applyFill="1" applyBorder="1" applyAlignment="1">
      <alignment horizontal="center"/>
    </xf>
    <xf numFmtId="10" fontId="19" fillId="9" borderId="216" xfId="889" applyNumberFormat="1" applyFont="1" applyFill="1" applyBorder="1" applyAlignment="1">
      <alignment horizontal="center"/>
    </xf>
    <xf numFmtId="10" fontId="19" fillId="9" borderId="205" xfId="889" applyNumberFormat="1" applyFont="1" applyFill="1" applyBorder="1" applyAlignment="1">
      <alignment horizontal="center"/>
    </xf>
    <xf numFmtId="0" fontId="0" fillId="0" borderId="52" xfId="0" applyNumberFormat="1" applyBorder="1" applyAlignment="1">
      <alignment horizontal="center"/>
    </xf>
    <xf numFmtId="10" fontId="19" fillId="9" borderId="209" xfId="889" applyNumberFormat="1" applyFont="1" applyFill="1" applyBorder="1" applyAlignment="1">
      <alignment horizontal="center"/>
    </xf>
    <xf numFmtId="0" fontId="0" fillId="15" borderId="15" xfId="0" applyNumberFormat="1" applyFill="1" applyBorder="1" applyAlignment="1">
      <alignment horizontal="center"/>
    </xf>
    <xf numFmtId="0" fontId="0" fillId="15" borderId="0" xfId="0" applyNumberFormat="1" applyFill="1" applyAlignment="1">
      <alignment horizontal="center"/>
    </xf>
    <xf numFmtId="9" fontId="141" fillId="9" borderId="0" xfId="889" applyFont="1" applyFill="1" applyBorder="1"/>
    <xf numFmtId="172" fontId="141" fillId="15" borderId="188" xfId="0" applyNumberFormat="1" applyFont="1" applyFill="1" applyBorder="1" applyAlignment="1">
      <alignment horizontal="center" vertical="center"/>
    </xf>
    <xf numFmtId="172" fontId="141" fillId="15" borderId="205" xfId="0" applyNumberFormat="1" applyFont="1" applyFill="1" applyBorder="1" applyAlignment="1">
      <alignment horizontal="center" vertical="center"/>
    </xf>
    <xf numFmtId="173" fontId="141" fillId="15" borderId="188" xfId="0" applyNumberFormat="1" applyFont="1" applyFill="1" applyBorder="1" applyAlignment="1">
      <alignment horizontal="center" vertical="center"/>
    </xf>
    <xf numFmtId="173" fontId="141" fillId="15" borderId="206" xfId="0" applyNumberFormat="1" applyFont="1" applyFill="1" applyBorder="1" applyAlignment="1">
      <alignment horizontal="center" vertical="center"/>
    </xf>
    <xf numFmtId="173" fontId="141" fillId="15" borderId="201" xfId="0" applyNumberFormat="1" applyFont="1" applyFill="1" applyBorder="1" applyAlignment="1">
      <alignment horizontal="center" vertical="center"/>
    </xf>
    <xf numFmtId="173" fontId="141" fillId="15" borderId="193" xfId="0" applyNumberFormat="1" applyFont="1" applyFill="1" applyBorder="1" applyAlignment="1">
      <alignment horizontal="center" vertical="center"/>
    </xf>
    <xf numFmtId="173" fontId="141" fillId="15" borderId="184" xfId="0" applyNumberFormat="1" applyFont="1" applyFill="1" applyBorder="1" applyAlignment="1">
      <alignment horizontal="center" vertical="center"/>
    </xf>
    <xf numFmtId="0" fontId="141" fillId="15" borderId="210" xfId="0" applyFont="1" applyFill="1" applyBorder="1" applyAlignment="1">
      <alignment horizontal="center" vertical="center"/>
    </xf>
    <xf numFmtId="173" fontId="141" fillId="15" borderId="204" xfId="0" applyNumberFormat="1" applyFont="1" applyFill="1" applyBorder="1" applyAlignment="1">
      <alignment horizontal="center" vertical="center"/>
    </xf>
    <xf numFmtId="0" fontId="141" fillId="15" borderId="193" xfId="0" applyFont="1" applyFill="1" applyBorder="1" applyAlignment="1">
      <alignment horizontal="center" vertical="center"/>
    </xf>
    <xf numFmtId="173" fontId="141" fillId="15" borderId="190" xfId="0" applyNumberFormat="1" applyFont="1" applyFill="1" applyBorder="1" applyAlignment="1">
      <alignment horizontal="center" vertical="center"/>
    </xf>
    <xf numFmtId="173" fontId="141" fillId="15" borderId="185" xfId="0" applyNumberFormat="1" applyFont="1" applyFill="1" applyBorder="1" applyAlignment="1">
      <alignment horizontal="center" vertical="center"/>
    </xf>
    <xf numFmtId="9" fontId="141" fillId="15" borderId="187" xfId="889" applyFont="1" applyFill="1" applyBorder="1" applyAlignment="1">
      <alignment horizontal="center" vertical="center"/>
    </xf>
    <xf numFmtId="172" fontId="141" fillId="15" borderId="42" xfId="0" applyNumberFormat="1" applyFont="1" applyFill="1" applyBorder="1" applyAlignment="1">
      <alignment horizontal="center" vertical="center"/>
    </xf>
    <xf numFmtId="172" fontId="141" fillId="15" borderId="26" xfId="0" applyNumberFormat="1" applyFont="1" applyFill="1" applyBorder="1" applyAlignment="1">
      <alignment horizontal="center" vertical="center"/>
    </xf>
    <xf numFmtId="173" fontId="141" fillId="15" borderId="42" xfId="0" applyNumberFormat="1" applyFont="1" applyFill="1" applyBorder="1" applyAlignment="1">
      <alignment horizontal="center" vertical="center"/>
    </xf>
    <xf numFmtId="173" fontId="141" fillId="15" borderId="165" xfId="0" applyNumberFormat="1" applyFont="1" applyFill="1" applyBorder="1" applyAlignment="1">
      <alignment horizontal="center" vertical="center"/>
    </xf>
    <xf numFmtId="173" fontId="141" fillId="15" borderId="166" xfId="0" applyNumberFormat="1" applyFont="1" applyFill="1" applyBorder="1" applyAlignment="1">
      <alignment horizontal="center" vertical="center"/>
    </xf>
    <xf numFmtId="173" fontId="141" fillId="15" borderId="172" xfId="0" applyNumberFormat="1" applyFont="1" applyFill="1" applyBorder="1" applyAlignment="1">
      <alignment horizontal="center" vertical="center"/>
    </xf>
    <xf numFmtId="173" fontId="141" fillId="15" borderId="77" xfId="0" applyNumberFormat="1" applyFont="1" applyFill="1" applyBorder="1" applyAlignment="1">
      <alignment horizontal="center" vertical="center"/>
    </xf>
    <xf numFmtId="173" fontId="141" fillId="15" borderId="181" xfId="0" applyNumberFormat="1" applyFont="1" applyFill="1" applyBorder="1" applyAlignment="1">
      <alignment horizontal="center" vertical="center"/>
    </xf>
    <xf numFmtId="173" fontId="141" fillId="15" borderId="16" xfId="0" applyNumberFormat="1" applyFont="1" applyFill="1" applyBorder="1" applyAlignment="1">
      <alignment horizontal="center" vertical="center"/>
    </xf>
    <xf numFmtId="173" fontId="141" fillId="15" borderId="138" xfId="0" applyNumberFormat="1" applyFont="1" applyFill="1" applyBorder="1" applyAlignment="1">
      <alignment horizontal="center" vertical="center"/>
    </xf>
    <xf numFmtId="9" fontId="141" fillId="15" borderId="45" xfId="889" applyFont="1" applyFill="1" applyBorder="1" applyAlignment="1">
      <alignment horizontal="center" vertical="center"/>
    </xf>
    <xf numFmtId="178" fontId="16" fillId="9" borderId="50" xfId="889" applyNumberFormat="1" applyFont="1" applyFill="1" applyBorder="1" applyAlignment="1">
      <alignment horizontal="center"/>
    </xf>
    <xf numFmtId="10" fontId="19" fillId="9" borderId="46" xfId="890" applyNumberFormat="1" applyFont="1" applyFill="1" applyBorder="1" applyAlignment="1">
      <alignment horizontal="center"/>
    </xf>
    <xf numFmtId="0" fontId="195" fillId="0" borderId="0" xfId="0" applyFont="1"/>
    <xf numFmtId="0" fontId="196" fillId="0" borderId="0" xfId="0" applyFont="1"/>
    <xf numFmtId="0" fontId="189" fillId="97" borderId="25" xfId="0" applyFont="1" applyFill="1" applyBorder="1" applyAlignment="1">
      <alignment horizontal="center" wrapText="1"/>
    </xf>
    <xf numFmtId="0" fontId="190" fillId="97" borderId="22" xfId="0" applyFont="1" applyFill="1" applyBorder="1" applyAlignment="1">
      <alignment horizontal="center" wrapText="1"/>
    </xf>
    <xf numFmtId="14" fontId="191" fillId="105" borderId="48" xfId="0" applyNumberFormat="1" applyFont="1" applyFill="1" applyBorder="1" applyAlignment="1">
      <alignment horizontal="right"/>
    </xf>
    <xf numFmtId="0" fontId="191" fillId="105" borderId="209" xfId="0" applyFont="1" applyFill="1" applyBorder="1" applyAlignment="1">
      <alignment horizontal="right"/>
    </xf>
    <xf numFmtId="0" fontId="191" fillId="105" borderId="209" xfId="0" applyFont="1" applyFill="1" applyBorder="1"/>
    <xf numFmtId="0" fontId="191" fillId="102" borderId="209" xfId="0" applyFont="1" applyFill="1" applyBorder="1" applyAlignment="1">
      <alignment horizontal="right"/>
    </xf>
    <xf numFmtId="14" fontId="191" fillId="102" borderId="48" xfId="0" applyNumberFormat="1" applyFont="1" applyFill="1" applyBorder="1" applyAlignment="1">
      <alignment horizontal="right"/>
    </xf>
    <xf numFmtId="0" fontId="191" fillId="102" borderId="209" xfId="0" applyFont="1" applyFill="1" applyBorder="1"/>
    <xf numFmtId="0" fontId="191" fillId="15" borderId="209" xfId="0" applyFont="1" applyFill="1" applyBorder="1" applyAlignment="1">
      <alignment horizontal="right"/>
    </xf>
    <xf numFmtId="0" fontId="189" fillId="106" borderId="46" xfId="0" applyFont="1" applyFill="1" applyBorder="1" applyAlignment="1">
      <alignment horizontal="center"/>
    </xf>
    <xf numFmtId="0" fontId="189" fillId="106" borderId="23" xfId="0" applyFont="1" applyFill="1" applyBorder="1" applyAlignment="1">
      <alignment horizontal="center" wrapText="1"/>
    </xf>
    <xf numFmtId="0" fontId="189" fillId="106" borderId="3" xfId="0" applyFont="1" applyFill="1" applyBorder="1" applyAlignment="1">
      <alignment horizontal="center" wrapText="1"/>
    </xf>
    <xf numFmtId="0" fontId="189" fillId="106" borderId="25" xfId="0" applyFont="1" applyFill="1" applyBorder="1" applyAlignment="1">
      <alignment horizontal="center" wrapText="1"/>
    </xf>
    <xf numFmtId="0" fontId="189" fillId="106" borderId="22" xfId="0" applyFont="1" applyFill="1" applyBorder="1" applyAlignment="1">
      <alignment horizontal="center" wrapText="1"/>
    </xf>
    <xf numFmtId="0" fontId="189" fillId="106" borderId="21" xfId="0" applyFont="1" applyFill="1" applyBorder="1" applyAlignment="1">
      <alignment horizontal="center" wrapText="1"/>
    </xf>
    <xf numFmtId="0" fontId="189" fillId="106" borderId="10" xfId="0" applyFont="1" applyFill="1" applyBorder="1" applyAlignment="1">
      <alignment horizontal="center" wrapText="1"/>
    </xf>
    <xf numFmtId="0" fontId="189" fillId="107" borderId="22" xfId="0" applyFont="1" applyFill="1" applyBorder="1" applyAlignment="1">
      <alignment horizontal="center" wrapText="1"/>
    </xf>
    <xf numFmtId="14" fontId="191" fillId="105" borderId="25" xfId="0" applyNumberFormat="1" applyFont="1" applyFill="1" applyBorder="1" applyAlignment="1">
      <alignment horizontal="right"/>
    </xf>
    <xf numFmtId="0" fontId="191" fillId="105" borderId="22" xfId="0" applyFont="1" applyFill="1" applyBorder="1" applyAlignment="1">
      <alignment horizontal="center"/>
    </xf>
    <xf numFmtId="0" fontId="191" fillId="105" borderId="22" xfId="0" applyFont="1" applyFill="1" applyBorder="1"/>
    <xf numFmtId="0" fontId="191" fillId="105" borderId="22" xfId="0" applyFont="1" applyFill="1" applyBorder="1" applyAlignment="1">
      <alignment wrapText="1"/>
    </xf>
    <xf numFmtId="0" fontId="191" fillId="105" borderId="209" xfId="0" applyFont="1" applyFill="1" applyBorder="1" applyAlignment="1">
      <alignment wrapText="1"/>
    </xf>
    <xf numFmtId="14" fontId="191" fillId="105" borderId="22" xfId="0" applyNumberFormat="1" applyFont="1" applyFill="1" applyBorder="1" applyAlignment="1">
      <alignment horizontal="right"/>
    </xf>
    <xf numFmtId="0" fontId="191" fillId="105" borderId="209" xfId="0" applyFont="1" applyFill="1" applyBorder="1" applyAlignment="1">
      <alignment horizontal="center"/>
    </xf>
    <xf numFmtId="0" fontId="191" fillId="105" borderId="209" xfId="0" applyFont="1" applyFill="1" applyBorder="1" applyAlignment="1">
      <alignment horizontal="right" wrapText="1"/>
    </xf>
    <xf numFmtId="14" fontId="191" fillId="105" borderId="209" xfId="0" applyNumberFormat="1" applyFont="1" applyFill="1" applyBorder="1" applyAlignment="1">
      <alignment horizontal="right"/>
    </xf>
    <xf numFmtId="0" fontId="191" fillId="102" borderId="209" xfId="0" applyFont="1" applyFill="1" applyBorder="1" applyAlignment="1">
      <alignment horizontal="center"/>
    </xf>
    <xf numFmtId="0" fontId="191" fillId="102" borderId="209" xfId="0" applyFont="1" applyFill="1" applyBorder="1" applyAlignment="1">
      <alignment wrapText="1"/>
    </xf>
    <xf numFmtId="14" fontId="191" fillId="102" borderId="209" xfId="0" applyNumberFormat="1" applyFont="1" applyFill="1" applyBorder="1" applyAlignment="1">
      <alignment horizontal="right"/>
    </xf>
    <xf numFmtId="0" fontId="197" fillId="0" borderId="0" xfId="0" applyFont="1"/>
    <xf numFmtId="0" fontId="198" fillId="0" borderId="0" xfId="0" applyFont="1"/>
    <xf numFmtId="0" fontId="189" fillId="106" borderId="182" xfId="0" applyFont="1" applyFill="1" applyBorder="1" applyAlignment="1">
      <alignment horizontal="center" wrapText="1"/>
    </xf>
    <xf numFmtId="0" fontId="0" fillId="0" borderId="182" xfId="0" applyFill="1" applyBorder="1"/>
    <xf numFmtId="0" fontId="21" fillId="73" borderId="182" xfId="0" applyFont="1" applyFill="1" applyBorder="1" applyAlignment="1">
      <alignment horizontal="center"/>
    </xf>
    <xf numFmtId="0" fontId="174" fillId="108" borderId="241" xfId="0" applyFont="1" applyFill="1" applyBorder="1" applyAlignment="1">
      <alignment horizontal="left" vertical="top" wrapText="1" indent="1"/>
    </xf>
    <xf numFmtId="0" fontId="199" fillId="102" borderId="182" xfId="0" applyFont="1" applyFill="1" applyBorder="1" applyAlignment="1">
      <alignment vertical="center" wrapText="1"/>
    </xf>
    <xf numFmtId="0" fontId="200" fillId="9" borderId="182" xfId="0" applyFont="1" applyFill="1" applyBorder="1" applyAlignment="1">
      <alignment vertical="center"/>
    </xf>
    <xf numFmtId="0" fontId="199" fillId="102" borderId="182" xfId="0" applyFont="1" applyFill="1" applyBorder="1" applyAlignment="1">
      <alignment vertical="center"/>
    </xf>
    <xf numFmtId="0" fontId="192" fillId="102" borderId="182" xfId="0" applyFont="1" applyFill="1" applyBorder="1" applyAlignment="1">
      <alignment vertical="center" wrapText="1"/>
    </xf>
    <xf numFmtId="0" fontId="192" fillId="0" borderId="182" xfId="0" applyFont="1" applyBorder="1" applyAlignment="1">
      <alignment vertical="center"/>
    </xf>
    <xf numFmtId="0" fontId="191" fillId="0" borderId="182" xfId="0" applyFont="1" applyBorder="1" applyAlignment="1">
      <alignment vertical="center"/>
    </xf>
    <xf numFmtId="0" fontId="191" fillId="0" borderId="182" xfId="0" applyFont="1" applyBorder="1"/>
    <xf numFmtId="0" fontId="200" fillId="73" borderId="182" xfId="0" applyFont="1" applyFill="1" applyBorder="1" applyAlignment="1">
      <alignment horizontal="center" vertical="center" wrapText="1"/>
    </xf>
    <xf numFmtId="0" fontId="200" fillId="73" borderId="182" xfId="0" applyFont="1" applyFill="1" applyBorder="1" applyAlignment="1">
      <alignment horizontal="center" vertical="center"/>
    </xf>
    <xf numFmtId="0" fontId="189" fillId="0" borderId="0" xfId="0" applyFont="1" applyAlignment="1">
      <alignment horizontal="left"/>
    </xf>
    <xf numFmtId="0" fontId="193" fillId="103" borderId="182" xfId="0" applyFont="1" applyFill="1" applyBorder="1" applyAlignment="1">
      <alignment horizontal="center"/>
    </xf>
    <xf numFmtId="0" fontId="193" fillId="10" borderId="182" xfId="0" applyFont="1" applyFill="1" applyBorder="1" applyAlignment="1">
      <alignment horizontal="center" wrapText="1"/>
    </xf>
    <xf numFmtId="0" fontId="104" fillId="2" borderId="182" xfId="846" applyFont="1" applyFill="1" applyBorder="1" applyAlignment="1">
      <alignment horizontal="center" vertical="center" wrapText="1"/>
    </xf>
    <xf numFmtId="0" fontId="144" fillId="2" borderId="182" xfId="0" applyFont="1" applyFill="1" applyBorder="1" applyAlignment="1">
      <alignment horizontal="center" vertical="center" wrapText="1"/>
    </xf>
    <xf numFmtId="0" fontId="104" fillId="2" borderId="182" xfId="872" applyFont="1" applyFill="1" applyBorder="1" applyAlignment="1">
      <alignment horizontal="center" vertical="center" wrapText="1"/>
    </xf>
    <xf numFmtId="0" fontId="104" fillId="18" borderId="182" xfId="872" applyFont="1" applyFill="1" applyBorder="1" applyAlignment="1">
      <alignment horizontal="center" vertical="center" wrapText="1"/>
    </xf>
    <xf numFmtId="165" fontId="104" fillId="18" borderId="182" xfId="872" applyNumberFormat="1" applyFont="1" applyFill="1" applyBorder="1" applyAlignment="1">
      <alignment horizontal="center" vertical="center" wrapText="1"/>
    </xf>
    <xf numFmtId="172" fontId="19" fillId="15" borderId="182" xfId="0" applyNumberFormat="1" applyFont="1" applyFill="1" applyBorder="1" applyAlignment="1">
      <alignment horizontal="center"/>
    </xf>
    <xf numFmtId="0" fontId="19" fillId="15" borderId="182" xfId="0" applyFont="1" applyFill="1" applyBorder="1" applyAlignment="1">
      <alignment horizontal="center"/>
    </xf>
    <xf numFmtId="169" fontId="19" fillId="15" borderId="182" xfId="0" applyNumberFormat="1" applyFont="1" applyFill="1" applyBorder="1" applyAlignment="1">
      <alignment horizontal="center"/>
    </xf>
    <xf numFmtId="0" fontId="20" fillId="15" borderId="182" xfId="0" applyNumberFormat="1" applyFont="1" applyFill="1" applyBorder="1" applyAlignment="1">
      <alignment horizontal="center"/>
    </xf>
    <xf numFmtId="173" fontId="19" fillId="15" borderId="182" xfId="0" applyNumberFormat="1" applyFont="1" applyFill="1" applyBorder="1" applyAlignment="1">
      <alignment horizontal="center"/>
    </xf>
    <xf numFmtId="10" fontId="19" fillId="15" borderId="182" xfId="0" applyNumberFormat="1" applyFont="1" applyFill="1" applyBorder="1" applyAlignment="1">
      <alignment horizontal="center"/>
    </xf>
    <xf numFmtId="0" fontId="0" fillId="15" borderId="182" xfId="0" applyNumberFormat="1" applyFont="1" applyFill="1" applyBorder="1" applyAlignment="1">
      <alignment horizontal="center"/>
    </xf>
    <xf numFmtId="0" fontId="191" fillId="56" borderId="182" xfId="0" applyFont="1" applyFill="1" applyBorder="1" applyAlignment="1">
      <alignment vertical="center"/>
    </xf>
    <xf numFmtId="0" fontId="190" fillId="56" borderId="182" xfId="0" applyFont="1" applyFill="1" applyBorder="1" applyAlignment="1">
      <alignment vertical="center"/>
    </xf>
    <xf numFmtId="0" fontId="189" fillId="56" borderId="182" xfId="0" applyFont="1" applyFill="1" applyBorder="1" applyAlignment="1">
      <alignment vertical="center"/>
    </xf>
    <xf numFmtId="0" fontId="191" fillId="56" borderId="182" xfId="0" applyFont="1" applyFill="1" applyBorder="1"/>
    <xf numFmtId="169" fontId="19" fillId="15" borderId="215" xfId="0" applyNumberFormat="1" applyFont="1" applyFill="1" applyBorder="1" applyAlignment="1">
      <alignment horizontal="center"/>
    </xf>
    <xf numFmtId="173" fontId="19" fillId="15" borderId="214" xfId="0" applyNumberFormat="1" applyFont="1" applyFill="1" applyBorder="1" applyAlignment="1">
      <alignment horizontal="center"/>
    </xf>
    <xf numFmtId="10" fontId="19" fillId="15" borderId="216" xfId="0" applyNumberFormat="1" applyFont="1" applyFill="1" applyBorder="1" applyAlignment="1">
      <alignment horizontal="center"/>
    </xf>
    <xf numFmtId="0" fontId="201" fillId="109" borderId="0" xfId="0" applyFont="1" applyFill="1"/>
    <xf numFmtId="0" fontId="0" fillId="109" borderId="0" xfId="0" applyFill="1"/>
    <xf numFmtId="0" fontId="0" fillId="109" borderId="182" xfId="0" applyFill="1" applyBorder="1"/>
    <xf numFmtId="173" fontId="141" fillId="0" borderId="0" xfId="0" applyNumberFormat="1" applyFont="1" applyFill="1" applyBorder="1" applyAlignment="1">
      <alignment horizontal="center" vertical="center"/>
    </xf>
    <xf numFmtId="164" fontId="43" fillId="10" borderId="6" xfId="0" applyNumberFormat="1" applyFont="1" applyFill="1" applyBorder="1" applyAlignment="1">
      <alignment horizontal="center"/>
    </xf>
    <xf numFmtId="164" fontId="43" fillId="10" borderId="0" xfId="0" applyNumberFormat="1" applyFont="1" applyFill="1" applyBorder="1" applyAlignment="1">
      <alignment horizontal="center"/>
    </xf>
    <xf numFmtId="164" fontId="43" fillId="10" borderId="10" xfId="0" applyNumberFormat="1" applyFont="1" applyFill="1" applyBorder="1" applyAlignment="1">
      <alignment horizontal="center"/>
    </xf>
    <xf numFmtId="164" fontId="43" fillId="15" borderId="32" xfId="0" applyNumberFormat="1" applyFont="1" applyFill="1" applyBorder="1" applyAlignment="1">
      <alignment horizontal="center"/>
    </xf>
    <xf numFmtId="164" fontId="43" fillId="15" borderId="3" xfId="0" applyNumberFormat="1" applyFont="1" applyFill="1" applyBorder="1" applyAlignment="1">
      <alignment horizontal="center"/>
    </xf>
    <xf numFmtId="164" fontId="43" fillId="15" borderId="23" xfId="0" applyNumberFormat="1" applyFont="1" applyFill="1" applyBorder="1" applyAlignment="1">
      <alignment horizontal="center"/>
    </xf>
    <xf numFmtId="15" fontId="43" fillId="10" borderId="35" xfId="0" applyNumberFormat="1" applyFont="1" applyFill="1" applyBorder="1" applyAlignment="1">
      <alignment horizontal="center"/>
    </xf>
    <xf numFmtId="0" fontId="43" fillId="10" borderId="4" xfId="0" applyFont="1" applyFill="1" applyBorder="1" applyAlignment="1">
      <alignment horizontal="center"/>
    </xf>
    <xf numFmtId="0" fontId="43" fillId="10" borderId="24" xfId="0" applyFont="1" applyFill="1" applyBorder="1" applyAlignment="1">
      <alignment horizontal="center"/>
    </xf>
    <xf numFmtId="0" fontId="21" fillId="59" borderId="46" xfId="0" applyFont="1" applyFill="1" applyBorder="1" applyAlignment="1">
      <alignment horizontal="center" vertical="center" textRotation="90" wrapText="1"/>
    </xf>
    <xf numFmtId="0" fontId="21" fillId="59" borderId="47" xfId="0" applyFont="1" applyFill="1" applyBorder="1" applyAlignment="1">
      <alignment horizontal="center" vertical="center" textRotation="90" wrapText="1"/>
    </xf>
    <xf numFmtId="0" fontId="21" fillId="59" borderId="48" xfId="0" applyFont="1" applyFill="1" applyBorder="1" applyAlignment="1">
      <alignment horizontal="center" vertical="center" textRotation="90" wrapText="1"/>
    </xf>
    <xf numFmtId="0" fontId="21" fillId="69" borderId="46" xfId="0" applyFont="1" applyFill="1" applyBorder="1" applyAlignment="1">
      <alignment horizontal="center" vertical="center" textRotation="90"/>
    </xf>
    <xf numFmtId="0" fontId="21" fillId="69" borderId="47" xfId="0" applyFont="1" applyFill="1" applyBorder="1" applyAlignment="1">
      <alignment horizontal="center" vertical="center" textRotation="90"/>
    </xf>
    <xf numFmtId="0" fontId="21" fillId="69" borderId="48" xfId="0" applyFont="1" applyFill="1" applyBorder="1" applyAlignment="1">
      <alignment horizontal="center" vertical="center" textRotation="90"/>
    </xf>
    <xf numFmtId="0" fontId="21" fillId="60" borderId="46" xfId="0" applyFont="1" applyFill="1" applyBorder="1" applyAlignment="1">
      <alignment horizontal="center" vertical="center" textRotation="90" wrapText="1"/>
    </xf>
    <xf numFmtId="0" fontId="21" fillId="60" borderId="47" xfId="0" applyFont="1" applyFill="1" applyBorder="1" applyAlignment="1">
      <alignment horizontal="center" vertical="center" textRotation="90" wrapText="1"/>
    </xf>
    <xf numFmtId="0" fontId="21" fillId="60" borderId="48" xfId="0" applyFont="1" applyFill="1" applyBorder="1" applyAlignment="1">
      <alignment horizontal="center" vertical="center" textRotation="90" wrapText="1"/>
    </xf>
    <xf numFmtId="0" fontId="19" fillId="3" borderId="93" xfId="0" applyFont="1" applyFill="1" applyBorder="1" applyAlignment="1">
      <alignment horizontal="center" vertical="center" wrapText="1"/>
    </xf>
    <xf numFmtId="0" fontId="19" fillId="3" borderId="94" xfId="0" applyFont="1" applyFill="1" applyBorder="1" applyAlignment="1">
      <alignment horizontal="center" vertical="center" wrapText="1"/>
    </xf>
    <xf numFmtId="0" fontId="19" fillId="3" borderId="111" xfId="0" applyFont="1" applyFill="1" applyBorder="1" applyAlignment="1">
      <alignment horizontal="center" vertical="center" wrapText="1"/>
    </xf>
    <xf numFmtId="0" fontId="19" fillId="3" borderId="113" xfId="0" applyFont="1" applyFill="1" applyBorder="1" applyAlignment="1">
      <alignment horizontal="center" vertical="center" wrapText="1"/>
    </xf>
    <xf numFmtId="0" fontId="19" fillId="3" borderId="95" xfId="0" applyFont="1" applyFill="1" applyBorder="1" applyAlignment="1">
      <alignment horizontal="center" vertical="center" wrapText="1"/>
    </xf>
    <xf numFmtId="164" fontId="43" fillId="10" borderId="32" xfId="0" applyNumberFormat="1" applyFont="1" applyFill="1" applyBorder="1" applyAlignment="1">
      <alignment horizontal="center"/>
    </xf>
    <xf numFmtId="164" fontId="43" fillId="10" borderId="3" xfId="0" applyNumberFormat="1" applyFont="1" applyFill="1" applyBorder="1" applyAlignment="1">
      <alignment horizontal="center"/>
    </xf>
    <xf numFmtId="164" fontId="43" fillId="10" borderId="23" xfId="0" applyNumberFormat="1" applyFont="1" applyFill="1" applyBorder="1" applyAlignment="1">
      <alignment horizontal="center"/>
    </xf>
    <xf numFmtId="0" fontId="141" fillId="51" borderId="107" xfId="797" applyFont="1" applyFill="1" applyBorder="1" applyAlignment="1">
      <alignment horizontal="center" vertical="center" wrapText="1"/>
    </xf>
    <xf numFmtId="0" fontId="141" fillId="51" borderId="76" xfId="797" applyFont="1" applyFill="1" applyBorder="1" applyAlignment="1">
      <alignment horizontal="center" vertical="center" wrapText="1"/>
    </xf>
    <xf numFmtId="165" fontId="141" fillId="9" borderId="104" xfId="0" applyNumberFormat="1" applyFont="1" applyFill="1" applyBorder="1" applyAlignment="1">
      <alignment horizontal="center" vertical="center"/>
    </xf>
    <xf numFmtId="165" fontId="141" fillId="9" borderId="144" xfId="0" applyNumberFormat="1" applyFont="1" applyFill="1" applyBorder="1" applyAlignment="1">
      <alignment horizontal="center" vertical="center"/>
    </xf>
    <xf numFmtId="173" fontId="141" fillId="9" borderId="109" xfId="893" applyNumberFormat="1" applyFont="1" applyFill="1" applyBorder="1" applyAlignment="1">
      <alignment horizontal="center" vertical="center"/>
    </xf>
    <xf numFmtId="173" fontId="141" fillId="9" borderId="42" xfId="893" applyNumberFormat="1" applyFont="1" applyFill="1" applyBorder="1" applyAlignment="1">
      <alignment horizontal="center" vertical="center"/>
    </xf>
    <xf numFmtId="165" fontId="141" fillId="9" borderId="127" xfId="0" applyNumberFormat="1" applyFont="1" applyFill="1" applyBorder="1" applyAlignment="1">
      <alignment horizontal="center" vertical="center"/>
    </xf>
    <xf numFmtId="165" fontId="141" fillId="9" borderId="166" xfId="0" applyNumberFormat="1" applyFont="1" applyFill="1" applyBorder="1" applyAlignment="1">
      <alignment horizontal="center" vertical="center"/>
    </xf>
    <xf numFmtId="165" fontId="141" fillId="9" borderId="0" xfId="0" applyNumberFormat="1" applyFont="1" applyFill="1" applyBorder="1" applyAlignment="1">
      <alignment horizontal="center" vertical="center"/>
    </xf>
    <xf numFmtId="165" fontId="141" fillId="9" borderId="218" xfId="0" applyNumberFormat="1" applyFont="1" applyFill="1" applyBorder="1" applyAlignment="1">
      <alignment horizontal="center" vertical="center"/>
    </xf>
    <xf numFmtId="165" fontId="141" fillId="9" borderId="138" xfId="0" applyNumberFormat="1" applyFont="1" applyFill="1" applyBorder="1" applyAlignment="1">
      <alignment horizontal="center" vertical="center"/>
    </xf>
    <xf numFmtId="0" fontId="141" fillId="51" borderId="47" xfId="797" applyFont="1" applyFill="1" applyBorder="1" applyAlignment="1">
      <alignment horizontal="center" vertical="center" wrapText="1"/>
    </xf>
    <xf numFmtId="165" fontId="141" fillId="9" borderId="188" xfId="893" applyNumberFormat="1" applyFont="1" applyFill="1" applyBorder="1" applyAlignment="1">
      <alignment horizontal="center" vertical="center"/>
    </xf>
    <xf numFmtId="165" fontId="141" fillId="9" borderId="42" xfId="893" applyNumberFormat="1" applyFont="1" applyFill="1" applyBorder="1" applyAlignment="1">
      <alignment horizontal="center" vertical="center"/>
    </xf>
    <xf numFmtId="165" fontId="141" fillId="9" borderId="193" xfId="0" applyNumberFormat="1" applyFont="1" applyFill="1" applyBorder="1" applyAlignment="1">
      <alignment horizontal="center" vertical="center"/>
    </xf>
    <xf numFmtId="165" fontId="141" fillId="9" borderId="207" xfId="0" applyNumberFormat="1" applyFont="1" applyFill="1" applyBorder="1" applyAlignment="1">
      <alignment horizontal="center" vertical="center"/>
    </xf>
    <xf numFmtId="165" fontId="141" fillId="9" borderId="39" xfId="893" applyNumberFormat="1" applyFont="1" applyFill="1" applyBorder="1" applyAlignment="1">
      <alignment horizontal="center" vertical="center"/>
    </xf>
    <xf numFmtId="10" fontId="141" fillId="9" borderId="205" xfId="890" applyNumberFormat="1" applyFont="1" applyFill="1" applyBorder="1" applyAlignment="1">
      <alignment horizontal="center" vertical="center"/>
    </xf>
    <xf numFmtId="10" fontId="141" fillId="9" borderId="216" xfId="890" applyNumberFormat="1" applyFont="1" applyFill="1" applyBorder="1" applyAlignment="1">
      <alignment horizontal="center" vertical="center"/>
    </xf>
    <xf numFmtId="165" fontId="141" fillId="9" borderId="201" xfId="0" applyNumberFormat="1" applyFont="1" applyFill="1" applyBorder="1" applyAlignment="1">
      <alignment horizontal="center" vertical="center"/>
    </xf>
    <xf numFmtId="165" fontId="141" fillId="9" borderId="52" xfId="0" applyNumberFormat="1" applyFont="1" applyFill="1" applyBorder="1" applyAlignment="1">
      <alignment horizontal="center" vertical="center"/>
    </xf>
    <xf numFmtId="165" fontId="141" fillId="9" borderId="215" xfId="0" applyNumberFormat="1" applyFont="1" applyFill="1" applyBorder="1" applyAlignment="1">
      <alignment horizontal="center" vertical="center"/>
    </xf>
    <xf numFmtId="173" fontId="141" fillId="9" borderId="51" xfId="893" applyNumberFormat="1" applyFont="1" applyFill="1" applyBorder="1" applyAlignment="1">
      <alignment horizontal="center" vertical="center"/>
    </xf>
    <xf numFmtId="165" fontId="141" fillId="9" borderId="16" xfId="0" applyNumberFormat="1" applyFont="1" applyFill="1" applyBorder="1" applyAlignment="1">
      <alignment horizontal="center" vertical="center"/>
    </xf>
    <xf numFmtId="165" fontId="141" fillId="9" borderId="109" xfId="893" applyNumberFormat="1" applyFont="1" applyFill="1" applyBorder="1" applyAlignment="1">
      <alignment horizontal="center" vertical="center"/>
    </xf>
    <xf numFmtId="165" fontId="141" fillId="9" borderId="3" xfId="0" applyNumberFormat="1" applyFont="1" applyFill="1" applyBorder="1" applyAlignment="1">
      <alignment horizontal="center" vertical="center"/>
    </xf>
    <xf numFmtId="173" fontId="141" fillId="9" borderId="104" xfId="0" applyNumberFormat="1" applyFont="1" applyFill="1" applyBorder="1" applyAlignment="1">
      <alignment horizontal="center" vertical="center"/>
    </xf>
    <xf numFmtId="173" fontId="141" fillId="9" borderId="144" xfId="0" applyNumberFormat="1" applyFont="1" applyFill="1" applyBorder="1" applyAlignment="1">
      <alignment horizontal="center" vertical="center"/>
    </xf>
    <xf numFmtId="165" fontId="141" fillId="9" borderId="134" xfId="0" applyNumberFormat="1" applyFont="1" applyFill="1" applyBorder="1" applyAlignment="1">
      <alignment horizontal="center" vertical="center"/>
    </xf>
    <xf numFmtId="0" fontId="141" fillId="51" borderId="179" xfId="801" applyFont="1" applyFill="1" applyBorder="1" applyAlignment="1">
      <alignment horizontal="center" vertical="center" wrapText="1"/>
    </xf>
    <xf numFmtId="0" fontId="141" fillId="51" borderId="6" xfId="47" applyFont="1" applyFill="1" applyBorder="1" applyAlignment="1">
      <alignment horizontal="center" vertical="center" wrapText="1"/>
    </xf>
    <xf numFmtId="0" fontId="141" fillId="51" borderId="77" xfId="47" applyFont="1" applyFill="1" applyBorder="1" applyAlignment="1">
      <alignment horizontal="center" vertical="center" wrapText="1"/>
    </xf>
    <xf numFmtId="0" fontId="141" fillId="51" borderId="20" xfId="47" applyFont="1" applyFill="1" applyBorder="1" applyAlignment="1">
      <alignment horizontal="center" vertical="center" wrapText="1"/>
    </xf>
    <xf numFmtId="0" fontId="141" fillId="8" borderId="46" xfId="801" applyFont="1" applyFill="1" applyBorder="1" applyAlignment="1">
      <alignment horizontal="center" vertical="center" wrapText="1"/>
    </xf>
    <xf numFmtId="0" fontId="141" fillId="8" borderId="76" xfId="801" applyFont="1" applyFill="1" applyBorder="1" applyAlignment="1">
      <alignment horizontal="center" vertical="center" wrapText="1"/>
    </xf>
    <xf numFmtId="165" fontId="141" fillId="9" borderId="41" xfId="893" applyNumberFormat="1" applyFont="1" applyFill="1" applyBorder="1" applyAlignment="1">
      <alignment horizontal="center" vertical="center"/>
    </xf>
    <xf numFmtId="0" fontId="141" fillId="51" borderId="20" xfId="799" applyFont="1" applyFill="1" applyBorder="1" applyAlignment="1">
      <alignment horizontal="center" vertical="center" wrapText="1"/>
    </xf>
    <xf numFmtId="0" fontId="141" fillId="51" borderId="77" xfId="799" applyFont="1" applyFill="1" applyBorder="1" applyAlignment="1">
      <alignment horizontal="center" vertical="center" wrapText="1"/>
    </xf>
    <xf numFmtId="0" fontId="141" fillId="51" borderId="79" xfId="797" applyFont="1" applyFill="1" applyBorder="1" applyAlignment="1">
      <alignment horizontal="center" vertical="center" wrapText="1"/>
    </xf>
    <xf numFmtId="0" fontId="141" fillId="51" borderId="80" xfId="797" applyFont="1" applyFill="1" applyBorder="1" applyAlignment="1">
      <alignment horizontal="center" vertical="center" wrapText="1"/>
    </xf>
    <xf numFmtId="165" fontId="141" fillId="9" borderId="8" xfId="893" applyNumberFormat="1" applyFont="1" applyFill="1" applyBorder="1" applyAlignment="1">
      <alignment horizontal="center" vertical="center"/>
    </xf>
    <xf numFmtId="165" fontId="141" fillId="9" borderId="182" xfId="0" applyNumberFormat="1" applyFont="1" applyFill="1" applyBorder="1" applyAlignment="1">
      <alignment horizontal="center" vertical="center"/>
    </xf>
    <xf numFmtId="10" fontId="141" fillId="9" borderId="122" xfId="890" applyNumberFormat="1" applyFont="1" applyFill="1" applyBorder="1" applyAlignment="1">
      <alignment horizontal="center" vertical="center"/>
    </xf>
    <xf numFmtId="0" fontId="142" fillId="51" borderId="77" xfId="801" applyFont="1" applyFill="1" applyBorder="1" applyAlignment="1">
      <alignment horizontal="center" vertical="center" wrapText="1"/>
    </xf>
    <xf numFmtId="0" fontId="142" fillId="51" borderId="179" xfId="801" applyFont="1" applyFill="1" applyBorder="1" applyAlignment="1">
      <alignment horizontal="center" vertical="center" wrapText="1"/>
    </xf>
    <xf numFmtId="0" fontId="142" fillId="51" borderId="184" xfId="801" applyFont="1" applyFill="1" applyBorder="1" applyAlignment="1">
      <alignment horizontal="center" vertical="center" wrapText="1"/>
    </xf>
    <xf numFmtId="10" fontId="141" fillId="9" borderId="125" xfId="890" applyNumberFormat="1" applyFont="1" applyFill="1" applyBorder="1" applyAlignment="1">
      <alignment horizontal="center" vertical="center"/>
    </xf>
    <xf numFmtId="10" fontId="141" fillId="9" borderId="24" xfId="890" applyNumberFormat="1" applyFont="1" applyFill="1" applyBorder="1" applyAlignment="1">
      <alignment horizontal="center" vertical="center"/>
    </xf>
    <xf numFmtId="10" fontId="141" fillId="9" borderId="26" xfId="890" applyNumberFormat="1" applyFont="1" applyFill="1" applyBorder="1" applyAlignment="1">
      <alignment horizontal="center" vertical="center"/>
    </xf>
    <xf numFmtId="0" fontId="141" fillId="51" borderId="77" xfId="801" applyFont="1" applyFill="1" applyBorder="1" applyAlignment="1">
      <alignment horizontal="center" vertical="center" wrapText="1"/>
    </xf>
    <xf numFmtId="0" fontId="141" fillId="51" borderId="184" xfId="801" applyFont="1" applyFill="1" applyBorder="1" applyAlignment="1">
      <alignment horizontal="center" vertical="center" wrapText="1"/>
    </xf>
    <xf numFmtId="165" fontId="141" fillId="9" borderId="177" xfId="893" applyNumberFormat="1" applyFont="1" applyFill="1" applyBorder="1" applyAlignment="1">
      <alignment horizontal="center" vertical="center"/>
    </xf>
    <xf numFmtId="165" fontId="141" fillId="9" borderId="4" xfId="0" applyNumberFormat="1" applyFont="1" applyFill="1" applyBorder="1" applyAlignment="1">
      <alignment horizontal="center" vertical="center"/>
    </xf>
    <xf numFmtId="10" fontId="141" fillId="9" borderId="10" xfId="890" applyNumberFormat="1" applyFont="1" applyFill="1" applyBorder="1" applyAlignment="1">
      <alignment horizontal="center" vertical="center"/>
    </xf>
    <xf numFmtId="0" fontId="141" fillId="51" borderId="7" xfId="43" applyFont="1" applyFill="1" applyBorder="1" applyAlignment="1">
      <alignment horizontal="center" vertical="center" wrapText="1"/>
    </xf>
    <xf numFmtId="0" fontId="141" fillId="51" borderId="0" xfId="43" applyFont="1" applyFill="1" applyBorder="1" applyAlignment="1">
      <alignment horizontal="center" vertical="center" wrapText="1"/>
    </xf>
    <xf numFmtId="0" fontId="141" fillId="51" borderId="12" xfId="43" applyFont="1" applyFill="1" applyBorder="1" applyAlignment="1">
      <alignment horizontal="center" vertical="center" wrapText="1"/>
    </xf>
    <xf numFmtId="165" fontId="141" fillId="9" borderId="136" xfId="893" applyNumberFormat="1" applyFont="1" applyFill="1" applyBorder="1" applyAlignment="1">
      <alignment horizontal="center" vertical="center"/>
    </xf>
    <xf numFmtId="0" fontId="141" fillId="15" borderId="107" xfId="797" applyFont="1" applyFill="1" applyBorder="1" applyAlignment="1">
      <alignment horizontal="center" vertical="center" wrapText="1"/>
    </xf>
    <xf numFmtId="0" fontId="141" fillId="15" borderId="76" xfId="797" applyFont="1" applyFill="1" applyBorder="1" applyAlignment="1">
      <alignment horizontal="center" vertical="center" wrapText="1"/>
    </xf>
    <xf numFmtId="165" fontId="141" fillId="9" borderId="172" xfId="0" applyNumberFormat="1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158" fillId="6" borderId="32" xfId="0" applyFont="1" applyFill="1" applyBorder="1" applyAlignment="1">
      <alignment horizontal="center" vertical="center" textRotation="90"/>
    </xf>
    <xf numFmtId="0" fontId="158" fillId="6" borderId="6" xfId="0" applyFont="1" applyFill="1" applyBorder="1" applyAlignment="1">
      <alignment horizontal="center" vertical="center" textRotation="90"/>
    </xf>
    <xf numFmtId="0" fontId="158" fillId="6" borderId="35" xfId="0" applyFont="1" applyFill="1" applyBorder="1" applyAlignment="1">
      <alignment horizontal="center" vertical="center" textRotation="90"/>
    </xf>
    <xf numFmtId="0" fontId="157" fillId="5" borderId="46" xfId="0" applyFont="1" applyFill="1" applyBorder="1" applyAlignment="1">
      <alignment horizontal="center" vertical="center" wrapText="1"/>
    </xf>
    <xf numFmtId="0" fontId="157" fillId="5" borderId="47" xfId="0" applyFont="1" applyFill="1" applyBorder="1" applyAlignment="1">
      <alignment horizontal="center" vertical="center" wrapText="1"/>
    </xf>
    <xf numFmtId="0" fontId="157" fillId="5" borderId="48" xfId="0" applyFont="1" applyFill="1" applyBorder="1" applyAlignment="1">
      <alignment horizontal="center" vertical="center" wrapText="1"/>
    </xf>
    <xf numFmtId="0" fontId="158" fillId="6" borderId="46" xfId="0" applyFont="1" applyFill="1" applyBorder="1" applyAlignment="1">
      <alignment horizontal="center" vertical="center" textRotation="90" wrapText="1"/>
    </xf>
    <xf numFmtId="0" fontId="158" fillId="6" borderId="47" xfId="0" applyFont="1" applyFill="1" applyBorder="1" applyAlignment="1">
      <alignment horizontal="center" vertical="center" textRotation="90" wrapText="1"/>
    </xf>
    <xf numFmtId="0" fontId="158" fillId="6" borderId="48" xfId="0" applyFont="1" applyFill="1" applyBorder="1" applyAlignment="1">
      <alignment horizontal="center" vertical="center" textRotation="90" wrapText="1"/>
    </xf>
    <xf numFmtId="0" fontId="141" fillId="51" borderId="179" xfId="43" applyFont="1" applyFill="1" applyBorder="1" applyAlignment="1">
      <alignment horizontal="center" vertical="center" wrapText="1"/>
    </xf>
    <xf numFmtId="0" fontId="141" fillId="51" borderId="184" xfId="43" applyFont="1" applyFill="1" applyBorder="1" applyAlignment="1">
      <alignment horizontal="center" vertical="center" wrapText="1"/>
    </xf>
    <xf numFmtId="165" fontId="141" fillId="9" borderId="173" xfId="0" applyNumberFormat="1" applyFont="1" applyFill="1" applyBorder="1" applyAlignment="1">
      <alignment horizontal="center" vertical="center"/>
    </xf>
    <xf numFmtId="0" fontId="141" fillId="51" borderId="32" xfId="799" applyFont="1" applyFill="1" applyBorder="1" applyAlignment="1">
      <alignment horizontal="center" vertical="center" wrapText="1"/>
    </xf>
    <xf numFmtId="0" fontId="141" fillId="51" borderId="80" xfId="801" applyFont="1" applyFill="1" applyBorder="1" applyAlignment="1">
      <alignment horizontal="center" vertical="center" wrapText="1"/>
    </xf>
    <xf numFmtId="173" fontId="141" fillId="9" borderId="134" xfId="0" applyNumberFormat="1" applyFont="1" applyFill="1" applyBorder="1" applyAlignment="1">
      <alignment horizontal="center" vertical="center"/>
    </xf>
    <xf numFmtId="173" fontId="141" fillId="9" borderId="16" xfId="0" applyNumberFormat="1" applyFont="1" applyFill="1" applyBorder="1" applyAlignment="1">
      <alignment horizontal="center" vertical="center"/>
    </xf>
    <xf numFmtId="0" fontId="141" fillId="51" borderId="107" xfId="799" applyFont="1" applyFill="1" applyBorder="1" applyAlignment="1">
      <alignment horizontal="center" vertical="center" wrapText="1"/>
    </xf>
    <xf numFmtId="0" fontId="141" fillId="51" borderId="76" xfId="799" applyFont="1" applyFill="1" applyBorder="1" applyAlignment="1">
      <alignment horizontal="center" vertical="center" wrapText="1"/>
    </xf>
    <xf numFmtId="0" fontId="141" fillId="51" borderId="115" xfId="886" applyFont="1" applyFill="1" applyBorder="1" applyAlignment="1">
      <alignment horizontal="center" vertical="center" wrapText="1"/>
    </xf>
    <xf numFmtId="0" fontId="141" fillId="8" borderId="183" xfId="47" applyFont="1" applyFill="1" applyBorder="1" applyAlignment="1">
      <alignment horizontal="center" vertical="center" wrapText="1"/>
    </xf>
    <xf numFmtId="0" fontId="141" fillId="8" borderId="48" xfId="47" applyFont="1" applyFill="1" applyBorder="1" applyAlignment="1">
      <alignment horizontal="center" vertical="center" wrapText="1"/>
    </xf>
    <xf numFmtId="0" fontId="141" fillId="51" borderId="3" xfId="43" applyFont="1" applyFill="1" applyBorder="1" applyAlignment="1">
      <alignment horizontal="center" vertical="center" wrapText="1"/>
    </xf>
    <xf numFmtId="0" fontId="141" fillId="51" borderId="49" xfId="886" applyFont="1" applyFill="1" applyBorder="1" applyAlignment="1">
      <alignment horizontal="center" vertical="center" wrapText="1"/>
    </xf>
    <xf numFmtId="0" fontId="141" fillId="51" borderId="183" xfId="43" applyFont="1" applyFill="1" applyBorder="1" applyAlignment="1">
      <alignment horizontal="center" wrapText="1"/>
    </xf>
    <xf numFmtId="0" fontId="141" fillId="51" borderId="47" xfId="43" applyFont="1" applyFill="1" applyBorder="1" applyAlignment="1">
      <alignment horizontal="center" wrapText="1"/>
    </xf>
    <xf numFmtId="0" fontId="141" fillId="51" borderId="76" xfId="43" applyFont="1" applyFill="1" applyBorder="1" applyAlignment="1">
      <alignment horizontal="center" wrapText="1"/>
    </xf>
    <xf numFmtId="10" fontId="141" fillId="9" borderId="187" xfId="890" applyNumberFormat="1" applyFont="1" applyFill="1" applyBorder="1" applyAlignment="1">
      <alignment horizontal="center" vertical="center"/>
    </xf>
    <xf numFmtId="10" fontId="141" fillId="9" borderId="85" xfId="890" applyNumberFormat="1" applyFont="1" applyFill="1" applyBorder="1" applyAlignment="1">
      <alignment horizontal="center" vertical="center"/>
    </xf>
    <xf numFmtId="10" fontId="141" fillId="9" borderId="45" xfId="890" applyNumberFormat="1" applyFont="1" applyFill="1" applyBorder="1" applyAlignment="1">
      <alignment horizontal="center" vertical="center"/>
    </xf>
    <xf numFmtId="0" fontId="141" fillId="0" borderId="77" xfId="801" applyFont="1" applyFill="1" applyBorder="1" applyAlignment="1">
      <alignment horizontal="center" vertical="center" wrapText="1"/>
    </xf>
    <xf numFmtId="0" fontId="141" fillId="0" borderId="179" xfId="801" applyFont="1" applyFill="1" applyBorder="1" applyAlignment="1">
      <alignment horizontal="center" vertical="center" wrapText="1"/>
    </xf>
    <xf numFmtId="0" fontId="141" fillId="0" borderId="184" xfId="801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157" fillId="6" borderId="46" xfId="0" applyFont="1" applyFill="1" applyBorder="1" applyAlignment="1">
      <alignment horizontal="center" vertical="center" textRotation="90" wrapText="1"/>
    </xf>
    <xf numFmtId="0" fontId="157" fillId="6" borderId="47" xfId="0" applyFont="1" applyFill="1" applyBorder="1" applyAlignment="1">
      <alignment horizontal="center" vertical="center" textRotation="90" wrapText="1"/>
    </xf>
    <xf numFmtId="0" fontId="157" fillId="6" borderId="48" xfId="0" applyFont="1" applyFill="1" applyBorder="1" applyAlignment="1">
      <alignment horizontal="center" vertical="center" textRotation="90" wrapText="1"/>
    </xf>
    <xf numFmtId="0" fontId="141" fillId="51" borderId="78" xfId="43" applyFont="1" applyFill="1" applyBorder="1" applyAlignment="1">
      <alignment horizontal="center" vertical="center" wrapText="1"/>
    </xf>
    <xf numFmtId="0" fontId="141" fillId="51" borderId="115" xfId="43" applyFont="1" applyFill="1" applyBorder="1" applyAlignment="1">
      <alignment horizontal="center" vertical="center" wrapText="1"/>
    </xf>
    <xf numFmtId="0" fontId="3" fillId="4" borderId="78" xfId="0" applyFont="1" applyFill="1" applyBorder="1" applyAlignment="1">
      <alignment horizontal="center" vertical="center" wrapText="1"/>
    </xf>
    <xf numFmtId="0" fontId="3" fillId="4" borderId="79" xfId="0" applyFont="1" applyFill="1" applyBorder="1" applyAlignment="1">
      <alignment horizontal="center" vertical="center" wrapText="1"/>
    </xf>
    <xf numFmtId="0" fontId="3" fillId="4" borderId="80" xfId="0" applyFont="1" applyFill="1" applyBorder="1" applyAlignment="1">
      <alignment horizontal="center" vertical="center" wrapText="1"/>
    </xf>
    <xf numFmtId="0" fontId="141" fillId="8" borderId="46" xfId="49" applyFont="1" applyFill="1" applyBorder="1" applyAlignment="1">
      <alignment horizontal="center" vertical="center" wrapText="1" shrinkToFit="1"/>
    </xf>
    <xf numFmtId="0" fontId="141" fillId="0" borderId="76" xfId="0" applyFont="1" applyBorder="1" applyAlignment="1">
      <alignment horizontal="center" vertical="center"/>
    </xf>
    <xf numFmtId="0" fontId="141" fillId="8" borderId="75" xfId="49" applyFont="1" applyFill="1" applyBorder="1" applyAlignment="1">
      <alignment horizontal="center" vertical="center" wrapText="1"/>
    </xf>
    <xf numFmtId="0" fontId="141" fillId="8" borderId="76" xfId="49" applyFont="1" applyFill="1" applyBorder="1" applyAlignment="1">
      <alignment horizontal="center" vertical="center" wrapText="1"/>
    </xf>
    <xf numFmtId="0" fontId="141" fillId="8" borderId="57" xfId="49" applyFont="1" applyFill="1" applyBorder="1" applyAlignment="1">
      <alignment horizontal="center" vertical="center" wrapText="1"/>
    </xf>
    <xf numFmtId="0" fontId="141" fillId="8" borderId="50" xfId="49" applyFont="1" applyFill="1" applyBorder="1" applyAlignment="1">
      <alignment horizontal="center" vertical="center" wrapText="1"/>
    </xf>
    <xf numFmtId="0" fontId="141" fillId="51" borderId="47" xfId="47" applyFont="1" applyFill="1" applyBorder="1" applyAlignment="1">
      <alignment horizontal="center" vertical="center" wrapText="1"/>
    </xf>
    <xf numFmtId="0" fontId="141" fillId="51" borderId="48" xfId="47" applyFont="1" applyFill="1" applyBorder="1" applyAlignment="1">
      <alignment horizontal="center" vertical="center" wrapText="1"/>
    </xf>
    <xf numFmtId="173" fontId="141" fillId="9" borderId="41" xfId="893" applyNumberFormat="1" applyFont="1" applyFill="1" applyBorder="1" applyAlignment="1">
      <alignment horizontal="center" vertical="center"/>
    </xf>
    <xf numFmtId="173" fontId="141" fillId="9" borderId="39" xfId="893" applyNumberFormat="1" applyFont="1" applyFill="1" applyBorder="1" applyAlignment="1">
      <alignment horizontal="center" vertical="center"/>
    </xf>
    <xf numFmtId="165" fontId="141" fillId="9" borderId="51" xfId="893" applyNumberFormat="1" applyFont="1" applyFill="1" applyBorder="1" applyAlignment="1">
      <alignment horizontal="center" vertical="center"/>
    </xf>
    <xf numFmtId="173" fontId="141" fillId="9" borderId="193" xfId="0" applyNumberFormat="1" applyFont="1" applyFill="1" applyBorder="1" applyAlignment="1">
      <alignment horizontal="center" vertical="center"/>
    </xf>
    <xf numFmtId="173" fontId="141" fillId="9" borderId="207" xfId="0" applyNumberFormat="1" applyFont="1" applyFill="1" applyBorder="1" applyAlignment="1">
      <alignment horizontal="center" vertical="center"/>
    </xf>
    <xf numFmtId="0" fontId="141" fillId="15" borderId="46" xfId="797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2" xfId="0" applyFont="1" applyFill="1" applyBorder="1" applyAlignment="1">
      <alignment horizontal="center"/>
    </xf>
    <xf numFmtId="0" fontId="44" fillId="11" borderId="36" xfId="0" applyFont="1" applyFill="1" applyBorder="1" applyAlignment="1">
      <alignment horizontal="center"/>
    </xf>
    <xf numFmtId="0" fontId="44" fillId="11" borderId="21" xfId="0" applyFont="1" applyFill="1" applyBorder="1" applyAlignment="1">
      <alignment horizontal="center"/>
    </xf>
    <xf numFmtId="0" fontId="44" fillId="11" borderId="22" xfId="0" applyFont="1" applyFill="1" applyBorder="1" applyAlignment="1">
      <alignment horizontal="center"/>
    </xf>
    <xf numFmtId="10" fontId="141" fillId="9" borderId="88" xfId="890" applyNumberFormat="1" applyFont="1" applyFill="1" applyBorder="1" applyAlignment="1">
      <alignment horizontal="center" vertical="center"/>
    </xf>
    <xf numFmtId="10" fontId="141" fillId="9" borderId="89" xfId="890" applyNumberFormat="1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/>
    </xf>
    <xf numFmtId="0" fontId="3" fillId="2" borderId="81" xfId="0" applyFont="1" applyFill="1" applyBorder="1" applyAlignment="1">
      <alignment horizontal="center"/>
    </xf>
    <xf numFmtId="10" fontId="141" fillId="9" borderId="90" xfId="890" applyNumberFormat="1" applyFont="1" applyFill="1" applyBorder="1" applyAlignment="1">
      <alignment horizontal="center" vertical="center"/>
    </xf>
    <xf numFmtId="165" fontId="141" fillId="9" borderId="141" xfId="893" applyNumberFormat="1" applyFont="1" applyFill="1" applyBorder="1" applyAlignment="1">
      <alignment horizontal="center" vertical="center"/>
    </xf>
    <xf numFmtId="165" fontId="141" fillId="9" borderId="170" xfId="893" applyNumberFormat="1" applyFont="1" applyFill="1" applyBorder="1" applyAlignment="1">
      <alignment horizontal="center" vertical="center"/>
    </xf>
    <xf numFmtId="165" fontId="141" fillId="9" borderId="171" xfId="0" applyNumberFormat="1" applyFont="1" applyFill="1" applyBorder="1" applyAlignment="1">
      <alignment horizontal="center" vertical="center"/>
    </xf>
    <xf numFmtId="10" fontId="141" fillId="9" borderId="56" xfId="890" applyNumberFormat="1" applyFont="1" applyFill="1" applyBorder="1" applyAlignment="1">
      <alignment horizontal="center" vertical="center"/>
    </xf>
    <xf numFmtId="10" fontId="141" fillId="9" borderId="209" xfId="890" applyNumberFormat="1" applyFont="1" applyFill="1" applyBorder="1" applyAlignment="1">
      <alignment horizontal="center" vertical="center"/>
    </xf>
    <xf numFmtId="165" fontId="141" fillId="9" borderId="177" xfId="0" applyNumberFormat="1" applyFont="1" applyFill="1" applyBorder="1" applyAlignment="1">
      <alignment horizontal="center" vertical="center"/>
    </xf>
    <xf numFmtId="165" fontId="141" fillId="9" borderId="236" xfId="0" applyNumberFormat="1" applyFont="1" applyFill="1" applyBorder="1" applyAlignment="1">
      <alignment horizontal="center" vertical="center"/>
    </xf>
    <xf numFmtId="173" fontId="141" fillId="9" borderId="52" xfId="0" applyNumberFormat="1" applyFont="1" applyFill="1" applyBorder="1" applyAlignment="1">
      <alignment horizontal="center" vertical="center"/>
    </xf>
    <xf numFmtId="10" fontId="141" fillId="9" borderId="81" xfId="890" applyNumberFormat="1" applyFont="1" applyFill="1" applyBorder="1" applyAlignment="1">
      <alignment horizontal="center" vertical="center"/>
    </xf>
    <xf numFmtId="0" fontId="44" fillId="8" borderId="46" xfId="45" applyFont="1" applyFill="1" applyBorder="1" applyAlignment="1">
      <alignment horizontal="center" vertical="center" wrapText="1"/>
    </xf>
    <xf numFmtId="0" fontId="44" fillId="8" borderId="76" xfId="45" applyFont="1" applyFill="1" applyBorder="1" applyAlignment="1">
      <alignment horizontal="center" vertical="center" wrapText="1"/>
    </xf>
    <xf numFmtId="0" fontId="141" fillId="8" borderId="47" xfId="45" applyFont="1" applyFill="1" applyBorder="1" applyAlignment="1">
      <alignment horizontal="center" vertical="center" wrapText="1"/>
    </xf>
    <xf numFmtId="0" fontId="141" fillId="8" borderId="76" xfId="45" applyFont="1" applyFill="1" applyBorder="1" applyAlignment="1">
      <alignment horizontal="center" vertical="center" wrapText="1"/>
    </xf>
    <xf numFmtId="0" fontId="44" fillId="8" borderId="183" xfId="45" applyFont="1" applyFill="1" applyBorder="1" applyAlignment="1">
      <alignment horizontal="center" vertical="center" wrapText="1"/>
    </xf>
    <xf numFmtId="0" fontId="44" fillId="8" borderId="47" xfId="45" applyFont="1" applyFill="1" applyBorder="1" applyAlignment="1">
      <alignment horizontal="center" vertical="center" wrapText="1"/>
    </xf>
    <xf numFmtId="165" fontId="141" fillId="9" borderId="119" xfId="0" applyNumberFormat="1" applyFont="1" applyFill="1" applyBorder="1" applyAlignment="1">
      <alignment horizontal="center" vertical="center"/>
    </xf>
    <xf numFmtId="165" fontId="141" fillId="9" borderId="14" xfId="0" applyNumberFormat="1" applyFont="1" applyFill="1" applyBorder="1" applyAlignment="1">
      <alignment horizontal="center" vertical="center"/>
    </xf>
    <xf numFmtId="10" fontId="141" fillId="9" borderId="110" xfId="890" applyNumberFormat="1" applyFont="1" applyFill="1" applyBorder="1" applyAlignment="1">
      <alignment horizontal="center" vertical="center"/>
    </xf>
    <xf numFmtId="165" fontId="141" fillId="9" borderId="116" xfId="0" applyNumberFormat="1" applyFont="1" applyFill="1" applyBorder="1" applyAlignment="1">
      <alignment horizontal="center" vertical="center"/>
    </xf>
    <xf numFmtId="165" fontId="141" fillId="9" borderId="31" xfId="0" applyNumberFormat="1" applyFont="1" applyFill="1" applyBorder="1" applyAlignment="1">
      <alignment horizontal="center" vertical="center"/>
    </xf>
    <xf numFmtId="10" fontId="141" fillId="9" borderId="23" xfId="890" applyNumberFormat="1" applyFont="1" applyFill="1" applyBorder="1" applyAlignment="1">
      <alignment horizontal="center" vertical="center"/>
    </xf>
    <xf numFmtId="165" fontId="141" fillId="9" borderId="208" xfId="0" applyNumberFormat="1" applyFont="1" applyFill="1" applyBorder="1" applyAlignment="1">
      <alignment horizontal="center" vertical="center"/>
    </xf>
    <xf numFmtId="165" fontId="141" fillId="9" borderId="15" xfId="0" applyNumberFormat="1" applyFont="1" applyFill="1" applyBorder="1" applyAlignment="1">
      <alignment horizontal="center" vertical="center"/>
    </xf>
    <xf numFmtId="10" fontId="141" fillId="9" borderId="224" xfId="890" applyNumberFormat="1" applyFont="1" applyFill="1" applyBorder="1" applyAlignment="1">
      <alignment horizontal="center" vertical="center"/>
    </xf>
    <xf numFmtId="165" fontId="141" fillId="9" borderId="62" xfId="0" applyNumberFormat="1" applyFont="1" applyFill="1" applyBorder="1" applyAlignment="1">
      <alignment horizontal="center" vertical="center"/>
    </xf>
    <xf numFmtId="165" fontId="141" fillId="9" borderId="165" xfId="0" applyNumberFormat="1" applyFont="1" applyFill="1" applyBorder="1" applyAlignment="1">
      <alignment horizontal="center" vertical="center"/>
    </xf>
    <xf numFmtId="10" fontId="141" fillId="9" borderId="147" xfId="890" applyNumberFormat="1" applyFont="1" applyFill="1" applyBorder="1" applyAlignment="1">
      <alignment horizontal="center" vertical="center"/>
    </xf>
    <xf numFmtId="165" fontId="141" fillId="9" borderId="136" xfId="0" applyNumberFormat="1" applyFont="1" applyFill="1" applyBorder="1" applyAlignment="1">
      <alignment horizontal="center" vertical="center"/>
    </xf>
    <xf numFmtId="165" fontId="141" fillId="9" borderId="74" xfId="0" applyNumberFormat="1" applyFont="1" applyFill="1" applyBorder="1" applyAlignment="1">
      <alignment horizontal="center" vertical="center"/>
    </xf>
    <xf numFmtId="165" fontId="141" fillId="9" borderId="169" xfId="0" applyNumberFormat="1" applyFont="1" applyFill="1" applyBorder="1" applyAlignment="1">
      <alignment horizontal="center" vertical="center"/>
    </xf>
    <xf numFmtId="173" fontId="141" fillId="9" borderId="177" xfId="0" applyNumberFormat="1" applyFont="1" applyFill="1" applyBorder="1" applyAlignment="1">
      <alignment horizontal="center" vertical="center"/>
    </xf>
    <xf numFmtId="10" fontId="141" fillId="9" borderId="9" xfId="890" applyNumberFormat="1" applyFont="1" applyFill="1" applyBorder="1" applyAlignment="1">
      <alignment horizontal="center" vertical="center"/>
    </xf>
    <xf numFmtId="165" fontId="141" fillId="9" borderId="7" xfId="0" applyNumberFormat="1" applyFont="1" applyFill="1" applyBorder="1" applyAlignment="1">
      <alignment horizontal="center" vertical="center"/>
    </xf>
    <xf numFmtId="165" fontId="141" fillId="9" borderId="2" xfId="0" applyNumberFormat="1" applyFont="1" applyFill="1" applyBorder="1" applyAlignment="1">
      <alignment horizontal="center" vertical="center"/>
    </xf>
    <xf numFmtId="0" fontId="141" fillId="51" borderId="75" xfId="801" applyFont="1" applyFill="1" applyBorder="1" applyAlignment="1">
      <alignment horizontal="center" vertical="center" wrapText="1"/>
    </xf>
    <xf numFmtId="0" fontId="141" fillId="51" borderId="47" xfId="801" applyFont="1" applyFill="1" applyBorder="1" applyAlignment="1">
      <alignment horizontal="center" vertical="center" wrapText="1"/>
    </xf>
    <xf numFmtId="0" fontId="141" fillId="51" borderId="32" xfId="47" applyFont="1" applyFill="1" applyBorder="1" applyAlignment="1">
      <alignment horizontal="center" vertical="center" wrapText="1"/>
    </xf>
    <xf numFmtId="0" fontId="141" fillId="51" borderId="76" xfId="801" applyFont="1" applyFill="1" applyBorder="1" applyAlignment="1">
      <alignment horizontal="center" vertical="center" wrapText="1"/>
    </xf>
    <xf numFmtId="165" fontId="141" fillId="9" borderId="12" xfId="0" applyNumberFormat="1" applyFont="1" applyFill="1" applyBorder="1" applyAlignment="1">
      <alignment horizontal="center" vertical="center"/>
    </xf>
    <xf numFmtId="0" fontId="141" fillId="51" borderId="48" xfId="797" applyFont="1" applyFill="1" applyBorder="1" applyAlignment="1">
      <alignment horizontal="center" vertical="center" wrapText="1"/>
    </xf>
    <xf numFmtId="10" fontId="141" fillId="9" borderId="82" xfId="890" applyNumberFormat="1" applyFont="1" applyFill="1" applyBorder="1" applyAlignment="1">
      <alignment horizontal="center" vertical="center"/>
    </xf>
    <xf numFmtId="165" fontId="141" fillId="9" borderId="17" xfId="0" applyNumberFormat="1" applyFont="1" applyFill="1" applyBorder="1" applyAlignment="1">
      <alignment horizontal="center" vertical="center"/>
    </xf>
    <xf numFmtId="165" fontId="141" fillId="9" borderId="19" xfId="0" applyNumberFormat="1" applyFont="1" applyFill="1" applyBorder="1" applyAlignment="1">
      <alignment horizontal="center" vertical="center"/>
    </xf>
    <xf numFmtId="165" fontId="141" fillId="9" borderId="126" xfId="0" applyNumberFormat="1" applyFont="1" applyFill="1" applyBorder="1" applyAlignment="1">
      <alignment horizontal="center" vertical="center"/>
    </xf>
    <xf numFmtId="165" fontId="141" fillId="9" borderId="60" xfId="0" applyNumberFormat="1" applyFont="1" applyFill="1" applyBorder="1" applyAlignment="1">
      <alignment horizontal="center" vertical="center"/>
    </xf>
    <xf numFmtId="0" fontId="141" fillId="51" borderId="75" xfId="799" applyFont="1" applyFill="1" applyBorder="1" applyAlignment="1">
      <alignment horizontal="center" vertical="center" wrapText="1"/>
    </xf>
    <xf numFmtId="0" fontId="141" fillId="51" borderId="48" xfId="799" applyFont="1" applyFill="1" applyBorder="1" applyAlignment="1">
      <alignment horizontal="center" vertical="center" wrapText="1"/>
    </xf>
    <xf numFmtId="175" fontId="44" fillId="56" borderId="46" xfId="0" applyNumberFormat="1" applyFont="1" applyFill="1" applyBorder="1" applyAlignment="1">
      <alignment horizontal="center" vertical="center" textRotation="90"/>
    </xf>
    <xf numFmtId="175" fontId="44" fillId="56" borderId="47" xfId="0" applyNumberFormat="1" applyFont="1" applyFill="1" applyBorder="1" applyAlignment="1">
      <alignment horizontal="center" vertical="center" textRotation="90"/>
    </xf>
    <xf numFmtId="175" fontId="44" fillId="56" borderId="48" xfId="0" applyNumberFormat="1" applyFont="1" applyFill="1" applyBorder="1" applyAlignment="1">
      <alignment horizontal="center" vertical="center" textRotation="90"/>
    </xf>
    <xf numFmtId="175" fontId="44" fillId="55" borderId="53" xfId="0" applyNumberFormat="1" applyFont="1" applyFill="1" applyBorder="1" applyAlignment="1">
      <alignment horizontal="center" vertical="center"/>
    </xf>
    <xf numFmtId="175" fontId="44" fillId="55" borderId="86" xfId="0" applyNumberFormat="1" applyFont="1" applyFill="1" applyBorder="1" applyAlignment="1">
      <alignment horizontal="center" vertical="center"/>
    </xf>
    <xf numFmtId="165" fontId="141" fillId="9" borderId="5" xfId="0" applyNumberFormat="1" applyFont="1" applyFill="1" applyBorder="1" applyAlignment="1">
      <alignment horizontal="center" vertical="center"/>
    </xf>
    <xf numFmtId="165" fontId="141" fillId="9" borderId="72" xfId="0" applyNumberFormat="1" applyFont="1" applyFill="1" applyBorder="1" applyAlignment="1">
      <alignment horizontal="center" vertical="center"/>
    </xf>
    <xf numFmtId="0" fontId="141" fillId="8" borderId="75" xfId="803" applyFont="1" applyFill="1" applyBorder="1" applyAlignment="1">
      <alignment horizontal="center" vertical="center" wrapText="1"/>
    </xf>
    <xf numFmtId="0" fontId="141" fillId="8" borderId="48" xfId="803" applyFont="1" applyFill="1" applyBorder="1" applyAlignment="1">
      <alignment horizontal="center" vertical="center" wrapText="1"/>
    </xf>
    <xf numFmtId="165" fontId="44" fillId="55" borderId="53" xfId="0" applyNumberFormat="1" applyFont="1" applyFill="1" applyBorder="1" applyAlignment="1">
      <alignment horizontal="center" vertical="center"/>
    </xf>
    <xf numFmtId="165" fontId="44" fillId="55" borderId="58" xfId="0" applyNumberFormat="1" applyFont="1" applyFill="1" applyBorder="1" applyAlignment="1">
      <alignment horizontal="center" vertical="center"/>
    </xf>
    <xf numFmtId="165" fontId="44" fillId="55" borderId="54" xfId="0" applyNumberFormat="1" applyFont="1" applyFill="1" applyBorder="1" applyAlignment="1">
      <alignment horizontal="center" vertical="center"/>
    </xf>
    <xf numFmtId="0" fontId="141" fillId="51" borderId="35" xfId="799" applyFont="1" applyFill="1" applyBorder="1" applyAlignment="1">
      <alignment horizontal="center" vertical="center" wrapText="1"/>
    </xf>
    <xf numFmtId="10" fontId="141" fillId="57" borderId="9" xfId="0" applyNumberFormat="1" applyFont="1" applyFill="1" applyBorder="1" applyAlignment="1">
      <alignment horizontal="center" vertical="center"/>
    </xf>
    <xf numFmtId="10" fontId="141" fillId="57" borderId="85" xfId="0" applyNumberFormat="1" applyFont="1" applyFill="1" applyBorder="1" applyAlignment="1">
      <alignment horizontal="center" vertical="center"/>
    </xf>
    <xf numFmtId="10" fontId="141" fillId="57" borderId="45" xfId="0" applyNumberFormat="1" applyFont="1" applyFill="1" applyBorder="1" applyAlignment="1">
      <alignment horizontal="center" vertical="center"/>
    </xf>
    <xf numFmtId="10" fontId="141" fillId="9" borderId="9" xfId="0" applyNumberFormat="1" applyFont="1" applyFill="1" applyBorder="1" applyAlignment="1">
      <alignment horizontal="center" vertical="center"/>
    </xf>
    <xf numFmtId="10" fontId="141" fillId="9" borderId="85" xfId="0" applyNumberFormat="1" applyFont="1" applyFill="1" applyBorder="1" applyAlignment="1">
      <alignment horizontal="center" vertical="center"/>
    </xf>
    <xf numFmtId="10" fontId="141" fillId="9" borderId="45" xfId="0" applyNumberFormat="1" applyFont="1" applyFill="1" applyBorder="1" applyAlignment="1">
      <alignment horizontal="center" vertical="center"/>
    </xf>
    <xf numFmtId="0" fontId="141" fillId="51" borderId="47" xfId="805" applyFont="1" applyFill="1" applyBorder="1" applyAlignment="1">
      <alignment horizontal="center" vertical="center" wrapText="1"/>
    </xf>
    <xf numFmtId="165" fontId="141" fillId="9" borderId="18" xfId="0" applyNumberFormat="1" applyFont="1" applyFill="1" applyBorder="1" applyAlignment="1">
      <alignment horizontal="center" vertical="center"/>
    </xf>
    <xf numFmtId="165" fontId="141" fillId="9" borderId="13" xfId="0" applyNumberFormat="1" applyFont="1" applyFill="1" applyBorder="1" applyAlignment="1">
      <alignment horizontal="center" vertical="center"/>
    </xf>
    <xf numFmtId="10" fontId="141" fillId="9" borderId="81" xfId="0" applyNumberFormat="1" applyFont="1" applyFill="1" applyBorder="1" applyAlignment="1">
      <alignment horizontal="center" vertical="center"/>
    </xf>
    <xf numFmtId="165" fontId="141" fillId="57" borderId="134" xfId="0" applyNumberFormat="1" applyFont="1" applyFill="1" applyBorder="1" applyAlignment="1">
      <alignment horizontal="center" vertical="center"/>
    </xf>
    <xf numFmtId="165" fontId="141" fillId="57" borderId="16" xfId="0" applyNumberFormat="1" applyFont="1" applyFill="1" applyBorder="1" applyAlignment="1">
      <alignment horizontal="center" vertical="center"/>
    </xf>
    <xf numFmtId="165" fontId="141" fillId="57" borderId="144" xfId="0" applyNumberFormat="1" applyFont="1" applyFill="1" applyBorder="1" applyAlignment="1">
      <alignment horizontal="center" vertical="center"/>
    </xf>
    <xf numFmtId="165" fontId="141" fillId="57" borderId="8" xfId="893" applyNumberFormat="1" applyFont="1" applyFill="1" applyBorder="1" applyAlignment="1">
      <alignment horizontal="center" vertical="center"/>
    </xf>
    <xf numFmtId="165" fontId="141" fillId="57" borderId="39" xfId="893" applyNumberFormat="1" applyFont="1" applyFill="1" applyBorder="1" applyAlignment="1">
      <alignment horizontal="center" vertical="center"/>
    </xf>
    <xf numFmtId="165" fontId="141" fillId="57" borderId="42" xfId="893" applyNumberFormat="1" applyFont="1" applyFill="1" applyBorder="1" applyAlignment="1">
      <alignment horizontal="center" vertical="center"/>
    </xf>
    <xf numFmtId="0" fontId="141" fillId="51" borderId="46" xfId="805" applyFont="1" applyFill="1" applyBorder="1" applyAlignment="1">
      <alignment horizontal="center" vertical="center" wrapText="1"/>
    </xf>
    <xf numFmtId="0" fontId="141" fillId="51" borderId="76" xfId="805" applyFont="1" applyFill="1" applyBorder="1" applyAlignment="1">
      <alignment horizontal="center" vertical="center" wrapText="1"/>
    </xf>
    <xf numFmtId="0" fontId="141" fillId="51" borderId="75" xfId="805" applyFont="1" applyFill="1" applyBorder="1" applyAlignment="1">
      <alignment horizontal="center" vertical="center" wrapText="1"/>
    </xf>
    <xf numFmtId="0" fontId="141" fillId="8" borderId="75" xfId="801" applyFont="1" applyFill="1" applyBorder="1" applyAlignment="1">
      <alignment horizontal="center" vertical="center" wrapText="1"/>
    </xf>
    <xf numFmtId="0" fontId="44" fillId="51" borderId="75" xfId="801" applyFont="1" applyFill="1" applyBorder="1" applyAlignment="1">
      <alignment horizontal="center" vertical="center" wrapText="1"/>
    </xf>
    <xf numFmtId="0" fontId="44" fillId="51" borderId="47" xfId="801" applyFont="1" applyFill="1" applyBorder="1" applyAlignment="1">
      <alignment horizontal="center" vertical="center" wrapText="1"/>
    </xf>
    <xf numFmtId="0" fontId="44" fillId="57" borderId="75" xfId="801" applyFont="1" applyFill="1" applyBorder="1" applyAlignment="1">
      <alignment horizontal="center" vertical="center" wrapText="1"/>
    </xf>
    <xf numFmtId="0" fontId="44" fillId="57" borderId="47" xfId="801" applyFont="1" applyFill="1" applyBorder="1" applyAlignment="1">
      <alignment horizontal="center" vertical="center" wrapText="1"/>
    </xf>
    <xf numFmtId="0" fontId="44" fillId="57" borderId="76" xfId="801" applyFont="1" applyFill="1" applyBorder="1" applyAlignment="1">
      <alignment horizontal="center" vertical="center" wrapText="1"/>
    </xf>
    <xf numFmtId="0" fontId="44" fillId="51" borderId="76" xfId="801" applyFont="1" applyFill="1" applyBorder="1" applyAlignment="1">
      <alignment horizontal="center" vertical="center" wrapText="1"/>
    </xf>
    <xf numFmtId="165" fontId="141" fillId="57" borderId="2" xfId="0" applyNumberFormat="1" applyFont="1" applyFill="1" applyBorder="1" applyAlignment="1">
      <alignment horizontal="center" vertical="center"/>
    </xf>
    <xf numFmtId="165" fontId="141" fillId="57" borderId="5" xfId="0" applyNumberFormat="1" applyFont="1" applyFill="1" applyBorder="1" applyAlignment="1">
      <alignment horizontal="center" vertical="center"/>
    </xf>
    <xf numFmtId="0" fontId="44" fillId="51" borderId="46" xfId="801" applyFont="1" applyFill="1" applyBorder="1" applyAlignment="1">
      <alignment horizontal="center" vertical="center" wrapText="1"/>
    </xf>
    <xf numFmtId="165" fontId="141" fillId="57" borderId="13" xfId="0" applyNumberFormat="1" applyFont="1" applyFill="1" applyBorder="1" applyAlignment="1">
      <alignment horizontal="center" vertical="center"/>
    </xf>
    <xf numFmtId="165" fontId="141" fillId="57" borderId="15" xfId="0" applyNumberFormat="1" applyFont="1" applyFill="1" applyBorder="1" applyAlignment="1">
      <alignment horizontal="center" vertical="center"/>
    </xf>
    <xf numFmtId="165" fontId="141" fillId="57" borderId="14" xfId="0" applyNumberFormat="1" applyFont="1" applyFill="1" applyBorder="1" applyAlignment="1">
      <alignment horizontal="center" vertical="center"/>
    </xf>
    <xf numFmtId="165" fontId="141" fillId="9" borderId="123" xfId="0" applyNumberFormat="1" applyFont="1" applyFill="1" applyBorder="1" applyAlignment="1">
      <alignment horizontal="center" vertical="center"/>
    </xf>
    <xf numFmtId="0" fontId="11" fillId="2" borderId="0" xfId="815" applyFont="1" applyFill="1" applyBorder="1" applyAlignment="1">
      <alignment horizontal="center" vertical="center" wrapText="1"/>
    </xf>
    <xf numFmtId="0" fontId="3" fillId="6" borderId="46" xfId="0" applyFont="1" applyFill="1" applyBorder="1" applyAlignment="1">
      <alignment horizontal="center" vertical="center" textRotation="90" wrapText="1"/>
    </xf>
    <xf numFmtId="0" fontId="3" fillId="6" borderId="47" xfId="0" applyFont="1" applyFill="1" applyBorder="1" applyAlignment="1">
      <alignment horizontal="center" vertical="center" textRotation="90" wrapText="1"/>
    </xf>
    <xf numFmtId="0" fontId="3" fillId="6" borderId="48" xfId="0" applyFont="1" applyFill="1" applyBorder="1" applyAlignment="1">
      <alignment horizontal="center" vertical="center" textRotation="90" wrapText="1"/>
    </xf>
    <xf numFmtId="0" fontId="3" fillId="4" borderId="46" xfId="0" applyFont="1" applyFill="1" applyBorder="1" applyAlignment="1">
      <alignment horizontal="center" vertical="center" textRotation="90"/>
    </xf>
    <xf numFmtId="0" fontId="3" fillId="4" borderId="47" xfId="0" applyFont="1" applyFill="1" applyBorder="1" applyAlignment="1">
      <alignment horizontal="center" vertical="center" textRotation="90"/>
    </xf>
    <xf numFmtId="0" fontId="3" fillId="4" borderId="48" xfId="0" applyFont="1" applyFill="1" applyBorder="1" applyAlignment="1">
      <alignment horizontal="center" vertical="center" textRotation="90"/>
    </xf>
    <xf numFmtId="165" fontId="141" fillId="9" borderId="43" xfId="0" applyNumberFormat="1" applyFont="1" applyFill="1" applyBorder="1" applyAlignment="1">
      <alignment horizontal="center" vertical="center"/>
    </xf>
    <xf numFmtId="0" fontId="44" fillId="51" borderId="107" xfId="801" applyFont="1" applyFill="1" applyBorder="1" applyAlignment="1">
      <alignment horizontal="center" vertical="center" wrapText="1"/>
    </xf>
    <xf numFmtId="0" fontId="44" fillId="51" borderId="48" xfId="801" applyFont="1" applyFill="1" applyBorder="1" applyAlignment="1">
      <alignment horizontal="center" vertical="center" wrapText="1"/>
    </xf>
    <xf numFmtId="165" fontId="141" fillId="9" borderId="74" xfId="893" applyNumberFormat="1" applyFont="1" applyFill="1" applyBorder="1" applyAlignment="1">
      <alignment horizontal="center" vertical="center"/>
    </xf>
    <xf numFmtId="165" fontId="141" fillId="9" borderId="44" xfId="0" applyNumberFormat="1" applyFont="1" applyFill="1" applyBorder="1" applyAlignment="1">
      <alignment horizontal="center" vertical="center"/>
    </xf>
    <xf numFmtId="10" fontId="142" fillId="9" borderId="110" xfId="890" applyNumberFormat="1" applyFont="1" applyFill="1" applyBorder="1" applyAlignment="1">
      <alignment horizontal="center" vertical="center"/>
    </xf>
    <xf numFmtId="10" fontId="142" fillId="9" borderId="82" xfId="890" applyNumberFormat="1" applyFont="1" applyFill="1" applyBorder="1" applyAlignment="1">
      <alignment horizontal="center" vertical="center"/>
    </xf>
    <xf numFmtId="10" fontId="141" fillId="9" borderId="110" xfId="0" applyNumberFormat="1" applyFont="1" applyFill="1" applyBorder="1" applyAlignment="1">
      <alignment horizontal="center" vertical="center"/>
    </xf>
    <xf numFmtId="10" fontId="141" fillId="9" borderId="27" xfId="890" applyNumberFormat="1" applyFont="1" applyFill="1" applyBorder="1" applyAlignment="1">
      <alignment horizontal="center" vertical="center"/>
    </xf>
    <xf numFmtId="178" fontId="19" fillId="9" borderId="187" xfId="0" applyNumberFormat="1" applyFont="1" applyFill="1" applyBorder="1" applyAlignment="1">
      <alignment horizontal="center" vertical="center"/>
    </xf>
    <xf numFmtId="178" fontId="19" fillId="9" borderId="82" xfId="0" applyNumberFormat="1" applyFont="1" applyFill="1" applyBorder="1" applyAlignment="1">
      <alignment horizontal="center" vertical="center"/>
    </xf>
    <xf numFmtId="173" fontId="19" fillId="9" borderId="193" xfId="0" applyNumberFormat="1" applyFont="1" applyFill="1" applyBorder="1" applyAlignment="1">
      <alignment horizontal="center" vertical="center"/>
    </xf>
    <xf numFmtId="173" fontId="19" fillId="9" borderId="207" xfId="0" applyNumberFormat="1" applyFont="1" applyFill="1" applyBorder="1" applyAlignment="1">
      <alignment horizontal="center" vertical="center"/>
    </xf>
    <xf numFmtId="0" fontId="20" fillId="7" borderId="46" xfId="0" applyFont="1" applyFill="1" applyBorder="1" applyAlignment="1">
      <alignment horizontal="center" vertical="center" wrapText="1"/>
    </xf>
    <xf numFmtId="0" fontId="20" fillId="7" borderId="47" xfId="0" applyFont="1" applyFill="1" applyBorder="1" applyAlignment="1">
      <alignment horizontal="center" vertical="center" wrapText="1"/>
    </xf>
    <xf numFmtId="0" fontId="20" fillId="7" borderId="48" xfId="0" applyFont="1" applyFill="1" applyBorder="1" applyAlignment="1">
      <alignment horizontal="center" vertical="center" wrapText="1"/>
    </xf>
    <xf numFmtId="0" fontId="17" fillId="51" borderId="183" xfId="833" applyFont="1" applyFill="1" applyBorder="1" applyAlignment="1">
      <alignment horizontal="center" vertical="center" wrapText="1"/>
    </xf>
    <xf numFmtId="0" fontId="17" fillId="51" borderId="76" xfId="833" applyFont="1" applyFill="1" applyBorder="1" applyAlignment="1">
      <alignment horizontal="center" vertical="center" wrapText="1"/>
    </xf>
    <xf numFmtId="173" fontId="19" fillId="9" borderId="201" xfId="0" applyNumberFormat="1" applyFont="1" applyFill="1" applyBorder="1" applyAlignment="1">
      <alignment horizontal="center" vertical="center"/>
    </xf>
    <xf numFmtId="173" fontId="19" fillId="9" borderId="0" xfId="0" applyNumberFormat="1" applyFont="1" applyFill="1" applyBorder="1" applyAlignment="1">
      <alignment horizontal="center" vertical="center"/>
    </xf>
    <xf numFmtId="173" fontId="19" fillId="9" borderId="16" xfId="0" applyNumberFormat="1" applyFont="1" applyFill="1" applyBorder="1" applyAlignment="1">
      <alignment horizontal="center" vertical="center"/>
    </xf>
    <xf numFmtId="173" fontId="19" fillId="9" borderId="204" xfId="0" applyNumberFormat="1" applyFont="1" applyFill="1" applyBorder="1" applyAlignment="1">
      <alignment horizontal="center" vertical="center"/>
    </xf>
    <xf numFmtId="173" fontId="19" fillId="9" borderId="15" xfId="0" applyNumberFormat="1" applyFont="1" applyFill="1" applyBorder="1" applyAlignment="1">
      <alignment horizontal="center" vertical="center"/>
    </xf>
    <xf numFmtId="10" fontId="19" fillId="9" borderId="205" xfId="0" applyNumberFormat="1" applyFont="1" applyFill="1" applyBorder="1" applyAlignment="1">
      <alignment horizontal="center" vertical="center"/>
    </xf>
    <xf numFmtId="10" fontId="19" fillId="9" borderId="10" xfId="0" applyNumberFormat="1" applyFont="1" applyFill="1" applyBorder="1" applyAlignment="1">
      <alignment horizontal="center" vertical="center"/>
    </xf>
    <xf numFmtId="0" fontId="20" fillId="53" borderId="46" xfId="0" applyFont="1" applyFill="1" applyBorder="1" applyAlignment="1">
      <alignment horizontal="center" vertical="center" wrapText="1"/>
    </xf>
    <xf numFmtId="0" fontId="20" fillId="53" borderId="47" xfId="0" applyFont="1" applyFill="1" applyBorder="1" applyAlignment="1">
      <alignment horizontal="center" vertical="center" wrapText="1"/>
    </xf>
    <xf numFmtId="0" fontId="20" fillId="53" borderId="48" xfId="0" applyFont="1" applyFill="1" applyBorder="1" applyAlignment="1">
      <alignment horizontal="center" vertical="center" wrapText="1"/>
    </xf>
    <xf numFmtId="173" fontId="19" fillId="9" borderId="218" xfId="0" applyNumberFormat="1" applyFont="1" applyFill="1" applyBorder="1" applyAlignment="1">
      <alignment horizontal="center" vertical="center"/>
    </xf>
    <xf numFmtId="173" fontId="19" fillId="9" borderId="138" xfId="0" applyNumberFormat="1" applyFont="1" applyFill="1" applyBorder="1" applyAlignment="1">
      <alignment horizontal="center" vertical="center"/>
    </xf>
    <xf numFmtId="173" fontId="19" fillId="9" borderId="184" xfId="0" applyNumberFormat="1" applyFont="1" applyFill="1" applyBorder="1" applyAlignment="1">
      <alignment horizontal="center" vertical="center"/>
    </xf>
    <xf numFmtId="173" fontId="19" fillId="9" borderId="77" xfId="0" applyNumberFormat="1" applyFont="1" applyFill="1" applyBorder="1" applyAlignment="1">
      <alignment horizontal="center" vertical="center"/>
    </xf>
    <xf numFmtId="173" fontId="19" fillId="9" borderId="213" xfId="0" applyNumberFormat="1" applyFont="1" applyFill="1" applyBorder="1" applyAlignment="1">
      <alignment horizontal="center" vertical="center"/>
    </xf>
    <xf numFmtId="178" fontId="19" fillId="9" borderId="45" xfId="0" applyNumberFormat="1" applyFont="1" applyFill="1" applyBorder="1" applyAlignment="1">
      <alignment horizontal="center" vertical="center"/>
    </xf>
    <xf numFmtId="173" fontId="19" fillId="9" borderId="188" xfId="0" applyNumberFormat="1" applyFont="1" applyFill="1" applyBorder="1" applyAlignment="1">
      <alignment horizontal="center" vertical="center"/>
    </xf>
    <xf numFmtId="173" fontId="19" fillId="9" borderId="42" xfId="0" applyNumberFormat="1" applyFont="1" applyFill="1" applyBorder="1" applyAlignment="1">
      <alignment horizontal="center" vertical="center"/>
    </xf>
    <xf numFmtId="0" fontId="17" fillId="51" borderId="75" xfId="843" applyFont="1" applyFill="1" applyBorder="1" applyAlignment="1">
      <alignment horizontal="center" vertical="center" wrapText="1"/>
    </xf>
    <xf numFmtId="0" fontId="17" fillId="51" borderId="76" xfId="843" applyFont="1" applyFill="1" applyBorder="1" applyAlignment="1">
      <alignment horizontal="center" vertical="center" wrapText="1"/>
    </xf>
    <xf numFmtId="0" fontId="17" fillId="51" borderId="75" xfId="844" applyFont="1" applyFill="1" applyBorder="1" applyAlignment="1">
      <alignment horizontal="center" vertical="center" wrapText="1"/>
    </xf>
    <xf numFmtId="0" fontId="17" fillId="51" borderId="76" xfId="844" applyFont="1" applyFill="1" applyBorder="1" applyAlignment="1">
      <alignment horizontal="center" vertical="center" wrapText="1"/>
    </xf>
    <xf numFmtId="178" fontId="19" fillId="9" borderId="205" xfId="0" applyNumberFormat="1" applyFont="1" applyFill="1" applyBorder="1" applyAlignment="1">
      <alignment horizontal="center" vertical="center"/>
    </xf>
    <xf numFmtId="178" fontId="19" fillId="9" borderId="216" xfId="0" applyNumberFormat="1" applyFont="1" applyFill="1" applyBorder="1" applyAlignment="1">
      <alignment horizontal="center" vertical="center"/>
    </xf>
    <xf numFmtId="0" fontId="17" fillId="51" borderId="47" xfId="843" applyFont="1" applyFill="1" applyBorder="1" applyAlignment="1">
      <alignment horizontal="center" vertical="center" wrapText="1"/>
    </xf>
    <xf numFmtId="0" fontId="19" fillId="51" borderId="57" xfId="0" applyFont="1" applyFill="1" applyBorder="1" applyAlignment="1">
      <alignment horizontal="center" vertical="center"/>
    </xf>
    <xf numFmtId="0" fontId="20" fillId="55" borderId="46" xfId="0" applyFont="1" applyFill="1" applyBorder="1" applyAlignment="1">
      <alignment horizontal="center" vertical="center" wrapText="1"/>
    </xf>
    <xf numFmtId="0" fontId="20" fillId="55" borderId="47" xfId="0" applyFont="1" applyFill="1" applyBorder="1" applyAlignment="1">
      <alignment horizontal="center" vertical="center" wrapText="1"/>
    </xf>
    <xf numFmtId="0" fontId="20" fillId="55" borderId="48" xfId="0" applyFont="1" applyFill="1" applyBorder="1" applyAlignment="1">
      <alignment horizontal="center" vertical="center" wrapText="1"/>
    </xf>
    <xf numFmtId="0" fontId="17" fillId="51" borderId="48" xfId="843" applyFont="1" applyFill="1" applyBorder="1" applyAlignment="1">
      <alignment horizontal="center" vertical="center" wrapText="1"/>
    </xf>
    <xf numFmtId="173" fontId="19" fillId="9" borderId="51" xfId="0" applyNumberFormat="1" applyFont="1" applyFill="1" applyBorder="1" applyAlignment="1">
      <alignment horizontal="center" vertical="center"/>
    </xf>
    <xf numFmtId="173" fontId="19" fillId="9" borderId="52" xfId="0" applyNumberFormat="1" applyFont="1" applyFill="1" applyBorder="1" applyAlignment="1">
      <alignment horizontal="center" vertical="center"/>
    </xf>
    <xf numFmtId="9" fontId="19" fillId="9" borderId="205" xfId="0" applyNumberFormat="1" applyFont="1" applyFill="1" applyBorder="1" applyAlignment="1">
      <alignment horizontal="center" vertical="center"/>
    </xf>
    <xf numFmtId="9" fontId="19" fillId="9" borderId="10" xfId="0" applyNumberFormat="1" applyFont="1" applyFill="1" applyBorder="1" applyAlignment="1">
      <alignment horizontal="center" vertical="center"/>
    </xf>
    <xf numFmtId="178" fontId="19" fillId="9" borderId="23" xfId="0" applyNumberFormat="1" applyFont="1" applyFill="1" applyBorder="1" applyAlignment="1">
      <alignment horizontal="center" vertical="center"/>
    </xf>
    <xf numFmtId="173" fontId="19" fillId="9" borderId="104" xfId="0" applyNumberFormat="1" applyFont="1" applyFill="1" applyBorder="1" applyAlignment="1">
      <alignment horizontal="center" vertical="center"/>
    </xf>
    <xf numFmtId="173" fontId="19" fillId="9" borderId="41" xfId="0" applyNumberFormat="1" applyFont="1" applyFill="1" applyBorder="1" applyAlignment="1">
      <alignment horizontal="center" vertical="center"/>
    </xf>
    <xf numFmtId="173" fontId="19" fillId="15" borderId="193" xfId="0" applyNumberFormat="1" applyFont="1" applyFill="1" applyBorder="1" applyAlignment="1">
      <alignment horizontal="center" vertical="center"/>
    </xf>
    <xf numFmtId="173" fontId="19" fillId="15" borderId="207" xfId="0" applyNumberFormat="1" applyFont="1" applyFill="1" applyBorder="1" applyAlignment="1">
      <alignment horizontal="center" vertical="center"/>
    </xf>
    <xf numFmtId="0" fontId="17" fillId="15" borderId="47" xfId="843" applyFont="1" applyFill="1" applyBorder="1" applyAlignment="1">
      <alignment horizontal="center" vertical="center" wrapText="1"/>
    </xf>
    <xf numFmtId="0" fontId="17" fillId="15" borderId="76" xfId="843" applyFont="1" applyFill="1" applyBorder="1" applyAlignment="1">
      <alignment horizontal="center" vertical="center" wrapText="1"/>
    </xf>
    <xf numFmtId="0" fontId="104" fillId="51" borderId="47" xfId="843" applyFont="1" applyFill="1" applyBorder="1" applyAlignment="1">
      <alignment horizontal="center" vertical="center" wrapText="1"/>
    </xf>
    <xf numFmtId="0" fontId="104" fillId="51" borderId="76" xfId="843" applyFont="1" applyFill="1" applyBorder="1" applyAlignment="1">
      <alignment horizontal="center" vertical="center" wrapText="1"/>
    </xf>
    <xf numFmtId="0" fontId="17" fillId="51" borderId="46" xfId="843" applyFont="1" applyFill="1" applyBorder="1" applyAlignment="1">
      <alignment horizontal="center" vertical="center" wrapText="1"/>
    </xf>
    <xf numFmtId="178" fontId="19" fillId="15" borderId="205" xfId="0" applyNumberFormat="1" applyFont="1" applyFill="1" applyBorder="1" applyAlignment="1">
      <alignment horizontal="center" vertical="center"/>
    </xf>
    <xf numFmtId="178" fontId="19" fillId="15" borderId="216" xfId="0" applyNumberFormat="1" applyFont="1" applyFill="1" applyBorder="1" applyAlignment="1">
      <alignment horizontal="center" vertical="center"/>
    </xf>
    <xf numFmtId="0" fontId="17" fillId="8" borderId="107" xfId="841" applyFont="1" applyFill="1" applyBorder="1" applyAlignment="1">
      <alignment horizontal="center" vertical="center" wrapText="1"/>
    </xf>
    <xf numFmtId="0" fontId="17" fillId="8" borderId="76" xfId="841" applyFont="1" applyFill="1" applyBorder="1" applyAlignment="1">
      <alignment horizontal="center" vertical="center" wrapText="1"/>
    </xf>
    <xf numFmtId="0" fontId="17" fillId="51" borderId="107" xfId="843" applyFont="1" applyFill="1" applyBorder="1" applyAlignment="1">
      <alignment horizontal="center" vertical="center" wrapText="1"/>
    </xf>
    <xf numFmtId="0" fontId="17" fillId="51" borderId="128" xfId="840" applyFont="1" applyFill="1" applyBorder="1" applyAlignment="1">
      <alignment horizontal="center" vertical="center" wrapText="1"/>
    </xf>
    <xf numFmtId="0" fontId="17" fillId="51" borderId="107" xfId="840" applyFont="1" applyFill="1" applyBorder="1" applyAlignment="1">
      <alignment horizontal="center" vertical="center" wrapText="1"/>
    </xf>
    <xf numFmtId="173" fontId="19" fillId="9" borderId="6" xfId="0" applyNumberFormat="1" applyFont="1" applyFill="1" applyBorder="1" applyAlignment="1">
      <alignment horizontal="center" vertical="center"/>
    </xf>
    <xf numFmtId="0" fontId="17" fillId="51" borderId="128" xfId="835" applyFont="1" applyFill="1" applyBorder="1" applyAlignment="1">
      <alignment horizontal="center" vertical="center" wrapText="1"/>
    </xf>
    <xf numFmtId="0" fontId="17" fillId="51" borderId="50" xfId="835" applyFont="1" applyFill="1" applyBorder="1" applyAlignment="1">
      <alignment horizontal="center" vertical="center" wrapText="1"/>
    </xf>
    <xf numFmtId="173" fontId="19" fillId="9" borderId="35" xfId="0" applyNumberFormat="1" applyFont="1" applyFill="1" applyBorder="1" applyAlignment="1">
      <alignment horizontal="center" vertical="center"/>
    </xf>
    <xf numFmtId="0" fontId="17" fillId="51" borderId="107" xfId="833" applyFont="1" applyFill="1" applyBorder="1" applyAlignment="1">
      <alignment horizontal="center" vertical="center" wrapText="1"/>
    </xf>
    <xf numFmtId="0" fontId="17" fillId="8" borderId="46" xfId="841" applyFont="1" applyFill="1" applyBorder="1" applyAlignment="1">
      <alignment horizontal="center" vertical="center" wrapText="1"/>
    </xf>
    <xf numFmtId="173" fontId="19" fillId="9" borderId="32" xfId="0" applyNumberFormat="1" applyFont="1" applyFill="1" applyBorder="1" applyAlignment="1">
      <alignment horizontal="center" vertical="center"/>
    </xf>
    <xf numFmtId="0" fontId="17" fillId="51" borderId="128" xfId="843" applyFont="1" applyFill="1" applyBorder="1" applyAlignment="1">
      <alignment horizontal="center" vertical="center" wrapText="1"/>
    </xf>
    <xf numFmtId="0" fontId="17" fillId="51" borderId="47" xfId="844" applyFont="1" applyFill="1" applyBorder="1" applyAlignment="1">
      <alignment horizontal="center" vertical="center" wrapText="1"/>
    </xf>
    <xf numFmtId="0" fontId="17" fillId="51" borderId="107" xfId="839" applyFont="1" applyFill="1" applyBorder="1" applyAlignment="1">
      <alignment horizontal="center" vertical="center" wrapText="1"/>
    </xf>
    <xf numFmtId="0" fontId="17" fillId="51" borderId="76" xfId="839" applyFont="1" applyFill="1" applyBorder="1" applyAlignment="1">
      <alignment horizontal="center" vertical="center" wrapText="1"/>
    </xf>
    <xf numFmtId="173" fontId="19" fillId="15" borderId="184" xfId="0" applyNumberFormat="1" applyFont="1" applyFill="1" applyBorder="1" applyAlignment="1">
      <alignment horizontal="center" vertical="center"/>
    </xf>
    <xf numFmtId="173" fontId="19" fillId="15" borderId="77" xfId="0" applyNumberFormat="1" applyFont="1" applyFill="1" applyBorder="1" applyAlignment="1">
      <alignment horizontal="center" vertical="center"/>
    </xf>
    <xf numFmtId="0" fontId="17" fillId="15" borderId="107" xfId="839" applyFont="1" applyFill="1" applyBorder="1" applyAlignment="1">
      <alignment horizontal="center" vertical="center" wrapText="1"/>
    </xf>
    <xf numFmtId="0" fontId="17" fillId="15" borderId="47" xfId="839" applyFont="1" applyFill="1" applyBorder="1" applyAlignment="1">
      <alignment horizontal="center" vertical="center" wrapText="1"/>
    </xf>
    <xf numFmtId="0" fontId="17" fillId="51" borderId="47" xfId="839" applyFont="1" applyFill="1" applyBorder="1" applyAlignment="1">
      <alignment horizontal="center" vertical="center" wrapText="1"/>
    </xf>
    <xf numFmtId="173" fontId="19" fillId="15" borderId="218" xfId="0" applyNumberFormat="1" applyFont="1" applyFill="1" applyBorder="1" applyAlignment="1">
      <alignment horizontal="center" vertical="center"/>
    </xf>
    <xf numFmtId="173" fontId="19" fillId="15" borderId="138" xfId="0" applyNumberFormat="1" applyFont="1" applyFill="1" applyBorder="1" applyAlignment="1">
      <alignment horizontal="center" vertical="center"/>
    </xf>
    <xf numFmtId="173" fontId="19" fillId="9" borderId="203" xfId="0" applyNumberFormat="1" applyFont="1" applyFill="1" applyBorder="1" applyAlignment="1">
      <alignment horizontal="center" vertical="center"/>
    </xf>
    <xf numFmtId="173" fontId="19" fillId="9" borderId="236" xfId="0" applyNumberFormat="1" applyFont="1" applyFill="1" applyBorder="1" applyAlignment="1">
      <alignment horizontal="center" vertical="center"/>
    </xf>
    <xf numFmtId="173" fontId="19" fillId="9" borderId="169" xfId="0" applyNumberFormat="1" applyFont="1" applyFill="1" applyBorder="1" applyAlignment="1">
      <alignment horizontal="center" vertical="center"/>
    </xf>
    <xf numFmtId="173" fontId="19" fillId="9" borderId="182" xfId="0" applyNumberFormat="1" applyFont="1" applyFill="1" applyBorder="1" applyAlignment="1">
      <alignment horizontal="center" vertical="center"/>
    </xf>
    <xf numFmtId="173" fontId="19" fillId="9" borderId="240" xfId="0" applyNumberFormat="1" applyFont="1" applyFill="1" applyBorder="1" applyAlignment="1">
      <alignment horizontal="center" vertical="center"/>
    </xf>
    <xf numFmtId="173" fontId="19" fillId="9" borderId="206" xfId="0" applyNumberFormat="1" applyFont="1" applyFill="1" applyBorder="1" applyAlignment="1">
      <alignment horizontal="center" vertical="center"/>
    </xf>
    <xf numFmtId="173" fontId="19" fillId="9" borderId="214" xfId="0" applyNumberFormat="1" applyFont="1" applyFill="1" applyBorder="1" applyAlignment="1">
      <alignment horizontal="center" vertical="center"/>
    </xf>
    <xf numFmtId="173" fontId="19" fillId="9" borderId="208" xfId="0" applyNumberFormat="1" applyFont="1" applyFill="1" applyBorder="1" applyAlignment="1">
      <alignment horizontal="center" vertical="center"/>
    </xf>
    <xf numFmtId="173" fontId="19" fillId="9" borderId="18" xfId="0" applyNumberFormat="1" applyFont="1" applyFill="1" applyBorder="1" applyAlignment="1">
      <alignment horizontal="center" vertical="center"/>
    </xf>
    <xf numFmtId="0" fontId="17" fillId="51" borderId="46" xfId="835" applyFont="1" applyFill="1" applyBorder="1" applyAlignment="1">
      <alignment horizontal="center" vertical="center" wrapText="1"/>
    </xf>
    <xf numFmtId="0" fontId="17" fillId="51" borderId="76" xfId="835" applyFont="1" applyFill="1" applyBorder="1" applyAlignment="1">
      <alignment horizontal="center" vertical="center" wrapText="1"/>
    </xf>
    <xf numFmtId="0" fontId="17" fillId="51" borderId="75" xfId="835" applyFont="1" applyFill="1" applyBorder="1" applyAlignment="1">
      <alignment horizontal="center" vertical="center" wrapText="1"/>
    </xf>
    <xf numFmtId="0" fontId="17" fillId="51" borderId="48" xfId="833" applyFont="1" applyFill="1" applyBorder="1" applyAlignment="1">
      <alignment horizontal="center" vertical="center" wrapText="1"/>
    </xf>
    <xf numFmtId="173" fontId="19" fillId="9" borderId="237" xfId="0" applyNumberFormat="1" applyFont="1" applyFill="1" applyBorder="1" applyAlignment="1">
      <alignment horizontal="center" vertical="center"/>
    </xf>
    <xf numFmtId="173" fontId="19" fillId="9" borderId="3" xfId="0" applyNumberFormat="1" applyFont="1" applyFill="1" applyBorder="1" applyAlignment="1">
      <alignment horizontal="center" vertical="center"/>
    </xf>
    <xf numFmtId="0" fontId="143" fillId="2" borderId="32" xfId="815" applyFont="1" applyFill="1" applyBorder="1" applyAlignment="1">
      <alignment horizontal="center" vertical="center"/>
    </xf>
    <xf numFmtId="0" fontId="143" fillId="2" borderId="3" xfId="815" applyFont="1" applyFill="1" applyBorder="1" applyAlignment="1">
      <alignment horizontal="center" vertical="center"/>
    </xf>
    <xf numFmtId="0" fontId="143" fillId="2" borderId="23" xfId="815" applyFont="1" applyFill="1" applyBorder="1" applyAlignment="1">
      <alignment horizontal="center" vertical="center"/>
    </xf>
    <xf numFmtId="0" fontId="143" fillId="2" borderId="35" xfId="815" applyFont="1" applyFill="1" applyBorder="1" applyAlignment="1">
      <alignment horizontal="center" vertical="center"/>
    </xf>
    <xf numFmtId="0" fontId="143" fillId="2" borderId="4" xfId="815" applyFont="1" applyFill="1" applyBorder="1" applyAlignment="1">
      <alignment horizontal="center" vertical="center"/>
    </xf>
    <xf numFmtId="0" fontId="143" fillId="2" borderId="24" xfId="815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center" vertical="center" wrapText="1"/>
    </xf>
    <xf numFmtId="173" fontId="19" fillId="9" borderId="62" xfId="0" applyNumberFormat="1" applyFont="1" applyFill="1" applyBorder="1" applyAlignment="1">
      <alignment horizontal="center" vertical="center"/>
    </xf>
    <xf numFmtId="0" fontId="20" fillId="52" borderId="78" xfId="0" applyFont="1" applyFill="1" applyBorder="1" applyAlignment="1">
      <alignment horizontal="center" vertical="center" wrapText="1"/>
    </xf>
    <xf numFmtId="0" fontId="20" fillId="52" borderId="79" xfId="0" applyFont="1" applyFill="1" applyBorder="1" applyAlignment="1">
      <alignment horizontal="center" vertical="center" wrapText="1"/>
    </xf>
    <xf numFmtId="0" fontId="20" fillId="52" borderId="80" xfId="0" applyFont="1" applyFill="1" applyBorder="1" applyAlignment="1">
      <alignment horizontal="center" vertical="center" wrapText="1"/>
    </xf>
    <xf numFmtId="0" fontId="20" fillId="53" borderId="78" xfId="0" applyFont="1" applyFill="1" applyBorder="1" applyAlignment="1">
      <alignment horizontal="center" vertical="center" wrapText="1"/>
    </xf>
    <xf numFmtId="0" fontId="20" fillId="53" borderId="79" xfId="0" applyFont="1" applyFill="1" applyBorder="1" applyAlignment="1">
      <alignment horizontal="center" vertical="center" wrapText="1"/>
    </xf>
    <xf numFmtId="0" fontId="20" fillId="53" borderId="80" xfId="0" applyFont="1" applyFill="1" applyBorder="1" applyAlignment="1">
      <alignment horizontal="center" vertical="center" wrapText="1"/>
    </xf>
    <xf numFmtId="0" fontId="144" fillId="2" borderId="41" xfId="0" applyFont="1" applyFill="1" applyBorder="1" applyAlignment="1">
      <alignment horizontal="center"/>
    </xf>
    <xf numFmtId="0" fontId="144" fillId="2" borderId="72" xfId="0" applyFont="1" applyFill="1" applyBorder="1" applyAlignment="1">
      <alignment horizontal="center"/>
    </xf>
    <xf numFmtId="0" fontId="144" fillId="2" borderId="43" xfId="0" applyFont="1" applyFill="1" applyBorder="1" applyAlignment="1">
      <alignment horizontal="center"/>
    </xf>
    <xf numFmtId="0" fontId="144" fillId="2" borderId="3" xfId="0" applyFont="1" applyFill="1" applyBorder="1" applyAlignment="1">
      <alignment horizontal="center"/>
    </xf>
    <xf numFmtId="0" fontId="17" fillId="51" borderId="183" xfId="813" applyFont="1" applyFill="1" applyBorder="1" applyAlignment="1">
      <alignment horizontal="center" vertical="center" wrapText="1"/>
    </xf>
    <xf numFmtId="0" fontId="17" fillId="51" borderId="76" xfId="813" applyFont="1" applyFill="1" applyBorder="1" applyAlignment="1">
      <alignment horizontal="center" vertical="center" wrapText="1"/>
    </xf>
    <xf numFmtId="0" fontId="144" fillId="2" borderId="23" xfId="0" applyFont="1" applyFill="1" applyBorder="1" applyAlignment="1">
      <alignment horizontal="center"/>
    </xf>
    <xf numFmtId="0" fontId="144" fillId="18" borderId="78" xfId="0" applyFont="1" applyFill="1" applyBorder="1" applyAlignment="1">
      <alignment horizontal="center"/>
    </xf>
    <xf numFmtId="0" fontId="144" fillId="18" borderId="73" xfId="0" applyFont="1" applyFill="1" applyBorder="1" applyAlignment="1">
      <alignment horizontal="center"/>
    </xf>
    <xf numFmtId="0" fontId="144" fillId="18" borderId="84" xfId="0" applyFont="1" applyFill="1" applyBorder="1" applyAlignment="1">
      <alignment horizontal="center"/>
    </xf>
    <xf numFmtId="173" fontId="19" fillId="9" borderId="12" xfId="0" applyNumberFormat="1" applyFont="1" applyFill="1" applyBorder="1" applyAlignment="1">
      <alignment horizontal="center" vertical="center"/>
    </xf>
    <xf numFmtId="173" fontId="19" fillId="9" borderId="72" xfId="0" applyNumberFormat="1" applyFont="1" applyFill="1" applyBorder="1" applyAlignment="1">
      <alignment horizontal="center" vertical="center"/>
    </xf>
    <xf numFmtId="173" fontId="19" fillId="9" borderId="5" xfId="0" applyNumberFormat="1" applyFont="1" applyFill="1" applyBorder="1" applyAlignment="1">
      <alignment horizontal="center" vertical="center"/>
    </xf>
    <xf numFmtId="10" fontId="19" fillId="9" borderId="81" xfId="0" applyNumberFormat="1" applyFont="1" applyFill="1" applyBorder="1" applyAlignment="1">
      <alignment horizontal="center" vertical="center"/>
    </xf>
    <xf numFmtId="10" fontId="19" fillId="9" borderId="45" xfId="0" applyNumberFormat="1" applyFont="1" applyFill="1" applyBorder="1" applyAlignment="1">
      <alignment horizontal="center" vertical="center"/>
    </xf>
    <xf numFmtId="173" fontId="19" fillId="9" borderId="7" xfId="0" applyNumberFormat="1" applyFont="1" applyFill="1" applyBorder="1" applyAlignment="1">
      <alignment horizontal="center" vertical="center"/>
    </xf>
    <xf numFmtId="0" fontId="17" fillId="8" borderId="46" xfId="837" applyFont="1" applyFill="1" applyBorder="1" applyAlignment="1">
      <alignment horizontal="center" vertical="center" wrapText="1"/>
    </xf>
    <xf numFmtId="0" fontId="17" fillId="8" borderId="76" xfId="837" applyFont="1" applyFill="1" applyBorder="1" applyAlignment="1">
      <alignment horizontal="center" vertical="center" wrapText="1"/>
    </xf>
    <xf numFmtId="0" fontId="17" fillId="8" borderId="183" xfId="837" applyFont="1" applyFill="1" applyBorder="1" applyAlignment="1">
      <alignment horizontal="center" vertical="center" wrapText="1"/>
    </xf>
    <xf numFmtId="0" fontId="17" fillId="51" borderId="75" xfId="831" applyFont="1" applyFill="1" applyBorder="1" applyAlignment="1">
      <alignment horizontal="center" vertical="center" wrapText="1"/>
    </xf>
    <xf numFmtId="0" fontId="17" fillId="51" borderId="76" xfId="831" applyFont="1" applyFill="1" applyBorder="1" applyAlignment="1">
      <alignment horizontal="center" vertical="center" wrapText="1"/>
    </xf>
    <xf numFmtId="0" fontId="17" fillId="51" borderId="48" xfId="835" applyFont="1" applyFill="1" applyBorder="1" applyAlignment="1">
      <alignment horizontal="center" vertical="center" wrapText="1"/>
    </xf>
    <xf numFmtId="0" fontId="17" fillId="8" borderId="48" xfId="837" applyFont="1" applyFill="1" applyBorder="1" applyAlignment="1">
      <alignment horizontal="center" vertical="center" wrapText="1"/>
    </xf>
    <xf numFmtId="0" fontId="17" fillId="51" borderId="46" xfId="839" applyFont="1" applyFill="1" applyBorder="1" applyAlignment="1">
      <alignment horizontal="center" vertical="center" wrapText="1"/>
    </xf>
    <xf numFmtId="0" fontId="17" fillId="51" borderId="46" xfId="833" applyFont="1" applyFill="1" applyBorder="1" applyAlignment="1">
      <alignment horizontal="center" vertical="center" wrapText="1"/>
    </xf>
    <xf numFmtId="173" fontId="19" fillId="9" borderId="172" xfId="0" applyNumberFormat="1" applyFont="1" applyFill="1" applyBorder="1" applyAlignment="1">
      <alignment horizontal="center" vertical="center"/>
    </xf>
    <xf numFmtId="10" fontId="19" fillId="9" borderId="187" xfId="0" applyNumberFormat="1" applyFont="1" applyFill="1" applyBorder="1" applyAlignment="1">
      <alignment horizontal="center" vertical="center"/>
    </xf>
    <xf numFmtId="0" fontId="17" fillId="51" borderId="46" xfId="831" applyFont="1" applyFill="1" applyBorder="1" applyAlignment="1">
      <alignment horizontal="center" vertical="center" wrapText="1"/>
    </xf>
    <xf numFmtId="173" fontId="19" fillId="9" borderId="197" xfId="0" applyNumberFormat="1" applyFont="1" applyFill="1" applyBorder="1" applyAlignment="1">
      <alignment horizontal="center" vertical="center"/>
    </xf>
    <xf numFmtId="173" fontId="19" fillId="9" borderId="173" xfId="0" applyNumberFormat="1" applyFont="1" applyFill="1" applyBorder="1" applyAlignment="1">
      <alignment horizontal="center" vertical="center"/>
    </xf>
    <xf numFmtId="0" fontId="17" fillId="51" borderId="48" xfId="831" applyFont="1" applyFill="1" applyBorder="1" applyAlignment="1">
      <alignment horizontal="center" vertical="center" wrapText="1"/>
    </xf>
    <xf numFmtId="10" fontId="19" fillId="9" borderId="9" xfId="0" applyNumberFormat="1" applyFont="1" applyFill="1" applyBorder="1" applyAlignment="1">
      <alignment horizontal="center" vertical="center"/>
    </xf>
    <xf numFmtId="10" fontId="19" fillId="9" borderId="85" xfId="0" applyNumberFormat="1" applyFont="1" applyFill="1" applyBorder="1" applyAlignment="1">
      <alignment horizontal="center" vertical="center"/>
    </xf>
    <xf numFmtId="173" fontId="19" fillId="9" borderId="8" xfId="0" applyNumberFormat="1" applyFont="1" applyFill="1" applyBorder="1" applyAlignment="1">
      <alignment horizontal="center" vertical="center"/>
    </xf>
    <xf numFmtId="173" fontId="19" fillId="9" borderId="39" xfId="0" applyNumberFormat="1" applyFont="1" applyFill="1" applyBorder="1" applyAlignment="1">
      <alignment horizontal="center" vertical="center"/>
    </xf>
    <xf numFmtId="0" fontId="17" fillId="51" borderId="47" xfId="813" applyFont="1" applyFill="1" applyBorder="1" applyAlignment="1">
      <alignment horizontal="center" vertical="center" wrapText="1"/>
    </xf>
    <xf numFmtId="173" fontId="19" fillId="9" borderId="2" xfId="0" applyNumberFormat="1" applyFont="1" applyFill="1" applyBorder="1" applyAlignment="1">
      <alignment horizontal="center" vertical="center"/>
    </xf>
    <xf numFmtId="10" fontId="19" fillId="9" borderId="82" xfId="0" applyNumberFormat="1" applyFont="1" applyFill="1" applyBorder="1" applyAlignment="1">
      <alignment horizontal="center" vertical="center"/>
    </xf>
    <xf numFmtId="10" fontId="16" fillId="9" borderId="187" xfId="0" applyNumberFormat="1" applyFont="1" applyFill="1" applyBorder="1" applyAlignment="1">
      <alignment horizontal="center" vertical="center"/>
    </xf>
    <xf numFmtId="10" fontId="16" fillId="9" borderId="82" xfId="0" applyNumberFormat="1" applyFont="1" applyFill="1" applyBorder="1" applyAlignment="1">
      <alignment horizontal="center" vertical="center"/>
    </xf>
    <xf numFmtId="173" fontId="19" fillId="9" borderId="105" xfId="0" applyNumberFormat="1" applyFont="1" applyFill="1" applyBorder="1" applyAlignment="1">
      <alignment horizontal="center" vertical="center"/>
    </xf>
    <xf numFmtId="10" fontId="19" fillId="9" borderId="23" xfId="0" applyNumberFormat="1" applyFont="1" applyFill="1" applyBorder="1" applyAlignment="1">
      <alignment horizontal="center" vertical="center"/>
    </xf>
    <xf numFmtId="10" fontId="19" fillId="9" borderId="216" xfId="0" applyNumberFormat="1" applyFont="1" applyFill="1" applyBorder="1" applyAlignment="1">
      <alignment horizontal="center" vertical="center"/>
    </xf>
    <xf numFmtId="173" fontId="19" fillId="15" borderId="204" xfId="0" applyNumberFormat="1" applyFont="1" applyFill="1" applyBorder="1" applyAlignment="1">
      <alignment horizontal="center" vertical="center"/>
    </xf>
    <xf numFmtId="173" fontId="19" fillId="15" borderId="15" xfId="0" applyNumberFormat="1" applyFont="1" applyFill="1" applyBorder="1" applyAlignment="1">
      <alignment horizontal="center" vertical="center"/>
    </xf>
    <xf numFmtId="10" fontId="16" fillId="15" borderId="187" xfId="0" applyNumberFormat="1" applyFont="1" applyFill="1" applyBorder="1" applyAlignment="1">
      <alignment horizontal="center" vertical="center"/>
    </xf>
    <xf numFmtId="10" fontId="16" fillId="15" borderId="45" xfId="0" applyNumberFormat="1" applyFont="1" applyFill="1" applyBorder="1" applyAlignment="1">
      <alignment horizontal="center" vertical="center"/>
    </xf>
    <xf numFmtId="173" fontId="19" fillId="15" borderId="213" xfId="0" applyNumberFormat="1" applyFont="1" applyFill="1" applyBorder="1" applyAlignment="1">
      <alignment horizontal="center" vertical="center"/>
    </xf>
    <xf numFmtId="173" fontId="20" fillId="19" borderId="193" xfId="0" applyNumberFormat="1" applyFont="1" applyFill="1" applyBorder="1" applyAlignment="1">
      <alignment horizontal="center" vertical="center"/>
    </xf>
    <xf numFmtId="173" fontId="20" fillId="19" borderId="207" xfId="0" applyNumberFormat="1" applyFont="1" applyFill="1" applyBorder="1" applyAlignment="1">
      <alignment horizontal="center" vertical="center"/>
    </xf>
    <xf numFmtId="173" fontId="19" fillId="9" borderId="202" xfId="0" applyNumberFormat="1" applyFont="1" applyFill="1" applyBorder="1" applyAlignment="1">
      <alignment horizontal="center" vertical="center"/>
    </xf>
    <xf numFmtId="9" fontId="19" fillId="9" borderId="209" xfId="0" applyNumberFormat="1" applyFont="1" applyFill="1" applyBorder="1" applyAlignment="1">
      <alignment horizontal="center" vertical="center"/>
    </xf>
    <xf numFmtId="9" fontId="19" fillId="9" borderId="23" xfId="0" applyNumberFormat="1" applyFont="1" applyFill="1" applyBorder="1" applyAlignment="1">
      <alignment horizontal="center" vertical="center"/>
    </xf>
    <xf numFmtId="9" fontId="19" fillId="9" borderId="216" xfId="0" applyNumberFormat="1" applyFont="1" applyFill="1" applyBorder="1" applyAlignment="1">
      <alignment horizontal="center" vertical="center"/>
    </xf>
    <xf numFmtId="173" fontId="19" fillId="15" borderId="188" xfId="0" applyNumberFormat="1" applyFont="1" applyFill="1" applyBorder="1" applyAlignment="1">
      <alignment horizontal="center" vertical="center"/>
    </xf>
    <xf numFmtId="173" fontId="19" fillId="15" borderId="42" xfId="0" applyNumberFormat="1" applyFont="1" applyFill="1" applyBorder="1" applyAlignment="1">
      <alignment horizontal="center" vertical="center"/>
    </xf>
    <xf numFmtId="0" fontId="17" fillId="51" borderId="183" xfId="839" applyFont="1" applyFill="1" applyBorder="1" applyAlignment="1">
      <alignment horizontal="center" vertical="center" wrapText="1"/>
    </xf>
    <xf numFmtId="0" fontId="17" fillId="51" borderId="48" xfId="839" applyFont="1" applyFill="1" applyBorder="1" applyAlignment="1">
      <alignment horizontal="center" vertical="center" wrapText="1"/>
    </xf>
    <xf numFmtId="173" fontId="19" fillId="9" borderId="4" xfId="0" applyNumberFormat="1" applyFont="1" applyFill="1" applyBorder="1" applyAlignment="1">
      <alignment horizontal="center" vertical="center"/>
    </xf>
    <xf numFmtId="0" fontId="20" fillId="52" borderId="46" xfId="0" applyFont="1" applyFill="1" applyBorder="1" applyAlignment="1">
      <alignment horizontal="center" vertical="center" wrapText="1"/>
    </xf>
    <xf numFmtId="0" fontId="20" fillId="52" borderId="47" xfId="0" applyFont="1" applyFill="1" applyBorder="1" applyAlignment="1">
      <alignment horizontal="center" vertical="center" wrapText="1"/>
    </xf>
    <xf numFmtId="0" fontId="20" fillId="52" borderId="48" xfId="0" applyFont="1" applyFill="1" applyBorder="1" applyAlignment="1">
      <alignment horizontal="center" vertical="center" wrapText="1"/>
    </xf>
    <xf numFmtId="10" fontId="19" fillId="9" borderId="209" xfId="0" applyNumberFormat="1" applyFont="1" applyFill="1" applyBorder="1" applyAlignment="1">
      <alignment horizontal="center" vertical="center"/>
    </xf>
    <xf numFmtId="0" fontId="174" fillId="108" borderId="182" xfId="0" applyFont="1" applyFill="1" applyBorder="1" applyAlignment="1">
      <alignment horizontal="center" vertical="top" wrapText="1"/>
    </xf>
    <xf numFmtId="10" fontId="16" fillId="15" borderId="193" xfId="0" applyNumberFormat="1" applyFont="1" applyFill="1" applyBorder="1" applyAlignment="1">
      <alignment horizontal="center" vertical="center"/>
    </xf>
    <xf numFmtId="10" fontId="16" fillId="15" borderId="207" xfId="0" applyNumberFormat="1" applyFont="1" applyFill="1" applyBorder="1" applyAlignment="1">
      <alignment horizontal="center" vertical="center"/>
    </xf>
    <xf numFmtId="0" fontId="194" fillId="10" borderId="182" xfId="0" applyFont="1" applyFill="1" applyBorder="1" applyAlignment="1">
      <alignment horizontal="center"/>
    </xf>
    <xf numFmtId="0" fontId="194" fillId="104" borderId="182" xfId="0" applyFont="1" applyFill="1" applyBorder="1" applyAlignment="1">
      <alignment horizontal="center"/>
    </xf>
    <xf numFmtId="0" fontId="17" fillId="15" borderId="187" xfId="839" applyFont="1" applyFill="1" applyBorder="1" applyAlignment="1">
      <alignment horizontal="center" vertical="center" wrapText="1"/>
    </xf>
    <xf numFmtId="0" fontId="17" fillId="15" borderId="45" xfId="839" applyFont="1" applyFill="1" applyBorder="1" applyAlignment="1">
      <alignment horizontal="center" vertical="center" wrapText="1"/>
    </xf>
    <xf numFmtId="173" fontId="19" fillId="15" borderId="201" xfId="0" applyNumberFormat="1" applyFont="1" applyFill="1" applyBorder="1" applyAlignment="1">
      <alignment horizontal="center" vertical="center"/>
    </xf>
    <xf numFmtId="173" fontId="19" fillId="15" borderId="215" xfId="0" applyNumberFormat="1" applyFont="1" applyFill="1" applyBorder="1" applyAlignment="1">
      <alignment horizontal="center" vertical="center"/>
    </xf>
    <xf numFmtId="173" fontId="19" fillId="15" borderId="182" xfId="0" applyNumberFormat="1" applyFont="1" applyFill="1" applyBorder="1" applyAlignment="1">
      <alignment horizontal="center" vertical="center"/>
    </xf>
    <xf numFmtId="178" fontId="19" fillId="15" borderId="182" xfId="0" applyNumberFormat="1" applyFont="1" applyFill="1" applyBorder="1" applyAlignment="1">
      <alignment horizontal="center" vertical="center"/>
    </xf>
    <xf numFmtId="0" fontId="173" fillId="15" borderId="182" xfId="0" applyFont="1" applyFill="1" applyBorder="1" applyAlignment="1">
      <alignment horizontal="center" wrapText="1"/>
    </xf>
    <xf numFmtId="0" fontId="107" fillId="2" borderId="32" xfId="815" applyFont="1" applyFill="1" applyBorder="1" applyAlignment="1">
      <alignment horizontal="center" vertical="center"/>
    </xf>
    <xf numFmtId="0" fontId="107" fillId="2" borderId="3" xfId="815" applyFont="1" applyFill="1" applyBorder="1" applyAlignment="1">
      <alignment horizontal="center" vertical="center"/>
    </xf>
    <xf numFmtId="0" fontId="107" fillId="2" borderId="23" xfId="815" applyFont="1" applyFill="1" applyBorder="1" applyAlignment="1">
      <alignment horizontal="center" vertical="center"/>
    </xf>
    <xf numFmtId="0" fontId="107" fillId="2" borderId="35" xfId="815" applyFont="1" applyFill="1" applyBorder="1" applyAlignment="1">
      <alignment horizontal="center" vertical="center"/>
    </xf>
    <xf numFmtId="0" fontId="107" fillId="2" borderId="4" xfId="815" applyFont="1" applyFill="1" applyBorder="1" applyAlignment="1">
      <alignment horizontal="center" vertical="center"/>
    </xf>
    <xf numFmtId="0" fontId="107" fillId="2" borderId="24" xfId="815" applyFont="1" applyFill="1" applyBorder="1" applyAlignment="1">
      <alignment horizontal="center" vertical="center"/>
    </xf>
    <xf numFmtId="0" fontId="44" fillId="2" borderId="32" xfId="0" applyFont="1" applyFill="1" applyBorder="1" applyAlignment="1">
      <alignment horizontal="center"/>
    </xf>
    <xf numFmtId="0" fontId="44" fillId="2" borderId="23" xfId="0" applyFont="1" applyFill="1" applyBorder="1" applyAlignment="1">
      <alignment horizontal="center"/>
    </xf>
    <xf numFmtId="0" fontId="44" fillId="13" borderId="36" xfId="0" applyFont="1" applyFill="1" applyBorder="1" applyAlignment="1">
      <alignment horizontal="center"/>
    </xf>
    <xf numFmtId="0" fontId="44" fillId="13" borderId="21" xfId="0" applyFont="1" applyFill="1" applyBorder="1" applyAlignment="1">
      <alignment horizontal="center"/>
    </xf>
    <xf numFmtId="0" fontId="44" fillId="13" borderId="22" xfId="0" applyFont="1" applyFill="1" applyBorder="1" applyAlignment="1">
      <alignment horizontal="center"/>
    </xf>
    <xf numFmtId="0" fontId="44" fillId="73" borderId="36" xfId="0" applyFont="1" applyFill="1" applyBorder="1" applyAlignment="1">
      <alignment horizontal="center"/>
    </xf>
    <xf numFmtId="0" fontId="44" fillId="73" borderId="21" xfId="0" applyFont="1" applyFill="1" applyBorder="1" applyAlignment="1">
      <alignment horizontal="center"/>
    </xf>
    <xf numFmtId="0" fontId="44" fillId="73" borderId="22" xfId="0" applyFont="1" applyFill="1" applyBorder="1" applyAlignment="1">
      <alignment horizontal="center"/>
    </xf>
    <xf numFmtId="0" fontId="44" fillId="9" borderId="36" xfId="0" applyFont="1" applyFill="1" applyBorder="1" applyAlignment="1">
      <alignment horizontal="center"/>
    </xf>
    <xf numFmtId="0" fontId="44" fillId="9" borderId="21" xfId="0" applyFont="1" applyFill="1" applyBorder="1" applyAlignment="1">
      <alignment horizontal="center"/>
    </xf>
    <xf numFmtId="0" fontId="44" fillId="9" borderId="22" xfId="0" applyFont="1" applyFill="1" applyBorder="1" applyAlignment="1">
      <alignment horizontal="center"/>
    </xf>
    <xf numFmtId="0" fontId="44" fillId="9" borderId="32" xfId="0" applyFont="1" applyFill="1" applyBorder="1" applyAlignment="1">
      <alignment horizontal="center"/>
    </xf>
    <xf numFmtId="0" fontId="44" fillId="9" borderId="3" xfId="0" applyFont="1" applyFill="1" applyBorder="1" applyAlignment="1">
      <alignment horizontal="center"/>
    </xf>
    <xf numFmtId="0" fontId="44" fillId="9" borderId="23" xfId="0" applyFont="1" applyFill="1" applyBorder="1" applyAlignment="1">
      <alignment horizontal="center"/>
    </xf>
    <xf numFmtId="0" fontId="44" fillId="57" borderId="46" xfId="0" applyFont="1" applyFill="1" applyBorder="1" applyAlignment="1">
      <alignment horizontal="center" vertical="center" wrapText="1"/>
    </xf>
    <xf numFmtId="0" fontId="44" fillId="57" borderId="47" xfId="0" applyFont="1" applyFill="1" applyBorder="1" applyAlignment="1">
      <alignment horizontal="center" vertical="center" wrapText="1"/>
    </xf>
    <xf numFmtId="0" fontId="44" fillId="57" borderId="48" xfId="0" applyFont="1" applyFill="1" applyBorder="1" applyAlignment="1">
      <alignment horizontal="center" vertical="center" wrapText="1"/>
    </xf>
    <xf numFmtId="0" fontId="141" fillId="51" borderId="46" xfId="808" applyFont="1" applyFill="1" applyBorder="1" applyAlignment="1">
      <alignment horizontal="left" vertical="center" wrapText="1"/>
    </xf>
    <xf numFmtId="0" fontId="141" fillId="51" borderId="47" xfId="808" applyFont="1" applyFill="1" applyBorder="1" applyAlignment="1">
      <alignment horizontal="left" vertical="center" wrapText="1"/>
    </xf>
    <xf numFmtId="173" fontId="141" fillId="9" borderId="81" xfId="0" applyNumberFormat="1" applyFont="1" applyFill="1" applyBorder="1" applyAlignment="1">
      <alignment horizontal="center" vertical="center"/>
    </xf>
    <xf numFmtId="173" fontId="141" fillId="9" borderId="45" xfId="0" applyNumberFormat="1" applyFont="1" applyFill="1" applyBorder="1" applyAlignment="1">
      <alignment horizontal="center" vertical="center"/>
    </xf>
    <xf numFmtId="173" fontId="141" fillId="9" borderId="85" xfId="0" applyNumberFormat="1" applyFont="1" applyFill="1" applyBorder="1" applyAlignment="1">
      <alignment horizontal="center" vertical="center"/>
    </xf>
    <xf numFmtId="173" fontId="141" fillId="9" borderId="187" xfId="0" applyNumberFormat="1" applyFont="1" applyFill="1" applyBorder="1" applyAlignment="1">
      <alignment horizontal="center" vertical="center"/>
    </xf>
    <xf numFmtId="0" fontId="141" fillId="51" borderId="183" xfId="808" applyFont="1" applyFill="1" applyBorder="1" applyAlignment="1">
      <alignment horizontal="left" vertical="center" wrapText="1"/>
    </xf>
    <xf numFmtId="0" fontId="141" fillId="51" borderId="76" xfId="808" applyFont="1" applyFill="1" applyBorder="1" applyAlignment="1">
      <alignment horizontal="left" vertical="center" wrapText="1"/>
    </xf>
    <xf numFmtId="173" fontId="141" fillId="9" borderId="183" xfId="0" applyNumberFormat="1" applyFont="1" applyFill="1" applyBorder="1" applyAlignment="1">
      <alignment horizontal="center" vertical="center"/>
    </xf>
    <xf numFmtId="173" fontId="141" fillId="9" borderId="76" xfId="0" applyNumberFormat="1" applyFont="1" applyFill="1" applyBorder="1" applyAlignment="1">
      <alignment horizontal="center" vertical="center"/>
    </xf>
    <xf numFmtId="173" fontId="141" fillId="9" borderId="46" xfId="0" applyNumberFormat="1" applyFont="1" applyFill="1" applyBorder="1" applyAlignment="1">
      <alignment horizontal="center" vertical="center"/>
    </xf>
    <xf numFmtId="173" fontId="141" fillId="9" borderId="32" xfId="0" applyNumberFormat="1" applyFont="1" applyFill="1" applyBorder="1" applyAlignment="1">
      <alignment horizontal="center" vertical="center"/>
    </xf>
    <xf numFmtId="173" fontId="141" fillId="9" borderId="77" xfId="0" applyNumberFormat="1" applyFont="1" applyFill="1" applyBorder="1" applyAlignment="1">
      <alignment horizontal="center" vertical="center"/>
    </xf>
    <xf numFmtId="173" fontId="141" fillId="9" borderId="184" xfId="0" applyNumberFormat="1" applyFont="1" applyFill="1" applyBorder="1" applyAlignment="1">
      <alignment horizontal="center" vertical="center"/>
    </xf>
    <xf numFmtId="173" fontId="141" fillId="9" borderId="47" xfId="0" applyNumberFormat="1" applyFont="1" applyFill="1" applyBorder="1" applyAlignment="1">
      <alignment horizontal="center" vertical="center"/>
    </xf>
    <xf numFmtId="173" fontId="141" fillId="9" borderId="6" xfId="0" applyNumberFormat="1" applyFont="1" applyFill="1" applyBorder="1" applyAlignment="1">
      <alignment horizontal="center" vertical="center"/>
    </xf>
    <xf numFmtId="0" fontId="142" fillId="51" borderId="47" xfId="808" applyFont="1" applyFill="1" applyBorder="1" applyAlignment="1">
      <alignment horizontal="left" vertical="center" wrapText="1"/>
    </xf>
    <xf numFmtId="173" fontId="141" fillId="15" borderId="183" xfId="0" applyNumberFormat="1" applyFont="1" applyFill="1" applyBorder="1" applyAlignment="1">
      <alignment horizontal="center" vertical="center"/>
    </xf>
    <xf numFmtId="173" fontId="141" fillId="15" borderId="76" xfId="0" applyNumberFormat="1" applyFont="1" applyFill="1" applyBorder="1" applyAlignment="1">
      <alignment horizontal="center" vertical="center"/>
    </xf>
    <xf numFmtId="173" fontId="141" fillId="15" borderId="184" xfId="0" applyNumberFormat="1" applyFont="1" applyFill="1" applyBorder="1" applyAlignment="1">
      <alignment horizontal="center" vertical="center"/>
    </xf>
    <xf numFmtId="173" fontId="141" fillId="15" borderId="77" xfId="0" applyNumberFormat="1" applyFont="1" applyFill="1" applyBorder="1" applyAlignment="1">
      <alignment horizontal="center" vertical="center"/>
    </xf>
    <xf numFmtId="10" fontId="19" fillId="15" borderId="187" xfId="0" applyNumberFormat="1" applyFont="1" applyFill="1" applyBorder="1" applyAlignment="1">
      <alignment horizontal="center" vertical="center"/>
    </xf>
    <xf numFmtId="10" fontId="19" fillId="15" borderId="45" xfId="0" applyNumberFormat="1" applyFont="1" applyFill="1" applyBorder="1" applyAlignment="1">
      <alignment horizontal="center" vertical="center"/>
    </xf>
    <xf numFmtId="0" fontId="141" fillId="15" borderId="183" xfId="808" applyFont="1" applyFill="1" applyBorder="1" applyAlignment="1">
      <alignment horizontal="left" vertical="center" wrapText="1"/>
    </xf>
    <xf numFmtId="0" fontId="141" fillId="15" borderId="76" xfId="808" applyFont="1" applyFill="1" applyBorder="1" applyAlignment="1">
      <alignment horizontal="left" vertical="center" wrapText="1"/>
    </xf>
    <xf numFmtId="173" fontId="141" fillId="15" borderId="187" xfId="0" applyNumberFormat="1" applyFont="1" applyFill="1" applyBorder="1" applyAlignment="1">
      <alignment horizontal="center" vertical="center"/>
    </xf>
    <xf numFmtId="173" fontId="141" fillId="15" borderId="45" xfId="0" applyNumberFormat="1" applyFont="1" applyFill="1" applyBorder="1" applyAlignment="1">
      <alignment horizontal="center" vertical="center"/>
    </xf>
    <xf numFmtId="189" fontId="141" fillId="9" borderId="187" xfId="0" applyNumberFormat="1" applyFont="1" applyFill="1" applyBorder="1" applyAlignment="1">
      <alignment horizontal="center" vertical="center"/>
    </xf>
    <xf numFmtId="189" fontId="141" fillId="9" borderId="45" xfId="0" applyNumberFormat="1" applyFont="1" applyFill="1" applyBorder="1" applyAlignment="1">
      <alignment horizontal="center" vertical="center"/>
    </xf>
    <xf numFmtId="189" fontId="141" fillId="9" borderId="122" xfId="0" applyNumberFormat="1" applyFont="1" applyFill="1" applyBorder="1" applyAlignment="1">
      <alignment horizontal="center" vertical="center"/>
    </xf>
    <xf numFmtId="173" fontId="141" fillId="9" borderId="174" xfId="0" applyNumberFormat="1" applyFont="1" applyFill="1" applyBorder="1" applyAlignment="1">
      <alignment horizontal="center" vertical="center"/>
    </xf>
    <xf numFmtId="173" fontId="141" fillId="9" borderId="179" xfId="0" applyNumberFormat="1" applyFont="1" applyFill="1" applyBorder="1" applyAlignment="1">
      <alignment horizontal="center" vertical="center"/>
    </xf>
    <xf numFmtId="189" fontId="141" fillId="9" borderId="85" xfId="0" applyNumberFormat="1" applyFont="1" applyFill="1" applyBorder="1" applyAlignment="1">
      <alignment horizontal="center" vertical="center"/>
    </xf>
    <xf numFmtId="0" fontId="141" fillId="51" borderId="183" xfId="808" applyFont="1" applyFill="1" applyBorder="1" applyAlignment="1">
      <alignment horizontal="left" vertical="center"/>
    </xf>
    <xf numFmtId="0" fontId="141" fillId="51" borderId="76" xfId="808" applyFont="1" applyFill="1" applyBorder="1" applyAlignment="1">
      <alignment horizontal="left" vertical="center"/>
    </xf>
    <xf numFmtId="173" fontId="141" fillId="9" borderId="122" xfId="0" applyNumberFormat="1" applyFont="1" applyFill="1" applyBorder="1" applyAlignment="1">
      <alignment horizontal="center" vertical="center"/>
    </xf>
    <xf numFmtId="0" fontId="141" fillId="51" borderId="183" xfId="844" applyFont="1" applyFill="1" applyBorder="1" applyAlignment="1">
      <alignment horizontal="left" vertical="center" wrapText="1"/>
    </xf>
    <xf numFmtId="0" fontId="141" fillId="51" borderId="48" xfId="844" applyFont="1" applyFill="1" applyBorder="1" applyAlignment="1">
      <alignment horizontal="left" vertical="center" wrapText="1"/>
    </xf>
    <xf numFmtId="173" fontId="141" fillId="9" borderId="56" xfId="0" applyNumberFormat="1" applyFont="1" applyFill="1" applyBorder="1" applyAlignment="1">
      <alignment horizontal="center" vertical="center"/>
    </xf>
    <xf numFmtId="189" fontId="141" fillId="9" borderId="82" xfId="0" applyNumberFormat="1" applyFont="1" applyFill="1" applyBorder="1" applyAlignment="1">
      <alignment horizontal="center" vertical="center"/>
    </xf>
    <xf numFmtId="173" fontId="141" fillId="9" borderId="188" xfId="0" applyNumberFormat="1" applyFont="1" applyFill="1" applyBorder="1" applyAlignment="1">
      <alignment horizontal="center" vertical="center"/>
    </xf>
    <xf numFmtId="173" fontId="141" fillId="9" borderId="51" xfId="0" applyNumberFormat="1" applyFont="1" applyFill="1" applyBorder="1" applyAlignment="1">
      <alignment horizontal="center" vertical="center"/>
    </xf>
    <xf numFmtId="173" fontId="141" fillId="9" borderId="203" xfId="0" applyNumberFormat="1" applyFont="1" applyFill="1" applyBorder="1" applyAlignment="1">
      <alignment horizontal="center" vertical="center"/>
    </xf>
    <xf numFmtId="173" fontId="141" fillId="9" borderId="192" xfId="0" applyNumberFormat="1" applyFont="1" applyFill="1" applyBorder="1" applyAlignment="1">
      <alignment horizontal="center" vertical="center"/>
    </xf>
    <xf numFmtId="173" fontId="141" fillId="9" borderId="50" xfId="0" applyNumberFormat="1" applyFont="1" applyFill="1" applyBorder="1" applyAlignment="1">
      <alignment horizontal="center" vertical="center"/>
    </xf>
    <xf numFmtId="0" fontId="141" fillId="51" borderId="76" xfId="844" applyFont="1" applyFill="1" applyBorder="1" applyAlignment="1">
      <alignment horizontal="left" vertical="center" wrapText="1"/>
    </xf>
    <xf numFmtId="0" fontId="44" fillId="13" borderId="190" xfId="0" applyFont="1" applyFill="1" applyBorder="1" applyAlignment="1">
      <alignment horizontal="center"/>
    </xf>
    <xf numFmtId="0" fontId="44" fillId="13" borderId="186" xfId="0" applyFont="1" applyFill="1" applyBorder="1" applyAlignment="1">
      <alignment horizontal="center"/>
    </xf>
    <xf numFmtId="0" fontId="44" fillId="13" borderId="15" xfId="0" applyFont="1" applyFill="1" applyBorder="1" applyAlignment="1">
      <alignment horizontal="center"/>
    </xf>
    <xf numFmtId="0" fontId="44" fillId="73" borderId="191" xfId="0" applyFont="1" applyFill="1" applyBorder="1" applyAlignment="1">
      <alignment horizontal="center"/>
    </xf>
    <xf numFmtId="0" fontId="44" fillId="73" borderId="190" xfId="0" applyFont="1" applyFill="1" applyBorder="1" applyAlignment="1">
      <alignment horizontal="center"/>
    </xf>
    <xf numFmtId="0" fontId="44" fillId="73" borderId="186" xfId="0" applyFont="1" applyFill="1" applyBorder="1" applyAlignment="1">
      <alignment horizontal="center"/>
    </xf>
    <xf numFmtId="0" fontId="44" fillId="73" borderId="15" xfId="0" applyFont="1" applyFill="1" applyBorder="1" applyAlignment="1">
      <alignment horizontal="center"/>
    </xf>
    <xf numFmtId="0" fontId="44" fillId="15" borderId="32" xfId="0" applyFont="1" applyFill="1" applyBorder="1" applyAlignment="1">
      <alignment horizontal="center"/>
    </xf>
    <xf numFmtId="0" fontId="44" fillId="15" borderId="3" xfId="0" applyFont="1" applyFill="1" applyBorder="1" applyAlignment="1">
      <alignment horizontal="center"/>
    </xf>
    <xf numFmtId="0" fontId="44" fillId="15" borderId="23" xfId="0" applyFont="1" applyFill="1" applyBorder="1" applyAlignment="1">
      <alignment horizontal="center"/>
    </xf>
    <xf numFmtId="0" fontId="44" fillId="56" borderId="32" xfId="0" applyFont="1" applyFill="1" applyBorder="1" applyAlignment="1">
      <alignment horizontal="center"/>
    </xf>
    <xf numFmtId="0" fontId="44" fillId="56" borderId="3" xfId="0" applyFont="1" applyFill="1" applyBorder="1" applyAlignment="1">
      <alignment horizontal="center"/>
    </xf>
    <xf numFmtId="0" fontId="44" fillId="56" borderId="23" xfId="0" applyFont="1" applyFill="1" applyBorder="1" applyAlignment="1">
      <alignment horizontal="center"/>
    </xf>
    <xf numFmtId="189" fontId="141" fillId="9" borderId="56" xfId="0" applyNumberFormat="1" applyFont="1" applyFill="1" applyBorder="1" applyAlignment="1">
      <alignment horizontal="center" vertical="center"/>
    </xf>
    <xf numFmtId="0" fontId="44" fillId="6" borderId="32" xfId="0" applyFont="1" applyFill="1" applyBorder="1" applyAlignment="1">
      <alignment horizontal="center" vertical="center" wrapText="1"/>
    </xf>
    <xf numFmtId="0" fontId="44" fillId="6" borderId="6" xfId="0" applyFont="1" applyFill="1" applyBorder="1" applyAlignment="1">
      <alignment horizontal="center" vertical="center" wrapText="1"/>
    </xf>
    <xf numFmtId="0" fontId="44" fillId="6" borderId="35" xfId="0" applyFont="1" applyFill="1" applyBorder="1" applyAlignment="1">
      <alignment horizontal="center" vertical="center" wrapText="1"/>
    </xf>
    <xf numFmtId="0" fontId="141" fillId="15" borderId="46" xfId="810" applyFont="1" applyFill="1" applyBorder="1" applyAlignment="1">
      <alignment horizontal="center" vertical="center" wrapText="1"/>
    </xf>
    <xf numFmtId="0" fontId="141" fillId="15" borderId="76" xfId="810" applyFont="1" applyFill="1" applyBorder="1" applyAlignment="1">
      <alignment horizontal="center" vertical="center"/>
    </xf>
    <xf numFmtId="0" fontId="170" fillId="51" borderId="183" xfId="810" applyFont="1" applyFill="1" applyBorder="1" applyAlignment="1">
      <alignment horizontal="center" vertical="center" wrapText="1"/>
    </xf>
    <xf numFmtId="0" fontId="170" fillId="51" borderId="76" xfId="810" applyFont="1" applyFill="1" applyBorder="1" applyAlignment="1">
      <alignment horizontal="center" vertical="center" wrapText="1"/>
    </xf>
    <xf numFmtId="0" fontId="141" fillId="15" borderId="183" xfId="808" applyFont="1" applyFill="1" applyBorder="1" applyAlignment="1">
      <alignment horizontal="center" vertical="center" wrapText="1"/>
    </xf>
    <xf numFmtId="0" fontId="141" fillId="15" borderId="76" xfId="808" applyFont="1" applyFill="1" applyBorder="1" applyAlignment="1">
      <alignment horizontal="center" vertical="center" wrapText="1"/>
    </xf>
    <xf numFmtId="0" fontId="183" fillId="15" borderId="183" xfId="810" applyFont="1" applyFill="1" applyBorder="1" applyAlignment="1">
      <alignment horizontal="center" vertical="center" wrapText="1"/>
    </xf>
    <xf numFmtId="0" fontId="183" fillId="15" borderId="76" xfId="810" applyFont="1" applyFill="1" applyBorder="1" applyAlignment="1">
      <alignment horizontal="center" vertical="center" wrapText="1"/>
    </xf>
    <xf numFmtId="173" fontId="141" fillId="9" borderId="3" xfId="0" applyNumberFormat="1" applyFont="1" applyFill="1" applyBorder="1" applyAlignment="1">
      <alignment horizontal="center" vertical="center"/>
    </xf>
    <xf numFmtId="173" fontId="141" fillId="9" borderId="138" xfId="0" applyNumberFormat="1" applyFont="1" applyFill="1" applyBorder="1" applyAlignment="1">
      <alignment horizontal="center" vertical="center"/>
    </xf>
    <xf numFmtId="0" fontId="141" fillId="51" borderId="183" xfId="810" applyFont="1" applyFill="1" applyBorder="1" applyAlignment="1">
      <alignment horizontal="center" vertical="center" wrapText="1"/>
    </xf>
    <xf numFmtId="0" fontId="141" fillId="51" borderId="76" xfId="810" applyFont="1" applyFill="1" applyBorder="1" applyAlignment="1">
      <alignment horizontal="center" vertical="center" wrapText="1"/>
    </xf>
    <xf numFmtId="173" fontId="141" fillId="9" borderId="190" xfId="0" applyNumberFormat="1" applyFont="1" applyFill="1" applyBorder="1" applyAlignment="1">
      <alignment horizontal="center" vertical="center"/>
    </xf>
    <xf numFmtId="0" fontId="141" fillId="51" borderId="183" xfId="808" applyFont="1" applyFill="1" applyBorder="1" applyAlignment="1">
      <alignment horizontal="center" vertical="center" wrapText="1"/>
    </xf>
    <xf numFmtId="0" fontId="141" fillId="51" borderId="76" xfId="808" applyFont="1" applyFill="1" applyBorder="1" applyAlignment="1">
      <alignment horizontal="center" vertical="center" wrapText="1"/>
    </xf>
    <xf numFmtId="0" fontId="170" fillId="51" borderId="183" xfId="808" applyFont="1" applyFill="1" applyBorder="1" applyAlignment="1">
      <alignment horizontal="center" vertical="center" wrapText="1"/>
    </xf>
    <xf numFmtId="0" fontId="170" fillId="51" borderId="76" xfId="808" applyFont="1" applyFill="1" applyBorder="1" applyAlignment="1">
      <alignment horizontal="center" vertical="center" wrapText="1"/>
    </xf>
    <xf numFmtId="0" fontId="170" fillId="51" borderId="183" xfId="808" applyFont="1" applyFill="1" applyBorder="1" applyAlignment="1">
      <alignment horizontal="center" vertical="center"/>
    </xf>
    <xf numFmtId="0" fontId="170" fillId="51" borderId="76" xfId="808" applyFont="1" applyFill="1" applyBorder="1" applyAlignment="1">
      <alignment horizontal="center" vertical="center"/>
    </xf>
    <xf numFmtId="0" fontId="141" fillId="51" borderId="48" xfId="808" applyFont="1" applyFill="1" applyBorder="1" applyAlignment="1">
      <alignment horizontal="center" vertical="center" wrapText="1"/>
    </xf>
    <xf numFmtId="173" fontId="141" fillId="9" borderId="82" xfId="0" applyNumberFormat="1" applyFont="1" applyFill="1" applyBorder="1" applyAlignment="1">
      <alignment horizontal="center" vertical="center"/>
    </xf>
    <xf numFmtId="173" fontId="141" fillId="9" borderId="35" xfId="0" applyNumberFormat="1" applyFont="1" applyFill="1" applyBorder="1" applyAlignment="1">
      <alignment horizontal="center" vertical="center"/>
    </xf>
    <xf numFmtId="173" fontId="141" fillId="9" borderId="48" xfId="0" applyNumberFormat="1" applyFont="1" applyFill="1" applyBorder="1" applyAlignment="1">
      <alignment horizontal="center" vertical="center"/>
    </xf>
    <xf numFmtId="173" fontId="141" fillId="9" borderId="4" xfId="0" applyNumberFormat="1" applyFont="1" applyFill="1" applyBorder="1" applyAlignment="1">
      <alignment horizontal="center" vertical="center"/>
    </xf>
    <xf numFmtId="0" fontId="170" fillId="51" borderId="47" xfId="808" applyFont="1" applyFill="1" applyBorder="1" applyAlignment="1">
      <alignment horizontal="center" vertical="center" wrapText="1"/>
    </xf>
    <xf numFmtId="173" fontId="141" fillId="9" borderId="0" xfId="0" applyNumberFormat="1" applyFont="1" applyFill="1" applyBorder="1" applyAlignment="1">
      <alignment horizontal="center" vertical="center"/>
    </xf>
    <xf numFmtId="0" fontId="44" fillId="13" borderId="3" xfId="0" applyFont="1" applyFill="1" applyBorder="1" applyAlignment="1">
      <alignment horizontal="center"/>
    </xf>
    <xf numFmtId="0" fontId="44" fillId="13" borderId="23" xfId="0" applyFont="1" applyFill="1" applyBorder="1" applyAlignment="1">
      <alignment horizontal="center"/>
    </xf>
    <xf numFmtId="0" fontId="44" fillId="13" borderId="35" xfId="0" applyFont="1" applyFill="1" applyBorder="1" applyAlignment="1">
      <alignment horizontal="center"/>
    </xf>
    <xf numFmtId="0" fontId="44" fillId="16" borderId="32" xfId="0" applyFont="1" applyFill="1" applyBorder="1" applyAlignment="1">
      <alignment horizontal="center"/>
    </xf>
    <xf numFmtId="0" fontId="44" fillId="16" borderId="3" xfId="0" applyFont="1" applyFill="1" applyBorder="1" applyAlignment="1">
      <alignment horizontal="center"/>
    </xf>
    <xf numFmtId="0" fontId="44" fillId="72" borderId="36" xfId="0" applyFont="1" applyFill="1" applyBorder="1" applyAlignment="1">
      <alignment horizontal="center"/>
    </xf>
    <xf numFmtId="0" fontId="44" fillId="72" borderId="21" xfId="0" applyFont="1" applyFill="1" applyBorder="1" applyAlignment="1">
      <alignment horizontal="center"/>
    </xf>
    <xf numFmtId="0" fontId="44" fillId="72" borderId="22" xfId="0" applyFont="1" applyFill="1" applyBorder="1" applyAlignment="1">
      <alignment horizontal="center"/>
    </xf>
    <xf numFmtId="0" fontId="44" fillId="16" borderId="46" xfId="0" applyFont="1" applyFill="1" applyBorder="1" applyAlignment="1">
      <alignment horizontal="center" vertical="center" wrapText="1"/>
    </xf>
    <xf numFmtId="0" fontId="44" fillId="16" borderId="47" xfId="0" applyFont="1" applyFill="1" applyBorder="1" applyAlignment="1">
      <alignment horizontal="center" vertical="center" wrapText="1"/>
    </xf>
    <xf numFmtId="0" fontId="44" fillId="16" borderId="6" xfId="0" applyFont="1" applyFill="1" applyBorder="1" applyAlignment="1">
      <alignment horizontal="center" vertical="center" wrapText="1"/>
    </xf>
    <xf numFmtId="0" fontId="44" fillId="16" borderId="35" xfId="0" applyFont="1" applyFill="1" applyBorder="1" applyAlignment="1">
      <alignment horizontal="center" vertical="center" wrapText="1"/>
    </xf>
    <xf numFmtId="0" fontId="141" fillId="51" borderId="32" xfId="812" applyFont="1" applyFill="1" applyBorder="1" applyAlignment="1">
      <alignment horizontal="center" vertical="center" wrapText="1"/>
    </xf>
    <xf numFmtId="0" fontId="141" fillId="51" borderId="77" xfId="812" applyFont="1" applyFill="1" applyBorder="1" applyAlignment="1">
      <alignment horizontal="center" vertical="center" wrapText="1"/>
    </xf>
    <xf numFmtId="173" fontId="141" fillId="9" borderId="104" xfId="0" applyNumberFormat="1" applyFont="1" applyFill="1" applyBorder="1" applyAlignment="1">
      <alignment horizontal="center"/>
    </xf>
    <xf numFmtId="173" fontId="141" fillId="9" borderId="207" xfId="0" applyNumberFormat="1" applyFont="1" applyFill="1" applyBorder="1" applyAlignment="1">
      <alignment horizontal="center"/>
    </xf>
    <xf numFmtId="173" fontId="141" fillId="9" borderId="41" xfId="0" applyNumberFormat="1" applyFont="1" applyFill="1" applyBorder="1" applyAlignment="1">
      <alignment horizontal="center"/>
    </xf>
    <xf numFmtId="173" fontId="141" fillId="9" borderId="42" xfId="0" applyNumberFormat="1" applyFont="1" applyFill="1" applyBorder="1" applyAlignment="1">
      <alignment horizontal="center"/>
    </xf>
    <xf numFmtId="0" fontId="141" fillId="51" borderId="6" xfId="808" applyFont="1" applyFill="1" applyBorder="1" applyAlignment="1">
      <alignment horizontal="center" vertical="center" wrapText="1"/>
    </xf>
    <xf numFmtId="173" fontId="141" fillId="9" borderId="16" xfId="0" applyNumberFormat="1" applyFont="1" applyFill="1" applyBorder="1" applyAlignment="1">
      <alignment horizontal="center"/>
    </xf>
    <xf numFmtId="173" fontId="141" fillId="9" borderId="39" xfId="0" applyNumberFormat="1" applyFont="1" applyFill="1" applyBorder="1" applyAlignment="1">
      <alignment horizontal="center"/>
    </xf>
    <xf numFmtId="0" fontId="141" fillId="51" borderId="184" xfId="812" applyFont="1" applyFill="1" applyBorder="1" applyAlignment="1">
      <alignment horizontal="center" vertical="center" wrapText="1"/>
    </xf>
    <xf numFmtId="173" fontId="141" fillId="9" borderId="217" xfId="0" applyNumberFormat="1" applyFont="1" applyFill="1" applyBorder="1" applyAlignment="1">
      <alignment horizontal="center"/>
    </xf>
    <xf numFmtId="173" fontId="141" fillId="9" borderId="188" xfId="0" applyNumberFormat="1" applyFont="1" applyFill="1" applyBorder="1" applyAlignment="1">
      <alignment horizontal="center"/>
    </xf>
    <xf numFmtId="0" fontId="141" fillId="51" borderId="191" xfId="808" applyFont="1" applyFill="1" applyBorder="1" applyAlignment="1">
      <alignment horizontal="center" vertical="center" wrapText="1"/>
    </xf>
    <xf numFmtId="0" fontId="141" fillId="51" borderId="44" xfId="808" applyFont="1" applyFill="1" applyBorder="1" applyAlignment="1">
      <alignment horizontal="center" vertical="center" wrapText="1"/>
    </xf>
    <xf numFmtId="173" fontId="141" fillId="9" borderId="52" xfId="0" applyNumberFormat="1" applyFont="1" applyFill="1" applyBorder="1" applyAlignment="1">
      <alignment horizontal="center"/>
    </xf>
    <xf numFmtId="173" fontId="141" fillId="9" borderId="51" xfId="0" applyNumberFormat="1" applyFont="1" applyFill="1" applyBorder="1" applyAlignment="1">
      <alignment horizontal="center"/>
    </xf>
    <xf numFmtId="173" fontId="141" fillId="15" borderId="217" xfId="0" applyNumberFormat="1" applyFont="1" applyFill="1" applyBorder="1" applyAlignment="1">
      <alignment horizontal="center"/>
    </xf>
    <xf numFmtId="173" fontId="141" fillId="15" borderId="207" xfId="0" applyNumberFormat="1" applyFont="1" applyFill="1" applyBorder="1" applyAlignment="1">
      <alignment horizontal="center"/>
    </xf>
    <xf numFmtId="0" fontId="141" fillId="51" borderId="184" xfId="808" applyFont="1" applyFill="1" applyBorder="1" applyAlignment="1">
      <alignment horizontal="center" vertical="center" wrapText="1"/>
    </xf>
    <xf numFmtId="0" fontId="141" fillId="51" borderId="77" xfId="808" applyFont="1" applyFill="1" applyBorder="1" applyAlignment="1">
      <alignment horizontal="center" vertical="center" wrapText="1"/>
    </xf>
    <xf numFmtId="3" fontId="19" fillId="9" borderId="28" xfId="0" applyNumberFormat="1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center" vertical="center"/>
    </xf>
    <xf numFmtId="3" fontId="19" fillId="9" borderId="55" xfId="0" applyNumberFormat="1" applyFont="1" applyFill="1" applyBorder="1" applyAlignment="1">
      <alignment horizontal="center" vertical="center"/>
    </xf>
    <xf numFmtId="168" fontId="19" fillId="9" borderId="28" xfId="0" applyNumberFormat="1" applyFont="1" applyFill="1" applyBorder="1" applyAlignment="1">
      <alignment horizontal="center" vertical="center"/>
    </xf>
    <xf numFmtId="168" fontId="19" fillId="9" borderId="1" xfId="0" applyNumberFormat="1" applyFont="1" applyFill="1" applyBorder="1" applyAlignment="1">
      <alignment horizontal="center" vertical="center"/>
    </xf>
    <xf numFmtId="168" fontId="19" fillId="9" borderId="55" xfId="0" applyNumberFormat="1" applyFont="1" applyFill="1" applyBorder="1" applyAlignment="1">
      <alignment horizontal="center" vertical="center"/>
    </xf>
    <xf numFmtId="178" fontId="20" fillId="9" borderId="28" xfId="889" applyNumberFormat="1" applyFont="1" applyFill="1" applyBorder="1" applyAlignment="1">
      <alignment horizontal="center" vertical="center"/>
    </xf>
    <xf numFmtId="178" fontId="20" fillId="9" borderId="1" xfId="889" applyNumberFormat="1" applyFont="1" applyFill="1" applyBorder="1" applyAlignment="1">
      <alignment horizontal="center" vertical="center"/>
    </xf>
    <xf numFmtId="178" fontId="20" fillId="9" borderId="55" xfId="889" applyNumberFormat="1" applyFont="1" applyFill="1" applyBorder="1" applyAlignment="1">
      <alignment horizontal="center" vertical="center"/>
    </xf>
    <xf numFmtId="9" fontId="20" fillId="54" borderId="28" xfId="889" applyFont="1" applyFill="1" applyBorder="1" applyAlignment="1">
      <alignment horizontal="center" vertical="center"/>
    </xf>
    <xf numFmtId="9" fontId="20" fillId="54" borderId="1" xfId="889" applyFont="1" applyFill="1" applyBorder="1" applyAlignment="1">
      <alignment horizontal="center" vertical="center"/>
    </xf>
    <xf numFmtId="9" fontId="20" fillId="54" borderId="55" xfId="889" applyFont="1" applyFill="1" applyBorder="1" applyAlignment="1">
      <alignment horizontal="center" vertical="center"/>
    </xf>
    <xf numFmtId="0" fontId="20" fillId="71" borderId="37" xfId="0" applyFont="1" applyFill="1" applyBorder="1" applyAlignment="1">
      <alignment horizontal="center" vertical="center"/>
    </xf>
    <xf numFmtId="0" fontId="20" fillId="71" borderId="38" xfId="0" applyFont="1" applyFill="1" applyBorder="1" applyAlignment="1">
      <alignment horizontal="center" vertical="center"/>
    </xf>
    <xf numFmtId="0" fontId="20" fillId="71" borderId="40" xfId="0" applyFont="1" applyFill="1" applyBorder="1" applyAlignment="1">
      <alignment horizontal="center" vertical="center"/>
    </xf>
    <xf numFmtId="3" fontId="19" fillId="71" borderId="28" xfId="0" applyNumberFormat="1" applyFont="1" applyFill="1" applyBorder="1" applyAlignment="1">
      <alignment horizontal="center" vertical="center"/>
    </xf>
    <xf numFmtId="3" fontId="19" fillId="71" borderId="1" xfId="0" applyNumberFormat="1" applyFont="1" applyFill="1" applyBorder="1" applyAlignment="1">
      <alignment horizontal="center" vertical="center"/>
    </xf>
    <xf numFmtId="3" fontId="19" fillId="71" borderId="55" xfId="0" applyNumberFormat="1" applyFont="1" applyFill="1" applyBorder="1" applyAlignment="1">
      <alignment horizontal="center" vertical="center"/>
    </xf>
    <xf numFmtId="0" fontId="19" fillId="71" borderId="104" xfId="799" applyFont="1" applyFill="1" applyBorder="1" applyAlignment="1">
      <alignment horizontal="center" vertical="center" wrapText="1"/>
    </xf>
    <xf numFmtId="0" fontId="19" fillId="71" borderId="16" xfId="799" applyFont="1" applyFill="1" applyBorder="1" applyAlignment="1">
      <alignment horizontal="center" vertical="center" wrapText="1"/>
    </xf>
    <xf numFmtId="0" fontId="19" fillId="71" borderId="52" xfId="799" applyFont="1" applyFill="1" applyBorder="1" applyAlignment="1">
      <alignment horizontal="center" vertical="center" wrapText="1"/>
    </xf>
    <xf numFmtId="9" fontId="19" fillId="54" borderId="28" xfId="889" applyFont="1" applyFill="1" applyBorder="1" applyAlignment="1">
      <alignment horizontal="center" vertical="center"/>
    </xf>
    <xf numFmtId="9" fontId="19" fillId="54" borderId="1" xfId="889" applyFont="1" applyFill="1" applyBorder="1" applyAlignment="1">
      <alignment horizontal="center" vertical="center"/>
    </xf>
    <xf numFmtId="9" fontId="19" fillId="54" borderId="55" xfId="889" applyFont="1" applyFill="1" applyBorder="1" applyAlignment="1">
      <alignment horizontal="center" vertical="center"/>
    </xf>
    <xf numFmtId="164" fontId="18" fillId="10" borderId="32" xfId="0" applyNumberFormat="1" applyFont="1" applyFill="1" applyBorder="1" applyAlignment="1">
      <alignment horizontal="center"/>
    </xf>
    <xf numFmtId="164" fontId="18" fillId="10" borderId="3" xfId="0" applyNumberFormat="1" applyFont="1" applyFill="1" applyBorder="1" applyAlignment="1">
      <alignment horizontal="center"/>
    </xf>
    <xf numFmtId="164" fontId="18" fillId="10" borderId="23" xfId="0" applyNumberFormat="1" applyFont="1" applyFill="1" applyBorder="1" applyAlignment="1">
      <alignment horizontal="center"/>
    </xf>
    <xf numFmtId="14" fontId="20" fillId="10" borderId="35" xfId="0" applyNumberFormat="1" applyFont="1" applyFill="1" applyBorder="1" applyAlignment="1">
      <alignment horizontal="center"/>
    </xf>
    <xf numFmtId="0" fontId="20" fillId="10" borderId="4" xfId="0" applyFont="1" applyFill="1" applyBorder="1" applyAlignment="1">
      <alignment horizontal="center"/>
    </xf>
    <xf numFmtId="0" fontId="20" fillId="10" borderId="24" xfId="0" applyFont="1" applyFill="1" applyBorder="1" applyAlignment="1">
      <alignment horizontal="center"/>
    </xf>
    <xf numFmtId="0" fontId="43" fillId="58" borderId="32" xfId="894" applyFont="1" applyFill="1" applyBorder="1" applyAlignment="1">
      <alignment horizontal="center" vertical="center" wrapText="1"/>
    </xf>
    <xf numFmtId="0" fontId="43" fillId="58" borderId="3" xfId="894" applyFont="1" applyFill="1" applyBorder="1" applyAlignment="1">
      <alignment horizontal="center" vertical="center" wrapText="1"/>
    </xf>
    <xf numFmtId="0" fontId="43" fillId="58" borderId="35" xfId="894" applyFont="1" applyFill="1" applyBorder="1" applyAlignment="1">
      <alignment horizontal="center" vertical="center" wrapText="1"/>
    </xf>
    <xf numFmtId="0" fontId="43" fillId="58" borderId="4" xfId="894" applyFont="1" applyFill="1" applyBorder="1" applyAlignment="1">
      <alignment horizontal="center" vertical="center" wrapText="1"/>
    </xf>
    <xf numFmtId="0" fontId="20" fillId="71" borderId="223" xfId="0" applyFont="1" applyFill="1" applyBorder="1" applyAlignment="1">
      <alignment horizontal="center" vertical="center"/>
    </xf>
    <xf numFmtId="0" fontId="20" fillId="71" borderId="141" xfId="0" applyFont="1" applyFill="1" applyBorder="1" applyAlignment="1">
      <alignment horizontal="center" vertical="center"/>
    </xf>
    <xf numFmtId="0" fontId="20" fillId="71" borderId="170" xfId="0" applyFont="1" applyFill="1" applyBorder="1" applyAlignment="1">
      <alignment horizontal="center" vertical="center"/>
    </xf>
    <xf numFmtId="3" fontId="19" fillId="71" borderId="169" xfId="0" applyNumberFormat="1" applyFont="1" applyFill="1" applyBorder="1" applyAlignment="1">
      <alignment horizontal="center" vertical="center"/>
    </xf>
    <xf numFmtId="3" fontId="19" fillId="71" borderId="182" xfId="0" applyNumberFormat="1" applyFont="1" applyFill="1" applyBorder="1" applyAlignment="1">
      <alignment horizontal="center" vertical="center"/>
    </xf>
    <xf numFmtId="3" fontId="19" fillId="71" borderId="171" xfId="0" applyNumberFormat="1" applyFont="1" applyFill="1" applyBorder="1" applyAlignment="1">
      <alignment horizontal="center" vertical="center"/>
    </xf>
    <xf numFmtId="3" fontId="19" fillId="9" borderId="169" xfId="0" applyNumberFormat="1" applyFont="1" applyFill="1" applyBorder="1" applyAlignment="1">
      <alignment horizontal="center" vertical="center"/>
    </xf>
    <xf numFmtId="3" fontId="19" fillId="9" borderId="182" xfId="0" applyNumberFormat="1" applyFont="1" applyFill="1" applyBorder="1" applyAlignment="1">
      <alignment horizontal="center" vertical="center"/>
    </xf>
    <xf numFmtId="3" fontId="19" fillId="9" borderId="171" xfId="0" applyNumberFormat="1" applyFont="1" applyFill="1" applyBorder="1" applyAlignment="1">
      <alignment horizontal="center" vertical="center"/>
    </xf>
    <xf numFmtId="168" fontId="19" fillId="9" borderId="169" xfId="0" applyNumberFormat="1" applyFont="1" applyFill="1" applyBorder="1" applyAlignment="1">
      <alignment horizontal="center" vertical="center"/>
    </xf>
    <xf numFmtId="168" fontId="19" fillId="9" borderId="182" xfId="0" applyNumberFormat="1" applyFont="1" applyFill="1" applyBorder="1" applyAlignment="1">
      <alignment horizontal="center" vertical="center"/>
    </xf>
    <xf numFmtId="168" fontId="19" fillId="9" borderId="171" xfId="0" applyNumberFormat="1" applyFont="1" applyFill="1" applyBorder="1" applyAlignment="1">
      <alignment horizontal="center" vertical="center"/>
    </xf>
    <xf numFmtId="9" fontId="20" fillId="101" borderId="224" xfId="889" applyFont="1" applyFill="1" applyBorder="1" applyAlignment="1">
      <alignment horizontal="center" vertical="center"/>
    </xf>
    <xf numFmtId="9" fontId="20" fillId="101" borderId="122" xfId="889" applyFont="1" applyFill="1" applyBorder="1" applyAlignment="1">
      <alignment horizontal="center" vertical="center"/>
    </xf>
    <xf numFmtId="9" fontId="20" fillId="101" borderId="56" xfId="889" applyFont="1" applyFill="1" applyBorder="1" applyAlignment="1">
      <alignment horizontal="center" vertical="center"/>
    </xf>
    <xf numFmtId="0" fontId="20" fillId="71" borderId="104" xfId="799" applyFont="1" applyFill="1" applyBorder="1" applyAlignment="1">
      <alignment horizontal="center" vertical="center" wrapText="1"/>
    </xf>
    <xf numFmtId="0" fontId="20" fillId="71" borderId="16" xfId="799" applyFont="1" applyFill="1" applyBorder="1" applyAlignment="1">
      <alignment horizontal="center" vertical="center" wrapText="1"/>
    </xf>
    <xf numFmtId="0" fontId="20" fillId="71" borderId="52" xfId="799" applyFont="1" applyFill="1" applyBorder="1" applyAlignment="1">
      <alignment horizontal="center" vertical="center" wrapText="1"/>
    </xf>
    <xf numFmtId="9" fontId="20" fillId="101" borderId="28" xfId="889" applyNumberFormat="1" applyFont="1" applyFill="1" applyBorder="1" applyAlignment="1">
      <alignment horizontal="center" vertical="center"/>
    </xf>
    <xf numFmtId="9" fontId="20" fillId="101" borderId="1" xfId="889" applyNumberFormat="1" applyFont="1" applyFill="1" applyBorder="1" applyAlignment="1">
      <alignment horizontal="center" vertical="center"/>
    </xf>
    <xf numFmtId="0" fontId="19" fillId="71" borderId="207" xfId="799" applyFont="1" applyFill="1" applyBorder="1" applyAlignment="1">
      <alignment horizontal="center" vertical="center" wrapText="1"/>
    </xf>
    <xf numFmtId="14" fontId="20" fillId="54" borderId="46" xfId="0" applyNumberFormat="1" applyFont="1" applyFill="1" applyBorder="1" applyAlignment="1">
      <alignment horizontal="center" vertical="center"/>
    </xf>
    <xf numFmtId="14" fontId="20" fillId="54" borderId="48" xfId="0" applyNumberFormat="1" applyFont="1" applyFill="1" applyBorder="1" applyAlignment="1">
      <alignment horizontal="center" vertical="center"/>
    </xf>
    <xf numFmtId="0" fontId="20" fillId="56" borderId="46" xfId="815" applyFont="1" applyFill="1" applyBorder="1" applyAlignment="1">
      <alignment horizontal="center" vertical="center" wrapText="1"/>
    </xf>
    <xf numFmtId="0" fontId="20" fillId="56" borderId="47" xfId="815" applyFont="1" applyFill="1" applyBorder="1" applyAlignment="1">
      <alignment horizontal="center" vertical="center" wrapText="1"/>
    </xf>
    <xf numFmtId="0" fontId="6" fillId="72" borderId="46" xfId="815" applyFont="1" applyFill="1" applyBorder="1" applyAlignment="1">
      <alignment horizontal="center" vertical="center" wrapText="1"/>
    </xf>
    <xf numFmtId="0" fontId="6" fillId="72" borderId="48" xfId="815" applyFont="1" applyFill="1" applyBorder="1" applyAlignment="1">
      <alignment horizontal="center" vertical="center" wrapText="1"/>
    </xf>
    <xf numFmtId="0" fontId="20" fillId="72" borderId="46" xfId="815" applyFont="1" applyFill="1" applyBorder="1" applyAlignment="1">
      <alignment horizontal="center" vertical="center" wrapText="1"/>
    </xf>
    <xf numFmtId="0" fontId="20" fillId="72" borderId="48" xfId="815" applyFont="1" applyFill="1" applyBorder="1" applyAlignment="1">
      <alignment horizontal="center" vertical="center" wrapText="1"/>
    </xf>
    <xf numFmtId="3" fontId="20" fillId="72" borderId="78" xfId="0" applyNumberFormat="1" applyFont="1" applyFill="1" applyBorder="1" applyAlignment="1">
      <alignment horizontal="center" vertical="center"/>
    </xf>
    <xf numFmtId="3" fontId="20" fillId="72" borderId="73" xfId="0" applyNumberFormat="1" applyFont="1" applyFill="1" applyBorder="1" applyAlignment="1">
      <alignment horizontal="center" vertical="center"/>
    </xf>
    <xf numFmtId="3" fontId="20" fillId="72" borderId="135" xfId="0" applyNumberFormat="1" applyFont="1" applyFill="1" applyBorder="1" applyAlignment="1">
      <alignment horizontal="center" vertical="center"/>
    </xf>
    <xf numFmtId="0" fontId="20" fillId="56" borderId="48" xfId="815" applyFont="1" applyFill="1" applyBorder="1" applyAlignment="1">
      <alignment horizontal="center" vertical="center" wrapText="1"/>
    </xf>
    <xf numFmtId="0" fontId="20" fillId="56" borderId="23" xfId="815" applyFont="1" applyFill="1" applyBorder="1" applyAlignment="1">
      <alignment horizontal="center" vertical="center" wrapText="1"/>
    </xf>
    <xf numFmtId="0" fontId="20" fillId="56" borderId="24" xfId="815" applyFont="1" applyFill="1" applyBorder="1" applyAlignment="1">
      <alignment horizontal="center" vertical="center" wrapText="1"/>
    </xf>
    <xf numFmtId="3" fontId="20" fillId="56" borderId="37" xfId="0" applyNumberFormat="1" applyFont="1" applyFill="1" applyBorder="1" applyAlignment="1">
      <alignment horizontal="center" vertical="center"/>
    </xf>
    <xf numFmtId="3" fontId="20" fillId="56" borderId="133" xfId="0" applyNumberFormat="1" applyFont="1" applyFill="1" applyBorder="1" applyAlignment="1">
      <alignment horizontal="center" vertical="center"/>
    </xf>
    <xf numFmtId="3" fontId="20" fillId="56" borderId="116" xfId="0" applyNumberFormat="1" applyFont="1" applyFill="1" applyBorder="1" applyAlignment="1">
      <alignment horizontal="center" vertical="center"/>
    </xf>
    <xf numFmtId="3" fontId="20" fillId="56" borderId="29" xfId="0" applyNumberFormat="1" applyFont="1" applyFill="1" applyBorder="1" applyAlignment="1">
      <alignment horizontal="center" vertical="center"/>
    </xf>
    <xf numFmtId="0" fontId="6" fillId="72" borderId="32" xfId="815" applyFont="1" applyFill="1" applyBorder="1" applyAlignment="1">
      <alignment horizontal="center" vertical="center" wrapText="1"/>
    </xf>
    <xf numFmtId="0" fontId="6" fillId="72" borderId="35" xfId="815" applyFont="1" applyFill="1" applyBorder="1" applyAlignment="1">
      <alignment horizontal="center" vertical="center" wrapText="1"/>
    </xf>
    <xf numFmtId="0" fontId="20" fillId="72" borderId="23" xfId="815" applyFont="1" applyFill="1" applyBorder="1" applyAlignment="1">
      <alignment horizontal="center" vertical="center" wrapText="1"/>
    </xf>
    <xf numFmtId="0" fontId="20" fillId="72" borderId="24" xfId="815" applyFont="1" applyFill="1" applyBorder="1" applyAlignment="1">
      <alignment horizontal="center" vertical="center" wrapText="1"/>
    </xf>
    <xf numFmtId="3" fontId="20" fillId="72" borderId="37" xfId="0" applyNumberFormat="1" applyFont="1" applyFill="1" applyBorder="1" applyAlignment="1">
      <alignment horizontal="center" vertical="center"/>
    </xf>
    <xf numFmtId="3" fontId="20" fillId="72" borderId="133" xfId="0" applyNumberFormat="1" applyFont="1" applyFill="1" applyBorder="1" applyAlignment="1">
      <alignment horizontal="center" vertical="center"/>
    </xf>
    <xf numFmtId="3" fontId="20" fillId="72" borderId="116" xfId="0" applyNumberFormat="1" applyFont="1" applyFill="1" applyBorder="1" applyAlignment="1">
      <alignment horizontal="center" vertical="center"/>
    </xf>
    <xf numFmtId="3" fontId="20" fillId="72" borderId="29" xfId="0" applyNumberFormat="1" applyFont="1" applyFill="1" applyBorder="1" applyAlignment="1">
      <alignment horizontal="center" vertical="center"/>
    </xf>
    <xf numFmtId="0" fontId="20" fillId="72" borderId="47" xfId="815" applyFont="1" applyFill="1" applyBorder="1" applyAlignment="1">
      <alignment horizontal="center" vertical="center" wrapText="1"/>
    </xf>
    <xf numFmtId="0" fontId="19" fillId="56" borderId="6" xfId="888" applyFont="1" applyFill="1" applyBorder="1" applyAlignment="1">
      <alignment horizontal="left"/>
    </xf>
    <xf numFmtId="0" fontId="19" fillId="56" borderId="18" xfId="888" applyFont="1" applyFill="1" applyBorder="1" applyAlignment="1">
      <alignment horizontal="left"/>
    </xf>
    <xf numFmtId="0" fontId="19" fillId="56" borderId="36" xfId="888" applyFont="1" applyFill="1" applyBorder="1" applyAlignment="1">
      <alignment horizontal="left"/>
    </xf>
    <xf numFmtId="0" fontId="19" fillId="56" borderId="61" xfId="888" applyFont="1" applyFill="1" applyBorder="1" applyAlignment="1">
      <alignment horizontal="left"/>
    </xf>
    <xf numFmtId="0" fontId="19" fillId="71" borderId="141" xfId="888" applyFont="1" applyFill="1" applyBorder="1" applyAlignment="1">
      <alignment horizontal="left"/>
    </xf>
    <xf numFmtId="0" fontId="19" fillId="71" borderId="1" xfId="888" applyFont="1" applyFill="1" applyBorder="1" applyAlignment="1">
      <alignment horizontal="left"/>
    </xf>
    <xf numFmtId="0" fontId="19" fillId="71" borderId="40" xfId="888" applyFont="1" applyFill="1" applyBorder="1" applyAlignment="1">
      <alignment horizontal="left"/>
    </xf>
    <xf numFmtId="0" fontId="19" fillId="71" borderId="142" xfId="888" applyFont="1" applyFill="1" applyBorder="1" applyAlignment="1">
      <alignment horizontal="left"/>
    </xf>
    <xf numFmtId="0" fontId="20" fillId="71" borderId="78" xfId="0" applyFont="1" applyFill="1" applyBorder="1" applyAlignment="1">
      <alignment horizontal="center" vertical="center" wrapText="1"/>
    </xf>
    <xf numFmtId="0" fontId="20" fillId="71" borderId="136" xfId="0" applyFont="1" applyFill="1" applyBorder="1" applyAlignment="1">
      <alignment horizontal="center" vertical="center" wrapText="1"/>
    </xf>
    <xf numFmtId="0" fontId="20" fillId="56" borderId="36" xfId="0" applyFont="1" applyFill="1" applyBorder="1" applyAlignment="1">
      <alignment horizontal="center" vertical="center" wrapText="1"/>
    </xf>
    <xf numFmtId="0" fontId="20" fillId="56" borderId="61" xfId="0" applyFont="1" applyFill="1" applyBorder="1" applyAlignment="1">
      <alignment horizontal="center" vertical="center" wrapText="1"/>
    </xf>
    <xf numFmtId="0" fontId="6" fillId="56" borderId="32" xfId="815" applyFont="1" applyFill="1" applyBorder="1" applyAlignment="1">
      <alignment horizontal="center" vertical="center" wrapText="1"/>
    </xf>
    <xf numFmtId="0" fontId="8" fillId="56" borderId="35" xfId="815" applyFont="1" applyFill="1" applyBorder="1" applyAlignment="1">
      <alignment horizontal="center" vertical="center" wrapText="1"/>
    </xf>
    <xf numFmtId="0" fontId="75" fillId="10" borderId="32" xfId="0" applyFont="1" applyFill="1" applyBorder="1" applyAlignment="1">
      <alignment horizontal="center"/>
    </xf>
    <xf numFmtId="0" fontId="75" fillId="10" borderId="3" xfId="0" applyFont="1" applyFill="1" applyBorder="1" applyAlignment="1">
      <alignment horizontal="center"/>
    </xf>
    <xf numFmtId="0" fontId="75" fillId="10" borderId="23" xfId="0" applyFont="1" applyFill="1" applyBorder="1" applyAlignment="1">
      <alignment horizontal="center"/>
    </xf>
    <xf numFmtId="0" fontId="43" fillId="10" borderId="35" xfId="0" applyFont="1" applyFill="1" applyBorder="1" applyAlignment="1">
      <alignment horizontal="center" vertical="center"/>
    </xf>
    <xf numFmtId="0" fontId="43" fillId="10" borderId="4" xfId="0" applyFont="1" applyFill="1" applyBorder="1" applyAlignment="1">
      <alignment horizontal="center" vertical="center"/>
    </xf>
    <xf numFmtId="0" fontId="43" fillId="10" borderId="24" xfId="0" applyFont="1" applyFill="1" applyBorder="1" applyAlignment="1">
      <alignment horizontal="center" vertical="center"/>
    </xf>
    <xf numFmtId="0" fontId="6" fillId="71" borderId="32" xfId="815" applyFont="1" applyFill="1" applyBorder="1" applyAlignment="1">
      <alignment horizontal="center" vertical="center" wrapText="1"/>
    </xf>
    <xf numFmtId="0" fontId="8" fillId="71" borderId="35" xfId="815" applyFont="1" applyFill="1" applyBorder="1" applyAlignment="1">
      <alignment horizontal="center" vertical="center" wrapText="1"/>
    </xf>
    <xf numFmtId="0" fontId="20" fillId="71" borderId="46" xfId="815" applyFont="1" applyFill="1" applyBorder="1" applyAlignment="1">
      <alignment horizontal="center" vertical="center" wrapText="1"/>
    </xf>
    <xf numFmtId="0" fontId="20" fillId="71" borderId="48" xfId="815" applyFont="1" applyFill="1" applyBorder="1" applyAlignment="1">
      <alignment horizontal="center" vertical="center" wrapText="1"/>
    </xf>
    <xf numFmtId="0" fontId="20" fillId="71" borderId="23" xfId="815" applyFont="1" applyFill="1" applyBorder="1" applyAlignment="1">
      <alignment horizontal="center" vertical="center" wrapText="1"/>
    </xf>
    <xf numFmtId="0" fontId="20" fillId="71" borderId="24" xfId="815" applyFont="1" applyFill="1" applyBorder="1" applyAlignment="1">
      <alignment horizontal="center" vertical="center" wrapText="1"/>
    </xf>
    <xf numFmtId="3" fontId="20" fillId="71" borderId="37" xfId="0" applyNumberFormat="1" applyFont="1" applyFill="1" applyBorder="1" applyAlignment="1">
      <alignment horizontal="center" vertical="center"/>
    </xf>
    <xf numFmtId="3" fontId="20" fillId="71" borderId="133" xfId="0" applyNumberFormat="1" applyFont="1" applyFill="1" applyBorder="1" applyAlignment="1">
      <alignment horizontal="center" vertical="center"/>
    </xf>
    <xf numFmtId="3" fontId="20" fillId="71" borderId="116" xfId="0" applyNumberFormat="1" applyFont="1" applyFill="1" applyBorder="1" applyAlignment="1">
      <alignment horizontal="center" vertical="center"/>
    </xf>
    <xf numFmtId="3" fontId="20" fillId="71" borderId="29" xfId="0" applyNumberFormat="1" applyFont="1" applyFill="1" applyBorder="1" applyAlignment="1">
      <alignment horizontal="center" vertical="center"/>
    </xf>
    <xf numFmtId="0" fontId="20" fillId="71" borderId="47" xfId="815" applyFont="1" applyFill="1" applyBorder="1" applyAlignment="1">
      <alignment horizontal="center" vertical="center" wrapText="1"/>
    </xf>
    <xf numFmtId="0" fontId="18" fillId="71" borderId="46" xfId="0" applyFont="1" applyFill="1" applyBorder="1" applyAlignment="1">
      <alignment horizontal="center" vertical="center" wrapText="1"/>
    </xf>
    <xf numFmtId="0" fontId="18" fillId="71" borderId="47" xfId="0" applyFont="1" applyFill="1" applyBorder="1" applyAlignment="1">
      <alignment horizontal="center" vertical="center" wrapText="1"/>
    </xf>
    <xf numFmtId="0" fontId="18" fillId="71" borderId="48" xfId="0" applyFont="1" applyFill="1" applyBorder="1" applyAlignment="1">
      <alignment horizontal="center" vertical="center" wrapText="1"/>
    </xf>
    <xf numFmtId="0" fontId="19" fillId="9" borderId="49" xfId="0" applyFont="1" applyFill="1" applyBorder="1" applyAlignment="1">
      <alignment horizontal="center" vertical="center" wrapText="1"/>
    </xf>
    <xf numFmtId="0" fontId="19" fillId="9" borderId="50" xfId="0" applyFont="1" applyFill="1" applyBorder="1" applyAlignment="1">
      <alignment horizontal="center" vertical="center" wrapText="1"/>
    </xf>
    <xf numFmtId="3" fontId="19" fillId="9" borderId="46" xfId="0" applyNumberFormat="1" applyFont="1" applyFill="1" applyBorder="1" applyAlignment="1">
      <alignment horizontal="center" vertical="center"/>
    </xf>
    <xf numFmtId="3" fontId="19" fillId="9" borderId="48" xfId="0" applyNumberFormat="1" applyFont="1" applyFill="1" applyBorder="1" applyAlignment="1">
      <alignment horizontal="center" vertical="center"/>
    </xf>
    <xf numFmtId="0" fontId="19" fillId="9" borderId="76" xfId="0" applyFont="1" applyFill="1" applyBorder="1" applyAlignment="1">
      <alignment horizontal="center" vertical="center" wrapText="1"/>
    </xf>
    <xf numFmtId="0" fontId="19" fillId="9" borderId="107" xfId="0" applyFont="1" applyFill="1" applyBorder="1" applyAlignment="1">
      <alignment horizontal="center" vertical="center" wrapText="1"/>
    </xf>
    <xf numFmtId="3" fontId="19" fillId="9" borderId="47" xfId="0" applyNumberFormat="1" applyFont="1" applyFill="1" applyBorder="1" applyAlignment="1">
      <alignment horizontal="center" vertical="center"/>
    </xf>
    <xf numFmtId="3" fontId="19" fillId="54" borderId="3" xfId="0" applyNumberFormat="1" applyFont="1" applyFill="1" applyBorder="1" applyAlignment="1">
      <alignment horizontal="center" vertical="center"/>
    </xf>
    <xf numFmtId="3" fontId="19" fillId="54" borderId="4" xfId="0" applyNumberFormat="1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3" fontId="19" fillId="9" borderId="0" xfId="0" applyNumberFormat="1" applyFont="1" applyFill="1" applyBorder="1" applyAlignment="1">
      <alignment horizontal="center" vertical="center"/>
    </xf>
    <xf numFmtId="3" fontId="19" fillId="9" borderId="4" xfId="0" applyNumberFormat="1" applyFont="1" applyFill="1" applyBorder="1" applyAlignment="1">
      <alignment horizontal="center" vertical="center"/>
    </xf>
    <xf numFmtId="0" fontId="18" fillId="56" borderId="46" xfId="0" applyFont="1" applyFill="1" applyBorder="1" applyAlignment="1">
      <alignment horizontal="center" vertical="center" wrapText="1"/>
    </xf>
    <xf numFmtId="0" fontId="18" fillId="56" borderId="47" xfId="0" applyFont="1" applyFill="1" applyBorder="1" applyAlignment="1">
      <alignment horizontal="center" vertical="center" wrapText="1"/>
    </xf>
    <xf numFmtId="0" fontId="18" fillId="56" borderId="48" xfId="0" applyFont="1" applyFill="1" applyBorder="1" applyAlignment="1">
      <alignment horizontal="center" vertical="center" wrapText="1"/>
    </xf>
    <xf numFmtId="0" fontId="19" fillId="56" borderId="46" xfId="0" applyFont="1" applyFill="1" applyBorder="1" applyAlignment="1">
      <alignment horizontal="center" vertical="center"/>
    </xf>
    <xf numFmtId="0" fontId="19" fillId="56" borderId="48" xfId="0" applyFont="1" applyFill="1" applyBorder="1" applyAlignment="1">
      <alignment horizontal="center" vertical="center"/>
    </xf>
    <xf numFmtId="3" fontId="19" fillId="9" borderId="3" xfId="0" applyNumberFormat="1" applyFont="1" applyFill="1" applyBorder="1" applyAlignment="1">
      <alignment horizontal="center" vertical="center"/>
    </xf>
    <xf numFmtId="0" fontId="19" fillId="56" borderId="47" xfId="0" applyFont="1" applyFill="1" applyBorder="1" applyAlignment="1">
      <alignment horizontal="center" vertical="center"/>
    </xf>
    <xf numFmtId="0" fontId="19" fillId="72" borderId="36" xfId="0" applyFont="1" applyFill="1" applyBorder="1" applyAlignment="1">
      <alignment horizontal="center" vertical="center" wrapText="1"/>
    </xf>
    <xf numFmtId="0" fontId="19" fillId="72" borderId="61" xfId="0" applyFont="1" applyFill="1" applyBorder="1" applyAlignment="1">
      <alignment horizontal="center" vertical="center" wrapText="1"/>
    </xf>
    <xf numFmtId="0" fontId="19" fillId="72" borderId="35" xfId="888" applyFont="1" applyFill="1" applyBorder="1" applyAlignment="1">
      <alignment horizontal="left"/>
    </xf>
    <xf numFmtId="0" fontId="19" fillId="72" borderId="237" xfId="888" applyFont="1" applyFill="1" applyBorder="1" applyAlignment="1">
      <alignment horizontal="left"/>
    </xf>
    <xf numFmtId="0" fontId="19" fillId="72" borderId="36" xfId="888" applyFont="1" applyFill="1" applyBorder="1" applyAlignment="1">
      <alignment horizontal="left"/>
    </xf>
    <xf numFmtId="0" fontId="19" fillId="72" borderId="22" xfId="888" applyFont="1" applyFill="1" applyBorder="1" applyAlignment="1">
      <alignment horizontal="left"/>
    </xf>
    <xf numFmtId="0" fontId="75" fillId="10" borderId="32" xfId="0" applyFont="1" applyFill="1" applyBorder="1" applyAlignment="1">
      <alignment horizontal="center" vertical="center" wrapText="1"/>
    </xf>
    <xf numFmtId="0" fontId="75" fillId="10" borderId="3" xfId="0" applyFont="1" applyFill="1" applyBorder="1" applyAlignment="1">
      <alignment horizontal="center" vertical="center" wrapText="1"/>
    </xf>
    <xf numFmtId="0" fontId="75" fillId="10" borderId="23" xfId="0" applyFont="1" applyFill="1" applyBorder="1" applyAlignment="1">
      <alignment horizontal="center" vertical="center" wrapText="1"/>
    </xf>
    <xf numFmtId="0" fontId="75" fillId="10" borderId="35" xfId="0" applyFont="1" applyFill="1" applyBorder="1" applyAlignment="1">
      <alignment horizontal="center" vertical="center" wrapText="1"/>
    </xf>
    <xf numFmtId="0" fontId="75" fillId="10" borderId="4" xfId="0" applyFont="1" applyFill="1" applyBorder="1" applyAlignment="1">
      <alignment horizontal="center" vertical="center" wrapText="1"/>
    </xf>
    <xf numFmtId="0" fontId="75" fillId="10" borderId="24" xfId="0" applyFont="1" applyFill="1" applyBorder="1" applyAlignment="1">
      <alignment horizontal="center" vertical="center" wrapText="1"/>
    </xf>
    <xf numFmtId="14" fontId="20" fillId="54" borderId="46" xfId="0" applyNumberFormat="1" applyFont="1" applyFill="1" applyBorder="1" applyAlignment="1">
      <alignment horizontal="center" vertical="center" wrapText="1"/>
    </xf>
    <xf numFmtId="14" fontId="20" fillId="54" borderId="48" xfId="0" applyNumberFormat="1" applyFont="1" applyFill="1" applyBorder="1" applyAlignment="1">
      <alignment horizontal="center" vertical="center" wrapText="1"/>
    </xf>
    <xf numFmtId="0" fontId="19" fillId="54" borderId="47" xfId="0" applyFont="1" applyFill="1" applyBorder="1" applyAlignment="1">
      <alignment horizontal="center" vertical="center"/>
    </xf>
    <xf numFmtId="0" fontId="19" fillId="54" borderId="48" xfId="0" applyFont="1" applyFill="1" applyBorder="1" applyAlignment="1">
      <alignment horizontal="center" vertical="center"/>
    </xf>
    <xf numFmtId="0" fontId="18" fillId="72" borderId="46" xfId="0" applyFont="1" applyFill="1" applyBorder="1" applyAlignment="1">
      <alignment horizontal="center" vertical="center" wrapText="1"/>
    </xf>
    <xf numFmtId="0" fontId="18" fillId="72" borderId="47" xfId="0" applyFont="1" applyFill="1" applyBorder="1" applyAlignment="1">
      <alignment horizontal="center" vertical="center" wrapText="1"/>
    </xf>
    <xf numFmtId="0" fontId="18" fillId="72" borderId="48" xfId="0" applyFont="1" applyFill="1" applyBorder="1" applyAlignment="1">
      <alignment horizontal="center" vertical="center" wrapText="1"/>
    </xf>
    <xf numFmtId="0" fontId="19" fillId="9" borderId="46" xfId="0" applyFont="1" applyFill="1" applyBorder="1" applyAlignment="1">
      <alignment horizontal="center" vertical="center" wrapText="1"/>
    </xf>
    <xf numFmtId="0" fontId="19" fillId="9" borderId="48" xfId="0" applyFont="1" applyFill="1" applyBorder="1" applyAlignment="1">
      <alignment horizontal="center" vertical="center" wrapText="1"/>
    </xf>
    <xf numFmtId="3" fontId="19" fillId="54" borderId="0" xfId="0" applyNumberFormat="1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 wrapText="1"/>
    </xf>
    <xf numFmtId="0" fontId="18" fillId="16" borderId="32" xfId="0" applyFont="1" applyFill="1" applyBorder="1" applyAlignment="1">
      <alignment horizontal="center" vertical="center" wrapText="1"/>
    </xf>
    <xf numFmtId="0" fontId="18" fillId="16" borderId="6" xfId="0" applyFont="1" applyFill="1" applyBorder="1" applyAlignment="1">
      <alignment horizontal="center" vertical="center" wrapText="1"/>
    </xf>
    <xf numFmtId="0" fontId="18" fillId="16" borderId="47" xfId="0" applyFont="1" applyFill="1" applyBorder="1" applyAlignment="1">
      <alignment horizontal="center" vertical="center" wrapText="1"/>
    </xf>
    <xf numFmtId="0" fontId="18" fillId="16" borderId="48" xfId="0" applyFont="1" applyFill="1" applyBorder="1" applyAlignment="1">
      <alignment horizontal="center" vertical="center" wrapText="1"/>
    </xf>
    <xf numFmtId="0" fontId="19" fillId="9" borderId="46" xfId="0" applyFont="1" applyFill="1" applyBorder="1" applyAlignment="1">
      <alignment horizontal="center" vertical="center"/>
    </xf>
    <xf numFmtId="0" fontId="18" fillId="15" borderId="46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19" fillId="54" borderId="46" xfId="0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 textRotation="90"/>
    </xf>
    <xf numFmtId="0" fontId="19" fillId="9" borderId="6" xfId="0" applyFont="1" applyFill="1" applyBorder="1" applyAlignment="1">
      <alignment horizontal="center" vertical="center" textRotation="90"/>
    </xf>
    <xf numFmtId="0" fontId="19" fillId="9" borderId="35" xfId="0" applyFont="1" applyFill="1" applyBorder="1" applyAlignment="1">
      <alignment horizontal="center" vertical="center" textRotation="90"/>
    </xf>
    <xf numFmtId="0" fontId="80" fillId="64" borderId="6" xfId="898" applyFont="1" applyFill="1" applyBorder="1" applyAlignment="1">
      <alignment horizontal="left"/>
    </xf>
    <xf numFmtId="0" fontId="80" fillId="64" borderId="0" xfId="898" applyFont="1" applyFill="1" applyBorder="1" applyAlignment="1">
      <alignment horizontal="left"/>
    </xf>
    <xf numFmtId="0" fontId="37" fillId="64" borderId="0" xfId="0" applyFont="1" applyFill="1" applyBorder="1" applyAlignment="1">
      <alignment horizontal="center"/>
    </xf>
    <xf numFmtId="0" fontId="37" fillId="64" borderId="18" xfId="0" applyFont="1" applyFill="1" applyBorder="1" applyAlignment="1">
      <alignment horizontal="center"/>
    </xf>
    <xf numFmtId="0" fontId="18" fillId="9" borderId="37" xfId="926" applyFont="1" applyFill="1" applyBorder="1" applyAlignment="1">
      <alignment horizontal="left"/>
    </xf>
    <xf numFmtId="0" fontId="18" fillId="9" borderId="28" xfId="926" applyFont="1" applyFill="1" applyBorder="1" applyAlignment="1">
      <alignment horizontal="left"/>
    </xf>
    <xf numFmtId="0" fontId="71" fillId="66" borderId="36" xfId="0" applyFont="1" applyFill="1" applyBorder="1" applyAlignment="1">
      <alignment horizontal="center" vertical="center" wrapText="1"/>
    </xf>
    <xf numFmtId="0" fontId="71" fillId="66" borderId="21" xfId="0" applyFont="1" applyFill="1" applyBorder="1" applyAlignment="1">
      <alignment horizontal="center" vertical="center" wrapText="1"/>
    </xf>
    <xf numFmtId="0" fontId="71" fillId="66" borderId="22" xfId="0" applyFont="1" applyFill="1" applyBorder="1" applyAlignment="1">
      <alignment horizontal="center" vertical="center" wrapText="1"/>
    </xf>
    <xf numFmtId="0" fontId="37" fillId="64" borderId="59" xfId="0" applyFont="1" applyFill="1" applyBorder="1" applyAlignment="1">
      <alignment horizontal="center" vertical="center"/>
    </xf>
    <xf numFmtId="0" fontId="37" fillId="64" borderId="33" xfId="0" applyFont="1" applyFill="1" applyBorder="1" applyAlignment="1">
      <alignment horizontal="center" vertical="center"/>
    </xf>
    <xf numFmtId="0" fontId="37" fillId="64" borderId="72" xfId="0" applyFont="1" applyFill="1" applyBorder="1" applyAlignment="1">
      <alignment horizontal="center" vertical="center" wrapText="1"/>
    </xf>
    <xf numFmtId="0" fontId="37" fillId="64" borderId="52" xfId="0" applyFont="1" applyFill="1" applyBorder="1" applyAlignment="1">
      <alignment horizontal="center" vertical="center" wrapText="1"/>
    </xf>
    <xf numFmtId="0" fontId="37" fillId="64" borderId="72" xfId="0" applyFont="1" applyFill="1" applyBorder="1" applyAlignment="1">
      <alignment horizontal="center" vertical="center"/>
    </xf>
    <xf numFmtId="0" fontId="37" fillId="64" borderId="52" xfId="0" applyFont="1" applyFill="1" applyBorder="1" applyAlignment="1">
      <alignment horizontal="center" vertical="center"/>
    </xf>
    <xf numFmtId="0" fontId="37" fillId="64" borderId="41" xfId="0" applyFont="1" applyFill="1" applyBorder="1" applyAlignment="1">
      <alignment horizontal="center" vertical="center" wrapText="1"/>
    </xf>
    <xf numFmtId="0" fontId="37" fillId="64" borderId="51" xfId="0" applyFont="1" applyFill="1" applyBorder="1" applyAlignment="1">
      <alignment horizontal="center" vertical="center" wrapText="1"/>
    </xf>
    <xf numFmtId="0" fontId="19" fillId="9" borderId="38" xfId="926" applyFont="1" applyFill="1" applyBorder="1" applyAlignment="1">
      <alignment horizontal="left"/>
    </xf>
    <xf numFmtId="0" fontId="19" fillId="9" borderId="1" xfId="926" applyFont="1" applyFill="1" applyBorder="1" applyAlignment="1">
      <alignment horizontal="left"/>
    </xf>
    <xf numFmtId="0" fontId="37" fillId="64" borderId="145" xfId="0" applyFont="1" applyFill="1" applyBorder="1" applyAlignment="1">
      <alignment horizontal="center"/>
    </xf>
    <xf numFmtId="0" fontId="37" fillId="64" borderId="146" xfId="0" applyFont="1" applyFill="1" applyBorder="1" applyAlignment="1">
      <alignment horizontal="center"/>
    </xf>
    <xf numFmtId="0" fontId="37" fillId="64" borderId="116" xfId="0" applyFont="1" applyFill="1" applyBorder="1" applyAlignment="1">
      <alignment horizontal="center"/>
    </xf>
    <xf numFmtId="0" fontId="37" fillId="64" borderId="49" xfId="0" applyFont="1" applyFill="1" applyBorder="1" applyAlignment="1">
      <alignment horizontal="center" vertical="center"/>
    </xf>
    <xf numFmtId="0" fontId="37" fillId="64" borderId="107" xfId="0" applyFont="1" applyFill="1" applyBorder="1" applyAlignment="1">
      <alignment horizontal="center" vertical="center"/>
    </xf>
    <xf numFmtId="0" fontId="37" fillId="64" borderId="46" xfId="0" applyFont="1" applyFill="1" applyBorder="1" applyAlignment="1">
      <alignment horizontal="center" vertical="center" wrapText="1"/>
    </xf>
    <xf numFmtId="0" fontId="37" fillId="64" borderId="76" xfId="0" applyFont="1" applyFill="1" applyBorder="1" applyAlignment="1">
      <alignment horizontal="center" vertical="center" wrapText="1"/>
    </xf>
    <xf numFmtId="0" fontId="37" fillId="64" borderId="48" xfId="0" applyFont="1" applyFill="1" applyBorder="1" applyAlignment="1">
      <alignment horizontal="center" vertical="center" wrapText="1"/>
    </xf>
    <xf numFmtId="4" fontId="37" fillId="64" borderId="116" xfId="0" applyNumberFormat="1" applyFont="1" applyFill="1" applyBorder="1" applyAlignment="1">
      <alignment horizontal="center" wrapText="1"/>
    </xf>
    <xf numFmtId="4" fontId="37" fillId="64" borderId="148" xfId="0" applyNumberFormat="1" applyFont="1" applyFill="1" applyBorder="1" applyAlignment="1">
      <alignment horizontal="center" wrapText="1"/>
    </xf>
    <xf numFmtId="4" fontId="37" fillId="64" borderId="135" xfId="0" applyNumberFormat="1" applyFont="1" applyFill="1" applyBorder="1" applyAlignment="1">
      <alignment horizontal="center" wrapText="1"/>
    </xf>
    <xf numFmtId="0" fontId="73" fillId="62" borderId="31" xfId="0" applyFont="1" applyFill="1" applyBorder="1" applyAlignment="1">
      <alignment horizontal="center" vertical="center" wrapText="1"/>
    </xf>
    <xf numFmtId="0" fontId="73" fillId="62" borderId="11" xfId="0" applyFont="1" applyFill="1" applyBorder="1" applyAlignment="1">
      <alignment horizontal="center" vertical="center" wrapText="1"/>
    </xf>
    <xf numFmtId="0" fontId="73" fillId="62" borderId="34" xfId="0" applyFont="1" applyFill="1" applyBorder="1" applyAlignment="1">
      <alignment horizontal="center" vertical="center" wrapText="1"/>
    </xf>
    <xf numFmtId="0" fontId="37" fillId="64" borderId="104" xfId="0" applyFont="1" applyFill="1" applyBorder="1" applyAlignment="1">
      <alignment horizontal="center" vertical="center" wrapText="1"/>
    </xf>
    <xf numFmtId="0" fontId="19" fillId="0" borderId="40" xfId="943" applyFont="1" applyBorder="1" applyAlignment="1">
      <alignment horizontal="left"/>
    </xf>
    <xf numFmtId="0" fontId="19" fillId="0" borderId="55" xfId="943" applyFont="1" applyBorder="1" applyAlignment="1">
      <alignment horizontal="left"/>
    </xf>
    <xf numFmtId="0" fontId="37" fillId="64" borderId="116" xfId="0" applyFont="1" applyFill="1" applyBorder="1" applyAlignment="1">
      <alignment horizontal="center" wrapText="1"/>
    </xf>
    <xf numFmtId="0" fontId="37" fillId="64" borderId="136" xfId="0" applyFont="1" applyFill="1" applyBorder="1" applyAlignment="1">
      <alignment horizontal="center" wrapText="1"/>
    </xf>
    <xf numFmtId="0" fontId="37" fillId="64" borderId="0" xfId="0" applyFont="1" applyFill="1" applyBorder="1" applyAlignment="1">
      <alignment horizontal="center" vertical="center"/>
    </xf>
    <xf numFmtId="0" fontId="37" fillId="64" borderId="10" xfId="0" applyFont="1" applyFill="1" applyBorder="1" applyAlignment="1">
      <alignment horizontal="center" vertical="center"/>
    </xf>
    <xf numFmtId="15" fontId="75" fillId="10" borderId="35" xfId="0" applyNumberFormat="1" applyFont="1" applyFill="1" applyBorder="1" applyAlignment="1">
      <alignment horizontal="center"/>
    </xf>
    <xf numFmtId="0" fontId="75" fillId="10" borderId="4" xfId="0" applyFont="1" applyFill="1" applyBorder="1" applyAlignment="1">
      <alignment horizontal="center"/>
    </xf>
    <xf numFmtId="0" fontId="75" fillId="10" borderId="24" xfId="0" applyFont="1" applyFill="1" applyBorder="1" applyAlignment="1">
      <alignment horizontal="center"/>
    </xf>
    <xf numFmtId="0" fontId="74" fillId="15" borderId="36" xfId="942" applyFont="1" applyFill="1" applyBorder="1" applyAlignment="1">
      <alignment horizontal="center" vertical="center" wrapText="1"/>
    </xf>
    <xf numFmtId="0" fontId="74" fillId="15" borderId="21" xfId="942" applyFont="1" applyFill="1" applyBorder="1" applyAlignment="1">
      <alignment horizontal="center" vertical="center" wrapText="1"/>
    </xf>
    <xf numFmtId="0" fontId="74" fillId="15" borderId="22" xfId="942" applyFont="1" applyFill="1" applyBorder="1" applyAlignment="1">
      <alignment horizontal="center" vertical="center" wrapText="1"/>
    </xf>
    <xf numFmtId="0" fontId="37" fillId="64" borderId="39" xfId="0" applyFont="1" applyFill="1" applyBorder="1" applyAlignment="1">
      <alignment horizontal="center" vertical="center" wrapText="1"/>
    </xf>
    <xf numFmtId="0" fontId="37" fillId="64" borderId="16" xfId="0" applyFont="1" applyFill="1" applyBorder="1" applyAlignment="1">
      <alignment horizontal="center" vertical="center" wrapText="1"/>
    </xf>
    <xf numFmtId="0" fontId="0" fillId="9" borderId="104" xfId="0" applyFont="1" applyFill="1" applyBorder="1" applyAlignment="1">
      <alignment horizontal="center" vertical="center" wrapText="1"/>
    </xf>
    <xf numFmtId="0" fontId="0" fillId="9" borderId="52" xfId="0" applyFont="1" applyFill="1" applyBorder="1" applyAlignment="1">
      <alignment horizontal="center" vertical="center" wrapText="1"/>
    </xf>
    <xf numFmtId="0" fontId="68" fillId="12" borderId="32" xfId="0" applyFont="1" applyFill="1" applyBorder="1" applyAlignment="1">
      <alignment horizontal="center" vertical="center" wrapText="1"/>
    </xf>
    <xf numFmtId="0" fontId="68" fillId="12" borderId="3" xfId="0" applyFont="1" applyFill="1" applyBorder="1" applyAlignment="1">
      <alignment horizontal="center" vertical="center" wrapText="1"/>
    </xf>
    <xf numFmtId="0" fontId="68" fillId="12" borderId="23" xfId="0" applyFont="1" applyFill="1" applyBorder="1" applyAlignment="1">
      <alignment horizontal="center" vertical="center" wrapText="1"/>
    </xf>
    <xf numFmtId="0" fontId="0" fillId="9" borderId="146" xfId="0" applyNumberFormat="1" applyFill="1" applyBorder="1" applyAlignment="1">
      <alignment horizontal="center" vertical="center" wrapText="1"/>
    </xf>
    <xf numFmtId="0" fontId="0" fillId="9" borderId="140" xfId="0" applyNumberFormat="1" applyFill="1" applyBorder="1" applyAlignment="1">
      <alignment horizontal="center" vertical="center" wrapText="1"/>
    </xf>
    <xf numFmtId="0" fontId="0" fillId="9" borderId="142" xfId="0" applyNumberFormat="1" applyFill="1" applyBorder="1" applyAlignment="1">
      <alignment horizontal="center" vertical="center" wrapText="1"/>
    </xf>
    <xf numFmtId="14" fontId="0" fillId="9" borderId="146" xfId="0" applyNumberFormat="1" applyFill="1" applyBorder="1" applyAlignment="1">
      <alignment horizontal="center" vertical="center" wrapText="1"/>
    </xf>
    <xf numFmtId="14" fontId="0" fillId="9" borderId="140" xfId="0" applyNumberFormat="1" applyFill="1" applyBorder="1" applyAlignment="1">
      <alignment horizontal="center" vertical="center" wrapText="1"/>
    </xf>
    <xf numFmtId="14" fontId="0" fillId="9" borderId="142" xfId="0" applyNumberFormat="1" applyFill="1" applyBorder="1" applyAlignment="1">
      <alignment horizontal="center" vertical="center" wrapText="1"/>
    </xf>
    <xf numFmtId="0" fontId="0" fillId="9" borderId="145" xfId="0" applyFill="1" applyBorder="1" applyAlignment="1">
      <alignment horizontal="center" vertical="center" wrapText="1"/>
    </xf>
    <xf numFmtId="0" fontId="0" fillId="9" borderId="141" xfId="0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20" fillId="12" borderId="46" xfId="49" applyFont="1" applyFill="1" applyBorder="1" applyAlignment="1">
      <alignment horizontal="center" vertical="center" wrapText="1"/>
    </xf>
    <xf numFmtId="0" fontId="20" fillId="12" borderId="47" xfId="49" applyFont="1" applyFill="1" applyBorder="1" applyAlignment="1">
      <alignment horizontal="center" vertical="center" wrapText="1"/>
    </xf>
    <xf numFmtId="0" fontId="20" fillId="12" borderId="48" xfId="49" applyFont="1" applyFill="1" applyBorder="1" applyAlignment="1">
      <alignment horizontal="center" vertical="center" wrapText="1"/>
    </xf>
    <xf numFmtId="0" fontId="0" fillId="9" borderId="104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9" borderId="104" xfId="0" applyFont="1" applyFill="1" applyBorder="1" applyAlignment="1">
      <alignment horizontal="center" vertical="center"/>
    </xf>
    <xf numFmtId="0" fontId="0" fillId="9" borderId="52" xfId="0" applyFont="1" applyFill="1" applyBorder="1" applyAlignment="1">
      <alignment horizontal="center" vertical="center"/>
    </xf>
    <xf numFmtId="0" fontId="68" fillId="12" borderId="36" xfId="0" applyFont="1" applyFill="1" applyBorder="1" applyAlignment="1">
      <alignment horizontal="center" vertical="center" wrapText="1"/>
    </xf>
    <xf numFmtId="0" fontId="68" fillId="12" borderId="21" xfId="0" applyFont="1" applyFill="1" applyBorder="1" applyAlignment="1">
      <alignment horizontal="center" vertical="center" wrapText="1"/>
    </xf>
    <xf numFmtId="0" fontId="68" fillId="12" borderId="22" xfId="0" applyFont="1" applyFill="1" applyBorder="1" applyAlignment="1">
      <alignment horizontal="center" vertical="center" wrapText="1"/>
    </xf>
    <xf numFmtId="0" fontId="0" fillId="9" borderId="41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9" borderId="51" xfId="0" applyFill="1" applyBorder="1" applyAlignment="1">
      <alignment horizontal="center" vertical="center" wrapText="1"/>
    </xf>
    <xf numFmtId="0" fontId="0" fillId="9" borderId="104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52" xfId="0" applyFill="1" applyBorder="1" applyAlignment="1">
      <alignment horizontal="center" vertical="center" wrapText="1"/>
    </xf>
    <xf numFmtId="0" fontId="69" fillId="9" borderId="104" xfId="0" applyFont="1" applyFill="1" applyBorder="1" applyAlignment="1">
      <alignment horizontal="center" vertical="center" wrapText="1"/>
    </xf>
    <xf numFmtId="0" fontId="69" fillId="9" borderId="16" xfId="0" applyFont="1" applyFill="1" applyBorder="1" applyAlignment="1">
      <alignment horizontal="center" vertical="center" wrapText="1"/>
    </xf>
    <xf numFmtId="0" fontId="69" fillId="9" borderId="52" xfId="0" applyFont="1" applyFill="1" applyBorder="1" applyAlignment="1">
      <alignment horizontal="center" vertical="center" wrapText="1"/>
    </xf>
    <xf numFmtId="0" fontId="0" fillId="9" borderId="118" xfId="0" applyFont="1" applyFill="1" applyBorder="1" applyAlignment="1">
      <alignment horizontal="left" vertical="center" wrapText="1"/>
    </xf>
    <xf numFmtId="0" fontId="0" fillId="9" borderId="5" xfId="0" applyFont="1" applyFill="1" applyBorder="1" applyAlignment="1">
      <alignment horizontal="left" vertical="center" wrapText="1"/>
    </xf>
    <xf numFmtId="0" fontId="0" fillId="9" borderId="37" xfId="0" applyFont="1" applyFill="1" applyBorder="1" applyAlignment="1">
      <alignment horizontal="center" vertical="center" wrapText="1"/>
    </xf>
    <xf numFmtId="0" fontId="0" fillId="9" borderId="38" xfId="0" applyFont="1" applyFill="1" applyBorder="1" applyAlignment="1">
      <alignment horizontal="center" vertical="center" wrapText="1"/>
    </xf>
    <xf numFmtId="0" fontId="0" fillId="9" borderId="40" xfId="0" applyFont="1" applyFill="1" applyBorder="1" applyAlignment="1">
      <alignment horizontal="center" vertical="center" wrapText="1"/>
    </xf>
    <xf numFmtId="0" fontId="43" fillId="10" borderId="32" xfId="0" applyFont="1" applyFill="1" applyBorder="1" applyAlignment="1">
      <alignment horizontal="center" vertical="center"/>
    </xf>
    <xf numFmtId="0" fontId="43" fillId="10" borderId="3" xfId="0" applyFont="1" applyFill="1" applyBorder="1" applyAlignment="1">
      <alignment horizontal="center" vertical="center"/>
    </xf>
    <xf numFmtId="0" fontId="43" fillId="10" borderId="23" xfId="0" applyFont="1" applyFill="1" applyBorder="1" applyAlignment="1">
      <alignment horizontal="center" vertical="center"/>
    </xf>
    <xf numFmtId="15" fontId="19" fillId="10" borderId="35" xfId="0" applyNumberFormat="1" applyFont="1" applyFill="1" applyBorder="1" applyAlignment="1">
      <alignment horizontal="center"/>
    </xf>
    <xf numFmtId="0" fontId="19" fillId="10" borderId="4" xfId="0" applyFont="1" applyFill="1" applyBorder="1" applyAlignment="1">
      <alignment horizontal="center"/>
    </xf>
    <xf numFmtId="0" fontId="19" fillId="10" borderId="24" xfId="0" applyFont="1" applyFill="1" applyBorder="1" applyAlignment="1">
      <alignment horizontal="center"/>
    </xf>
    <xf numFmtId="0" fontId="0" fillId="9" borderId="72" xfId="0" applyFont="1" applyFill="1" applyBorder="1" applyAlignment="1">
      <alignment horizontal="left" vertical="center" wrapText="1"/>
    </xf>
    <xf numFmtId="0" fontId="69" fillId="9" borderId="28" xfId="0" applyFont="1" applyFill="1" applyBorder="1" applyAlignment="1">
      <alignment horizontal="center" vertical="center" wrapText="1"/>
    </xf>
    <xf numFmtId="0" fontId="69" fillId="9" borderId="1" xfId="0" applyFont="1" applyFill="1" applyBorder="1" applyAlignment="1">
      <alignment horizontal="center" vertical="center" wrapText="1"/>
    </xf>
    <xf numFmtId="0" fontId="69" fillId="9" borderId="55" xfId="0" applyFont="1" applyFill="1" applyBorder="1" applyAlignment="1">
      <alignment horizontal="center" vertical="center" wrapText="1"/>
    </xf>
    <xf numFmtId="0" fontId="0" fillId="9" borderId="28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55" xfId="0" applyFont="1" applyFill="1" applyBorder="1" applyAlignment="1">
      <alignment horizontal="center" vertical="center" wrapText="1"/>
    </xf>
    <xf numFmtId="0" fontId="0" fillId="9" borderId="41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104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/>
    </xf>
    <xf numFmtId="0" fontId="0" fillId="9" borderId="52" xfId="0" applyFill="1" applyBorder="1" applyAlignment="1">
      <alignment horizontal="left" vertical="center"/>
    </xf>
    <xf numFmtId="0" fontId="0" fillId="9" borderId="141" xfId="0" applyFont="1" applyFill="1" applyBorder="1" applyAlignment="1">
      <alignment horizontal="center" vertical="center" wrapText="1"/>
    </xf>
    <xf numFmtId="0" fontId="0" fillId="9" borderId="146" xfId="0" applyFill="1" applyBorder="1" applyAlignment="1">
      <alignment horizontal="center" vertical="center" wrapText="1"/>
    </xf>
    <xf numFmtId="0" fontId="0" fillId="9" borderId="140" xfId="0" applyFont="1" applyFill="1" applyBorder="1" applyAlignment="1">
      <alignment horizontal="center" vertical="center" wrapText="1"/>
    </xf>
    <xf numFmtId="0" fontId="0" fillId="9" borderId="142" xfId="0" applyFont="1" applyFill="1" applyBorder="1" applyAlignment="1">
      <alignment horizontal="center" vertical="center" wrapText="1"/>
    </xf>
    <xf numFmtId="0" fontId="69" fillId="9" borderId="116" xfId="0" applyFont="1" applyFill="1" applyBorder="1" applyAlignment="1">
      <alignment horizontal="center" vertical="center" wrapText="1"/>
    </xf>
    <xf numFmtId="0" fontId="69" fillId="9" borderId="131" xfId="0" applyFont="1" applyFill="1" applyBorder="1" applyAlignment="1">
      <alignment horizontal="center" vertical="center" wrapText="1"/>
    </xf>
    <xf numFmtId="0" fontId="69" fillId="9" borderId="129" xfId="0" applyFont="1" applyFill="1" applyBorder="1" applyAlignment="1">
      <alignment horizontal="center" vertical="center" wrapText="1"/>
    </xf>
    <xf numFmtId="0" fontId="0" fillId="9" borderId="145" xfId="0" applyFont="1" applyFill="1" applyBorder="1" applyAlignment="1">
      <alignment horizontal="center" vertical="center" wrapText="1"/>
    </xf>
    <xf numFmtId="0" fontId="0" fillId="9" borderId="41" xfId="0" applyFont="1" applyFill="1" applyBorder="1" applyAlignment="1">
      <alignment horizontal="center" vertical="center" wrapText="1"/>
    </xf>
    <xf numFmtId="0" fontId="0" fillId="9" borderId="51" xfId="0" applyFont="1" applyFill="1" applyBorder="1" applyAlignment="1">
      <alignment horizontal="center" vertical="center" wrapText="1"/>
    </xf>
    <xf numFmtId="0" fontId="172" fillId="64" borderId="182" xfId="0" applyFont="1" applyFill="1" applyBorder="1" applyAlignment="1">
      <alignment horizontal="center" vertical="center"/>
    </xf>
    <xf numFmtId="0" fontId="172" fillId="64" borderId="178" xfId="0" applyFont="1" applyFill="1" applyBorder="1" applyAlignment="1">
      <alignment horizontal="center" vertical="center"/>
    </xf>
    <xf numFmtId="0" fontId="21" fillId="99" borderId="46" xfId="0" applyFont="1" applyFill="1" applyBorder="1" applyAlignment="1">
      <alignment horizontal="center" vertical="center" wrapText="1"/>
    </xf>
    <xf numFmtId="0" fontId="21" fillId="99" borderId="47" xfId="0" applyFont="1" applyFill="1" applyBorder="1" applyAlignment="1">
      <alignment horizontal="center" vertical="center" wrapText="1"/>
    </xf>
    <xf numFmtId="0" fontId="39" fillId="64" borderId="193" xfId="0" applyFont="1" applyFill="1" applyBorder="1" applyAlignment="1">
      <alignment horizontal="center" vertical="center"/>
    </xf>
    <xf numFmtId="0" fontId="39" fillId="64" borderId="207" xfId="0" applyFont="1" applyFill="1" applyBorder="1" applyAlignment="1">
      <alignment horizontal="center" vertical="center"/>
    </xf>
    <xf numFmtId="0" fontId="39" fillId="64" borderId="16" xfId="0" applyFont="1" applyFill="1" applyBorder="1" applyAlignment="1">
      <alignment horizontal="center" vertical="center"/>
    </xf>
    <xf numFmtId="0" fontId="21" fillId="99" borderId="51" xfId="0" applyFont="1" applyFill="1" applyBorder="1" applyAlignment="1">
      <alignment horizontal="center" vertical="center"/>
    </xf>
    <xf numFmtId="0" fontId="21" fillId="99" borderId="58" xfId="0" applyFont="1" applyFill="1" applyBorder="1" applyAlignment="1">
      <alignment horizontal="center" vertical="center"/>
    </xf>
    <xf numFmtId="0" fontId="172" fillId="67" borderId="182" xfId="42139" applyFont="1" applyFill="1" applyBorder="1" applyAlignment="1">
      <alignment horizontal="center" wrapText="1"/>
    </xf>
    <xf numFmtId="0" fontId="172" fillId="67" borderId="193" xfId="42139" applyFont="1" applyFill="1" applyBorder="1" applyAlignment="1">
      <alignment horizontal="center" wrapText="1"/>
    </xf>
    <xf numFmtId="0" fontId="172" fillId="67" borderId="182" xfId="42139" applyFont="1" applyFill="1" applyBorder="1" applyAlignment="1">
      <alignment horizontal="center" vertical="center"/>
    </xf>
    <xf numFmtId="0" fontId="172" fillId="67" borderId="193" xfId="42139" applyFont="1" applyFill="1" applyBorder="1" applyAlignment="1">
      <alignment horizontal="center" vertical="center"/>
    </xf>
    <xf numFmtId="0" fontId="39" fillId="64" borderId="193" xfId="0" applyFont="1" applyFill="1" applyBorder="1" applyAlignment="1">
      <alignment horizontal="center" vertical="center" wrapText="1"/>
    </xf>
    <xf numFmtId="0" fontId="39" fillId="64" borderId="207" xfId="0" applyFont="1" applyFill="1" applyBorder="1" applyAlignment="1">
      <alignment horizontal="center" vertical="center" wrapText="1"/>
    </xf>
    <xf numFmtId="0" fontId="43" fillId="58" borderId="32" xfId="0" applyFont="1" applyFill="1" applyBorder="1" applyAlignment="1">
      <alignment horizontal="center" vertical="center" wrapText="1"/>
    </xf>
    <xf numFmtId="0" fontId="43" fillId="58" borderId="3" xfId="0" applyFont="1" applyFill="1" applyBorder="1" applyAlignment="1">
      <alignment horizontal="center" vertical="center" wrapText="1"/>
    </xf>
    <xf numFmtId="0" fontId="43" fillId="58" borderId="23" xfId="0" applyFont="1" applyFill="1" applyBorder="1" applyAlignment="1">
      <alignment horizontal="center" vertical="center" wrapText="1"/>
    </xf>
    <xf numFmtId="0" fontId="43" fillId="58" borderId="35" xfId="0" applyFont="1" applyFill="1" applyBorder="1" applyAlignment="1">
      <alignment horizontal="center" vertical="center" wrapText="1"/>
    </xf>
    <xf numFmtId="0" fontId="43" fillId="58" borderId="197" xfId="0" applyFont="1" applyFill="1" applyBorder="1" applyAlignment="1">
      <alignment horizontal="center" vertical="center" wrapText="1"/>
    </xf>
    <xf numFmtId="0" fontId="43" fillId="58" borderId="198" xfId="0" applyFont="1" applyFill="1" applyBorder="1" applyAlignment="1">
      <alignment horizontal="center" vertical="center" wrapText="1"/>
    </xf>
    <xf numFmtId="0" fontId="39" fillId="64" borderId="182" xfId="0" applyFont="1" applyFill="1" applyBorder="1" applyAlignment="1">
      <alignment horizontal="center" vertical="center" wrapText="1"/>
    </xf>
    <xf numFmtId="0" fontId="39" fillId="64" borderId="16" xfId="0" applyFont="1" applyFill="1" applyBorder="1" applyAlignment="1">
      <alignment horizontal="center" vertical="center" wrapText="1"/>
    </xf>
    <xf numFmtId="0" fontId="19" fillId="58" borderId="175" xfId="0" applyFont="1" applyFill="1" applyBorder="1" applyAlignment="1">
      <alignment horizontal="center" vertical="center" wrapText="1"/>
    </xf>
    <xf numFmtId="0" fontId="19" fillId="58" borderId="58" xfId="0" applyFont="1" applyFill="1" applyBorder="1" applyAlignment="1">
      <alignment horizontal="center" vertical="center" wrapText="1"/>
    </xf>
    <xf numFmtId="0" fontId="43" fillId="10" borderId="32" xfId="0" applyFont="1" applyFill="1" applyBorder="1" applyAlignment="1">
      <alignment horizontal="center"/>
    </xf>
    <xf numFmtId="0" fontId="43" fillId="10" borderId="3" xfId="0" applyFont="1" applyFill="1" applyBorder="1" applyAlignment="1">
      <alignment horizontal="center"/>
    </xf>
    <xf numFmtId="0" fontId="43" fillId="10" borderId="23" xfId="0" applyFont="1" applyFill="1" applyBorder="1" applyAlignment="1">
      <alignment horizontal="center"/>
    </xf>
    <xf numFmtId="14" fontId="43" fillId="10" borderId="35" xfId="0" applyNumberFormat="1" applyFont="1" applyFill="1" applyBorder="1" applyAlignment="1">
      <alignment horizontal="center"/>
    </xf>
    <xf numFmtId="0" fontId="17" fillId="17" borderId="76" xfId="0" applyFont="1" applyFill="1" applyBorder="1" applyAlignment="1">
      <alignment horizontal="center" vertical="center" wrapText="1"/>
    </xf>
    <xf numFmtId="0" fontId="17" fillId="17" borderId="57" xfId="0" applyFont="1" applyFill="1" applyBorder="1" applyAlignment="1">
      <alignment horizontal="center" vertical="center" wrapText="1"/>
    </xf>
    <xf numFmtId="0" fontId="17" fillId="17" borderId="50" xfId="0" applyFont="1" applyFill="1" applyBorder="1" applyAlignment="1">
      <alignment horizontal="center" vertical="center" wrapText="1"/>
    </xf>
    <xf numFmtId="0" fontId="69" fillId="0" borderId="145" xfId="0" applyFont="1" applyFill="1" applyBorder="1" applyAlignment="1">
      <alignment horizontal="center" vertical="center"/>
    </xf>
    <xf numFmtId="0" fontId="69" fillId="0" borderId="40" xfId="0" applyFont="1" applyFill="1" applyBorder="1" applyAlignment="1">
      <alignment horizontal="center" vertical="center"/>
    </xf>
    <xf numFmtId="2" fontId="90" fillId="59" borderId="104" xfId="0" applyNumberFormat="1" applyFont="1" applyFill="1" applyBorder="1" applyAlignment="1">
      <alignment horizontal="center" vertical="center"/>
    </xf>
    <xf numFmtId="2" fontId="90" fillId="59" borderId="52" xfId="0" applyNumberFormat="1" applyFont="1" applyFill="1" applyBorder="1" applyAlignment="1">
      <alignment horizontal="center" vertical="center"/>
    </xf>
    <xf numFmtId="0" fontId="90" fillId="59" borderId="147" xfId="0" applyFont="1" applyFill="1" applyBorder="1" applyAlignment="1">
      <alignment horizontal="center" vertical="center"/>
    </xf>
    <xf numFmtId="0" fontId="90" fillId="59" borderId="56" xfId="0" applyFont="1" applyFill="1" applyBorder="1" applyAlignment="1">
      <alignment horizontal="center" vertical="center"/>
    </xf>
    <xf numFmtId="10" fontId="90" fillId="59" borderId="23" xfId="0" applyNumberFormat="1" applyFont="1" applyFill="1" applyBorder="1" applyAlignment="1">
      <alignment horizontal="center" vertical="center"/>
    </xf>
    <xf numFmtId="10" fontId="90" fillId="59" borderId="24" xfId="0" applyNumberFormat="1" applyFont="1" applyFill="1" applyBorder="1" applyAlignment="1">
      <alignment horizontal="center" vertical="center"/>
    </xf>
    <xf numFmtId="0" fontId="90" fillId="59" borderId="104" xfId="0" applyFont="1" applyFill="1" applyBorder="1" applyAlignment="1">
      <alignment horizontal="center" vertical="center"/>
    </xf>
    <xf numFmtId="0" fontId="90" fillId="59" borderId="52" xfId="0" applyFont="1" applyFill="1" applyBorder="1" applyAlignment="1">
      <alignment horizontal="center" vertical="center"/>
    </xf>
    <xf numFmtId="0" fontId="171" fillId="67" borderId="193" xfId="42139" applyFont="1" applyFill="1" applyBorder="1" applyAlignment="1">
      <alignment horizontal="center" wrapText="1"/>
    </xf>
    <xf numFmtId="0" fontId="171" fillId="67" borderId="16" xfId="42139" applyFont="1" applyFill="1" applyBorder="1" applyAlignment="1">
      <alignment horizontal="center" wrapText="1"/>
    </xf>
    <xf numFmtId="0" fontId="171" fillId="67" borderId="193" xfId="42139" applyFont="1" applyFill="1" applyBorder="1" applyAlignment="1">
      <alignment horizontal="center" vertical="center"/>
    </xf>
    <xf numFmtId="0" fontId="171" fillId="67" borderId="16" xfId="42139" applyFont="1" applyFill="1" applyBorder="1" applyAlignment="1">
      <alignment horizontal="center" vertical="center"/>
    </xf>
    <xf numFmtId="0" fontId="171" fillId="64" borderId="182" xfId="0" applyFont="1" applyFill="1" applyBorder="1" applyAlignment="1">
      <alignment horizontal="center" vertical="center"/>
    </xf>
    <xf numFmtId="0" fontId="171" fillId="64" borderId="178" xfId="0" applyFont="1" applyFill="1" applyBorder="1" applyAlignment="1">
      <alignment horizontal="center" vertical="center"/>
    </xf>
    <xf numFmtId="0" fontId="89" fillId="10" borderId="35" xfId="0" applyFont="1" applyFill="1" applyBorder="1" applyAlignment="1">
      <alignment horizontal="center"/>
    </xf>
    <xf numFmtId="0" fontId="89" fillId="10" borderId="4" xfId="0" applyFont="1" applyFill="1" applyBorder="1" applyAlignment="1">
      <alignment horizontal="center"/>
    </xf>
    <xf numFmtId="0" fontId="89" fillId="10" borderId="24" xfId="0" applyFont="1" applyFill="1" applyBorder="1" applyAlignment="1">
      <alignment horizontal="center"/>
    </xf>
    <xf numFmtId="0" fontId="43" fillId="9" borderId="36" xfId="0" applyFont="1" applyFill="1" applyBorder="1" applyAlignment="1">
      <alignment horizontal="center" vertical="center"/>
    </xf>
    <xf numFmtId="0" fontId="43" fillId="9" borderId="21" xfId="0" applyFont="1" applyFill="1" applyBorder="1" applyAlignment="1">
      <alignment horizontal="center" vertical="center"/>
    </xf>
    <xf numFmtId="0" fontId="43" fillId="9" borderId="22" xfId="0" applyFont="1" applyFill="1" applyBorder="1" applyAlignment="1">
      <alignment horizontal="center" vertical="center"/>
    </xf>
    <xf numFmtId="0" fontId="20" fillId="17" borderId="46" xfId="0" applyFont="1" applyFill="1" applyBorder="1" applyAlignment="1">
      <alignment horizontal="center" vertical="center" wrapText="1"/>
    </xf>
    <xf numFmtId="0" fontId="20" fillId="17" borderId="47" xfId="0" applyFont="1" applyFill="1" applyBorder="1" applyAlignment="1">
      <alignment horizontal="center" vertical="center" wrapText="1"/>
    </xf>
    <xf numFmtId="0" fontId="20" fillId="17" borderId="48" xfId="0" applyFont="1" applyFill="1" applyBorder="1" applyAlignment="1">
      <alignment horizontal="center" vertical="center" wrapText="1"/>
    </xf>
    <xf numFmtId="0" fontId="89" fillId="10" borderId="6" xfId="0" applyFont="1" applyFill="1" applyBorder="1" applyAlignment="1">
      <alignment horizontal="center"/>
    </xf>
    <xf numFmtId="0" fontId="89" fillId="10" borderId="0" xfId="0" applyFont="1" applyFill="1" applyBorder="1" applyAlignment="1">
      <alignment horizontal="center"/>
    </xf>
    <xf numFmtId="0" fontId="89" fillId="10" borderId="10" xfId="0" applyFont="1" applyFill="1" applyBorder="1" applyAlignment="1">
      <alignment horizontal="center"/>
    </xf>
    <xf numFmtId="0" fontId="43" fillId="9" borderId="0" xfId="0" applyFont="1" applyFill="1" applyBorder="1" applyAlignment="1">
      <alignment horizontal="center" wrapText="1"/>
    </xf>
    <xf numFmtId="0" fontId="37" fillId="64" borderId="6" xfId="0" applyFont="1" applyFill="1" applyBorder="1" applyAlignment="1">
      <alignment horizontal="center" vertical="center"/>
    </xf>
    <xf numFmtId="0" fontId="37" fillId="64" borderId="203" xfId="0" applyFont="1" applyFill="1" applyBorder="1" applyAlignment="1">
      <alignment horizontal="center"/>
    </xf>
    <xf numFmtId="0" fontId="71" fillId="9" borderId="0" xfId="910" applyFont="1" applyFill="1" applyBorder="1" applyAlignment="1">
      <alignment horizontal="center" vertical="center"/>
    </xf>
    <xf numFmtId="0" fontId="43" fillId="19" borderId="175" xfId="0" applyFont="1" applyFill="1" applyBorder="1" applyAlignment="1">
      <alignment horizontal="center" vertical="center"/>
    </xf>
    <xf numFmtId="0" fontId="43" fillId="19" borderId="58" xfId="0" applyFont="1" applyFill="1" applyBorder="1" applyAlignment="1">
      <alignment horizontal="center" vertical="center"/>
    </xf>
    <xf numFmtId="0" fontId="43" fillId="19" borderId="54" xfId="0" applyFont="1" applyFill="1" applyBorder="1" applyAlignment="1">
      <alignment horizontal="center" vertical="center"/>
    </xf>
    <xf numFmtId="0" fontId="71" fillId="64" borderId="36" xfId="42137" applyFont="1" applyFill="1" applyBorder="1" applyAlignment="1">
      <alignment horizontal="center" vertical="center" wrapText="1"/>
    </xf>
    <xf numFmtId="0" fontId="71" fillId="64" borderId="61" xfId="42137" applyFont="1" applyFill="1" applyBorder="1" applyAlignment="1">
      <alignment horizontal="center" vertical="center" wrapText="1"/>
    </xf>
    <xf numFmtId="0" fontId="75" fillId="71" borderId="36" xfId="0" applyFont="1" applyFill="1" applyBorder="1" applyAlignment="1">
      <alignment horizontal="center" vertical="center"/>
    </xf>
    <xf numFmtId="0" fontId="75" fillId="71" borderId="21" xfId="0" applyFont="1" applyFill="1" applyBorder="1" applyAlignment="1">
      <alignment horizontal="center" vertical="center"/>
    </xf>
    <xf numFmtId="0" fontId="75" fillId="71" borderId="22" xfId="0" applyFont="1" applyFill="1" applyBorder="1" applyAlignment="1">
      <alignment horizontal="center" vertical="center"/>
    </xf>
    <xf numFmtId="0" fontId="37" fillId="64" borderId="78" xfId="0" applyFont="1" applyFill="1" applyBorder="1" applyAlignment="1">
      <alignment horizontal="center" vertical="center"/>
    </xf>
    <xf numFmtId="0" fontId="37" fillId="64" borderId="148" xfId="0" applyFont="1" applyFill="1" applyBorder="1" applyAlignment="1">
      <alignment horizontal="center" vertical="center"/>
    </xf>
    <xf numFmtId="3" fontId="20" fillId="10" borderId="78" xfId="0" applyNumberFormat="1" applyFont="1" applyFill="1" applyBorder="1" applyAlignment="1">
      <alignment horizontal="center" vertical="center" wrapText="1"/>
    </xf>
    <xf numFmtId="3" fontId="20" fillId="10" borderId="20" xfId="0" applyNumberFormat="1" applyFont="1" applyFill="1" applyBorder="1" applyAlignment="1">
      <alignment horizontal="center" vertical="center" wrapText="1"/>
    </xf>
    <xf numFmtId="3" fontId="20" fillId="10" borderId="49" xfId="0" applyNumberFormat="1" applyFont="1" applyFill="1" applyBorder="1" applyAlignment="1">
      <alignment horizontal="center" vertical="center" wrapText="1"/>
    </xf>
    <xf numFmtId="3" fontId="20" fillId="10" borderId="75" xfId="0" applyNumberFormat="1" applyFont="1" applyFill="1" applyBorder="1" applyAlignment="1">
      <alignment horizontal="center" vertical="center" wrapText="1"/>
    </xf>
    <xf numFmtId="3" fontId="20" fillId="10" borderId="46" xfId="0" applyNumberFormat="1" applyFont="1" applyFill="1" applyBorder="1" applyAlignment="1">
      <alignment horizontal="center" vertical="center"/>
    </xf>
    <xf numFmtId="3" fontId="20" fillId="10" borderId="47" xfId="0" applyNumberFormat="1" applyFont="1" applyFill="1" applyBorder="1" applyAlignment="1">
      <alignment horizontal="center" vertical="center"/>
    </xf>
    <xf numFmtId="3" fontId="20" fillId="10" borderId="62" xfId="0" applyNumberFormat="1" applyFont="1" applyFill="1" applyBorder="1" applyAlignment="1">
      <alignment horizontal="center" vertical="center" wrapText="1"/>
    </xf>
    <xf numFmtId="3" fontId="20" fillId="10" borderId="18" xfId="0" applyNumberFormat="1" applyFont="1" applyFill="1" applyBorder="1" applyAlignment="1">
      <alignment horizontal="center" vertical="center" wrapText="1"/>
    </xf>
    <xf numFmtId="0" fontId="20" fillId="19" borderId="37" xfId="0" applyFont="1" applyFill="1" applyBorder="1" applyAlignment="1">
      <alignment horizontal="center"/>
    </xf>
    <xf numFmtId="0" fontId="20" fillId="19" borderId="29" xfId="0" applyFont="1" applyFill="1" applyBorder="1" applyAlignment="1">
      <alignment horizontal="center"/>
    </xf>
    <xf numFmtId="3" fontId="20" fillId="10" borderId="84" xfId="0" applyNumberFormat="1" applyFont="1" applyFill="1" applyBorder="1" applyAlignment="1">
      <alignment horizontal="center" vertical="center" wrapText="1"/>
    </xf>
    <xf numFmtId="3" fontId="20" fillId="10" borderId="27" xfId="0" applyNumberFormat="1" applyFont="1" applyFill="1" applyBorder="1" applyAlignment="1">
      <alignment horizontal="center" vertical="center" wrapText="1"/>
    </xf>
    <xf numFmtId="0" fontId="20" fillId="10" borderId="46" xfId="0" applyFont="1" applyFill="1" applyBorder="1" applyAlignment="1">
      <alignment horizontal="center" vertical="center"/>
    </xf>
    <xf numFmtId="0" fontId="20" fillId="10" borderId="48" xfId="0" applyFont="1" applyFill="1" applyBorder="1" applyAlignment="1">
      <alignment horizontal="center" vertical="center"/>
    </xf>
    <xf numFmtId="0" fontId="20" fillId="10" borderId="46" xfId="0" applyFont="1" applyFill="1" applyBorder="1" applyAlignment="1">
      <alignment horizontal="center" vertical="center" wrapText="1"/>
    </xf>
    <xf numFmtId="0" fontId="20" fillId="10" borderId="47" xfId="0" applyFont="1" applyFill="1" applyBorder="1" applyAlignment="1">
      <alignment horizontal="center" vertical="center" wrapText="1"/>
    </xf>
    <xf numFmtId="0" fontId="19" fillId="17" borderId="32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7" borderId="48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48" xfId="0" applyFont="1" applyFill="1" applyBorder="1" applyAlignment="1">
      <alignment horizontal="center" vertical="center"/>
    </xf>
    <xf numFmtId="4" fontId="19" fillId="0" borderId="0" xfId="0" applyNumberFormat="1" applyFont="1" applyFill="1" applyBorder="1" applyAlignment="1">
      <alignment horizontal="center" vertical="center"/>
    </xf>
    <xf numFmtId="4" fontId="19" fillId="0" borderId="10" xfId="0" applyNumberFormat="1" applyFont="1" applyFill="1" applyBorder="1" applyAlignment="1">
      <alignment horizontal="center" vertical="center"/>
    </xf>
    <xf numFmtId="4" fontId="19" fillId="0" borderId="4" xfId="0" applyNumberFormat="1" applyFont="1" applyFill="1" applyBorder="1" applyAlignment="1">
      <alignment horizontal="center" vertical="center"/>
    </xf>
    <xf numFmtId="4" fontId="19" fillId="0" borderId="24" xfId="0" applyNumberFormat="1" applyFont="1" applyFill="1" applyBorder="1" applyAlignment="1">
      <alignment horizontal="center" vertical="center"/>
    </xf>
    <xf numFmtId="4" fontId="19" fillId="0" borderId="3" xfId="0" applyNumberFormat="1" applyFont="1" applyFill="1" applyBorder="1" applyAlignment="1">
      <alignment horizontal="center" vertical="center"/>
    </xf>
    <xf numFmtId="4" fontId="19" fillId="0" borderId="23" xfId="0" applyNumberFormat="1" applyFont="1" applyFill="1" applyBorder="1" applyAlignment="1">
      <alignment horizontal="center" vertical="center"/>
    </xf>
    <xf numFmtId="4" fontId="20" fillId="10" borderId="21" xfId="0" applyNumberFormat="1" applyFont="1" applyFill="1" applyBorder="1" applyAlignment="1">
      <alignment horizontal="center"/>
    </xf>
    <xf numFmtId="4" fontId="20" fillId="10" borderId="22" xfId="0" applyNumberFormat="1" applyFont="1" applyFill="1" applyBorder="1" applyAlignment="1">
      <alignment horizontal="center"/>
    </xf>
    <xf numFmtId="0" fontId="19" fillId="9" borderId="49" xfId="0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20" fillId="17" borderId="49" xfId="0" applyFont="1" applyFill="1" applyBorder="1" applyAlignment="1">
      <alignment horizontal="center" vertical="center" wrapText="1"/>
    </xf>
    <xf numFmtId="0" fontId="20" fillId="17" borderId="57" xfId="0" applyFont="1" applyFill="1" applyBorder="1" applyAlignment="1">
      <alignment horizontal="center" vertical="center" wrapText="1"/>
    </xf>
    <xf numFmtId="0" fontId="20" fillId="17" borderId="50" xfId="0" applyFont="1" applyFill="1" applyBorder="1" applyAlignment="1">
      <alignment horizontal="center" vertical="center" wrapText="1"/>
    </xf>
    <xf numFmtId="0" fontId="20" fillId="17" borderId="14" xfId="0" applyFont="1" applyFill="1" applyBorder="1" applyAlignment="1">
      <alignment horizontal="center" vertical="center" wrapText="1"/>
    </xf>
    <xf numFmtId="0" fontId="20" fillId="17" borderId="31" xfId="0" applyFont="1" applyFill="1" applyBorder="1" applyAlignment="1">
      <alignment horizontal="center" vertical="center" wrapText="1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wrapText="1"/>
    </xf>
    <xf numFmtId="0" fontId="0" fillId="9" borderId="47" xfId="0" applyFill="1" applyBorder="1" applyAlignment="1">
      <alignment horizontal="center" wrapText="1"/>
    </xf>
    <xf numFmtId="0" fontId="0" fillId="9" borderId="48" xfId="0" applyFill="1" applyBorder="1" applyAlignment="1">
      <alignment horizontal="center" wrapText="1"/>
    </xf>
    <xf numFmtId="0" fontId="0" fillId="9" borderId="46" xfId="0" applyFill="1" applyBorder="1" applyAlignment="1">
      <alignment horizontal="center" vertical="center" wrapText="1"/>
    </xf>
    <xf numFmtId="0" fontId="0" fillId="9" borderId="47" xfId="0" applyFill="1" applyBorder="1" applyAlignment="1">
      <alignment horizontal="center" vertical="center" wrapText="1"/>
    </xf>
    <xf numFmtId="0" fontId="0" fillId="9" borderId="48" xfId="0" applyFill="1" applyBorder="1" applyAlignment="1">
      <alignment horizontal="center" vertical="center" wrapText="1"/>
    </xf>
    <xf numFmtId="0" fontId="30" fillId="0" borderId="0" xfId="898" applyAlignment="1">
      <alignment horizontal="center"/>
    </xf>
  </cellXfs>
  <cellStyles count="42141">
    <cellStyle name="20% - Énfasis1" xfId="911" builtinId="30" customBuiltin="1"/>
    <cellStyle name="20% - Énfasis1 2" xfId="971"/>
    <cellStyle name="20% - Énfasis1 2 2" xfId="972"/>
    <cellStyle name="20% - Énfasis1 2 3" xfId="973"/>
    <cellStyle name="20% - Énfasis1 2 4" xfId="1208"/>
    <cellStyle name="20% - Énfasis1 3" xfId="974"/>
    <cellStyle name="20% - Énfasis1 4" xfId="1209"/>
    <cellStyle name="20% - Énfasis1 5" xfId="1210"/>
    <cellStyle name="20% - Énfasis1 6" xfId="1211"/>
    <cellStyle name="20% - Énfasis1 7" xfId="1212"/>
    <cellStyle name="20% - Énfasis1 8" xfId="970"/>
    <cellStyle name="20% - Énfasis2" xfId="915" builtinId="34" customBuiltin="1"/>
    <cellStyle name="20% - Énfasis2 2" xfId="976"/>
    <cellStyle name="20% - Énfasis2 2 2" xfId="977"/>
    <cellStyle name="20% - Énfasis2 2 3" xfId="978"/>
    <cellStyle name="20% - Énfasis2 2 4" xfId="1213"/>
    <cellStyle name="20% - Énfasis2 3" xfId="979"/>
    <cellStyle name="20% - Énfasis2 4" xfId="1214"/>
    <cellStyle name="20% - Énfasis2 5" xfId="1215"/>
    <cellStyle name="20% - Énfasis2 6" xfId="1216"/>
    <cellStyle name="20% - Énfasis2 7" xfId="1217"/>
    <cellStyle name="20% - Énfasis2 8" xfId="975"/>
    <cellStyle name="20% - Énfasis3" xfId="919" builtinId="38" customBuiltin="1"/>
    <cellStyle name="20% - Énfasis3 2" xfId="981"/>
    <cellStyle name="20% - Énfasis3 2 2" xfId="982"/>
    <cellStyle name="20% - Énfasis3 2 3" xfId="983"/>
    <cellStyle name="20% - Énfasis3 2 4" xfId="1218"/>
    <cellStyle name="20% - Énfasis3 3" xfId="984"/>
    <cellStyle name="20% - Énfasis3 4" xfId="1219"/>
    <cellStyle name="20% - Énfasis3 5" xfId="1220"/>
    <cellStyle name="20% - Énfasis3 6" xfId="1221"/>
    <cellStyle name="20% - Énfasis3 7" xfId="1222"/>
    <cellStyle name="20% - Énfasis3 8" xfId="980"/>
    <cellStyle name="20% - Énfasis4" xfId="923" builtinId="42" customBuiltin="1"/>
    <cellStyle name="20% - Énfasis4 2" xfId="986"/>
    <cellStyle name="20% - Énfasis4 2 2" xfId="987"/>
    <cellStyle name="20% - Énfasis4 2 3" xfId="988"/>
    <cellStyle name="20% - Énfasis4 2 4" xfId="1223"/>
    <cellStyle name="20% - Énfasis4 3" xfId="989"/>
    <cellStyle name="20% - Énfasis4 4" xfId="1224"/>
    <cellStyle name="20% - Énfasis4 5" xfId="1225"/>
    <cellStyle name="20% - Énfasis4 6" xfId="1226"/>
    <cellStyle name="20% - Énfasis4 7" xfId="1227"/>
    <cellStyle name="20% - Énfasis4 8" xfId="985"/>
    <cellStyle name="20% - Énfasis5" xfId="927" builtinId="46" customBuiltin="1"/>
    <cellStyle name="20% - Énfasis5 2" xfId="991"/>
    <cellStyle name="20% - Énfasis5 2 2" xfId="992"/>
    <cellStyle name="20% - Énfasis5 2 3" xfId="993"/>
    <cellStyle name="20% - Énfasis5 2 4" xfId="1228"/>
    <cellStyle name="20% - Énfasis5 3" xfId="994"/>
    <cellStyle name="20% - Énfasis5 4" xfId="1229"/>
    <cellStyle name="20% - Énfasis5 5" xfId="1230"/>
    <cellStyle name="20% - Énfasis5 6" xfId="1231"/>
    <cellStyle name="20% - Énfasis5 7" xfId="1232"/>
    <cellStyle name="20% - Énfasis5 8" xfId="990"/>
    <cellStyle name="20% - Énfasis6" xfId="931" builtinId="50" customBuiltin="1"/>
    <cellStyle name="20% - Énfasis6 2" xfId="996"/>
    <cellStyle name="20% - Énfasis6 2 2" xfId="997"/>
    <cellStyle name="20% - Énfasis6 2 3" xfId="998"/>
    <cellStyle name="20% - Énfasis6 2 4" xfId="1233"/>
    <cellStyle name="20% - Énfasis6 3" xfId="999"/>
    <cellStyle name="20% - Énfasis6 4" xfId="1234"/>
    <cellStyle name="20% - Énfasis6 5" xfId="1235"/>
    <cellStyle name="20% - Énfasis6 6" xfId="1236"/>
    <cellStyle name="20% - Énfasis6 7" xfId="1237"/>
    <cellStyle name="20% - Énfasis6 8" xfId="995"/>
    <cellStyle name="40% - Énfasis1" xfId="912" builtinId="31" customBuiltin="1"/>
    <cellStyle name="40% - Énfasis1 2" xfId="1001"/>
    <cellStyle name="40% - Énfasis1 2 2" xfId="1002"/>
    <cellStyle name="40% - Énfasis1 2 3" xfId="1003"/>
    <cellStyle name="40% - Énfasis1 2 4" xfId="1238"/>
    <cellStyle name="40% - Énfasis1 3" xfId="1004"/>
    <cellStyle name="40% - Énfasis1 4" xfId="1239"/>
    <cellStyle name="40% - Énfasis1 5" xfId="1240"/>
    <cellStyle name="40% - Énfasis1 6" xfId="1241"/>
    <cellStyle name="40% - Énfasis1 7" xfId="1242"/>
    <cellStyle name="40% - Énfasis1 8" xfId="1000"/>
    <cellStyle name="40% - Énfasis2" xfId="916" builtinId="35" customBuiltin="1"/>
    <cellStyle name="40% - Énfasis2 2" xfId="1006"/>
    <cellStyle name="40% - Énfasis2 2 2" xfId="1007"/>
    <cellStyle name="40% - Énfasis2 2 3" xfId="1008"/>
    <cellStyle name="40% - Énfasis2 2 4" xfId="1243"/>
    <cellStyle name="40% - Énfasis2 3" xfId="1009"/>
    <cellStyle name="40% - Énfasis2 4" xfId="1244"/>
    <cellStyle name="40% - Énfasis2 5" xfId="1245"/>
    <cellStyle name="40% - Énfasis2 6" xfId="1246"/>
    <cellStyle name="40% - Énfasis2 7" xfId="1247"/>
    <cellStyle name="40% - Énfasis2 8" xfId="1005"/>
    <cellStyle name="40% - Énfasis3" xfId="920" builtinId="39" customBuiltin="1"/>
    <cellStyle name="40% - Énfasis3 2" xfId="1011"/>
    <cellStyle name="40% - Énfasis3 2 2" xfId="1012"/>
    <cellStyle name="40% - Énfasis3 2 3" xfId="1013"/>
    <cellStyle name="40% - Énfasis3 2 4" xfId="1248"/>
    <cellStyle name="40% - Énfasis3 3" xfId="1014"/>
    <cellStyle name="40% - Énfasis3 4" xfId="1249"/>
    <cellStyle name="40% - Énfasis3 5" xfId="1250"/>
    <cellStyle name="40% - Énfasis3 6" xfId="1251"/>
    <cellStyle name="40% - Énfasis3 7" xfId="1252"/>
    <cellStyle name="40% - Énfasis3 8" xfId="1010"/>
    <cellStyle name="40% - Énfasis4" xfId="924" builtinId="43" customBuiltin="1"/>
    <cellStyle name="40% - Énfasis4 2" xfId="1016"/>
    <cellStyle name="40% - Énfasis4 2 2" xfId="1017"/>
    <cellStyle name="40% - Énfasis4 2 3" xfId="1018"/>
    <cellStyle name="40% - Énfasis4 2 4" xfId="1253"/>
    <cellStyle name="40% - Énfasis4 3" xfId="1019"/>
    <cellStyle name="40% - Énfasis4 4" xfId="1254"/>
    <cellStyle name="40% - Énfasis4 5" xfId="1255"/>
    <cellStyle name="40% - Énfasis4 6" xfId="1256"/>
    <cellStyle name="40% - Énfasis4 7" xfId="1257"/>
    <cellStyle name="40% - Énfasis4 8" xfId="1015"/>
    <cellStyle name="40% - Énfasis5" xfId="928" builtinId="47" customBuiltin="1"/>
    <cellStyle name="40% - Énfasis5 2" xfId="1021"/>
    <cellStyle name="40% - Énfasis5 2 2" xfId="1022"/>
    <cellStyle name="40% - Énfasis5 2 3" xfId="1023"/>
    <cellStyle name="40% - Énfasis5 2 4" xfId="1258"/>
    <cellStyle name="40% - Énfasis5 3" xfId="1024"/>
    <cellStyle name="40% - Énfasis5 4" xfId="1259"/>
    <cellStyle name="40% - Énfasis5 5" xfId="1260"/>
    <cellStyle name="40% - Énfasis5 6" xfId="1261"/>
    <cellStyle name="40% - Énfasis5 7" xfId="1262"/>
    <cellStyle name="40% - Énfasis5 8" xfId="1020"/>
    <cellStyle name="40% - Énfasis6" xfId="932" builtinId="51" customBuiltin="1"/>
    <cellStyle name="40% - Énfasis6 2" xfId="1026"/>
    <cellStyle name="40% - Énfasis6 2 2" xfId="1027"/>
    <cellStyle name="40% - Énfasis6 2 3" xfId="1028"/>
    <cellStyle name="40% - Énfasis6 2 4" xfId="1263"/>
    <cellStyle name="40% - Énfasis6 3" xfId="1029"/>
    <cellStyle name="40% - Énfasis6 4" xfId="1264"/>
    <cellStyle name="40% - Énfasis6 5" xfId="1265"/>
    <cellStyle name="40% - Énfasis6 6" xfId="1266"/>
    <cellStyle name="40% - Énfasis6 7" xfId="1267"/>
    <cellStyle name="40% - Énfasis6 8" xfId="1025"/>
    <cellStyle name="60% - Énfasis1" xfId="913" builtinId="32" customBuiltin="1"/>
    <cellStyle name="60% - Énfasis1 2" xfId="1031"/>
    <cellStyle name="60% - Énfasis1 2 2" xfId="1032"/>
    <cellStyle name="60% - Énfasis1 2 3" xfId="1033"/>
    <cellStyle name="60% - Énfasis1 2 4" xfId="1268"/>
    <cellStyle name="60% - Énfasis1 3" xfId="1034"/>
    <cellStyle name="60% - Énfasis1 4" xfId="1269"/>
    <cellStyle name="60% - Énfasis1 5" xfId="1270"/>
    <cellStyle name="60% - Énfasis1 6" xfId="1271"/>
    <cellStyle name="60% - Énfasis1 7" xfId="1272"/>
    <cellStyle name="60% - Énfasis1 8" xfId="1030"/>
    <cellStyle name="60% - Énfasis2" xfId="917" builtinId="36" customBuiltin="1"/>
    <cellStyle name="60% - Énfasis2 2" xfId="1036"/>
    <cellStyle name="60% - Énfasis2 2 2" xfId="1037"/>
    <cellStyle name="60% - Énfasis2 2 3" xfId="1038"/>
    <cellStyle name="60% - Énfasis2 2 4" xfId="1273"/>
    <cellStyle name="60% - Énfasis2 3" xfId="1039"/>
    <cellStyle name="60% - Énfasis2 4" xfId="1274"/>
    <cellStyle name="60% - Énfasis2 5" xfId="1275"/>
    <cellStyle name="60% - Énfasis2 6" xfId="1276"/>
    <cellStyle name="60% - Énfasis2 7" xfId="1277"/>
    <cellStyle name="60% - Énfasis2 8" xfId="1035"/>
    <cellStyle name="60% - Énfasis3" xfId="921" builtinId="40" customBuiltin="1"/>
    <cellStyle name="60% - Énfasis3 2" xfId="1041"/>
    <cellStyle name="60% - Énfasis3 2 2" xfId="1042"/>
    <cellStyle name="60% - Énfasis3 2 3" xfId="1043"/>
    <cellStyle name="60% - Énfasis3 2 4" xfId="1278"/>
    <cellStyle name="60% - Énfasis3 3" xfId="1044"/>
    <cellStyle name="60% - Énfasis3 4" xfId="1279"/>
    <cellStyle name="60% - Énfasis3 5" xfId="1280"/>
    <cellStyle name="60% - Énfasis3 6" xfId="1281"/>
    <cellStyle name="60% - Énfasis3 7" xfId="1282"/>
    <cellStyle name="60% - Énfasis3 8" xfId="1040"/>
    <cellStyle name="60% - Énfasis4" xfId="925" builtinId="44" customBuiltin="1"/>
    <cellStyle name="60% - Énfasis4 2" xfId="1046"/>
    <cellStyle name="60% - Énfasis4 2 2" xfId="1047"/>
    <cellStyle name="60% - Énfasis4 2 3" xfId="1048"/>
    <cellStyle name="60% - Énfasis4 2 4" xfId="1283"/>
    <cellStyle name="60% - Énfasis4 3" xfId="1049"/>
    <cellStyle name="60% - Énfasis4 4" xfId="1284"/>
    <cellStyle name="60% - Énfasis4 5" xfId="1285"/>
    <cellStyle name="60% - Énfasis4 6" xfId="1286"/>
    <cellStyle name="60% - Énfasis4 7" xfId="1287"/>
    <cellStyle name="60% - Énfasis4 8" xfId="1045"/>
    <cellStyle name="60% - Énfasis5" xfId="929" builtinId="48" customBuiltin="1"/>
    <cellStyle name="60% - Énfasis5 2" xfId="1051"/>
    <cellStyle name="60% - Énfasis5 2 2" xfId="1052"/>
    <cellStyle name="60% - Énfasis5 2 3" xfId="1053"/>
    <cellStyle name="60% - Énfasis5 2 4" xfId="1288"/>
    <cellStyle name="60% - Énfasis5 3" xfId="1054"/>
    <cellStyle name="60% - Énfasis5 4" xfId="1289"/>
    <cellStyle name="60% - Énfasis5 5" xfId="1290"/>
    <cellStyle name="60% - Énfasis5 6" xfId="1291"/>
    <cellStyle name="60% - Énfasis5 7" xfId="1292"/>
    <cellStyle name="60% - Énfasis5 8" xfId="1050"/>
    <cellStyle name="60% - Énfasis6" xfId="933" builtinId="52" customBuiltin="1"/>
    <cellStyle name="60% - Énfasis6 2" xfId="1056"/>
    <cellStyle name="60% - Énfasis6 2 2" xfId="1057"/>
    <cellStyle name="60% - Énfasis6 2 3" xfId="1058"/>
    <cellStyle name="60% - Énfasis6 2 4" xfId="1293"/>
    <cellStyle name="60% - Énfasis6 3" xfId="1059"/>
    <cellStyle name="60% - Énfasis6 4" xfId="1294"/>
    <cellStyle name="60% - Énfasis6 5" xfId="1295"/>
    <cellStyle name="60% - Énfasis6 6" xfId="1296"/>
    <cellStyle name="60% - Énfasis6 7" xfId="1297"/>
    <cellStyle name="60% - Énfasis6 8" xfId="1055"/>
    <cellStyle name="Buena" xfId="893" builtinId="26" customBuiltin="1"/>
    <cellStyle name="Buena 2" xfId="1061"/>
    <cellStyle name="Buena 2 2" xfId="1062"/>
    <cellStyle name="Buena 2 3" xfId="1063"/>
    <cellStyle name="Buena 2 4" xfId="1298"/>
    <cellStyle name="Buena 3" xfId="1064"/>
    <cellStyle name="Buena 4" xfId="1299"/>
    <cellStyle name="Buena 5" xfId="1300"/>
    <cellStyle name="Buena 6" xfId="1301"/>
    <cellStyle name="Buena 7" xfId="1302"/>
    <cellStyle name="Buena 8" xfId="1060"/>
    <cellStyle name="Cálculo" xfId="903" builtinId="22" customBuiltin="1"/>
    <cellStyle name="Cálculo 2" xfId="1066"/>
    <cellStyle name="Cálculo 2 10" xfId="1303"/>
    <cellStyle name="Cálculo 2 10 2" xfId="1304"/>
    <cellStyle name="Cálculo 2 11" xfId="1305"/>
    <cellStyle name="Cálculo 2 11 2" xfId="1306"/>
    <cellStyle name="Cálculo 2 12" xfId="1307"/>
    <cellStyle name="Cálculo 2 12 2" xfId="1308"/>
    <cellStyle name="Cálculo 2 13" xfId="1309"/>
    <cellStyle name="Cálculo 2 13 2" xfId="1310"/>
    <cellStyle name="Cálculo 2 14" xfId="1311"/>
    <cellStyle name="Cálculo 2 14 2" xfId="1312"/>
    <cellStyle name="Cálculo 2 15" xfId="1313"/>
    <cellStyle name="Cálculo 2 15 2" xfId="1314"/>
    <cellStyle name="Cálculo 2 16" xfId="1315"/>
    <cellStyle name="Cálculo 2 16 2" xfId="1316"/>
    <cellStyle name="Cálculo 2 17" xfId="1317"/>
    <cellStyle name="Cálculo 2 17 2" xfId="1318"/>
    <cellStyle name="Cálculo 2 18" xfId="1319"/>
    <cellStyle name="Cálculo 2 18 2" xfId="1320"/>
    <cellStyle name="Cálculo 2 19" xfId="1321"/>
    <cellStyle name="Cálculo 2 2" xfId="1067"/>
    <cellStyle name="Cálculo 2 2 10" xfId="1322"/>
    <cellStyle name="Cálculo 2 2 10 2" xfId="1323"/>
    <cellStyle name="Cálculo 2 2 11" xfId="1324"/>
    <cellStyle name="Cálculo 2 2 11 2" xfId="1325"/>
    <cellStyle name="Cálculo 2 2 12" xfId="1326"/>
    <cellStyle name="Cálculo 2 2 12 2" xfId="1327"/>
    <cellStyle name="Cálculo 2 2 13" xfId="1328"/>
    <cellStyle name="Cálculo 2 2 13 2" xfId="1329"/>
    <cellStyle name="Cálculo 2 2 14" xfId="1330"/>
    <cellStyle name="Cálculo 2 2 14 2" xfId="1331"/>
    <cellStyle name="Cálculo 2 2 15" xfId="1332"/>
    <cellStyle name="Cálculo 2 2 15 2" xfId="1333"/>
    <cellStyle name="Cálculo 2 2 16" xfId="1334"/>
    <cellStyle name="Cálculo 2 2 17" xfId="1335"/>
    <cellStyle name="Cálculo 2 2 18" xfId="1336"/>
    <cellStyle name="Cálculo 2 2 2" xfId="1337"/>
    <cellStyle name="Cálculo 2 2 2 10" xfId="1338"/>
    <cellStyle name="Cálculo 2 2 2 10 2" xfId="1339"/>
    <cellStyle name="Cálculo 2 2 2 11" xfId="1340"/>
    <cellStyle name="Cálculo 2 2 2 11 2" xfId="1341"/>
    <cellStyle name="Cálculo 2 2 2 12" xfId="1342"/>
    <cellStyle name="Cálculo 2 2 2 12 2" xfId="1343"/>
    <cellStyle name="Cálculo 2 2 2 13" xfId="1344"/>
    <cellStyle name="Cálculo 2 2 2 13 2" xfId="1345"/>
    <cellStyle name="Cálculo 2 2 2 14" xfId="1346"/>
    <cellStyle name="Cálculo 2 2 2 14 2" xfId="1347"/>
    <cellStyle name="Cálculo 2 2 2 15" xfId="1348"/>
    <cellStyle name="Cálculo 2 2 2 2" xfId="1349"/>
    <cellStyle name="Cálculo 2 2 2 2 10" xfId="1350"/>
    <cellStyle name="Cálculo 2 2 2 2 10 2" xfId="1351"/>
    <cellStyle name="Cálculo 2 2 2 2 11" xfId="1352"/>
    <cellStyle name="Cálculo 2 2 2 2 11 2" xfId="1353"/>
    <cellStyle name="Cálculo 2 2 2 2 12" xfId="1354"/>
    <cellStyle name="Cálculo 2 2 2 2 12 2" xfId="1355"/>
    <cellStyle name="Cálculo 2 2 2 2 13" xfId="1356"/>
    <cellStyle name="Cálculo 2 2 2 2 2" xfId="1357"/>
    <cellStyle name="Cálculo 2 2 2 2 2 10" xfId="1358"/>
    <cellStyle name="Cálculo 2 2 2 2 2 10 2" xfId="1359"/>
    <cellStyle name="Cálculo 2 2 2 2 2 11" xfId="1360"/>
    <cellStyle name="Cálculo 2 2 2 2 2 2" xfId="1361"/>
    <cellStyle name="Cálculo 2 2 2 2 2 2 2" xfId="1362"/>
    <cellStyle name="Cálculo 2 2 2 2 2 3" xfId="1363"/>
    <cellStyle name="Cálculo 2 2 2 2 2 3 2" xfId="1364"/>
    <cellStyle name="Cálculo 2 2 2 2 2 4" xfId="1365"/>
    <cellStyle name="Cálculo 2 2 2 2 2 4 2" xfId="1366"/>
    <cellStyle name="Cálculo 2 2 2 2 2 5" xfId="1367"/>
    <cellStyle name="Cálculo 2 2 2 2 2 5 2" xfId="1368"/>
    <cellStyle name="Cálculo 2 2 2 2 2 6" xfId="1369"/>
    <cellStyle name="Cálculo 2 2 2 2 2 6 2" xfId="1370"/>
    <cellStyle name="Cálculo 2 2 2 2 2 7" xfId="1371"/>
    <cellStyle name="Cálculo 2 2 2 2 2 7 2" xfId="1372"/>
    <cellStyle name="Cálculo 2 2 2 2 2 8" xfId="1373"/>
    <cellStyle name="Cálculo 2 2 2 2 2 8 2" xfId="1374"/>
    <cellStyle name="Cálculo 2 2 2 2 2 9" xfId="1375"/>
    <cellStyle name="Cálculo 2 2 2 2 2 9 2" xfId="1376"/>
    <cellStyle name="Cálculo 2 2 2 2 3" xfId="1377"/>
    <cellStyle name="Cálculo 2 2 2 2 3 10" xfId="1378"/>
    <cellStyle name="Cálculo 2 2 2 2 3 10 2" xfId="1379"/>
    <cellStyle name="Cálculo 2 2 2 2 3 11" xfId="1380"/>
    <cellStyle name="Cálculo 2 2 2 2 3 2" xfId="1381"/>
    <cellStyle name="Cálculo 2 2 2 2 3 2 2" xfId="1382"/>
    <cellStyle name="Cálculo 2 2 2 2 3 3" xfId="1383"/>
    <cellStyle name="Cálculo 2 2 2 2 3 3 2" xfId="1384"/>
    <cellStyle name="Cálculo 2 2 2 2 3 4" xfId="1385"/>
    <cellStyle name="Cálculo 2 2 2 2 3 4 2" xfId="1386"/>
    <cellStyle name="Cálculo 2 2 2 2 3 5" xfId="1387"/>
    <cellStyle name="Cálculo 2 2 2 2 3 5 2" xfId="1388"/>
    <cellStyle name="Cálculo 2 2 2 2 3 6" xfId="1389"/>
    <cellStyle name="Cálculo 2 2 2 2 3 6 2" xfId="1390"/>
    <cellStyle name="Cálculo 2 2 2 2 3 7" xfId="1391"/>
    <cellStyle name="Cálculo 2 2 2 2 3 7 2" xfId="1392"/>
    <cellStyle name="Cálculo 2 2 2 2 3 8" xfId="1393"/>
    <cellStyle name="Cálculo 2 2 2 2 3 8 2" xfId="1394"/>
    <cellStyle name="Cálculo 2 2 2 2 3 9" xfId="1395"/>
    <cellStyle name="Cálculo 2 2 2 2 3 9 2" xfId="1396"/>
    <cellStyle name="Cálculo 2 2 2 2 4" xfId="1397"/>
    <cellStyle name="Cálculo 2 2 2 2 4 2" xfId="1398"/>
    <cellStyle name="Cálculo 2 2 2 2 5" xfId="1399"/>
    <cellStyle name="Cálculo 2 2 2 2 5 2" xfId="1400"/>
    <cellStyle name="Cálculo 2 2 2 2 6" xfId="1401"/>
    <cellStyle name="Cálculo 2 2 2 2 6 2" xfId="1402"/>
    <cellStyle name="Cálculo 2 2 2 2 7" xfId="1403"/>
    <cellStyle name="Cálculo 2 2 2 2 7 2" xfId="1404"/>
    <cellStyle name="Cálculo 2 2 2 2 8" xfId="1405"/>
    <cellStyle name="Cálculo 2 2 2 2 8 2" xfId="1406"/>
    <cellStyle name="Cálculo 2 2 2 2 9" xfId="1407"/>
    <cellStyle name="Cálculo 2 2 2 2 9 2" xfId="1408"/>
    <cellStyle name="Cálculo 2 2 2 3" xfId="1409"/>
    <cellStyle name="Cálculo 2 2 2 3 10" xfId="1410"/>
    <cellStyle name="Cálculo 2 2 2 3 10 2" xfId="1411"/>
    <cellStyle name="Cálculo 2 2 2 3 11" xfId="1412"/>
    <cellStyle name="Cálculo 2 2 2 3 11 2" xfId="1413"/>
    <cellStyle name="Cálculo 2 2 2 3 12" xfId="1414"/>
    <cellStyle name="Cálculo 2 2 2 3 12 2" xfId="1415"/>
    <cellStyle name="Cálculo 2 2 2 3 13" xfId="1416"/>
    <cellStyle name="Cálculo 2 2 2 3 2" xfId="1417"/>
    <cellStyle name="Cálculo 2 2 2 3 2 10" xfId="1418"/>
    <cellStyle name="Cálculo 2 2 2 3 2 10 2" xfId="1419"/>
    <cellStyle name="Cálculo 2 2 2 3 2 11" xfId="1420"/>
    <cellStyle name="Cálculo 2 2 2 3 2 2" xfId="1421"/>
    <cellStyle name="Cálculo 2 2 2 3 2 2 2" xfId="1422"/>
    <cellStyle name="Cálculo 2 2 2 3 2 3" xfId="1423"/>
    <cellStyle name="Cálculo 2 2 2 3 2 3 2" xfId="1424"/>
    <cellStyle name="Cálculo 2 2 2 3 2 4" xfId="1425"/>
    <cellStyle name="Cálculo 2 2 2 3 2 4 2" xfId="1426"/>
    <cellStyle name="Cálculo 2 2 2 3 2 5" xfId="1427"/>
    <cellStyle name="Cálculo 2 2 2 3 2 5 2" xfId="1428"/>
    <cellStyle name="Cálculo 2 2 2 3 2 6" xfId="1429"/>
    <cellStyle name="Cálculo 2 2 2 3 2 6 2" xfId="1430"/>
    <cellStyle name="Cálculo 2 2 2 3 2 7" xfId="1431"/>
    <cellStyle name="Cálculo 2 2 2 3 2 7 2" xfId="1432"/>
    <cellStyle name="Cálculo 2 2 2 3 2 8" xfId="1433"/>
    <cellStyle name="Cálculo 2 2 2 3 2 8 2" xfId="1434"/>
    <cellStyle name="Cálculo 2 2 2 3 2 9" xfId="1435"/>
    <cellStyle name="Cálculo 2 2 2 3 2 9 2" xfId="1436"/>
    <cellStyle name="Cálculo 2 2 2 3 3" xfId="1437"/>
    <cellStyle name="Cálculo 2 2 2 3 3 10" xfId="1438"/>
    <cellStyle name="Cálculo 2 2 2 3 3 10 2" xfId="1439"/>
    <cellStyle name="Cálculo 2 2 2 3 3 11" xfId="1440"/>
    <cellStyle name="Cálculo 2 2 2 3 3 2" xfId="1441"/>
    <cellStyle name="Cálculo 2 2 2 3 3 2 2" xfId="1442"/>
    <cellStyle name="Cálculo 2 2 2 3 3 3" xfId="1443"/>
    <cellStyle name="Cálculo 2 2 2 3 3 3 2" xfId="1444"/>
    <cellStyle name="Cálculo 2 2 2 3 3 4" xfId="1445"/>
    <cellStyle name="Cálculo 2 2 2 3 3 4 2" xfId="1446"/>
    <cellStyle name="Cálculo 2 2 2 3 3 5" xfId="1447"/>
    <cellStyle name="Cálculo 2 2 2 3 3 5 2" xfId="1448"/>
    <cellStyle name="Cálculo 2 2 2 3 3 6" xfId="1449"/>
    <cellStyle name="Cálculo 2 2 2 3 3 6 2" xfId="1450"/>
    <cellStyle name="Cálculo 2 2 2 3 3 7" xfId="1451"/>
    <cellStyle name="Cálculo 2 2 2 3 3 7 2" xfId="1452"/>
    <cellStyle name="Cálculo 2 2 2 3 3 8" xfId="1453"/>
    <cellStyle name="Cálculo 2 2 2 3 3 8 2" xfId="1454"/>
    <cellStyle name="Cálculo 2 2 2 3 3 9" xfId="1455"/>
    <cellStyle name="Cálculo 2 2 2 3 3 9 2" xfId="1456"/>
    <cellStyle name="Cálculo 2 2 2 3 4" xfId="1457"/>
    <cellStyle name="Cálculo 2 2 2 3 4 2" xfId="1458"/>
    <cellStyle name="Cálculo 2 2 2 3 5" xfId="1459"/>
    <cellStyle name="Cálculo 2 2 2 3 5 2" xfId="1460"/>
    <cellStyle name="Cálculo 2 2 2 3 6" xfId="1461"/>
    <cellStyle name="Cálculo 2 2 2 3 6 2" xfId="1462"/>
    <cellStyle name="Cálculo 2 2 2 3 7" xfId="1463"/>
    <cellStyle name="Cálculo 2 2 2 3 7 2" xfId="1464"/>
    <cellStyle name="Cálculo 2 2 2 3 8" xfId="1465"/>
    <cellStyle name="Cálculo 2 2 2 3 8 2" xfId="1466"/>
    <cellStyle name="Cálculo 2 2 2 3 9" xfId="1467"/>
    <cellStyle name="Cálculo 2 2 2 3 9 2" xfId="1468"/>
    <cellStyle name="Cálculo 2 2 2 4" xfId="1469"/>
    <cellStyle name="Cálculo 2 2 2 4 10" xfId="1470"/>
    <cellStyle name="Cálculo 2 2 2 4 10 2" xfId="1471"/>
    <cellStyle name="Cálculo 2 2 2 4 11" xfId="1472"/>
    <cellStyle name="Cálculo 2 2 2 4 2" xfId="1473"/>
    <cellStyle name="Cálculo 2 2 2 4 2 2" xfId="1474"/>
    <cellStyle name="Cálculo 2 2 2 4 3" xfId="1475"/>
    <cellStyle name="Cálculo 2 2 2 4 3 2" xfId="1476"/>
    <cellStyle name="Cálculo 2 2 2 4 4" xfId="1477"/>
    <cellStyle name="Cálculo 2 2 2 4 4 2" xfId="1478"/>
    <cellStyle name="Cálculo 2 2 2 4 5" xfId="1479"/>
    <cellStyle name="Cálculo 2 2 2 4 5 2" xfId="1480"/>
    <cellStyle name="Cálculo 2 2 2 4 6" xfId="1481"/>
    <cellStyle name="Cálculo 2 2 2 4 6 2" xfId="1482"/>
    <cellStyle name="Cálculo 2 2 2 4 7" xfId="1483"/>
    <cellStyle name="Cálculo 2 2 2 4 7 2" xfId="1484"/>
    <cellStyle name="Cálculo 2 2 2 4 8" xfId="1485"/>
    <cellStyle name="Cálculo 2 2 2 4 8 2" xfId="1486"/>
    <cellStyle name="Cálculo 2 2 2 4 9" xfId="1487"/>
    <cellStyle name="Cálculo 2 2 2 4 9 2" xfId="1488"/>
    <cellStyle name="Cálculo 2 2 2 5" xfId="1489"/>
    <cellStyle name="Cálculo 2 2 2 5 10" xfId="1490"/>
    <cellStyle name="Cálculo 2 2 2 5 10 2" xfId="1491"/>
    <cellStyle name="Cálculo 2 2 2 5 11" xfId="1492"/>
    <cellStyle name="Cálculo 2 2 2 5 2" xfId="1493"/>
    <cellStyle name="Cálculo 2 2 2 5 2 2" xfId="1494"/>
    <cellStyle name="Cálculo 2 2 2 5 3" xfId="1495"/>
    <cellStyle name="Cálculo 2 2 2 5 3 2" xfId="1496"/>
    <cellStyle name="Cálculo 2 2 2 5 4" xfId="1497"/>
    <cellStyle name="Cálculo 2 2 2 5 4 2" xfId="1498"/>
    <cellStyle name="Cálculo 2 2 2 5 5" xfId="1499"/>
    <cellStyle name="Cálculo 2 2 2 5 5 2" xfId="1500"/>
    <cellStyle name="Cálculo 2 2 2 5 6" xfId="1501"/>
    <cellStyle name="Cálculo 2 2 2 5 6 2" xfId="1502"/>
    <cellStyle name="Cálculo 2 2 2 5 7" xfId="1503"/>
    <cellStyle name="Cálculo 2 2 2 5 7 2" xfId="1504"/>
    <cellStyle name="Cálculo 2 2 2 5 8" xfId="1505"/>
    <cellStyle name="Cálculo 2 2 2 5 8 2" xfId="1506"/>
    <cellStyle name="Cálculo 2 2 2 5 9" xfId="1507"/>
    <cellStyle name="Cálculo 2 2 2 5 9 2" xfId="1508"/>
    <cellStyle name="Cálculo 2 2 2 6" xfId="1509"/>
    <cellStyle name="Cálculo 2 2 2 6 2" xfId="1510"/>
    <cellStyle name="Cálculo 2 2 2 7" xfId="1511"/>
    <cellStyle name="Cálculo 2 2 2 7 2" xfId="1512"/>
    <cellStyle name="Cálculo 2 2 2 8" xfId="1513"/>
    <cellStyle name="Cálculo 2 2 2 8 2" xfId="1514"/>
    <cellStyle name="Cálculo 2 2 2 9" xfId="1515"/>
    <cellStyle name="Cálculo 2 2 2 9 2" xfId="1516"/>
    <cellStyle name="Cálculo 2 2 3" xfId="1517"/>
    <cellStyle name="Cálculo 2 2 3 10" xfId="1518"/>
    <cellStyle name="Cálculo 2 2 3 10 2" xfId="1519"/>
    <cellStyle name="Cálculo 2 2 3 11" xfId="1520"/>
    <cellStyle name="Cálculo 2 2 3 11 2" xfId="1521"/>
    <cellStyle name="Cálculo 2 2 3 12" xfId="1522"/>
    <cellStyle name="Cálculo 2 2 3 12 2" xfId="1523"/>
    <cellStyle name="Cálculo 2 2 3 13" xfId="1524"/>
    <cellStyle name="Cálculo 2 2 3 13 2" xfId="1525"/>
    <cellStyle name="Cálculo 2 2 3 14" xfId="1526"/>
    <cellStyle name="Cálculo 2 2 3 14 2" xfId="1527"/>
    <cellStyle name="Cálculo 2 2 3 15" xfId="1528"/>
    <cellStyle name="Cálculo 2 2 3 2" xfId="1529"/>
    <cellStyle name="Cálculo 2 2 3 2 10" xfId="1530"/>
    <cellStyle name="Cálculo 2 2 3 2 10 2" xfId="1531"/>
    <cellStyle name="Cálculo 2 2 3 2 11" xfId="1532"/>
    <cellStyle name="Cálculo 2 2 3 2 11 2" xfId="1533"/>
    <cellStyle name="Cálculo 2 2 3 2 12" xfId="1534"/>
    <cellStyle name="Cálculo 2 2 3 2 12 2" xfId="1535"/>
    <cellStyle name="Cálculo 2 2 3 2 13" xfId="1536"/>
    <cellStyle name="Cálculo 2 2 3 2 2" xfId="1537"/>
    <cellStyle name="Cálculo 2 2 3 2 2 10" xfId="1538"/>
    <cellStyle name="Cálculo 2 2 3 2 2 10 2" xfId="1539"/>
    <cellStyle name="Cálculo 2 2 3 2 2 11" xfId="1540"/>
    <cellStyle name="Cálculo 2 2 3 2 2 2" xfId="1541"/>
    <cellStyle name="Cálculo 2 2 3 2 2 2 2" xfId="1542"/>
    <cellStyle name="Cálculo 2 2 3 2 2 3" xfId="1543"/>
    <cellStyle name="Cálculo 2 2 3 2 2 3 2" xfId="1544"/>
    <cellStyle name="Cálculo 2 2 3 2 2 4" xfId="1545"/>
    <cellStyle name="Cálculo 2 2 3 2 2 4 2" xfId="1546"/>
    <cellStyle name="Cálculo 2 2 3 2 2 5" xfId="1547"/>
    <cellStyle name="Cálculo 2 2 3 2 2 5 2" xfId="1548"/>
    <cellStyle name="Cálculo 2 2 3 2 2 6" xfId="1549"/>
    <cellStyle name="Cálculo 2 2 3 2 2 6 2" xfId="1550"/>
    <cellStyle name="Cálculo 2 2 3 2 2 7" xfId="1551"/>
    <cellStyle name="Cálculo 2 2 3 2 2 7 2" xfId="1552"/>
    <cellStyle name="Cálculo 2 2 3 2 2 8" xfId="1553"/>
    <cellStyle name="Cálculo 2 2 3 2 2 8 2" xfId="1554"/>
    <cellStyle name="Cálculo 2 2 3 2 2 9" xfId="1555"/>
    <cellStyle name="Cálculo 2 2 3 2 2 9 2" xfId="1556"/>
    <cellStyle name="Cálculo 2 2 3 2 3" xfId="1557"/>
    <cellStyle name="Cálculo 2 2 3 2 3 10" xfId="1558"/>
    <cellStyle name="Cálculo 2 2 3 2 3 10 2" xfId="1559"/>
    <cellStyle name="Cálculo 2 2 3 2 3 11" xfId="1560"/>
    <cellStyle name="Cálculo 2 2 3 2 3 2" xfId="1561"/>
    <cellStyle name="Cálculo 2 2 3 2 3 2 2" xfId="1562"/>
    <cellStyle name="Cálculo 2 2 3 2 3 3" xfId="1563"/>
    <cellStyle name="Cálculo 2 2 3 2 3 3 2" xfId="1564"/>
    <cellStyle name="Cálculo 2 2 3 2 3 4" xfId="1565"/>
    <cellStyle name="Cálculo 2 2 3 2 3 4 2" xfId="1566"/>
    <cellStyle name="Cálculo 2 2 3 2 3 5" xfId="1567"/>
    <cellStyle name="Cálculo 2 2 3 2 3 5 2" xfId="1568"/>
    <cellStyle name="Cálculo 2 2 3 2 3 6" xfId="1569"/>
    <cellStyle name="Cálculo 2 2 3 2 3 6 2" xfId="1570"/>
    <cellStyle name="Cálculo 2 2 3 2 3 7" xfId="1571"/>
    <cellStyle name="Cálculo 2 2 3 2 3 7 2" xfId="1572"/>
    <cellStyle name="Cálculo 2 2 3 2 3 8" xfId="1573"/>
    <cellStyle name="Cálculo 2 2 3 2 3 8 2" xfId="1574"/>
    <cellStyle name="Cálculo 2 2 3 2 3 9" xfId="1575"/>
    <cellStyle name="Cálculo 2 2 3 2 3 9 2" xfId="1576"/>
    <cellStyle name="Cálculo 2 2 3 2 4" xfId="1577"/>
    <cellStyle name="Cálculo 2 2 3 2 4 2" xfId="1578"/>
    <cellStyle name="Cálculo 2 2 3 2 5" xfId="1579"/>
    <cellStyle name="Cálculo 2 2 3 2 5 2" xfId="1580"/>
    <cellStyle name="Cálculo 2 2 3 2 6" xfId="1581"/>
    <cellStyle name="Cálculo 2 2 3 2 6 2" xfId="1582"/>
    <cellStyle name="Cálculo 2 2 3 2 7" xfId="1583"/>
    <cellStyle name="Cálculo 2 2 3 2 7 2" xfId="1584"/>
    <cellStyle name="Cálculo 2 2 3 2 8" xfId="1585"/>
    <cellStyle name="Cálculo 2 2 3 2 8 2" xfId="1586"/>
    <cellStyle name="Cálculo 2 2 3 2 9" xfId="1587"/>
    <cellStyle name="Cálculo 2 2 3 2 9 2" xfId="1588"/>
    <cellStyle name="Cálculo 2 2 3 3" xfId="1589"/>
    <cellStyle name="Cálculo 2 2 3 3 10" xfId="1590"/>
    <cellStyle name="Cálculo 2 2 3 3 10 2" xfId="1591"/>
    <cellStyle name="Cálculo 2 2 3 3 11" xfId="1592"/>
    <cellStyle name="Cálculo 2 2 3 3 11 2" xfId="1593"/>
    <cellStyle name="Cálculo 2 2 3 3 12" xfId="1594"/>
    <cellStyle name="Cálculo 2 2 3 3 12 2" xfId="1595"/>
    <cellStyle name="Cálculo 2 2 3 3 13" xfId="1596"/>
    <cellStyle name="Cálculo 2 2 3 3 2" xfId="1597"/>
    <cellStyle name="Cálculo 2 2 3 3 2 10" xfId="1598"/>
    <cellStyle name="Cálculo 2 2 3 3 2 10 2" xfId="1599"/>
    <cellStyle name="Cálculo 2 2 3 3 2 11" xfId="1600"/>
    <cellStyle name="Cálculo 2 2 3 3 2 2" xfId="1601"/>
    <cellStyle name="Cálculo 2 2 3 3 2 2 2" xfId="1602"/>
    <cellStyle name="Cálculo 2 2 3 3 2 3" xfId="1603"/>
    <cellStyle name="Cálculo 2 2 3 3 2 3 2" xfId="1604"/>
    <cellStyle name="Cálculo 2 2 3 3 2 4" xfId="1605"/>
    <cellStyle name="Cálculo 2 2 3 3 2 4 2" xfId="1606"/>
    <cellStyle name="Cálculo 2 2 3 3 2 5" xfId="1607"/>
    <cellStyle name="Cálculo 2 2 3 3 2 5 2" xfId="1608"/>
    <cellStyle name="Cálculo 2 2 3 3 2 6" xfId="1609"/>
    <cellStyle name="Cálculo 2 2 3 3 2 6 2" xfId="1610"/>
    <cellStyle name="Cálculo 2 2 3 3 2 7" xfId="1611"/>
    <cellStyle name="Cálculo 2 2 3 3 2 7 2" xfId="1612"/>
    <cellStyle name="Cálculo 2 2 3 3 2 8" xfId="1613"/>
    <cellStyle name="Cálculo 2 2 3 3 2 8 2" xfId="1614"/>
    <cellStyle name="Cálculo 2 2 3 3 2 9" xfId="1615"/>
    <cellStyle name="Cálculo 2 2 3 3 2 9 2" xfId="1616"/>
    <cellStyle name="Cálculo 2 2 3 3 3" xfId="1617"/>
    <cellStyle name="Cálculo 2 2 3 3 3 10" xfId="1618"/>
    <cellStyle name="Cálculo 2 2 3 3 3 10 2" xfId="1619"/>
    <cellStyle name="Cálculo 2 2 3 3 3 11" xfId="1620"/>
    <cellStyle name="Cálculo 2 2 3 3 3 2" xfId="1621"/>
    <cellStyle name="Cálculo 2 2 3 3 3 2 2" xfId="1622"/>
    <cellStyle name="Cálculo 2 2 3 3 3 3" xfId="1623"/>
    <cellStyle name="Cálculo 2 2 3 3 3 3 2" xfId="1624"/>
    <cellStyle name="Cálculo 2 2 3 3 3 4" xfId="1625"/>
    <cellStyle name="Cálculo 2 2 3 3 3 4 2" xfId="1626"/>
    <cellStyle name="Cálculo 2 2 3 3 3 5" xfId="1627"/>
    <cellStyle name="Cálculo 2 2 3 3 3 5 2" xfId="1628"/>
    <cellStyle name="Cálculo 2 2 3 3 3 6" xfId="1629"/>
    <cellStyle name="Cálculo 2 2 3 3 3 6 2" xfId="1630"/>
    <cellStyle name="Cálculo 2 2 3 3 3 7" xfId="1631"/>
    <cellStyle name="Cálculo 2 2 3 3 3 7 2" xfId="1632"/>
    <cellStyle name="Cálculo 2 2 3 3 3 8" xfId="1633"/>
    <cellStyle name="Cálculo 2 2 3 3 3 8 2" xfId="1634"/>
    <cellStyle name="Cálculo 2 2 3 3 3 9" xfId="1635"/>
    <cellStyle name="Cálculo 2 2 3 3 3 9 2" xfId="1636"/>
    <cellStyle name="Cálculo 2 2 3 3 4" xfId="1637"/>
    <cellStyle name="Cálculo 2 2 3 3 4 2" xfId="1638"/>
    <cellStyle name="Cálculo 2 2 3 3 5" xfId="1639"/>
    <cellStyle name="Cálculo 2 2 3 3 5 2" xfId="1640"/>
    <cellStyle name="Cálculo 2 2 3 3 6" xfId="1641"/>
    <cellStyle name="Cálculo 2 2 3 3 6 2" xfId="1642"/>
    <cellStyle name="Cálculo 2 2 3 3 7" xfId="1643"/>
    <cellStyle name="Cálculo 2 2 3 3 7 2" xfId="1644"/>
    <cellStyle name="Cálculo 2 2 3 3 8" xfId="1645"/>
    <cellStyle name="Cálculo 2 2 3 3 8 2" xfId="1646"/>
    <cellStyle name="Cálculo 2 2 3 3 9" xfId="1647"/>
    <cellStyle name="Cálculo 2 2 3 3 9 2" xfId="1648"/>
    <cellStyle name="Cálculo 2 2 3 4" xfId="1649"/>
    <cellStyle name="Cálculo 2 2 3 4 10" xfId="1650"/>
    <cellStyle name="Cálculo 2 2 3 4 10 2" xfId="1651"/>
    <cellStyle name="Cálculo 2 2 3 4 11" xfId="1652"/>
    <cellStyle name="Cálculo 2 2 3 4 2" xfId="1653"/>
    <cellStyle name="Cálculo 2 2 3 4 2 2" xfId="1654"/>
    <cellStyle name="Cálculo 2 2 3 4 3" xfId="1655"/>
    <cellStyle name="Cálculo 2 2 3 4 3 2" xfId="1656"/>
    <cellStyle name="Cálculo 2 2 3 4 4" xfId="1657"/>
    <cellStyle name="Cálculo 2 2 3 4 4 2" xfId="1658"/>
    <cellStyle name="Cálculo 2 2 3 4 5" xfId="1659"/>
    <cellStyle name="Cálculo 2 2 3 4 5 2" xfId="1660"/>
    <cellStyle name="Cálculo 2 2 3 4 6" xfId="1661"/>
    <cellStyle name="Cálculo 2 2 3 4 6 2" xfId="1662"/>
    <cellStyle name="Cálculo 2 2 3 4 7" xfId="1663"/>
    <cellStyle name="Cálculo 2 2 3 4 7 2" xfId="1664"/>
    <cellStyle name="Cálculo 2 2 3 4 8" xfId="1665"/>
    <cellStyle name="Cálculo 2 2 3 4 8 2" xfId="1666"/>
    <cellStyle name="Cálculo 2 2 3 4 9" xfId="1667"/>
    <cellStyle name="Cálculo 2 2 3 4 9 2" xfId="1668"/>
    <cellStyle name="Cálculo 2 2 3 5" xfId="1669"/>
    <cellStyle name="Cálculo 2 2 3 5 10" xfId="1670"/>
    <cellStyle name="Cálculo 2 2 3 5 10 2" xfId="1671"/>
    <cellStyle name="Cálculo 2 2 3 5 11" xfId="1672"/>
    <cellStyle name="Cálculo 2 2 3 5 2" xfId="1673"/>
    <cellStyle name="Cálculo 2 2 3 5 2 2" xfId="1674"/>
    <cellStyle name="Cálculo 2 2 3 5 3" xfId="1675"/>
    <cellStyle name="Cálculo 2 2 3 5 3 2" xfId="1676"/>
    <cellStyle name="Cálculo 2 2 3 5 4" xfId="1677"/>
    <cellStyle name="Cálculo 2 2 3 5 4 2" xfId="1678"/>
    <cellStyle name="Cálculo 2 2 3 5 5" xfId="1679"/>
    <cellStyle name="Cálculo 2 2 3 5 5 2" xfId="1680"/>
    <cellStyle name="Cálculo 2 2 3 5 6" xfId="1681"/>
    <cellStyle name="Cálculo 2 2 3 5 6 2" xfId="1682"/>
    <cellStyle name="Cálculo 2 2 3 5 7" xfId="1683"/>
    <cellStyle name="Cálculo 2 2 3 5 7 2" xfId="1684"/>
    <cellStyle name="Cálculo 2 2 3 5 8" xfId="1685"/>
    <cellStyle name="Cálculo 2 2 3 5 8 2" xfId="1686"/>
    <cellStyle name="Cálculo 2 2 3 5 9" xfId="1687"/>
    <cellStyle name="Cálculo 2 2 3 5 9 2" xfId="1688"/>
    <cellStyle name="Cálculo 2 2 3 6" xfId="1689"/>
    <cellStyle name="Cálculo 2 2 3 6 2" xfId="1690"/>
    <cellStyle name="Cálculo 2 2 3 7" xfId="1691"/>
    <cellStyle name="Cálculo 2 2 3 7 2" xfId="1692"/>
    <cellStyle name="Cálculo 2 2 3 8" xfId="1693"/>
    <cellStyle name="Cálculo 2 2 3 8 2" xfId="1694"/>
    <cellStyle name="Cálculo 2 2 3 9" xfId="1695"/>
    <cellStyle name="Cálculo 2 2 3 9 2" xfId="1696"/>
    <cellStyle name="Cálculo 2 2 4" xfId="1697"/>
    <cellStyle name="Cálculo 2 2 4 10" xfId="1698"/>
    <cellStyle name="Cálculo 2 2 4 10 2" xfId="1699"/>
    <cellStyle name="Cálculo 2 2 4 11" xfId="1700"/>
    <cellStyle name="Cálculo 2 2 4 11 2" xfId="1701"/>
    <cellStyle name="Cálculo 2 2 4 12" xfId="1702"/>
    <cellStyle name="Cálculo 2 2 4 12 2" xfId="1703"/>
    <cellStyle name="Cálculo 2 2 4 13" xfId="1704"/>
    <cellStyle name="Cálculo 2 2 4 2" xfId="1705"/>
    <cellStyle name="Cálculo 2 2 4 2 10" xfId="1706"/>
    <cellStyle name="Cálculo 2 2 4 2 10 2" xfId="1707"/>
    <cellStyle name="Cálculo 2 2 4 2 11" xfId="1708"/>
    <cellStyle name="Cálculo 2 2 4 2 2" xfId="1709"/>
    <cellStyle name="Cálculo 2 2 4 2 2 2" xfId="1710"/>
    <cellStyle name="Cálculo 2 2 4 2 3" xfId="1711"/>
    <cellStyle name="Cálculo 2 2 4 2 3 2" xfId="1712"/>
    <cellStyle name="Cálculo 2 2 4 2 4" xfId="1713"/>
    <cellStyle name="Cálculo 2 2 4 2 4 2" xfId="1714"/>
    <cellStyle name="Cálculo 2 2 4 2 5" xfId="1715"/>
    <cellStyle name="Cálculo 2 2 4 2 5 2" xfId="1716"/>
    <cellStyle name="Cálculo 2 2 4 2 6" xfId="1717"/>
    <cellStyle name="Cálculo 2 2 4 2 6 2" xfId="1718"/>
    <cellStyle name="Cálculo 2 2 4 2 7" xfId="1719"/>
    <cellStyle name="Cálculo 2 2 4 2 7 2" xfId="1720"/>
    <cellStyle name="Cálculo 2 2 4 2 8" xfId="1721"/>
    <cellStyle name="Cálculo 2 2 4 2 8 2" xfId="1722"/>
    <cellStyle name="Cálculo 2 2 4 2 9" xfId="1723"/>
    <cellStyle name="Cálculo 2 2 4 2 9 2" xfId="1724"/>
    <cellStyle name="Cálculo 2 2 4 3" xfId="1725"/>
    <cellStyle name="Cálculo 2 2 4 3 10" xfId="1726"/>
    <cellStyle name="Cálculo 2 2 4 3 10 2" xfId="1727"/>
    <cellStyle name="Cálculo 2 2 4 3 11" xfId="1728"/>
    <cellStyle name="Cálculo 2 2 4 3 2" xfId="1729"/>
    <cellStyle name="Cálculo 2 2 4 3 2 2" xfId="1730"/>
    <cellStyle name="Cálculo 2 2 4 3 3" xfId="1731"/>
    <cellStyle name="Cálculo 2 2 4 3 3 2" xfId="1732"/>
    <cellStyle name="Cálculo 2 2 4 3 4" xfId="1733"/>
    <cellStyle name="Cálculo 2 2 4 3 4 2" xfId="1734"/>
    <cellStyle name="Cálculo 2 2 4 3 5" xfId="1735"/>
    <cellStyle name="Cálculo 2 2 4 3 5 2" xfId="1736"/>
    <cellStyle name="Cálculo 2 2 4 3 6" xfId="1737"/>
    <cellStyle name="Cálculo 2 2 4 3 6 2" xfId="1738"/>
    <cellStyle name="Cálculo 2 2 4 3 7" xfId="1739"/>
    <cellStyle name="Cálculo 2 2 4 3 7 2" xfId="1740"/>
    <cellStyle name="Cálculo 2 2 4 3 8" xfId="1741"/>
    <cellStyle name="Cálculo 2 2 4 3 8 2" xfId="1742"/>
    <cellStyle name="Cálculo 2 2 4 3 9" xfId="1743"/>
    <cellStyle name="Cálculo 2 2 4 3 9 2" xfId="1744"/>
    <cellStyle name="Cálculo 2 2 4 4" xfId="1745"/>
    <cellStyle name="Cálculo 2 2 4 4 2" xfId="1746"/>
    <cellStyle name="Cálculo 2 2 4 5" xfId="1747"/>
    <cellStyle name="Cálculo 2 2 4 5 2" xfId="1748"/>
    <cellStyle name="Cálculo 2 2 4 6" xfId="1749"/>
    <cellStyle name="Cálculo 2 2 4 6 2" xfId="1750"/>
    <cellStyle name="Cálculo 2 2 4 7" xfId="1751"/>
    <cellStyle name="Cálculo 2 2 4 7 2" xfId="1752"/>
    <cellStyle name="Cálculo 2 2 4 8" xfId="1753"/>
    <cellStyle name="Cálculo 2 2 4 8 2" xfId="1754"/>
    <cellStyle name="Cálculo 2 2 4 9" xfId="1755"/>
    <cellStyle name="Cálculo 2 2 4 9 2" xfId="1756"/>
    <cellStyle name="Cálculo 2 2 5" xfId="1757"/>
    <cellStyle name="Cálculo 2 2 5 10" xfId="1758"/>
    <cellStyle name="Cálculo 2 2 5 10 2" xfId="1759"/>
    <cellStyle name="Cálculo 2 2 5 11" xfId="1760"/>
    <cellStyle name="Cálculo 2 2 5 11 2" xfId="1761"/>
    <cellStyle name="Cálculo 2 2 5 12" xfId="1762"/>
    <cellStyle name="Cálculo 2 2 5 12 2" xfId="1763"/>
    <cellStyle name="Cálculo 2 2 5 13" xfId="1764"/>
    <cellStyle name="Cálculo 2 2 5 2" xfId="1765"/>
    <cellStyle name="Cálculo 2 2 5 2 10" xfId="1766"/>
    <cellStyle name="Cálculo 2 2 5 2 10 2" xfId="1767"/>
    <cellStyle name="Cálculo 2 2 5 2 11" xfId="1768"/>
    <cellStyle name="Cálculo 2 2 5 2 2" xfId="1769"/>
    <cellStyle name="Cálculo 2 2 5 2 2 2" xfId="1770"/>
    <cellStyle name="Cálculo 2 2 5 2 3" xfId="1771"/>
    <cellStyle name="Cálculo 2 2 5 2 3 2" xfId="1772"/>
    <cellStyle name="Cálculo 2 2 5 2 4" xfId="1773"/>
    <cellStyle name="Cálculo 2 2 5 2 4 2" xfId="1774"/>
    <cellStyle name="Cálculo 2 2 5 2 5" xfId="1775"/>
    <cellStyle name="Cálculo 2 2 5 2 5 2" xfId="1776"/>
    <cellStyle name="Cálculo 2 2 5 2 6" xfId="1777"/>
    <cellStyle name="Cálculo 2 2 5 2 6 2" xfId="1778"/>
    <cellStyle name="Cálculo 2 2 5 2 7" xfId="1779"/>
    <cellStyle name="Cálculo 2 2 5 2 7 2" xfId="1780"/>
    <cellStyle name="Cálculo 2 2 5 2 8" xfId="1781"/>
    <cellStyle name="Cálculo 2 2 5 2 8 2" xfId="1782"/>
    <cellStyle name="Cálculo 2 2 5 2 9" xfId="1783"/>
    <cellStyle name="Cálculo 2 2 5 2 9 2" xfId="1784"/>
    <cellStyle name="Cálculo 2 2 5 3" xfId="1785"/>
    <cellStyle name="Cálculo 2 2 5 3 10" xfId="1786"/>
    <cellStyle name="Cálculo 2 2 5 3 10 2" xfId="1787"/>
    <cellStyle name="Cálculo 2 2 5 3 11" xfId="1788"/>
    <cellStyle name="Cálculo 2 2 5 3 2" xfId="1789"/>
    <cellStyle name="Cálculo 2 2 5 3 2 2" xfId="1790"/>
    <cellStyle name="Cálculo 2 2 5 3 3" xfId="1791"/>
    <cellStyle name="Cálculo 2 2 5 3 3 2" xfId="1792"/>
    <cellStyle name="Cálculo 2 2 5 3 4" xfId="1793"/>
    <cellStyle name="Cálculo 2 2 5 3 4 2" xfId="1794"/>
    <cellStyle name="Cálculo 2 2 5 3 5" xfId="1795"/>
    <cellStyle name="Cálculo 2 2 5 3 5 2" xfId="1796"/>
    <cellStyle name="Cálculo 2 2 5 3 6" xfId="1797"/>
    <cellStyle name="Cálculo 2 2 5 3 6 2" xfId="1798"/>
    <cellStyle name="Cálculo 2 2 5 3 7" xfId="1799"/>
    <cellStyle name="Cálculo 2 2 5 3 7 2" xfId="1800"/>
    <cellStyle name="Cálculo 2 2 5 3 8" xfId="1801"/>
    <cellStyle name="Cálculo 2 2 5 3 8 2" xfId="1802"/>
    <cellStyle name="Cálculo 2 2 5 3 9" xfId="1803"/>
    <cellStyle name="Cálculo 2 2 5 3 9 2" xfId="1804"/>
    <cellStyle name="Cálculo 2 2 5 4" xfId="1805"/>
    <cellStyle name="Cálculo 2 2 5 4 2" xfId="1806"/>
    <cellStyle name="Cálculo 2 2 5 5" xfId="1807"/>
    <cellStyle name="Cálculo 2 2 5 5 2" xfId="1808"/>
    <cellStyle name="Cálculo 2 2 5 6" xfId="1809"/>
    <cellStyle name="Cálculo 2 2 5 6 2" xfId="1810"/>
    <cellStyle name="Cálculo 2 2 5 7" xfId="1811"/>
    <cellStyle name="Cálculo 2 2 5 7 2" xfId="1812"/>
    <cellStyle name="Cálculo 2 2 5 8" xfId="1813"/>
    <cellStyle name="Cálculo 2 2 5 8 2" xfId="1814"/>
    <cellStyle name="Cálculo 2 2 5 9" xfId="1815"/>
    <cellStyle name="Cálculo 2 2 5 9 2" xfId="1816"/>
    <cellStyle name="Cálculo 2 2 6" xfId="1817"/>
    <cellStyle name="Cálculo 2 2 6 2" xfId="1818"/>
    <cellStyle name="Cálculo 2 2 7" xfId="1819"/>
    <cellStyle name="Cálculo 2 2 7 2" xfId="1820"/>
    <cellStyle name="Cálculo 2 2 8" xfId="1821"/>
    <cellStyle name="Cálculo 2 2 8 2" xfId="1822"/>
    <cellStyle name="Cálculo 2 2 9" xfId="1823"/>
    <cellStyle name="Cálculo 2 2 9 2" xfId="1824"/>
    <cellStyle name="Cálculo 2 20" xfId="1825"/>
    <cellStyle name="Cálculo 2 21" xfId="1826"/>
    <cellStyle name="Cálculo 2 3" xfId="1068"/>
    <cellStyle name="Cálculo 2 3 10" xfId="1827"/>
    <cellStyle name="Cálculo 2 3 10 2" xfId="1828"/>
    <cellStyle name="Cálculo 2 3 11" xfId="1829"/>
    <cellStyle name="Cálculo 2 3 11 2" xfId="1830"/>
    <cellStyle name="Cálculo 2 3 12" xfId="1831"/>
    <cellStyle name="Cálculo 2 3 12 2" xfId="1832"/>
    <cellStyle name="Cálculo 2 3 13" xfId="1833"/>
    <cellStyle name="Cálculo 2 3 13 2" xfId="1834"/>
    <cellStyle name="Cálculo 2 3 14" xfId="1835"/>
    <cellStyle name="Cálculo 2 3 14 2" xfId="1836"/>
    <cellStyle name="Cálculo 2 3 15" xfId="1837"/>
    <cellStyle name="Cálculo 2 3 16" xfId="1838"/>
    <cellStyle name="Cálculo 2 3 17" xfId="1839"/>
    <cellStyle name="Cálculo 2 3 2" xfId="1840"/>
    <cellStyle name="Cálculo 2 3 2 10" xfId="1841"/>
    <cellStyle name="Cálculo 2 3 2 10 2" xfId="1842"/>
    <cellStyle name="Cálculo 2 3 2 11" xfId="1843"/>
    <cellStyle name="Cálculo 2 3 2 11 2" xfId="1844"/>
    <cellStyle name="Cálculo 2 3 2 12" xfId="1845"/>
    <cellStyle name="Cálculo 2 3 2 12 2" xfId="1846"/>
    <cellStyle name="Cálculo 2 3 2 13" xfId="1847"/>
    <cellStyle name="Cálculo 2 3 2 13 2" xfId="1848"/>
    <cellStyle name="Cálculo 2 3 2 14" xfId="1849"/>
    <cellStyle name="Cálculo 2 3 2 14 2" xfId="1850"/>
    <cellStyle name="Cálculo 2 3 2 15" xfId="1851"/>
    <cellStyle name="Cálculo 2 3 2 2" xfId="1852"/>
    <cellStyle name="Cálculo 2 3 2 2 10" xfId="1853"/>
    <cellStyle name="Cálculo 2 3 2 2 10 2" xfId="1854"/>
    <cellStyle name="Cálculo 2 3 2 2 11" xfId="1855"/>
    <cellStyle name="Cálculo 2 3 2 2 11 2" xfId="1856"/>
    <cellStyle name="Cálculo 2 3 2 2 12" xfId="1857"/>
    <cellStyle name="Cálculo 2 3 2 2 12 2" xfId="1858"/>
    <cellStyle name="Cálculo 2 3 2 2 13" xfId="1859"/>
    <cellStyle name="Cálculo 2 3 2 2 2" xfId="1860"/>
    <cellStyle name="Cálculo 2 3 2 2 2 10" xfId="1861"/>
    <cellStyle name="Cálculo 2 3 2 2 2 10 2" xfId="1862"/>
    <cellStyle name="Cálculo 2 3 2 2 2 11" xfId="1863"/>
    <cellStyle name="Cálculo 2 3 2 2 2 2" xfId="1864"/>
    <cellStyle name="Cálculo 2 3 2 2 2 2 2" xfId="1865"/>
    <cellStyle name="Cálculo 2 3 2 2 2 3" xfId="1866"/>
    <cellStyle name="Cálculo 2 3 2 2 2 3 2" xfId="1867"/>
    <cellStyle name="Cálculo 2 3 2 2 2 4" xfId="1868"/>
    <cellStyle name="Cálculo 2 3 2 2 2 4 2" xfId="1869"/>
    <cellStyle name="Cálculo 2 3 2 2 2 5" xfId="1870"/>
    <cellStyle name="Cálculo 2 3 2 2 2 5 2" xfId="1871"/>
    <cellStyle name="Cálculo 2 3 2 2 2 6" xfId="1872"/>
    <cellStyle name="Cálculo 2 3 2 2 2 6 2" xfId="1873"/>
    <cellStyle name="Cálculo 2 3 2 2 2 7" xfId="1874"/>
    <cellStyle name="Cálculo 2 3 2 2 2 7 2" xfId="1875"/>
    <cellStyle name="Cálculo 2 3 2 2 2 8" xfId="1876"/>
    <cellStyle name="Cálculo 2 3 2 2 2 8 2" xfId="1877"/>
    <cellStyle name="Cálculo 2 3 2 2 2 9" xfId="1878"/>
    <cellStyle name="Cálculo 2 3 2 2 2 9 2" xfId="1879"/>
    <cellStyle name="Cálculo 2 3 2 2 3" xfId="1880"/>
    <cellStyle name="Cálculo 2 3 2 2 3 10" xfId="1881"/>
    <cellStyle name="Cálculo 2 3 2 2 3 10 2" xfId="1882"/>
    <cellStyle name="Cálculo 2 3 2 2 3 11" xfId="1883"/>
    <cellStyle name="Cálculo 2 3 2 2 3 2" xfId="1884"/>
    <cellStyle name="Cálculo 2 3 2 2 3 2 2" xfId="1885"/>
    <cellStyle name="Cálculo 2 3 2 2 3 3" xfId="1886"/>
    <cellStyle name="Cálculo 2 3 2 2 3 3 2" xfId="1887"/>
    <cellStyle name="Cálculo 2 3 2 2 3 4" xfId="1888"/>
    <cellStyle name="Cálculo 2 3 2 2 3 4 2" xfId="1889"/>
    <cellStyle name="Cálculo 2 3 2 2 3 5" xfId="1890"/>
    <cellStyle name="Cálculo 2 3 2 2 3 5 2" xfId="1891"/>
    <cellStyle name="Cálculo 2 3 2 2 3 6" xfId="1892"/>
    <cellStyle name="Cálculo 2 3 2 2 3 6 2" xfId="1893"/>
    <cellStyle name="Cálculo 2 3 2 2 3 7" xfId="1894"/>
    <cellStyle name="Cálculo 2 3 2 2 3 7 2" xfId="1895"/>
    <cellStyle name="Cálculo 2 3 2 2 3 8" xfId="1896"/>
    <cellStyle name="Cálculo 2 3 2 2 3 8 2" xfId="1897"/>
    <cellStyle name="Cálculo 2 3 2 2 3 9" xfId="1898"/>
    <cellStyle name="Cálculo 2 3 2 2 3 9 2" xfId="1899"/>
    <cellStyle name="Cálculo 2 3 2 2 4" xfId="1900"/>
    <cellStyle name="Cálculo 2 3 2 2 4 2" xfId="1901"/>
    <cellStyle name="Cálculo 2 3 2 2 5" xfId="1902"/>
    <cellStyle name="Cálculo 2 3 2 2 5 2" xfId="1903"/>
    <cellStyle name="Cálculo 2 3 2 2 6" xfId="1904"/>
    <cellStyle name="Cálculo 2 3 2 2 6 2" xfId="1905"/>
    <cellStyle name="Cálculo 2 3 2 2 7" xfId="1906"/>
    <cellStyle name="Cálculo 2 3 2 2 7 2" xfId="1907"/>
    <cellStyle name="Cálculo 2 3 2 2 8" xfId="1908"/>
    <cellStyle name="Cálculo 2 3 2 2 8 2" xfId="1909"/>
    <cellStyle name="Cálculo 2 3 2 2 9" xfId="1910"/>
    <cellStyle name="Cálculo 2 3 2 2 9 2" xfId="1911"/>
    <cellStyle name="Cálculo 2 3 2 3" xfId="1912"/>
    <cellStyle name="Cálculo 2 3 2 3 10" xfId="1913"/>
    <cellStyle name="Cálculo 2 3 2 3 10 2" xfId="1914"/>
    <cellStyle name="Cálculo 2 3 2 3 11" xfId="1915"/>
    <cellStyle name="Cálculo 2 3 2 3 11 2" xfId="1916"/>
    <cellStyle name="Cálculo 2 3 2 3 12" xfId="1917"/>
    <cellStyle name="Cálculo 2 3 2 3 12 2" xfId="1918"/>
    <cellStyle name="Cálculo 2 3 2 3 13" xfId="1919"/>
    <cellStyle name="Cálculo 2 3 2 3 2" xfId="1920"/>
    <cellStyle name="Cálculo 2 3 2 3 2 10" xfId="1921"/>
    <cellStyle name="Cálculo 2 3 2 3 2 10 2" xfId="1922"/>
    <cellStyle name="Cálculo 2 3 2 3 2 11" xfId="1923"/>
    <cellStyle name="Cálculo 2 3 2 3 2 2" xfId="1924"/>
    <cellStyle name="Cálculo 2 3 2 3 2 2 2" xfId="1925"/>
    <cellStyle name="Cálculo 2 3 2 3 2 3" xfId="1926"/>
    <cellStyle name="Cálculo 2 3 2 3 2 3 2" xfId="1927"/>
    <cellStyle name="Cálculo 2 3 2 3 2 4" xfId="1928"/>
    <cellStyle name="Cálculo 2 3 2 3 2 4 2" xfId="1929"/>
    <cellStyle name="Cálculo 2 3 2 3 2 5" xfId="1930"/>
    <cellStyle name="Cálculo 2 3 2 3 2 5 2" xfId="1931"/>
    <cellStyle name="Cálculo 2 3 2 3 2 6" xfId="1932"/>
    <cellStyle name="Cálculo 2 3 2 3 2 6 2" xfId="1933"/>
    <cellStyle name="Cálculo 2 3 2 3 2 7" xfId="1934"/>
    <cellStyle name="Cálculo 2 3 2 3 2 7 2" xfId="1935"/>
    <cellStyle name="Cálculo 2 3 2 3 2 8" xfId="1936"/>
    <cellStyle name="Cálculo 2 3 2 3 2 8 2" xfId="1937"/>
    <cellStyle name="Cálculo 2 3 2 3 2 9" xfId="1938"/>
    <cellStyle name="Cálculo 2 3 2 3 2 9 2" xfId="1939"/>
    <cellStyle name="Cálculo 2 3 2 3 3" xfId="1940"/>
    <cellStyle name="Cálculo 2 3 2 3 3 10" xfId="1941"/>
    <cellStyle name="Cálculo 2 3 2 3 3 10 2" xfId="1942"/>
    <cellStyle name="Cálculo 2 3 2 3 3 11" xfId="1943"/>
    <cellStyle name="Cálculo 2 3 2 3 3 2" xfId="1944"/>
    <cellStyle name="Cálculo 2 3 2 3 3 2 2" xfId="1945"/>
    <cellStyle name="Cálculo 2 3 2 3 3 3" xfId="1946"/>
    <cellStyle name="Cálculo 2 3 2 3 3 3 2" xfId="1947"/>
    <cellStyle name="Cálculo 2 3 2 3 3 4" xfId="1948"/>
    <cellStyle name="Cálculo 2 3 2 3 3 4 2" xfId="1949"/>
    <cellStyle name="Cálculo 2 3 2 3 3 5" xfId="1950"/>
    <cellStyle name="Cálculo 2 3 2 3 3 5 2" xfId="1951"/>
    <cellStyle name="Cálculo 2 3 2 3 3 6" xfId="1952"/>
    <cellStyle name="Cálculo 2 3 2 3 3 6 2" xfId="1953"/>
    <cellStyle name="Cálculo 2 3 2 3 3 7" xfId="1954"/>
    <cellStyle name="Cálculo 2 3 2 3 3 7 2" xfId="1955"/>
    <cellStyle name="Cálculo 2 3 2 3 3 8" xfId="1956"/>
    <cellStyle name="Cálculo 2 3 2 3 3 8 2" xfId="1957"/>
    <cellStyle name="Cálculo 2 3 2 3 3 9" xfId="1958"/>
    <cellStyle name="Cálculo 2 3 2 3 3 9 2" xfId="1959"/>
    <cellStyle name="Cálculo 2 3 2 3 4" xfId="1960"/>
    <cellStyle name="Cálculo 2 3 2 3 4 2" xfId="1961"/>
    <cellStyle name="Cálculo 2 3 2 3 5" xfId="1962"/>
    <cellStyle name="Cálculo 2 3 2 3 5 2" xfId="1963"/>
    <cellStyle name="Cálculo 2 3 2 3 6" xfId="1964"/>
    <cellStyle name="Cálculo 2 3 2 3 6 2" xfId="1965"/>
    <cellStyle name="Cálculo 2 3 2 3 7" xfId="1966"/>
    <cellStyle name="Cálculo 2 3 2 3 7 2" xfId="1967"/>
    <cellStyle name="Cálculo 2 3 2 3 8" xfId="1968"/>
    <cellStyle name="Cálculo 2 3 2 3 8 2" xfId="1969"/>
    <cellStyle name="Cálculo 2 3 2 3 9" xfId="1970"/>
    <cellStyle name="Cálculo 2 3 2 3 9 2" xfId="1971"/>
    <cellStyle name="Cálculo 2 3 2 4" xfId="1972"/>
    <cellStyle name="Cálculo 2 3 2 4 10" xfId="1973"/>
    <cellStyle name="Cálculo 2 3 2 4 10 2" xfId="1974"/>
    <cellStyle name="Cálculo 2 3 2 4 11" xfId="1975"/>
    <cellStyle name="Cálculo 2 3 2 4 2" xfId="1976"/>
    <cellStyle name="Cálculo 2 3 2 4 2 2" xfId="1977"/>
    <cellStyle name="Cálculo 2 3 2 4 3" xfId="1978"/>
    <cellStyle name="Cálculo 2 3 2 4 3 2" xfId="1979"/>
    <cellStyle name="Cálculo 2 3 2 4 4" xfId="1980"/>
    <cellStyle name="Cálculo 2 3 2 4 4 2" xfId="1981"/>
    <cellStyle name="Cálculo 2 3 2 4 5" xfId="1982"/>
    <cellStyle name="Cálculo 2 3 2 4 5 2" xfId="1983"/>
    <cellStyle name="Cálculo 2 3 2 4 6" xfId="1984"/>
    <cellStyle name="Cálculo 2 3 2 4 6 2" xfId="1985"/>
    <cellStyle name="Cálculo 2 3 2 4 7" xfId="1986"/>
    <cellStyle name="Cálculo 2 3 2 4 7 2" xfId="1987"/>
    <cellStyle name="Cálculo 2 3 2 4 8" xfId="1988"/>
    <cellStyle name="Cálculo 2 3 2 4 8 2" xfId="1989"/>
    <cellStyle name="Cálculo 2 3 2 4 9" xfId="1990"/>
    <cellStyle name="Cálculo 2 3 2 4 9 2" xfId="1991"/>
    <cellStyle name="Cálculo 2 3 2 5" xfId="1992"/>
    <cellStyle name="Cálculo 2 3 2 5 10" xfId="1993"/>
    <cellStyle name="Cálculo 2 3 2 5 10 2" xfId="1994"/>
    <cellStyle name="Cálculo 2 3 2 5 11" xfId="1995"/>
    <cellStyle name="Cálculo 2 3 2 5 2" xfId="1996"/>
    <cellStyle name="Cálculo 2 3 2 5 2 2" xfId="1997"/>
    <cellStyle name="Cálculo 2 3 2 5 3" xfId="1998"/>
    <cellStyle name="Cálculo 2 3 2 5 3 2" xfId="1999"/>
    <cellStyle name="Cálculo 2 3 2 5 4" xfId="2000"/>
    <cellStyle name="Cálculo 2 3 2 5 4 2" xfId="2001"/>
    <cellStyle name="Cálculo 2 3 2 5 5" xfId="2002"/>
    <cellStyle name="Cálculo 2 3 2 5 5 2" xfId="2003"/>
    <cellStyle name="Cálculo 2 3 2 5 6" xfId="2004"/>
    <cellStyle name="Cálculo 2 3 2 5 6 2" xfId="2005"/>
    <cellStyle name="Cálculo 2 3 2 5 7" xfId="2006"/>
    <cellStyle name="Cálculo 2 3 2 5 7 2" xfId="2007"/>
    <cellStyle name="Cálculo 2 3 2 5 8" xfId="2008"/>
    <cellStyle name="Cálculo 2 3 2 5 8 2" xfId="2009"/>
    <cellStyle name="Cálculo 2 3 2 5 9" xfId="2010"/>
    <cellStyle name="Cálculo 2 3 2 5 9 2" xfId="2011"/>
    <cellStyle name="Cálculo 2 3 2 6" xfId="2012"/>
    <cellStyle name="Cálculo 2 3 2 6 2" xfId="2013"/>
    <cellStyle name="Cálculo 2 3 2 7" xfId="2014"/>
    <cellStyle name="Cálculo 2 3 2 7 2" xfId="2015"/>
    <cellStyle name="Cálculo 2 3 2 8" xfId="2016"/>
    <cellStyle name="Cálculo 2 3 2 8 2" xfId="2017"/>
    <cellStyle name="Cálculo 2 3 2 9" xfId="2018"/>
    <cellStyle name="Cálculo 2 3 2 9 2" xfId="2019"/>
    <cellStyle name="Cálculo 2 3 3" xfId="2020"/>
    <cellStyle name="Cálculo 2 3 3 10" xfId="2021"/>
    <cellStyle name="Cálculo 2 3 3 10 2" xfId="2022"/>
    <cellStyle name="Cálculo 2 3 3 11" xfId="2023"/>
    <cellStyle name="Cálculo 2 3 3 11 2" xfId="2024"/>
    <cellStyle name="Cálculo 2 3 3 12" xfId="2025"/>
    <cellStyle name="Cálculo 2 3 3 12 2" xfId="2026"/>
    <cellStyle name="Cálculo 2 3 3 13" xfId="2027"/>
    <cellStyle name="Cálculo 2 3 3 13 2" xfId="2028"/>
    <cellStyle name="Cálculo 2 3 3 14" xfId="2029"/>
    <cellStyle name="Cálculo 2 3 3 14 2" xfId="2030"/>
    <cellStyle name="Cálculo 2 3 3 15" xfId="2031"/>
    <cellStyle name="Cálculo 2 3 3 2" xfId="2032"/>
    <cellStyle name="Cálculo 2 3 3 2 10" xfId="2033"/>
    <cellStyle name="Cálculo 2 3 3 2 10 2" xfId="2034"/>
    <cellStyle name="Cálculo 2 3 3 2 11" xfId="2035"/>
    <cellStyle name="Cálculo 2 3 3 2 11 2" xfId="2036"/>
    <cellStyle name="Cálculo 2 3 3 2 12" xfId="2037"/>
    <cellStyle name="Cálculo 2 3 3 2 12 2" xfId="2038"/>
    <cellStyle name="Cálculo 2 3 3 2 13" xfId="2039"/>
    <cellStyle name="Cálculo 2 3 3 2 2" xfId="2040"/>
    <cellStyle name="Cálculo 2 3 3 2 2 10" xfId="2041"/>
    <cellStyle name="Cálculo 2 3 3 2 2 10 2" xfId="2042"/>
    <cellStyle name="Cálculo 2 3 3 2 2 11" xfId="2043"/>
    <cellStyle name="Cálculo 2 3 3 2 2 2" xfId="2044"/>
    <cellStyle name="Cálculo 2 3 3 2 2 2 2" xfId="2045"/>
    <cellStyle name="Cálculo 2 3 3 2 2 3" xfId="2046"/>
    <cellStyle name="Cálculo 2 3 3 2 2 3 2" xfId="2047"/>
    <cellStyle name="Cálculo 2 3 3 2 2 4" xfId="2048"/>
    <cellStyle name="Cálculo 2 3 3 2 2 4 2" xfId="2049"/>
    <cellStyle name="Cálculo 2 3 3 2 2 5" xfId="2050"/>
    <cellStyle name="Cálculo 2 3 3 2 2 5 2" xfId="2051"/>
    <cellStyle name="Cálculo 2 3 3 2 2 6" xfId="2052"/>
    <cellStyle name="Cálculo 2 3 3 2 2 6 2" xfId="2053"/>
    <cellStyle name="Cálculo 2 3 3 2 2 7" xfId="2054"/>
    <cellStyle name="Cálculo 2 3 3 2 2 7 2" xfId="2055"/>
    <cellStyle name="Cálculo 2 3 3 2 2 8" xfId="2056"/>
    <cellStyle name="Cálculo 2 3 3 2 2 8 2" xfId="2057"/>
    <cellStyle name="Cálculo 2 3 3 2 2 9" xfId="2058"/>
    <cellStyle name="Cálculo 2 3 3 2 2 9 2" xfId="2059"/>
    <cellStyle name="Cálculo 2 3 3 2 3" xfId="2060"/>
    <cellStyle name="Cálculo 2 3 3 2 3 10" xfId="2061"/>
    <cellStyle name="Cálculo 2 3 3 2 3 10 2" xfId="2062"/>
    <cellStyle name="Cálculo 2 3 3 2 3 11" xfId="2063"/>
    <cellStyle name="Cálculo 2 3 3 2 3 2" xfId="2064"/>
    <cellStyle name="Cálculo 2 3 3 2 3 2 2" xfId="2065"/>
    <cellStyle name="Cálculo 2 3 3 2 3 3" xfId="2066"/>
    <cellStyle name="Cálculo 2 3 3 2 3 3 2" xfId="2067"/>
    <cellStyle name="Cálculo 2 3 3 2 3 4" xfId="2068"/>
    <cellStyle name="Cálculo 2 3 3 2 3 4 2" xfId="2069"/>
    <cellStyle name="Cálculo 2 3 3 2 3 5" xfId="2070"/>
    <cellStyle name="Cálculo 2 3 3 2 3 5 2" xfId="2071"/>
    <cellStyle name="Cálculo 2 3 3 2 3 6" xfId="2072"/>
    <cellStyle name="Cálculo 2 3 3 2 3 6 2" xfId="2073"/>
    <cellStyle name="Cálculo 2 3 3 2 3 7" xfId="2074"/>
    <cellStyle name="Cálculo 2 3 3 2 3 7 2" xfId="2075"/>
    <cellStyle name="Cálculo 2 3 3 2 3 8" xfId="2076"/>
    <cellStyle name="Cálculo 2 3 3 2 3 8 2" xfId="2077"/>
    <cellStyle name="Cálculo 2 3 3 2 3 9" xfId="2078"/>
    <cellStyle name="Cálculo 2 3 3 2 3 9 2" xfId="2079"/>
    <cellStyle name="Cálculo 2 3 3 2 4" xfId="2080"/>
    <cellStyle name="Cálculo 2 3 3 2 4 2" xfId="2081"/>
    <cellStyle name="Cálculo 2 3 3 2 5" xfId="2082"/>
    <cellStyle name="Cálculo 2 3 3 2 5 2" xfId="2083"/>
    <cellStyle name="Cálculo 2 3 3 2 6" xfId="2084"/>
    <cellStyle name="Cálculo 2 3 3 2 6 2" xfId="2085"/>
    <cellStyle name="Cálculo 2 3 3 2 7" xfId="2086"/>
    <cellStyle name="Cálculo 2 3 3 2 7 2" xfId="2087"/>
    <cellStyle name="Cálculo 2 3 3 2 8" xfId="2088"/>
    <cellStyle name="Cálculo 2 3 3 2 8 2" xfId="2089"/>
    <cellStyle name="Cálculo 2 3 3 2 9" xfId="2090"/>
    <cellStyle name="Cálculo 2 3 3 2 9 2" xfId="2091"/>
    <cellStyle name="Cálculo 2 3 3 3" xfId="2092"/>
    <cellStyle name="Cálculo 2 3 3 3 10" xfId="2093"/>
    <cellStyle name="Cálculo 2 3 3 3 10 2" xfId="2094"/>
    <cellStyle name="Cálculo 2 3 3 3 11" xfId="2095"/>
    <cellStyle name="Cálculo 2 3 3 3 11 2" xfId="2096"/>
    <cellStyle name="Cálculo 2 3 3 3 12" xfId="2097"/>
    <cellStyle name="Cálculo 2 3 3 3 12 2" xfId="2098"/>
    <cellStyle name="Cálculo 2 3 3 3 13" xfId="2099"/>
    <cellStyle name="Cálculo 2 3 3 3 2" xfId="2100"/>
    <cellStyle name="Cálculo 2 3 3 3 2 10" xfId="2101"/>
    <cellStyle name="Cálculo 2 3 3 3 2 10 2" xfId="2102"/>
    <cellStyle name="Cálculo 2 3 3 3 2 11" xfId="2103"/>
    <cellStyle name="Cálculo 2 3 3 3 2 2" xfId="2104"/>
    <cellStyle name="Cálculo 2 3 3 3 2 2 2" xfId="2105"/>
    <cellStyle name="Cálculo 2 3 3 3 2 3" xfId="2106"/>
    <cellStyle name="Cálculo 2 3 3 3 2 3 2" xfId="2107"/>
    <cellStyle name="Cálculo 2 3 3 3 2 4" xfId="2108"/>
    <cellStyle name="Cálculo 2 3 3 3 2 4 2" xfId="2109"/>
    <cellStyle name="Cálculo 2 3 3 3 2 5" xfId="2110"/>
    <cellStyle name="Cálculo 2 3 3 3 2 5 2" xfId="2111"/>
    <cellStyle name="Cálculo 2 3 3 3 2 6" xfId="2112"/>
    <cellStyle name="Cálculo 2 3 3 3 2 6 2" xfId="2113"/>
    <cellStyle name="Cálculo 2 3 3 3 2 7" xfId="2114"/>
    <cellStyle name="Cálculo 2 3 3 3 2 7 2" xfId="2115"/>
    <cellStyle name="Cálculo 2 3 3 3 2 8" xfId="2116"/>
    <cellStyle name="Cálculo 2 3 3 3 2 8 2" xfId="2117"/>
    <cellStyle name="Cálculo 2 3 3 3 2 9" xfId="2118"/>
    <cellStyle name="Cálculo 2 3 3 3 2 9 2" xfId="2119"/>
    <cellStyle name="Cálculo 2 3 3 3 3" xfId="2120"/>
    <cellStyle name="Cálculo 2 3 3 3 3 10" xfId="2121"/>
    <cellStyle name="Cálculo 2 3 3 3 3 10 2" xfId="2122"/>
    <cellStyle name="Cálculo 2 3 3 3 3 11" xfId="2123"/>
    <cellStyle name="Cálculo 2 3 3 3 3 2" xfId="2124"/>
    <cellStyle name="Cálculo 2 3 3 3 3 2 2" xfId="2125"/>
    <cellStyle name="Cálculo 2 3 3 3 3 3" xfId="2126"/>
    <cellStyle name="Cálculo 2 3 3 3 3 3 2" xfId="2127"/>
    <cellStyle name="Cálculo 2 3 3 3 3 4" xfId="2128"/>
    <cellStyle name="Cálculo 2 3 3 3 3 4 2" xfId="2129"/>
    <cellStyle name="Cálculo 2 3 3 3 3 5" xfId="2130"/>
    <cellStyle name="Cálculo 2 3 3 3 3 5 2" xfId="2131"/>
    <cellStyle name="Cálculo 2 3 3 3 3 6" xfId="2132"/>
    <cellStyle name="Cálculo 2 3 3 3 3 6 2" xfId="2133"/>
    <cellStyle name="Cálculo 2 3 3 3 3 7" xfId="2134"/>
    <cellStyle name="Cálculo 2 3 3 3 3 7 2" xfId="2135"/>
    <cellStyle name="Cálculo 2 3 3 3 3 8" xfId="2136"/>
    <cellStyle name="Cálculo 2 3 3 3 3 8 2" xfId="2137"/>
    <cellStyle name="Cálculo 2 3 3 3 3 9" xfId="2138"/>
    <cellStyle name="Cálculo 2 3 3 3 3 9 2" xfId="2139"/>
    <cellStyle name="Cálculo 2 3 3 3 4" xfId="2140"/>
    <cellStyle name="Cálculo 2 3 3 3 4 2" xfId="2141"/>
    <cellStyle name="Cálculo 2 3 3 3 5" xfId="2142"/>
    <cellStyle name="Cálculo 2 3 3 3 5 2" xfId="2143"/>
    <cellStyle name="Cálculo 2 3 3 3 6" xfId="2144"/>
    <cellStyle name="Cálculo 2 3 3 3 6 2" xfId="2145"/>
    <cellStyle name="Cálculo 2 3 3 3 7" xfId="2146"/>
    <cellStyle name="Cálculo 2 3 3 3 7 2" xfId="2147"/>
    <cellStyle name="Cálculo 2 3 3 3 8" xfId="2148"/>
    <cellStyle name="Cálculo 2 3 3 3 8 2" xfId="2149"/>
    <cellStyle name="Cálculo 2 3 3 3 9" xfId="2150"/>
    <cellStyle name="Cálculo 2 3 3 3 9 2" xfId="2151"/>
    <cellStyle name="Cálculo 2 3 3 4" xfId="2152"/>
    <cellStyle name="Cálculo 2 3 3 4 10" xfId="2153"/>
    <cellStyle name="Cálculo 2 3 3 4 10 2" xfId="2154"/>
    <cellStyle name="Cálculo 2 3 3 4 11" xfId="2155"/>
    <cellStyle name="Cálculo 2 3 3 4 2" xfId="2156"/>
    <cellStyle name="Cálculo 2 3 3 4 2 2" xfId="2157"/>
    <cellStyle name="Cálculo 2 3 3 4 3" xfId="2158"/>
    <cellStyle name="Cálculo 2 3 3 4 3 2" xfId="2159"/>
    <cellStyle name="Cálculo 2 3 3 4 4" xfId="2160"/>
    <cellStyle name="Cálculo 2 3 3 4 4 2" xfId="2161"/>
    <cellStyle name="Cálculo 2 3 3 4 5" xfId="2162"/>
    <cellStyle name="Cálculo 2 3 3 4 5 2" xfId="2163"/>
    <cellStyle name="Cálculo 2 3 3 4 6" xfId="2164"/>
    <cellStyle name="Cálculo 2 3 3 4 6 2" xfId="2165"/>
    <cellStyle name="Cálculo 2 3 3 4 7" xfId="2166"/>
    <cellStyle name="Cálculo 2 3 3 4 7 2" xfId="2167"/>
    <cellStyle name="Cálculo 2 3 3 4 8" xfId="2168"/>
    <cellStyle name="Cálculo 2 3 3 4 8 2" xfId="2169"/>
    <cellStyle name="Cálculo 2 3 3 4 9" xfId="2170"/>
    <cellStyle name="Cálculo 2 3 3 4 9 2" xfId="2171"/>
    <cellStyle name="Cálculo 2 3 3 5" xfId="2172"/>
    <cellStyle name="Cálculo 2 3 3 5 10" xfId="2173"/>
    <cellStyle name="Cálculo 2 3 3 5 10 2" xfId="2174"/>
    <cellStyle name="Cálculo 2 3 3 5 11" xfId="2175"/>
    <cellStyle name="Cálculo 2 3 3 5 2" xfId="2176"/>
    <cellStyle name="Cálculo 2 3 3 5 2 2" xfId="2177"/>
    <cellStyle name="Cálculo 2 3 3 5 3" xfId="2178"/>
    <cellStyle name="Cálculo 2 3 3 5 3 2" xfId="2179"/>
    <cellStyle name="Cálculo 2 3 3 5 4" xfId="2180"/>
    <cellStyle name="Cálculo 2 3 3 5 4 2" xfId="2181"/>
    <cellStyle name="Cálculo 2 3 3 5 5" xfId="2182"/>
    <cellStyle name="Cálculo 2 3 3 5 5 2" xfId="2183"/>
    <cellStyle name="Cálculo 2 3 3 5 6" xfId="2184"/>
    <cellStyle name="Cálculo 2 3 3 5 6 2" xfId="2185"/>
    <cellStyle name="Cálculo 2 3 3 5 7" xfId="2186"/>
    <cellStyle name="Cálculo 2 3 3 5 7 2" xfId="2187"/>
    <cellStyle name="Cálculo 2 3 3 5 8" xfId="2188"/>
    <cellStyle name="Cálculo 2 3 3 5 8 2" xfId="2189"/>
    <cellStyle name="Cálculo 2 3 3 5 9" xfId="2190"/>
    <cellStyle name="Cálculo 2 3 3 5 9 2" xfId="2191"/>
    <cellStyle name="Cálculo 2 3 3 6" xfId="2192"/>
    <cellStyle name="Cálculo 2 3 3 6 2" xfId="2193"/>
    <cellStyle name="Cálculo 2 3 3 7" xfId="2194"/>
    <cellStyle name="Cálculo 2 3 3 7 2" xfId="2195"/>
    <cellStyle name="Cálculo 2 3 3 8" xfId="2196"/>
    <cellStyle name="Cálculo 2 3 3 8 2" xfId="2197"/>
    <cellStyle name="Cálculo 2 3 3 9" xfId="2198"/>
    <cellStyle name="Cálculo 2 3 3 9 2" xfId="2199"/>
    <cellStyle name="Cálculo 2 3 4" xfId="2200"/>
    <cellStyle name="Cálculo 2 3 4 10" xfId="2201"/>
    <cellStyle name="Cálculo 2 3 4 10 2" xfId="2202"/>
    <cellStyle name="Cálculo 2 3 4 11" xfId="2203"/>
    <cellStyle name="Cálculo 2 3 4 11 2" xfId="2204"/>
    <cellStyle name="Cálculo 2 3 4 12" xfId="2205"/>
    <cellStyle name="Cálculo 2 3 4 12 2" xfId="2206"/>
    <cellStyle name="Cálculo 2 3 4 13" xfId="2207"/>
    <cellStyle name="Cálculo 2 3 4 2" xfId="2208"/>
    <cellStyle name="Cálculo 2 3 4 2 10" xfId="2209"/>
    <cellStyle name="Cálculo 2 3 4 2 10 2" xfId="2210"/>
    <cellStyle name="Cálculo 2 3 4 2 11" xfId="2211"/>
    <cellStyle name="Cálculo 2 3 4 2 2" xfId="2212"/>
    <cellStyle name="Cálculo 2 3 4 2 2 2" xfId="2213"/>
    <cellStyle name="Cálculo 2 3 4 2 3" xfId="2214"/>
    <cellStyle name="Cálculo 2 3 4 2 3 2" xfId="2215"/>
    <cellStyle name="Cálculo 2 3 4 2 4" xfId="2216"/>
    <cellStyle name="Cálculo 2 3 4 2 4 2" xfId="2217"/>
    <cellStyle name="Cálculo 2 3 4 2 5" xfId="2218"/>
    <cellStyle name="Cálculo 2 3 4 2 5 2" xfId="2219"/>
    <cellStyle name="Cálculo 2 3 4 2 6" xfId="2220"/>
    <cellStyle name="Cálculo 2 3 4 2 6 2" xfId="2221"/>
    <cellStyle name="Cálculo 2 3 4 2 7" xfId="2222"/>
    <cellStyle name="Cálculo 2 3 4 2 7 2" xfId="2223"/>
    <cellStyle name="Cálculo 2 3 4 2 8" xfId="2224"/>
    <cellStyle name="Cálculo 2 3 4 2 8 2" xfId="2225"/>
    <cellStyle name="Cálculo 2 3 4 2 9" xfId="2226"/>
    <cellStyle name="Cálculo 2 3 4 2 9 2" xfId="2227"/>
    <cellStyle name="Cálculo 2 3 4 3" xfId="2228"/>
    <cellStyle name="Cálculo 2 3 4 3 10" xfId="2229"/>
    <cellStyle name="Cálculo 2 3 4 3 10 2" xfId="2230"/>
    <cellStyle name="Cálculo 2 3 4 3 11" xfId="2231"/>
    <cellStyle name="Cálculo 2 3 4 3 2" xfId="2232"/>
    <cellStyle name="Cálculo 2 3 4 3 2 2" xfId="2233"/>
    <cellStyle name="Cálculo 2 3 4 3 3" xfId="2234"/>
    <cellStyle name="Cálculo 2 3 4 3 3 2" xfId="2235"/>
    <cellStyle name="Cálculo 2 3 4 3 4" xfId="2236"/>
    <cellStyle name="Cálculo 2 3 4 3 4 2" xfId="2237"/>
    <cellStyle name="Cálculo 2 3 4 3 5" xfId="2238"/>
    <cellStyle name="Cálculo 2 3 4 3 5 2" xfId="2239"/>
    <cellStyle name="Cálculo 2 3 4 3 6" xfId="2240"/>
    <cellStyle name="Cálculo 2 3 4 3 6 2" xfId="2241"/>
    <cellStyle name="Cálculo 2 3 4 3 7" xfId="2242"/>
    <cellStyle name="Cálculo 2 3 4 3 7 2" xfId="2243"/>
    <cellStyle name="Cálculo 2 3 4 3 8" xfId="2244"/>
    <cellStyle name="Cálculo 2 3 4 3 8 2" xfId="2245"/>
    <cellStyle name="Cálculo 2 3 4 3 9" xfId="2246"/>
    <cellStyle name="Cálculo 2 3 4 3 9 2" xfId="2247"/>
    <cellStyle name="Cálculo 2 3 4 4" xfId="2248"/>
    <cellStyle name="Cálculo 2 3 4 4 2" xfId="2249"/>
    <cellStyle name="Cálculo 2 3 4 5" xfId="2250"/>
    <cellStyle name="Cálculo 2 3 4 5 2" xfId="2251"/>
    <cellStyle name="Cálculo 2 3 4 6" xfId="2252"/>
    <cellStyle name="Cálculo 2 3 4 6 2" xfId="2253"/>
    <cellStyle name="Cálculo 2 3 4 7" xfId="2254"/>
    <cellStyle name="Cálculo 2 3 4 7 2" xfId="2255"/>
    <cellStyle name="Cálculo 2 3 4 8" xfId="2256"/>
    <cellStyle name="Cálculo 2 3 4 8 2" xfId="2257"/>
    <cellStyle name="Cálculo 2 3 4 9" xfId="2258"/>
    <cellStyle name="Cálculo 2 3 4 9 2" xfId="2259"/>
    <cellStyle name="Cálculo 2 3 5" xfId="2260"/>
    <cellStyle name="Cálculo 2 3 5 10" xfId="2261"/>
    <cellStyle name="Cálculo 2 3 5 10 2" xfId="2262"/>
    <cellStyle name="Cálculo 2 3 5 11" xfId="2263"/>
    <cellStyle name="Cálculo 2 3 5 11 2" xfId="2264"/>
    <cellStyle name="Cálculo 2 3 5 12" xfId="2265"/>
    <cellStyle name="Cálculo 2 3 5 12 2" xfId="2266"/>
    <cellStyle name="Cálculo 2 3 5 13" xfId="2267"/>
    <cellStyle name="Cálculo 2 3 5 2" xfId="2268"/>
    <cellStyle name="Cálculo 2 3 5 2 10" xfId="2269"/>
    <cellStyle name="Cálculo 2 3 5 2 10 2" xfId="2270"/>
    <cellStyle name="Cálculo 2 3 5 2 11" xfId="2271"/>
    <cellStyle name="Cálculo 2 3 5 2 2" xfId="2272"/>
    <cellStyle name="Cálculo 2 3 5 2 2 2" xfId="2273"/>
    <cellStyle name="Cálculo 2 3 5 2 3" xfId="2274"/>
    <cellStyle name="Cálculo 2 3 5 2 3 2" xfId="2275"/>
    <cellStyle name="Cálculo 2 3 5 2 4" xfId="2276"/>
    <cellStyle name="Cálculo 2 3 5 2 4 2" xfId="2277"/>
    <cellStyle name="Cálculo 2 3 5 2 5" xfId="2278"/>
    <cellStyle name="Cálculo 2 3 5 2 5 2" xfId="2279"/>
    <cellStyle name="Cálculo 2 3 5 2 6" xfId="2280"/>
    <cellStyle name="Cálculo 2 3 5 2 6 2" xfId="2281"/>
    <cellStyle name="Cálculo 2 3 5 2 7" xfId="2282"/>
    <cellStyle name="Cálculo 2 3 5 2 7 2" xfId="2283"/>
    <cellStyle name="Cálculo 2 3 5 2 8" xfId="2284"/>
    <cellStyle name="Cálculo 2 3 5 2 8 2" xfId="2285"/>
    <cellStyle name="Cálculo 2 3 5 2 9" xfId="2286"/>
    <cellStyle name="Cálculo 2 3 5 2 9 2" xfId="2287"/>
    <cellStyle name="Cálculo 2 3 5 3" xfId="2288"/>
    <cellStyle name="Cálculo 2 3 5 3 10" xfId="2289"/>
    <cellStyle name="Cálculo 2 3 5 3 10 2" xfId="2290"/>
    <cellStyle name="Cálculo 2 3 5 3 11" xfId="2291"/>
    <cellStyle name="Cálculo 2 3 5 3 2" xfId="2292"/>
    <cellStyle name="Cálculo 2 3 5 3 2 2" xfId="2293"/>
    <cellStyle name="Cálculo 2 3 5 3 3" xfId="2294"/>
    <cellStyle name="Cálculo 2 3 5 3 3 2" xfId="2295"/>
    <cellStyle name="Cálculo 2 3 5 3 4" xfId="2296"/>
    <cellStyle name="Cálculo 2 3 5 3 4 2" xfId="2297"/>
    <cellStyle name="Cálculo 2 3 5 3 5" xfId="2298"/>
    <cellStyle name="Cálculo 2 3 5 3 5 2" xfId="2299"/>
    <cellStyle name="Cálculo 2 3 5 3 6" xfId="2300"/>
    <cellStyle name="Cálculo 2 3 5 3 6 2" xfId="2301"/>
    <cellStyle name="Cálculo 2 3 5 3 7" xfId="2302"/>
    <cellStyle name="Cálculo 2 3 5 3 7 2" xfId="2303"/>
    <cellStyle name="Cálculo 2 3 5 3 8" xfId="2304"/>
    <cellStyle name="Cálculo 2 3 5 3 8 2" xfId="2305"/>
    <cellStyle name="Cálculo 2 3 5 3 9" xfId="2306"/>
    <cellStyle name="Cálculo 2 3 5 3 9 2" xfId="2307"/>
    <cellStyle name="Cálculo 2 3 5 4" xfId="2308"/>
    <cellStyle name="Cálculo 2 3 5 4 2" xfId="2309"/>
    <cellStyle name="Cálculo 2 3 5 5" xfId="2310"/>
    <cellStyle name="Cálculo 2 3 5 5 2" xfId="2311"/>
    <cellStyle name="Cálculo 2 3 5 6" xfId="2312"/>
    <cellStyle name="Cálculo 2 3 5 6 2" xfId="2313"/>
    <cellStyle name="Cálculo 2 3 5 7" xfId="2314"/>
    <cellStyle name="Cálculo 2 3 5 7 2" xfId="2315"/>
    <cellStyle name="Cálculo 2 3 5 8" xfId="2316"/>
    <cellStyle name="Cálculo 2 3 5 8 2" xfId="2317"/>
    <cellStyle name="Cálculo 2 3 5 9" xfId="2318"/>
    <cellStyle name="Cálculo 2 3 5 9 2" xfId="2319"/>
    <cellStyle name="Cálculo 2 3 6" xfId="2320"/>
    <cellStyle name="Cálculo 2 3 6 2" xfId="2321"/>
    <cellStyle name="Cálculo 2 3 7" xfId="2322"/>
    <cellStyle name="Cálculo 2 3 7 2" xfId="2323"/>
    <cellStyle name="Cálculo 2 3 8" xfId="2324"/>
    <cellStyle name="Cálculo 2 3 8 2" xfId="2325"/>
    <cellStyle name="Cálculo 2 3 9" xfId="2326"/>
    <cellStyle name="Cálculo 2 3 9 2" xfId="2327"/>
    <cellStyle name="Cálculo 2 4" xfId="2328"/>
    <cellStyle name="Cálculo 2 4 10" xfId="2329"/>
    <cellStyle name="Cálculo 2 4 10 2" xfId="2330"/>
    <cellStyle name="Cálculo 2 4 11" xfId="2331"/>
    <cellStyle name="Cálculo 2 4 11 2" xfId="2332"/>
    <cellStyle name="Cálculo 2 4 12" xfId="2333"/>
    <cellStyle name="Cálculo 2 4 12 2" xfId="2334"/>
    <cellStyle name="Cálculo 2 4 13" xfId="2335"/>
    <cellStyle name="Cálculo 2 4 13 2" xfId="2336"/>
    <cellStyle name="Cálculo 2 4 14" xfId="2337"/>
    <cellStyle name="Cálculo 2 4 14 2" xfId="2338"/>
    <cellStyle name="Cálculo 2 4 15" xfId="2339"/>
    <cellStyle name="Cálculo 2 4 2" xfId="2340"/>
    <cellStyle name="Cálculo 2 4 2 10" xfId="2341"/>
    <cellStyle name="Cálculo 2 4 2 10 2" xfId="2342"/>
    <cellStyle name="Cálculo 2 4 2 11" xfId="2343"/>
    <cellStyle name="Cálculo 2 4 2 11 2" xfId="2344"/>
    <cellStyle name="Cálculo 2 4 2 12" xfId="2345"/>
    <cellStyle name="Cálculo 2 4 2 12 2" xfId="2346"/>
    <cellStyle name="Cálculo 2 4 2 13" xfId="2347"/>
    <cellStyle name="Cálculo 2 4 2 2" xfId="2348"/>
    <cellStyle name="Cálculo 2 4 2 2 10" xfId="2349"/>
    <cellStyle name="Cálculo 2 4 2 2 10 2" xfId="2350"/>
    <cellStyle name="Cálculo 2 4 2 2 11" xfId="2351"/>
    <cellStyle name="Cálculo 2 4 2 2 2" xfId="2352"/>
    <cellStyle name="Cálculo 2 4 2 2 2 2" xfId="2353"/>
    <cellStyle name="Cálculo 2 4 2 2 3" xfId="2354"/>
    <cellStyle name="Cálculo 2 4 2 2 3 2" xfId="2355"/>
    <cellStyle name="Cálculo 2 4 2 2 4" xfId="2356"/>
    <cellStyle name="Cálculo 2 4 2 2 4 2" xfId="2357"/>
    <cellStyle name="Cálculo 2 4 2 2 5" xfId="2358"/>
    <cellStyle name="Cálculo 2 4 2 2 5 2" xfId="2359"/>
    <cellStyle name="Cálculo 2 4 2 2 6" xfId="2360"/>
    <cellStyle name="Cálculo 2 4 2 2 6 2" xfId="2361"/>
    <cellStyle name="Cálculo 2 4 2 2 7" xfId="2362"/>
    <cellStyle name="Cálculo 2 4 2 2 7 2" xfId="2363"/>
    <cellStyle name="Cálculo 2 4 2 2 8" xfId="2364"/>
    <cellStyle name="Cálculo 2 4 2 2 8 2" xfId="2365"/>
    <cellStyle name="Cálculo 2 4 2 2 9" xfId="2366"/>
    <cellStyle name="Cálculo 2 4 2 2 9 2" xfId="2367"/>
    <cellStyle name="Cálculo 2 4 2 3" xfId="2368"/>
    <cellStyle name="Cálculo 2 4 2 3 10" xfId="2369"/>
    <cellStyle name="Cálculo 2 4 2 3 10 2" xfId="2370"/>
    <cellStyle name="Cálculo 2 4 2 3 11" xfId="2371"/>
    <cellStyle name="Cálculo 2 4 2 3 2" xfId="2372"/>
    <cellStyle name="Cálculo 2 4 2 3 2 2" xfId="2373"/>
    <cellStyle name="Cálculo 2 4 2 3 3" xfId="2374"/>
    <cellStyle name="Cálculo 2 4 2 3 3 2" xfId="2375"/>
    <cellStyle name="Cálculo 2 4 2 3 4" xfId="2376"/>
    <cellStyle name="Cálculo 2 4 2 3 4 2" xfId="2377"/>
    <cellStyle name="Cálculo 2 4 2 3 5" xfId="2378"/>
    <cellStyle name="Cálculo 2 4 2 3 5 2" xfId="2379"/>
    <cellStyle name="Cálculo 2 4 2 3 6" xfId="2380"/>
    <cellStyle name="Cálculo 2 4 2 3 6 2" xfId="2381"/>
    <cellStyle name="Cálculo 2 4 2 3 7" xfId="2382"/>
    <cellStyle name="Cálculo 2 4 2 3 7 2" xfId="2383"/>
    <cellStyle name="Cálculo 2 4 2 3 8" xfId="2384"/>
    <cellStyle name="Cálculo 2 4 2 3 8 2" xfId="2385"/>
    <cellStyle name="Cálculo 2 4 2 3 9" xfId="2386"/>
    <cellStyle name="Cálculo 2 4 2 3 9 2" xfId="2387"/>
    <cellStyle name="Cálculo 2 4 2 4" xfId="2388"/>
    <cellStyle name="Cálculo 2 4 2 4 2" xfId="2389"/>
    <cellStyle name="Cálculo 2 4 2 5" xfId="2390"/>
    <cellStyle name="Cálculo 2 4 2 5 2" xfId="2391"/>
    <cellStyle name="Cálculo 2 4 2 6" xfId="2392"/>
    <cellStyle name="Cálculo 2 4 2 6 2" xfId="2393"/>
    <cellStyle name="Cálculo 2 4 2 7" xfId="2394"/>
    <cellStyle name="Cálculo 2 4 2 7 2" xfId="2395"/>
    <cellStyle name="Cálculo 2 4 2 8" xfId="2396"/>
    <cellStyle name="Cálculo 2 4 2 8 2" xfId="2397"/>
    <cellStyle name="Cálculo 2 4 2 9" xfId="2398"/>
    <cellStyle name="Cálculo 2 4 2 9 2" xfId="2399"/>
    <cellStyle name="Cálculo 2 4 3" xfId="2400"/>
    <cellStyle name="Cálculo 2 4 3 10" xfId="2401"/>
    <cellStyle name="Cálculo 2 4 3 10 2" xfId="2402"/>
    <cellStyle name="Cálculo 2 4 3 11" xfId="2403"/>
    <cellStyle name="Cálculo 2 4 3 11 2" xfId="2404"/>
    <cellStyle name="Cálculo 2 4 3 12" xfId="2405"/>
    <cellStyle name="Cálculo 2 4 3 12 2" xfId="2406"/>
    <cellStyle name="Cálculo 2 4 3 13" xfId="2407"/>
    <cellStyle name="Cálculo 2 4 3 2" xfId="2408"/>
    <cellStyle name="Cálculo 2 4 3 2 10" xfId="2409"/>
    <cellStyle name="Cálculo 2 4 3 2 10 2" xfId="2410"/>
    <cellStyle name="Cálculo 2 4 3 2 11" xfId="2411"/>
    <cellStyle name="Cálculo 2 4 3 2 2" xfId="2412"/>
    <cellStyle name="Cálculo 2 4 3 2 2 2" xfId="2413"/>
    <cellStyle name="Cálculo 2 4 3 2 3" xfId="2414"/>
    <cellStyle name="Cálculo 2 4 3 2 3 2" xfId="2415"/>
    <cellStyle name="Cálculo 2 4 3 2 4" xfId="2416"/>
    <cellStyle name="Cálculo 2 4 3 2 4 2" xfId="2417"/>
    <cellStyle name="Cálculo 2 4 3 2 5" xfId="2418"/>
    <cellStyle name="Cálculo 2 4 3 2 5 2" xfId="2419"/>
    <cellStyle name="Cálculo 2 4 3 2 6" xfId="2420"/>
    <cellStyle name="Cálculo 2 4 3 2 6 2" xfId="2421"/>
    <cellStyle name="Cálculo 2 4 3 2 7" xfId="2422"/>
    <cellStyle name="Cálculo 2 4 3 2 7 2" xfId="2423"/>
    <cellStyle name="Cálculo 2 4 3 2 8" xfId="2424"/>
    <cellStyle name="Cálculo 2 4 3 2 8 2" xfId="2425"/>
    <cellStyle name="Cálculo 2 4 3 2 9" xfId="2426"/>
    <cellStyle name="Cálculo 2 4 3 2 9 2" xfId="2427"/>
    <cellStyle name="Cálculo 2 4 3 3" xfId="2428"/>
    <cellStyle name="Cálculo 2 4 3 3 10" xfId="2429"/>
    <cellStyle name="Cálculo 2 4 3 3 10 2" xfId="2430"/>
    <cellStyle name="Cálculo 2 4 3 3 11" xfId="2431"/>
    <cellStyle name="Cálculo 2 4 3 3 2" xfId="2432"/>
    <cellStyle name="Cálculo 2 4 3 3 2 2" xfId="2433"/>
    <cellStyle name="Cálculo 2 4 3 3 3" xfId="2434"/>
    <cellStyle name="Cálculo 2 4 3 3 3 2" xfId="2435"/>
    <cellStyle name="Cálculo 2 4 3 3 4" xfId="2436"/>
    <cellStyle name="Cálculo 2 4 3 3 4 2" xfId="2437"/>
    <cellStyle name="Cálculo 2 4 3 3 5" xfId="2438"/>
    <cellStyle name="Cálculo 2 4 3 3 5 2" xfId="2439"/>
    <cellStyle name="Cálculo 2 4 3 3 6" xfId="2440"/>
    <cellStyle name="Cálculo 2 4 3 3 6 2" xfId="2441"/>
    <cellStyle name="Cálculo 2 4 3 3 7" xfId="2442"/>
    <cellStyle name="Cálculo 2 4 3 3 7 2" xfId="2443"/>
    <cellStyle name="Cálculo 2 4 3 3 8" xfId="2444"/>
    <cellStyle name="Cálculo 2 4 3 3 8 2" xfId="2445"/>
    <cellStyle name="Cálculo 2 4 3 3 9" xfId="2446"/>
    <cellStyle name="Cálculo 2 4 3 3 9 2" xfId="2447"/>
    <cellStyle name="Cálculo 2 4 3 4" xfId="2448"/>
    <cellStyle name="Cálculo 2 4 3 4 2" xfId="2449"/>
    <cellStyle name="Cálculo 2 4 3 5" xfId="2450"/>
    <cellStyle name="Cálculo 2 4 3 5 2" xfId="2451"/>
    <cellStyle name="Cálculo 2 4 3 6" xfId="2452"/>
    <cellStyle name="Cálculo 2 4 3 6 2" xfId="2453"/>
    <cellStyle name="Cálculo 2 4 3 7" xfId="2454"/>
    <cellStyle name="Cálculo 2 4 3 7 2" xfId="2455"/>
    <cellStyle name="Cálculo 2 4 3 8" xfId="2456"/>
    <cellStyle name="Cálculo 2 4 3 8 2" xfId="2457"/>
    <cellStyle name="Cálculo 2 4 3 9" xfId="2458"/>
    <cellStyle name="Cálculo 2 4 3 9 2" xfId="2459"/>
    <cellStyle name="Cálculo 2 4 4" xfId="2460"/>
    <cellStyle name="Cálculo 2 4 4 10" xfId="2461"/>
    <cellStyle name="Cálculo 2 4 4 10 2" xfId="2462"/>
    <cellStyle name="Cálculo 2 4 4 11" xfId="2463"/>
    <cellStyle name="Cálculo 2 4 4 2" xfId="2464"/>
    <cellStyle name="Cálculo 2 4 4 2 2" xfId="2465"/>
    <cellStyle name="Cálculo 2 4 4 3" xfId="2466"/>
    <cellStyle name="Cálculo 2 4 4 3 2" xfId="2467"/>
    <cellStyle name="Cálculo 2 4 4 4" xfId="2468"/>
    <cellStyle name="Cálculo 2 4 4 4 2" xfId="2469"/>
    <cellStyle name="Cálculo 2 4 4 5" xfId="2470"/>
    <cellStyle name="Cálculo 2 4 4 5 2" xfId="2471"/>
    <cellStyle name="Cálculo 2 4 4 6" xfId="2472"/>
    <cellStyle name="Cálculo 2 4 4 6 2" xfId="2473"/>
    <cellStyle name="Cálculo 2 4 4 7" xfId="2474"/>
    <cellStyle name="Cálculo 2 4 4 7 2" xfId="2475"/>
    <cellStyle name="Cálculo 2 4 4 8" xfId="2476"/>
    <cellStyle name="Cálculo 2 4 4 8 2" xfId="2477"/>
    <cellStyle name="Cálculo 2 4 4 9" xfId="2478"/>
    <cellStyle name="Cálculo 2 4 4 9 2" xfId="2479"/>
    <cellStyle name="Cálculo 2 4 5" xfId="2480"/>
    <cellStyle name="Cálculo 2 4 5 10" xfId="2481"/>
    <cellStyle name="Cálculo 2 4 5 10 2" xfId="2482"/>
    <cellStyle name="Cálculo 2 4 5 11" xfId="2483"/>
    <cellStyle name="Cálculo 2 4 5 2" xfId="2484"/>
    <cellStyle name="Cálculo 2 4 5 2 2" xfId="2485"/>
    <cellStyle name="Cálculo 2 4 5 3" xfId="2486"/>
    <cellStyle name="Cálculo 2 4 5 3 2" xfId="2487"/>
    <cellStyle name="Cálculo 2 4 5 4" xfId="2488"/>
    <cellStyle name="Cálculo 2 4 5 4 2" xfId="2489"/>
    <cellStyle name="Cálculo 2 4 5 5" xfId="2490"/>
    <cellStyle name="Cálculo 2 4 5 5 2" xfId="2491"/>
    <cellStyle name="Cálculo 2 4 5 6" xfId="2492"/>
    <cellStyle name="Cálculo 2 4 5 6 2" xfId="2493"/>
    <cellStyle name="Cálculo 2 4 5 7" xfId="2494"/>
    <cellStyle name="Cálculo 2 4 5 7 2" xfId="2495"/>
    <cellStyle name="Cálculo 2 4 5 8" xfId="2496"/>
    <cellStyle name="Cálculo 2 4 5 8 2" xfId="2497"/>
    <cellStyle name="Cálculo 2 4 5 9" xfId="2498"/>
    <cellStyle name="Cálculo 2 4 5 9 2" xfId="2499"/>
    <cellStyle name="Cálculo 2 4 6" xfId="2500"/>
    <cellStyle name="Cálculo 2 4 6 2" xfId="2501"/>
    <cellStyle name="Cálculo 2 4 7" xfId="2502"/>
    <cellStyle name="Cálculo 2 4 7 2" xfId="2503"/>
    <cellStyle name="Cálculo 2 4 8" xfId="2504"/>
    <cellStyle name="Cálculo 2 4 8 2" xfId="2505"/>
    <cellStyle name="Cálculo 2 4 9" xfId="2506"/>
    <cellStyle name="Cálculo 2 4 9 2" xfId="2507"/>
    <cellStyle name="Cálculo 2 5" xfId="2508"/>
    <cellStyle name="Cálculo 2 5 10" xfId="2509"/>
    <cellStyle name="Cálculo 2 5 10 2" xfId="2510"/>
    <cellStyle name="Cálculo 2 5 11" xfId="2511"/>
    <cellStyle name="Cálculo 2 5 11 2" xfId="2512"/>
    <cellStyle name="Cálculo 2 5 12" xfId="2513"/>
    <cellStyle name="Cálculo 2 5 12 2" xfId="2514"/>
    <cellStyle name="Cálculo 2 5 13" xfId="2515"/>
    <cellStyle name="Cálculo 2 5 13 2" xfId="2516"/>
    <cellStyle name="Cálculo 2 5 14" xfId="2517"/>
    <cellStyle name="Cálculo 2 5 14 2" xfId="2518"/>
    <cellStyle name="Cálculo 2 5 15" xfId="2519"/>
    <cellStyle name="Cálculo 2 5 2" xfId="2520"/>
    <cellStyle name="Cálculo 2 5 2 10" xfId="2521"/>
    <cellStyle name="Cálculo 2 5 2 10 2" xfId="2522"/>
    <cellStyle name="Cálculo 2 5 2 11" xfId="2523"/>
    <cellStyle name="Cálculo 2 5 2 11 2" xfId="2524"/>
    <cellStyle name="Cálculo 2 5 2 12" xfId="2525"/>
    <cellStyle name="Cálculo 2 5 2 12 2" xfId="2526"/>
    <cellStyle name="Cálculo 2 5 2 13" xfId="2527"/>
    <cellStyle name="Cálculo 2 5 2 2" xfId="2528"/>
    <cellStyle name="Cálculo 2 5 2 2 10" xfId="2529"/>
    <cellStyle name="Cálculo 2 5 2 2 10 2" xfId="2530"/>
    <cellStyle name="Cálculo 2 5 2 2 11" xfId="2531"/>
    <cellStyle name="Cálculo 2 5 2 2 2" xfId="2532"/>
    <cellStyle name="Cálculo 2 5 2 2 2 2" xfId="2533"/>
    <cellStyle name="Cálculo 2 5 2 2 3" xfId="2534"/>
    <cellStyle name="Cálculo 2 5 2 2 3 2" xfId="2535"/>
    <cellStyle name="Cálculo 2 5 2 2 4" xfId="2536"/>
    <cellStyle name="Cálculo 2 5 2 2 4 2" xfId="2537"/>
    <cellStyle name="Cálculo 2 5 2 2 5" xfId="2538"/>
    <cellStyle name="Cálculo 2 5 2 2 5 2" xfId="2539"/>
    <cellStyle name="Cálculo 2 5 2 2 6" xfId="2540"/>
    <cellStyle name="Cálculo 2 5 2 2 6 2" xfId="2541"/>
    <cellStyle name="Cálculo 2 5 2 2 7" xfId="2542"/>
    <cellStyle name="Cálculo 2 5 2 2 7 2" xfId="2543"/>
    <cellStyle name="Cálculo 2 5 2 2 8" xfId="2544"/>
    <cellStyle name="Cálculo 2 5 2 2 8 2" xfId="2545"/>
    <cellStyle name="Cálculo 2 5 2 2 9" xfId="2546"/>
    <cellStyle name="Cálculo 2 5 2 2 9 2" xfId="2547"/>
    <cellStyle name="Cálculo 2 5 2 3" xfId="2548"/>
    <cellStyle name="Cálculo 2 5 2 3 10" xfId="2549"/>
    <cellStyle name="Cálculo 2 5 2 3 10 2" xfId="2550"/>
    <cellStyle name="Cálculo 2 5 2 3 11" xfId="2551"/>
    <cellStyle name="Cálculo 2 5 2 3 2" xfId="2552"/>
    <cellStyle name="Cálculo 2 5 2 3 2 2" xfId="2553"/>
    <cellStyle name="Cálculo 2 5 2 3 3" xfId="2554"/>
    <cellStyle name="Cálculo 2 5 2 3 3 2" xfId="2555"/>
    <cellStyle name="Cálculo 2 5 2 3 4" xfId="2556"/>
    <cellStyle name="Cálculo 2 5 2 3 4 2" xfId="2557"/>
    <cellStyle name="Cálculo 2 5 2 3 5" xfId="2558"/>
    <cellStyle name="Cálculo 2 5 2 3 5 2" xfId="2559"/>
    <cellStyle name="Cálculo 2 5 2 3 6" xfId="2560"/>
    <cellStyle name="Cálculo 2 5 2 3 6 2" xfId="2561"/>
    <cellStyle name="Cálculo 2 5 2 3 7" xfId="2562"/>
    <cellStyle name="Cálculo 2 5 2 3 7 2" xfId="2563"/>
    <cellStyle name="Cálculo 2 5 2 3 8" xfId="2564"/>
    <cellStyle name="Cálculo 2 5 2 3 8 2" xfId="2565"/>
    <cellStyle name="Cálculo 2 5 2 3 9" xfId="2566"/>
    <cellStyle name="Cálculo 2 5 2 3 9 2" xfId="2567"/>
    <cellStyle name="Cálculo 2 5 2 4" xfId="2568"/>
    <cellStyle name="Cálculo 2 5 2 4 2" xfId="2569"/>
    <cellStyle name="Cálculo 2 5 2 5" xfId="2570"/>
    <cellStyle name="Cálculo 2 5 2 5 2" xfId="2571"/>
    <cellStyle name="Cálculo 2 5 2 6" xfId="2572"/>
    <cellStyle name="Cálculo 2 5 2 6 2" xfId="2573"/>
    <cellStyle name="Cálculo 2 5 2 7" xfId="2574"/>
    <cellStyle name="Cálculo 2 5 2 7 2" xfId="2575"/>
    <cellStyle name="Cálculo 2 5 2 8" xfId="2576"/>
    <cellStyle name="Cálculo 2 5 2 8 2" xfId="2577"/>
    <cellStyle name="Cálculo 2 5 2 9" xfId="2578"/>
    <cellStyle name="Cálculo 2 5 2 9 2" xfId="2579"/>
    <cellStyle name="Cálculo 2 5 3" xfId="2580"/>
    <cellStyle name="Cálculo 2 5 3 10" xfId="2581"/>
    <cellStyle name="Cálculo 2 5 3 10 2" xfId="2582"/>
    <cellStyle name="Cálculo 2 5 3 11" xfId="2583"/>
    <cellStyle name="Cálculo 2 5 3 11 2" xfId="2584"/>
    <cellStyle name="Cálculo 2 5 3 12" xfId="2585"/>
    <cellStyle name="Cálculo 2 5 3 12 2" xfId="2586"/>
    <cellStyle name="Cálculo 2 5 3 13" xfId="2587"/>
    <cellStyle name="Cálculo 2 5 3 2" xfId="2588"/>
    <cellStyle name="Cálculo 2 5 3 2 10" xfId="2589"/>
    <cellStyle name="Cálculo 2 5 3 2 10 2" xfId="2590"/>
    <cellStyle name="Cálculo 2 5 3 2 11" xfId="2591"/>
    <cellStyle name="Cálculo 2 5 3 2 2" xfId="2592"/>
    <cellStyle name="Cálculo 2 5 3 2 2 2" xfId="2593"/>
    <cellStyle name="Cálculo 2 5 3 2 3" xfId="2594"/>
    <cellStyle name="Cálculo 2 5 3 2 3 2" xfId="2595"/>
    <cellStyle name="Cálculo 2 5 3 2 4" xfId="2596"/>
    <cellStyle name="Cálculo 2 5 3 2 4 2" xfId="2597"/>
    <cellStyle name="Cálculo 2 5 3 2 5" xfId="2598"/>
    <cellStyle name="Cálculo 2 5 3 2 5 2" xfId="2599"/>
    <cellStyle name="Cálculo 2 5 3 2 6" xfId="2600"/>
    <cellStyle name="Cálculo 2 5 3 2 6 2" xfId="2601"/>
    <cellStyle name="Cálculo 2 5 3 2 7" xfId="2602"/>
    <cellStyle name="Cálculo 2 5 3 2 7 2" xfId="2603"/>
    <cellStyle name="Cálculo 2 5 3 2 8" xfId="2604"/>
    <cellStyle name="Cálculo 2 5 3 2 8 2" xfId="2605"/>
    <cellStyle name="Cálculo 2 5 3 2 9" xfId="2606"/>
    <cellStyle name="Cálculo 2 5 3 2 9 2" xfId="2607"/>
    <cellStyle name="Cálculo 2 5 3 3" xfId="2608"/>
    <cellStyle name="Cálculo 2 5 3 3 10" xfId="2609"/>
    <cellStyle name="Cálculo 2 5 3 3 10 2" xfId="2610"/>
    <cellStyle name="Cálculo 2 5 3 3 11" xfId="2611"/>
    <cellStyle name="Cálculo 2 5 3 3 2" xfId="2612"/>
    <cellStyle name="Cálculo 2 5 3 3 2 2" xfId="2613"/>
    <cellStyle name="Cálculo 2 5 3 3 3" xfId="2614"/>
    <cellStyle name="Cálculo 2 5 3 3 3 2" xfId="2615"/>
    <cellStyle name="Cálculo 2 5 3 3 4" xfId="2616"/>
    <cellStyle name="Cálculo 2 5 3 3 4 2" xfId="2617"/>
    <cellStyle name="Cálculo 2 5 3 3 5" xfId="2618"/>
    <cellStyle name="Cálculo 2 5 3 3 5 2" xfId="2619"/>
    <cellStyle name="Cálculo 2 5 3 3 6" xfId="2620"/>
    <cellStyle name="Cálculo 2 5 3 3 6 2" xfId="2621"/>
    <cellStyle name="Cálculo 2 5 3 3 7" xfId="2622"/>
    <cellStyle name="Cálculo 2 5 3 3 7 2" xfId="2623"/>
    <cellStyle name="Cálculo 2 5 3 3 8" xfId="2624"/>
    <cellStyle name="Cálculo 2 5 3 3 8 2" xfId="2625"/>
    <cellStyle name="Cálculo 2 5 3 3 9" xfId="2626"/>
    <cellStyle name="Cálculo 2 5 3 3 9 2" xfId="2627"/>
    <cellStyle name="Cálculo 2 5 3 4" xfId="2628"/>
    <cellStyle name="Cálculo 2 5 3 4 2" xfId="2629"/>
    <cellStyle name="Cálculo 2 5 3 5" xfId="2630"/>
    <cellStyle name="Cálculo 2 5 3 5 2" xfId="2631"/>
    <cellStyle name="Cálculo 2 5 3 6" xfId="2632"/>
    <cellStyle name="Cálculo 2 5 3 6 2" xfId="2633"/>
    <cellStyle name="Cálculo 2 5 3 7" xfId="2634"/>
    <cellStyle name="Cálculo 2 5 3 7 2" xfId="2635"/>
    <cellStyle name="Cálculo 2 5 3 8" xfId="2636"/>
    <cellStyle name="Cálculo 2 5 3 8 2" xfId="2637"/>
    <cellStyle name="Cálculo 2 5 3 9" xfId="2638"/>
    <cellStyle name="Cálculo 2 5 3 9 2" xfId="2639"/>
    <cellStyle name="Cálculo 2 5 4" xfId="2640"/>
    <cellStyle name="Cálculo 2 5 4 10" xfId="2641"/>
    <cellStyle name="Cálculo 2 5 4 10 2" xfId="2642"/>
    <cellStyle name="Cálculo 2 5 4 11" xfId="2643"/>
    <cellStyle name="Cálculo 2 5 4 2" xfId="2644"/>
    <cellStyle name="Cálculo 2 5 4 2 2" xfId="2645"/>
    <cellStyle name="Cálculo 2 5 4 3" xfId="2646"/>
    <cellStyle name="Cálculo 2 5 4 3 2" xfId="2647"/>
    <cellStyle name="Cálculo 2 5 4 4" xfId="2648"/>
    <cellStyle name="Cálculo 2 5 4 4 2" xfId="2649"/>
    <cellStyle name="Cálculo 2 5 4 5" xfId="2650"/>
    <cellStyle name="Cálculo 2 5 4 5 2" xfId="2651"/>
    <cellStyle name="Cálculo 2 5 4 6" xfId="2652"/>
    <cellStyle name="Cálculo 2 5 4 6 2" xfId="2653"/>
    <cellStyle name="Cálculo 2 5 4 7" xfId="2654"/>
    <cellStyle name="Cálculo 2 5 4 7 2" xfId="2655"/>
    <cellStyle name="Cálculo 2 5 4 8" xfId="2656"/>
    <cellStyle name="Cálculo 2 5 4 8 2" xfId="2657"/>
    <cellStyle name="Cálculo 2 5 4 9" xfId="2658"/>
    <cellStyle name="Cálculo 2 5 4 9 2" xfId="2659"/>
    <cellStyle name="Cálculo 2 5 5" xfId="2660"/>
    <cellStyle name="Cálculo 2 5 5 10" xfId="2661"/>
    <cellStyle name="Cálculo 2 5 5 10 2" xfId="2662"/>
    <cellStyle name="Cálculo 2 5 5 11" xfId="2663"/>
    <cellStyle name="Cálculo 2 5 5 2" xfId="2664"/>
    <cellStyle name="Cálculo 2 5 5 2 2" xfId="2665"/>
    <cellStyle name="Cálculo 2 5 5 3" xfId="2666"/>
    <cellStyle name="Cálculo 2 5 5 3 2" xfId="2667"/>
    <cellStyle name="Cálculo 2 5 5 4" xfId="2668"/>
    <cellStyle name="Cálculo 2 5 5 4 2" xfId="2669"/>
    <cellStyle name="Cálculo 2 5 5 5" xfId="2670"/>
    <cellStyle name="Cálculo 2 5 5 5 2" xfId="2671"/>
    <cellStyle name="Cálculo 2 5 5 6" xfId="2672"/>
    <cellStyle name="Cálculo 2 5 5 6 2" xfId="2673"/>
    <cellStyle name="Cálculo 2 5 5 7" xfId="2674"/>
    <cellStyle name="Cálculo 2 5 5 7 2" xfId="2675"/>
    <cellStyle name="Cálculo 2 5 5 8" xfId="2676"/>
    <cellStyle name="Cálculo 2 5 5 8 2" xfId="2677"/>
    <cellStyle name="Cálculo 2 5 5 9" xfId="2678"/>
    <cellStyle name="Cálculo 2 5 5 9 2" xfId="2679"/>
    <cellStyle name="Cálculo 2 5 6" xfId="2680"/>
    <cellStyle name="Cálculo 2 5 6 2" xfId="2681"/>
    <cellStyle name="Cálculo 2 5 7" xfId="2682"/>
    <cellStyle name="Cálculo 2 5 7 2" xfId="2683"/>
    <cellStyle name="Cálculo 2 5 8" xfId="2684"/>
    <cellStyle name="Cálculo 2 5 8 2" xfId="2685"/>
    <cellStyle name="Cálculo 2 5 9" xfId="2686"/>
    <cellStyle name="Cálculo 2 5 9 2" xfId="2687"/>
    <cellStyle name="Cálculo 2 6" xfId="2688"/>
    <cellStyle name="Cálculo 2 6 10" xfId="2689"/>
    <cellStyle name="Cálculo 2 6 10 2" xfId="2690"/>
    <cellStyle name="Cálculo 2 6 11" xfId="2691"/>
    <cellStyle name="Cálculo 2 6 11 2" xfId="2692"/>
    <cellStyle name="Cálculo 2 6 12" xfId="2693"/>
    <cellStyle name="Cálculo 2 6 12 2" xfId="2694"/>
    <cellStyle name="Cálculo 2 6 13" xfId="2695"/>
    <cellStyle name="Cálculo 2 6 13 2" xfId="2696"/>
    <cellStyle name="Cálculo 2 6 14" xfId="2697"/>
    <cellStyle name="Cálculo 2 6 14 2" xfId="2698"/>
    <cellStyle name="Cálculo 2 6 15" xfId="2699"/>
    <cellStyle name="Cálculo 2 6 2" xfId="2700"/>
    <cellStyle name="Cálculo 2 6 2 10" xfId="2701"/>
    <cellStyle name="Cálculo 2 6 2 10 2" xfId="2702"/>
    <cellStyle name="Cálculo 2 6 2 11" xfId="2703"/>
    <cellStyle name="Cálculo 2 6 2 11 2" xfId="2704"/>
    <cellStyle name="Cálculo 2 6 2 12" xfId="2705"/>
    <cellStyle name="Cálculo 2 6 2 12 2" xfId="2706"/>
    <cellStyle name="Cálculo 2 6 2 13" xfId="2707"/>
    <cellStyle name="Cálculo 2 6 2 2" xfId="2708"/>
    <cellStyle name="Cálculo 2 6 2 2 10" xfId="2709"/>
    <cellStyle name="Cálculo 2 6 2 2 10 2" xfId="2710"/>
    <cellStyle name="Cálculo 2 6 2 2 11" xfId="2711"/>
    <cellStyle name="Cálculo 2 6 2 2 2" xfId="2712"/>
    <cellStyle name="Cálculo 2 6 2 2 2 2" xfId="2713"/>
    <cellStyle name="Cálculo 2 6 2 2 3" xfId="2714"/>
    <cellStyle name="Cálculo 2 6 2 2 3 2" xfId="2715"/>
    <cellStyle name="Cálculo 2 6 2 2 4" xfId="2716"/>
    <cellStyle name="Cálculo 2 6 2 2 4 2" xfId="2717"/>
    <cellStyle name="Cálculo 2 6 2 2 5" xfId="2718"/>
    <cellStyle name="Cálculo 2 6 2 2 5 2" xfId="2719"/>
    <cellStyle name="Cálculo 2 6 2 2 6" xfId="2720"/>
    <cellStyle name="Cálculo 2 6 2 2 6 2" xfId="2721"/>
    <cellStyle name="Cálculo 2 6 2 2 7" xfId="2722"/>
    <cellStyle name="Cálculo 2 6 2 2 7 2" xfId="2723"/>
    <cellStyle name="Cálculo 2 6 2 2 8" xfId="2724"/>
    <cellStyle name="Cálculo 2 6 2 2 8 2" xfId="2725"/>
    <cellStyle name="Cálculo 2 6 2 2 9" xfId="2726"/>
    <cellStyle name="Cálculo 2 6 2 2 9 2" xfId="2727"/>
    <cellStyle name="Cálculo 2 6 2 3" xfId="2728"/>
    <cellStyle name="Cálculo 2 6 2 3 10" xfId="2729"/>
    <cellStyle name="Cálculo 2 6 2 3 10 2" xfId="2730"/>
    <cellStyle name="Cálculo 2 6 2 3 11" xfId="2731"/>
    <cellStyle name="Cálculo 2 6 2 3 2" xfId="2732"/>
    <cellStyle name="Cálculo 2 6 2 3 2 2" xfId="2733"/>
    <cellStyle name="Cálculo 2 6 2 3 3" xfId="2734"/>
    <cellStyle name="Cálculo 2 6 2 3 3 2" xfId="2735"/>
    <cellStyle name="Cálculo 2 6 2 3 4" xfId="2736"/>
    <cellStyle name="Cálculo 2 6 2 3 4 2" xfId="2737"/>
    <cellStyle name="Cálculo 2 6 2 3 5" xfId="2738"/>
    <cellStyle name="Cálculo 2 6 2 3 5 2" xfId="2739"/>
    <cellStyle name="Cálculo 2 6 2 3 6" xfId="2740"/>
    <cellStyle name="Cálculo 2 6 2 3 6 2" xfId="2741"/>
    <cellStyle name="Cálculo 2 6 2 3 7" xfId="2742"/>
    <cellStyle name="Cálculo 2 6 2 3 7 2" xfId="2743"/>
    <cellStyle name="Cálculo 2 6 2 3 8" xfId="2744"/>
    <cellStyle name="Cálculo 2 6 2 3 8 2" xfId="2745"/>
    <cellStyle name="Cálculo 2 6 2 3 9" xfId="2746"/>
    <cellStyle name="Cálculo 2 6 2 3 9 2" xfId="2747"/>
    <cellStyle name="Cálculo 2 6 2 4" xfId="2748"/>
    <cellStyle name="Cálculo 2 6 2 4 2" xfId="2749"/>
    <cellStyle name="Cálculo 2 6 2 5" xfId="2750"/>
    <cellStyle name="Cálculo 2 6 2 5 2" xfId="2751"/>
    <cellStyle name="Cálculo 2 6 2 6" xfId="2752"/>
    <cellStyle name="Cálculo 2 6 2 6 2" xfId="2753"/>
    <cellStyle name="Cálculo 2 6 2 7" xfId="2754"/>
    <cellStyle name="Cálculo 2 6 2 7 2" xfId="2755"/>
    <cellStyle name="Cálculo 2 6 2 8" xfId="2756"/>
    <cellStyle name="Cálculo 2 6 2 8 2" xfId="2757"/>
    <cellStyle name="Cálculo 2 6 2 9" xfId="2758"/>
    <cellStyle name="Cálculo 2 6 2 9 2" xfId="2759"/>
    <cellStyle name="Cálculo 2 6 3" xfId="2760"/>
    <cellStyle name="Cálculo 2 6 3 10" xfId="2761"/>
    <cellStyle name="Cálculo 2 6 3 10 2" xfId="2762"/>
    <cellStyle name="Cálculo 2 6 3 11" xfId="2763"/>
    <cellStyle name="Cálculo 2 6 3 11 2" xfId="2764"/>
    <cellStyle name="Cálculo 2 6 3 12" xfId="2765"/>
    <cellStyle name="Cálculo 2 6 3 12 2" xfId="2766"/>
    <cellStyle name="Cálculo 2 6 3 13" xfId="2767"/>
    <cellStyle name="Cálculo 2 6 3 2" xfId="2768"/>
    <cellStyle name="Cálculo 2 6 3 2 10" xfId="2769"/>
    <cellStyle name="Cálculo 2 6 3 2 10 2" xfId="2770"/>
    <cellStyle name="Cálculo 2 6 3 2 11" xfId="2771"/>
    <cellStyle name="Cálculo 2 6 3 2 2" xfId="2772"/>
    <cellStyle name="Cálculo 2 6 3 2 2 2" xfId="2773"/>
    <cellStyle name="Cálculo 2 6 3 2 3" xfId="2774"/>
    <cellStyle name="Cálculo 2 6 3 2 3 2" xfId="2775"/>
    <cellStyle name="Cálculo 2 6 3 2 4" xfId="2776"/>
    <cellStyle name="Cálculo 2 6 3 2 4 2" xfId="2777"/>
    <cellStyle name="Cálculo 2 6 3 2 5" xfId="2778"/>
    <cellStyle name="Cálculo 2 6 3 2 5 2" xfId="2779"/>
    <cellStyle name="Cálculo 2 6 3 2 6" xfId="2780"/>
    <cellStyle name="Cálculo 2 6 3 2 6 2" xfId="2781"/>
    <cellStyle name="Cálculo 2 6 3 2 7" xfId="2782"/>
    <cellStyle name="Cálculo 2 6 3 2 7 2" xfId="2783"/>
    <cellStyle name="Cálculo 2 6 3 2 8" xfId="2784"/>
    <cellStyle name="Cálculo 2 6 3 2 8 2" xfId="2785"/>
    <cellStyle name="Cálculo 2 6 3 2 9" xfId="2786"/>
    <cellStyle name="Cálculo 2 6 3 2 9 2" xfId="2787"/>
    <cellStyle name="Cálculo 2 6 3 3" xfId="2788"/>
    <cellStyle name="Cálculo 2 6 3 3 10" xfId="2789"/>
    <cellStyle name="Cálculo 2 6 3 3 10 2" xfId="2790"/>
    <cellStyle name="Cálculo 2 6 3 3 11" xfId="2791"/>
    <cellStyle name="Cálculo 2 6 3 3 2" xfId="2792"/>
    <cellStyle name="Cálculo 2 6 3 3 2 2" xfId="2793"/>
    <cellStyle name="Cálculo 2 6 3 3 3" xfId="2794"/>
    <cellStyle name="Cálculo 2 6 3 3 3 2" xfId="2795"/>
    <cellStyle name="Cálculo 2 6 3 3 4" xfId="2796"/>
    <cellStyle name="Cálculo 2 6 3 3 4 2" xfId="2797"/>
    <cellStyle name="Cálculo 2 6 3 3 5" xfId="2798"/>
    <cellStyle name="Cálculo 2 6 3 3 5 2" xfId="2799"/>
    <cellStyle name="Cálculo 2 6 3 3 6" xfId="2800"/>
    <cellStyle name="Cálculo 2 6 3 3 6 2" xfId="2801"/>
    <cellStyle name="Cálculo 2 6 3 3 7" xfId="2802"/>
    <cellStyle name="Cálculo 2 6 3 3 7 2" xfId="2803"/>
    <cellStyle name="Cálculo 2 6 3 3 8" xfId="2804"/>
    <cellStyle name="Cálculo 2 6 3 3 8 2" xfId="2805"/>
    <cellStyle name="Cálculo 2 6 3 3 9" xfId="2806"/>
    <cellStyle name="Cálculo 2 6 3 3 9 2" xfId="2807"/>
    <cellStyle name="Cálculo 2 6 3 4" xfId="2808"/>
    <cellStyle name="Cálculo 2 6 3 4 2" xfId="2809"/>
    <cellStyle name="Cálculo 2 6 3 5" xfId="2810"/>
    <cellStyle name="Cálculo 2 6 3 5 2" xfId="2811"/>
    <cellStyle name="Cálculo 2 6 3 6" xfId="2812"/>
    <cellStyle name="Cálculo 2 6 3 6 2" xfId="2813"/>
    <cellStyle name="Cálculo 2 6 3 7" xfId="2814"/>
    <cellStyle name="Cálculo 2 6 3 7 2" xfId="2815"/>
    <cellStyle name="Cálculo 2 6 3 8" xfId="2816"/>
    <cellStyle name="Cálculo 2 6 3 8 2" xfId="2817"/>
    <cellStyle name="Cálculo 2 6 3 9" xfId="2818"/>
    <cellStyle name="Cálculo 2 6 3 9 2" xfId="2819"/>
    <cellStyle name="Cálculo 2 6 4" xfId="2820"/>
    <cellStyle name="Cálculo 2 6 4 10" xfId="2821"/>
    <cellStyle name="Cálculo 2 6 4 10 2" xfId="2822"/>
    <cellStyle name="Cálculo 2 6 4 11" xfId="2823"/>
    <cellStyle name="Cálculo 2 6 4 2" xfId="2824"/>
    <cellStyle name="Cálculo 2 6 4 2 2" xfId="2825"/>
    <cellStyle name="Cálculo 2 6 4 3" xfId="2826"/>
    <cellStyle name="Cálculo 2 6 4 3 2" xfId="2827"/>
    <cellStyle name="Cálculo 2 6 4 4" xfId="2828"/>
    <cellStyle name="Cálculo 2 6 4 4 2" xfId="2829"/>
    <cellStyle name="Cálculo 2 6 4 5" xfId="2830"/>
    <cellStyle name="Cálculo 2 6 4 5 2" xfId="2831"/>
    <cellStyle name="Cálculo 2 6 4 6" xfId="2832"/>
    <cellStyle name="Cálculo 2 6 4 6 2" xfId="2833"/>
    <cellStyle name="Cálculo 2 6 4 7" xfId="2834"/>
    <cellStyle name="Cálculo 2 6 4 7 2" xfId="2835"/>
    <cellStyle name="Cálculo 2 6 4 8" xfId="2836"/>
    <cellStyle name="Cálculo 2 6 4 8 2" xfId="2837"/>
    <cellStyle name="Cálculo 2 6 4 9" xfId="2838"/>
    <cellStyle name="Cálculo 2 6 4 9 2" xfId="2839"/>
    <cellStyle name="Cálculo 2 6 5" xfId="2840"/>
    <cellStyle name="Cálculo 2 6 5 10" xfId="2841"/>
    <cellStyle name="Cálculo 2 6 5 10 2" xfId="2842"/>
    <cellStyle name="Cálculo 2 6 5 11" xfId="2843"/>
    <cellStyle name="Cálculo 2 6 5 2" xfId="2844"/>
    <cellStyle name="Cálculo 2 6 5 2 2" xfId="2845"/>
    <cellStyle name="Cálculo 2 6 5 3" xfId="2846"/>
    <cellStyle name="Cálculo 2 6 5 3 2" xfId="2847"/>
    <cellStyle name="Cálculo 2 6 5 4" xfId="2848"/>
    <cellStyle name="Cálculo 2 6 5 4 2" xfId="2849"/>
    <cellStyle name="Cálculo 2 6 5 5" xfId="2850"/>
    <cellStyle name="Cálculo 2 6 5 5 2" xfId="2851"/>
    <cellStyle name="Cálculo 2 6 5 6" xfId="2852"/>
    <cellStyle name="Cálculo 2 6 5 6 2" xfId="2853"/>
    <cellStyle name="Cálculo 2 6 5 7" xfId="2854"/>
    <cellStyle name="Cálculo 2 6 5 7 2" xfId="2855"/>
    <cellStyle name="Cálculo 2 6 5 8" xfId="2856"/>
    <cellStyle name="Cálculo 2 6 5 8 2" xfId="2857"/>
    <cellStyle name="Cálculo 2 6 5 9" xfId="2858"/>
    <cellStyle name="Cálculo 2 6 5 9 2" xfId="2859"/>
    <cellStyle name="Cálculo 2 6 6" xfId="2860"/>
    <cellStyle name="Cálculo 2 6 6 2" xfId="2861"/>
    <cellStyle name="Cálculo 2 6 7" xfId="2862"/>
    <cellStyle name="Cálculo 2 6 7 2" xfId="2863"/>
    <cellStyle name="Cálculo 2 6 8" xfId="2864"/>
    <cellStyle name="Cálculo 2 6 8 2" xfId="2865"/>
    <cellStyle name="Cálculo 2 6 9" xfId="2866"/>
    <cellStyle name="Cálculo 2 6 9 2" xfId="2867"/>
    <cellStyle name="Cálculo 2 7" xfId="2868"/>
    <cellStyle name="Cálculo 2 7 10" xfId="2869"/>
    <cellStyle name="Cálculo 2 7 10 2" xfId="2870"/>
    <cellStyle name="Cálculo 2 7 11" xfId="2871"/>
    <cellStyle name="Cálculo 2 7 11 2" xfId="2872"/>
    <cellStyle name="Cálculo 2 7 12" xfId="2873"/>
    <cellStyle name="Cálculo 2 7 12 2" xfId="2874"/>
    <cellStyle name="Cálculo 2 7 13" xfId="2875"/>
    <cellStyle name="Cálculo 2 7 2" xfId="2876"/>
    <cellStyle name="Cálculo 2 7 2 10" xfId="2877"/>
    <cellStyle name="Cálculo 2 7 2 10 2" xfId="2878"/>
    <cellStyle name="Cálculo 2 7 2 11" xfId="2879"/>
    <cellStyle name="Cálculo 2 7 2 2" xfId="2880"/>
    <cellStyle name="Cálculo 2 7 2 2 2" xfId="2881"/>
    <cellStyle name="Cálculo 2 7 2 3" xfId="2882"/>
    <cellStyle name="Cálculo 2 7 2 3 2" xfId="2883"/>
    <cellStyle name="Cálculo 2 7 2 4" xfId="2884"/>
    <cellStyle name="Cálculo 2 7 2 4 2" xfId="2885"/>
    <cellStyle name="Cálculo 2 7 2 5" xfId="2886"/>
    <cellStyle name="Cálculo 2 7 2 5 2" xfId="2887"/>
    <cellStyle name="Cálculo 2 7 2 6" xfId="2888"/>
    <cellStyle name="Cálculo 2 7 2 6 2" xfId="2889"/>
    <cellStyle name="Cálculo 2 7 2 7" xfId="2890"/>
    <cellStyle name="Cálculo 2 7 2 7 2" xfId="2891"/>
    <cellStyle name="Cálculo 2 7 2 8" xfId="2892"/>
    <cellStyle name="Cálculo 2 7 2 8 2" xfId="2893"/>
    <cellStyle name="Cálculo 2 7 2 9" xfId="2894"/>
    <cellStyle name="Cálculo 2 7 2 9 2" xfId="2895"/>
    <cellStyle name="Cálculo 2 7 3" xfId="2896"/>
    <cellStyle name="Cálculo 2 7 3 10" xfId="2897"/>
    <cellStyle name="Cálculo 2 7 3 10 2" xfId="2898"/>
    <cellStyle name="Cálculo 2 7 3 11" xfId="2899"/>
    <cellStyle name="Cálculo 2 7 3 2" xfId="2900"/>
    <cellStyle name="Cálculo 2 7 3 2 2" xfId="2901"/>
    <cellStyle name="Cálculo 2 7 3 3" xfId="2902"/>
    <cellStyle name="Cálculo 2 7 3 3 2" xfId="2903"/>
    <cellStyle name="Cálculo 2 7 3 4" xfId="2904"/>
    <cellStyle name="Cálculo 2 7 3 4 2" xfId="2905"/>
    <cellStyle name="Cálculo 2 7 3 5" xfId="2906"/>
    <cellStyle name="Cálculo 2 7 3 5 2" xfId="2907"/>
    <cellStyle name="Cálculo 2 7 3 6" xfId="2908"/>
    <cellStyle name="Cálculo 2 7 3 6 2" xfId="2909"/>
    <cellStyle name="Cálculo 2 7 3 7" xfId="2910"/>
    <cellStyle name="Cálculo 2 7 3 7 2" xfId="2911"/>
    <cellStyle name="Cálculo 2 7 3 8" xfId="2912"/>
    <cellStyle name="Cálculo 2 7 3 8 2" xfId="2913"/>
    <cellStyle name="Cálculo 2 7 3 9" xfId="2914"/>
    <cellStyle name="Cálculo 2 7 3 9 2" xfId="2915"/>
    <cellStyle name="Cálculo 2 7 4" xfId="2916"/>
    <cellStyle name="Cálculo 2 7 4 2" xfId="2917"/>
    <cellStyle name="Cálculo 2 7 5" xfId="2918"/>
    <cellStyle name="Cálculo 2 7 5 2" xfId="2919"/>
    <cellStyle name="Cálculo 2 7 6" xfId="2920"/>
    <cellStyle name="Cálculo 2 7 6 2" xfId="2921"/>
    <cellStyle name="Cálculo 2 7 7" xfId="2922"/>
    <cellStyle name="Cálculo 2 7 7 2" xfId="2923"/>
    <cellStyle name="Cálculo 2 7 8" xfId="2924"/>
    <cellStyle name="Cálculo 2 7 8 2" xfId="2925"/>
    <cellStyle name="Cálculo 2 7 9" xfId="2926"/>
    <cellStyle name="Cálculo 2 7 9 2" xfId="2927"/>
    <cellStyle name="Cálculo 2 8" xfId="2928"/>
    <cellStyle name="Cálculo 2 8 10" xfId="2929"/>
    <cellStyle name="Cálculo 2 8 10 2" xfId="2930"/>
    <cellStyle name="Cálculo 2 8 11" xfId="2931"/>
    <cellStyle name="Cálculo 2 8 11 2" xfId="2932"/>
    <cellStyle name="Cálculo 2 8 12" xfId="2933"/>
    <cellStyle name="Cálculo 2 8 12 2" xfId="2934"/>
    <cellStyle name="Cálculo 2 8 13" xfId="2935"/>
    <cellStyle name="Cálculo 2 8 2" xfId="2936"/>
    <cellStyle name="Cálculo 2 8 2 10" xfId="2937"/>
    <cellStyle name="Cálculo 2 8 2 10 2" xfId="2938"/>
    <cellStyle name="Cálculo 2 8 2 11" xfId="2939"/>
    <cellStyle name="Cálculo 2 8 2 2" xfId="2940"/>
    <cellStyle name="Cálculo 2 8 2 2 2" xfId="2941"/>
    <cellStyle name="Cálculo 2 8 2 3" xfId="2942"/>
    <cellStyle name="Cálculo 2 8 2 3 2" xfId="2943"/>
    <cellStyle name="Cálculo 2 8 2 4" xfId="2944"/>
    <cellStyle name="Cálculo 2 8 2 4 2" xfId="2945"/>
    <cellStyle name="Cálculo 2 8 2 5" xfId="2946"/>
    <cellStyle name="Cálculo 2 8 2 5 2" xfId="2947"/>
    <cellStyle name="Cálculo 2 8 2 6" xfId="2948"/>
    <cellStyle name="Cálculo 2 8 2 6 2" xfId="2949"/>
    <cellStyle name="Cálculo 2 8 2 7" xfId="2950"/>
    <cellStyle name="Cálculo 2 8 2 7 2" xfId="2951"/>
    <cellStyle name="Cálculo 2 8 2 8" xfId="2952"/>
    <cellStyle name="Cálculo 2 8 2 8 2" xfId="2953"/>
    <cellStyle name="Cálculo 2 8 2 9" xfId="2954"/>
    <cellStyle name="Cálculo 2 8 2 9 2" xfId="2955"/>
    <cellStyle name="Cálculo 2 8 3" xfId="2956"/>
    <cellStyle name="Cálculo 2 8 3 10" xfId="2957"/>
    <cellStyle name="Cálculo 2 8 3 10 2" xfId="2958"/>
    <cellStyle name="Cálculo 2 8 3 11" xfId="2959"/>
    <cellStyle name="Cálculo 2 8 3 2" xfId="2960"/>
    <cellStyle name="Cálculo 2 8 3 2 2" xfId="2961"/>
    <cellStyle name="Cálculo 2 8 3 3" xfId="2962"/>
    <cellStyle name="Cálculo 2 8 3 3 2" xfId="2963"/>
    <cellStyle name="Cálculo 2 8 3 4" xfId="2964"/>
    <cellStyle name="Cálculo 2 8 3 4 2" xfId="2965"/>
    <cellStyle name="Cálculo 2 8 3 5" xfId="2966"/>
    <cellStyle name="Cálculo 2 8 3 5 2" xfId="2967"/>
    <cellStyle name="Cálculo 2 8 3 6" xfId="2968"/>
    <cellStyle name="Cálculo 2 8 3 6 2" xfId="2969"/>
    <cellStyle name="Cálculo 2 8 3 7" xfId="2970"/>
    <cellStyle name="Cálculo 2 8 3 7 2" xfId="2971"/>
    <cellStyle name="Cálculo 2 8 3 8" xfId="2972"/>
    <cellStyle name="Cálculo 2 8 3 8 2" xfId="2973"/>
    <cellStyle name="Cálculo 2 8 3 9" xfId="2974"/>
    <cellStyle name="Cálculo 2 8 3 9 2" xfId="2975"/>
    <cellStyle name="Cálculo 2 8 4" xfId="2976"/>
    <cellStyle name="Cálculo 2 8 4 2" xfId="2977"/>
    <cellStyle name="Cálculo 2 8 5" xfId="2978"/>
    <cellStyle name="Cálculo 2 8 5 2" xfId="2979"/>
    <cellStyle name="Cálculo 2 8 6" xfId="2980"/>
    <cellStyle name="Cálculo 2 8 6 2" xfId="2981"/>
    <cellStyle name="Cálculo 2 8 7" xfId="2982"/>
    <cellStyle name="Cálculo 2 8 7 2" xfId="2983"/>
    <cellStyle name="Cálculo 2 8 8" xfId="2984"/>
    <cellStyle name="Cálculo 2 8 8 2" xfId="2985"/>
    <cellStyle name="Cálculo 2 8 9" xfId="2986"/>
    <cellStyle name="Cálculo 2 8 9 2" xfId="2987"/>
    <cellStyle name="Cálculo 2 9" xfId="2988"/>
    <cellStyle name="Cálculo 2 9 2" xfId="2989"/>
    <cellStyle name="Cálculo 3" xfId="1069"/>
    <cellStyle name="Cálculo 3 10" xfId="2990"/>
    <cellStyle name="Cálculo 3 10 2" xfId="2991"/>
    <cellStyle name="Cálculo 3 11" xfId="2992"/>
    <cellStyle name="Cálculo 3 11 2" xfId="2993"/>
    <cellStyle name="Cálculo 3 12" xfId="2994"/>
    <cellStyle name="Cálculo 3 12 2" xfId="2995"/>
    <cellStyle name="Cálculo 3 13" xfId="2996"/>
    <cellStyle name="Cálculo 3 13 2" xfId="2997"/>
    <cellStyle name="Cálculo 3 14" xfId="2998"/>
    <cellStyle name="Cálculo 3 14 2" xfId="2999"/>
    <cellStyle name="Cálculo 3 15" xfId="3000"/>
    <cellStyle name="Cálculo 3 16" xfId="3001"/>
    <cellStyle name="Cálculo 3 17" xfId="3002"/>
    <cellStyle name="Cálculo 3 2" xfId="3003"/>
    <cellStyle name="Cálculo 3 2 10" xfId="3004"/>
    <cellStyle name="Cálculo 3 2 10 2" xfId="3005"/>
    <cellStyle name="Cálculo 3 2 11" xfId="3006"/>
    <cellStyle name="Cálculo 3 2 11 2" xfId="3007"/>
    <cellStyle name="Cálculo 3 2 12" xfId="3008"/>
    <cellStyle name="Cálculo 3 2 12 2" xfId="3009"/>
    <cellStyle name="Cálculo 3 2 13" xfId="3010"/>
    <cellStyle name="Cálculo 3 2 13 2" xfId="3011"/>
    <cellStyle name="Cálculo 3 2 14" xfId="3012"/>
    <cellStyle name="Cálculo 3 2 14 2" xfId="3013"/>
    <cellStyle name="Cálculo 3 2 15" xfId="3014"/>
    <cellStyle name="Cálculo 3 2 2" xfId="3015"/>
    <cellStyle name="Cálculo 3 2 2 10" xfId="3016"/>
    <cellStyle name="Cálculo 3 2 2 10 2" xfId="3017"/>
    <cellStyle name="Cálculo 3 2 2 11" xfId="3018"/>
    <cellStyle name="Cálculo 3 2 2 11 2" xfId="3019"/>
    <cellStyle name="Cálculo 3 2 2 12" xfId="3020"/>
    <cellStyle name="Cálculo 3 2 2 12 2" xfId="3021"/>
    <cellStyle name="Cálculo 3 2 2 13" xfId="3022"/>
    <cellStyle name="Cálculo 3 2 2 2" xfId="3023"/>
    <cellStyle name="Cálculo 3 2 2 2 10" xfId="3024"/>
    <cellStyle name="Cálculo 3 2 2 2 10 2" xfId="3025"/>
    <cellStyle name="Cálculo 3 2 2 2 11" xfId="3026"/>
    <cellStyle name="Cálculo 3 2 2 2 2" xfId="3027"/>
    <cellStyle name="Cálculo 3 2 2 2 2 2" xfId="3028"/>
    <cellStyle name="Cálculo 3 2 2 2 3" xfId="3029"/>
    <cellStyle name="Cálculo 3 2 2 2 3 2" xfId="3030"/>
    <cellStyle name="Cálculo 3 2 2 2 4" xfId="3031"/>
    <cellStyle name="Cálculo 3 2 2 2 4 2" xfId="3032"/>
    <cellStyle name="Cálculo 3 2 2 2 5" xfId="3033"/>
    <cellStyle name="Cálculo 3 2 2 2 5 2" xfId="3034"/>
    <cellStyle name="Cálculo 3 2 2 2 6" xfId="3035"/>
    <cellStyle name="Cálculo 3 2 2 2 6 2" xfId="3036"/>
    <cellStyle name="Cálculo 3 2 2 2 7" xfId="3037"/>
    <cellStyle name="Cálculo 3 2 2 2 7 2" xfId="3038"/>
    <cellStyle name="Cálculo 3 2 2 2 8" xfId="3039"/>
    <cellStyle name="Cálculo 3 2 2 2 8 2" xfId="3040"/>
    <cellStyle name="Cálculo 3 2 2 2 9" xfId="3041"/>
    <cellStyle name="Cálculo 3 2 2 2 9 2" xfId="3042"/>
    <cellStyle name="Cálculo 3 2 2 3" xfId="3043"/>
    <cellStyle name="Cálculo 3 2 2 3 10" xfId="3044"/>
    <cellStyle name="Cálculo 3 2 2 3 10 2" xfId="3045"/>
    <cellStyle name="Cálculo 3 2 2 3 11" xfId="3046"/>
    <cellStyle name="Cálculo 3 2 2 3 2" xfId="3047"/>
    <cellStyle name="Cálculo 3 2 2 3 2 2" xfId="3048"/>
    <cellStyle name="Cálculo 3 2 2 3 3" xfId="3049"/>
    <cellStyle name="Cálculo 3 2 2 3 3 2" xfId="3050"/>
    <cellStyle name="Cálculo 3 2 2 3 4" xfId="3051"/>
    <cellStyle name="Cálculo 3 2 2 3 4 2" xfId="3052"/>
    <cellStyle name="Cálculo 3 2 2 3 5" xfId="3053"/>
    <cellStyle name="Cálculo 3 2 2 3 5 2" xfId="3054"/>
    <cellStyle name="Cálculo 3 2 2 3 6" xfId="3055"/>
    <cellStyle name="Cálculo 3 2 2 3 6 2" xfId="3056"/>
    <cellStyle name="Cálculo 3 2 2 3 7" xfId="3057"/>
    <cellStyle name="Cálculo 3 2 2 3 7 2" xfId="3058"/>
    <cellStyle name="Cálculo 3 2 2 3 8" xfId="3059"/>
    <cellStyle name="Cálculo 3 2 2 3 8 2" xfId="3060"/>
    <cellStyle name="Cálculo 3 2 2 3 9" xfId="3061"/>
    <cellStyle name="Cálculo 3 2 2 3 9 2" xfId="3062"/>
    <cellStyle name="Cálculo 3 2 2 4" xfId="3063"/>
    <cellStyle name="Cálculo 3 2 2 4 2" xfId="3064"/>
    <cellStyle name="Cálculo 3 2 2 5" xfId="3065"/>
    <cellStyle name="Cálculo 3 2 2 5 2" xfId="3066"/>
    <cellStyle name="Cálculo 3 2 2 6" xfId="3067"/>
    <cellStyle name="Cálculo 3 2 2 6 2" xfId="3068"/>
    <cellStyle name="Cálculo 3 2 2 7" xfId="3069"/>
    <cellStyle name="Cálculo 3 2 2 7 2" xfId="3070"/>
    <cellStyle name="Cálculo 3 2 2 8" xfId="3071"/>
    <cellStyle name="Cálculo 3 2 2 8 2" xfId="3072"/>
    <cellStyle name="Cálculo 3 2 2 9" xfId="3073"/>
    <cellStyle name="Cálculo 3 2 2 9 2" xfId="3074"/>
    <cellStyle name="Cálculo 3 2 3" xfId="3075"/>
    <cellStyle name="Cálculo 3 2 3 10" xfId="3076"/>
    <cellStyle name="Cálculo 3 2 3 10 2" xfId="3077"/>
    <cellStyle name="Cálculo 3 2 3 11" xfId="3078"/>
    <cellStyle name="Cálculo 3 2 3 11 2" xfId="3079"/>
    <cellStyle name="Cálculo 3 2 3 12" xfId="3080"/>
    <cellStyle name="Cálculo 3 2 3 12 2" xfId="3081"/>
    <cellStyle name="Cálculo 3 2 3 13" xfId="3082"/>
    <cellStyle name="Cálculo 3 2 3 2" xfId="3083"/>
    <cellStyle name="Cálculo 3 2 3 2 10" xfId="3084"/>
    <cellStyle name="Cálculo 3 2 3 2 10 2" xfId="3085"/>
    <cellStyle name="Cálculo 3 2 3 2 11" xfId="3086"/>
    <cellStyle name="Cálculo 3 2 3 2 2" xfId="3087"/>
    <cellStyle name="Cálculo 3 2 3 2 2 2" xfId="3088"/>
    <cellStyle name="Cálculo 3 2 3 2 3" xfId="3089"/>
    <cellStyle name="Cálculo 3 2 3 2 3 2" xfId="3090"/>
    <cellStyle name="Cálculo 3 2 3 2 4" xfId="3091"/>
    <cellStyle name="Cálculo 3 2 3 2 4 2" xfId="3092"/>
    <cellStyle name="Cálculo 3 2 3 2 5" xfId="3093"/>
    <cellStyle name="Cálculo 3 2 3 2 5 2" xfId="3094"/>
    <cellStyle name="Cálculo 3 2 3 2 6" xfId="3095"/>
    <cellStyle name="Cálculo 3 2 3 2 6 2" xfId="3096"/>
    <cellStyle name="Cálculo 3 2 3 2 7" xfId="3097"/>
    <cellStyle name="Cálculo 3 2 3 2 7 2" xfId="3098"/>
    <cellStyle name="Cálculo 3 2 3 2 8" xfId="3099"/>
    <cellStyle name="Cálculo 3 2 3 2 8 2" xfId="3100"/>
    <cellStyle name="Cálculo 3 2 3 2 9" xfId="3101"/>
    <cellStyle name="Cálculo 3 2 3 2 9 2" xfId="3102"/>
    <cellStyle name="Cálculo 3 2 3 3" xfId="3103"/>
    <cellStyle name="Cálculo 3 2 3 3 10" xfId="3104"/>
    <cellStyle name="Cálculo 3 2 3 3 10 2" xfId="3105"/>
    <cellStyle name="Cálculo 3 2 3 3 11" xfId="3106"/>
    <cellStyle name="Cálculo 3 2 3 3 2" xfId="3107"/>
    <cellStyle name="Cálculo 3 2 3 3 2 2" xfId="3108"/>
    <cellStyle name="Cálculo 3 2 3 3 3" xfId="3109"/>
    <cellStyle name="Cálculo 3 2 3 3 3 2" xfId="3110"/>
    <cellStyle name="Cálculo 3 2 3 3 4" xfId="3111"/>
    <cellStyle name="Cálculo 3 2 3 3 4 2" xfId="3112"/>
    <cellStyle name="Cálculo 3 2 3 3 5" xfId="3113"/>
    <cellStyle name="Cálculo 3 2 3 3 5 2" xfId="3114"/>
    <cellStyle name="Cálculo 3 2 3 3 6" xfId="3115"/>
    <cellStyle name="Cálculo 3 2 3 3 6 2" xfId="3116"/>
    <cellStyle name="Cálculo 3 2 3 3 7" xfId="3117"/>
    <cellStyle name="Cálculo 3 2 3 3 7 2" xfId="3118"/>
    <cellStyle name="Cálculo 3 2 3 3 8" xfId="3119"/>
    <cellStyle name="Cálculo 3 2 3 3 8 2" xfId="3120"/>
    <cellStyle name="Cálculo 3 2 3 3 9" xfId="3121"/>
    <cellStyle name="Cálculo 3 2 3 3 9 2" xfId="3122"/>
    <cellStyle name="Cálculo 3 2 3 4" xfId="3123"/>
    <cellStyle name="Cálculo 3 2 3 4 2" xfId="3124"/>
    <cellStyle name="Cálculo 3 2 3 5" xfId="3125"/>
    <cellStyle name="Cálculo 3 2 3 5 2" xfId="3126"/>
    <cellStyle name="Cálculo 3 2 3 6" xfId="3127"/>
    <cellStyle name="Cálculo 3 2 3 6 2" xfId="3128"/>
    <cellStyle name="Cálculo 3 2 3 7" xfId="3129"/>
    <cellStyle name="Cálculo 3 2 3 7 2" xfId="3130"/>
    <cellStyle name="Cálculo 3 2 3 8" xfId="3131"/>
    <cellStyle name="Cálculo 3 2 3 8 2" xfId="3132"/>
    <cellStyle name="Cálculo 3 2 3 9" xfId="3133"/>
    <cellStyle name="Cálculo 3 2 3 9 2" xfId="3134"/>
    <cellStyle name="Cálculo 3 2 4" xfId="3135"/>
    <cellStyle name="Cálculo 3 2 4 10" xfId="3136"/>
    <cellStyle name="Cálculo 3 2 4 10 2" xfId="3137"/>
    <cellStyle name="Cálculo 3 2 4 11" xfId="3138"/>
    <cellStyle name="Cálculo 3 2 4 2" xfId="3139"/>
    <cellStyle name="Cálculo 3 2 4 2 2" xfId="3140"/>
    <cellStyle name="Cálculo 3 2 4 3" xfId="3141"/>
    <cellStyle name="Cálculo 3 2 4 3 2" xfId="3142"/>
    <cellStyle name="Cálculo 3 2 4 4" xfId="3143"/>
    <cellStyle name="Cálculo 3 2 4 4 2" xfId="3144"/>
    <cellStyle name="Cálculo 3 2 4 5" xfId="3145"/>
    <cellStyle name="Cálculo 3 2 4 5 2" xfId="3146"/>
    <cellStyle name="Cálculo 3 2 4 6" xfId="3147"/>
    <cellStyle name="Cálculo 3 2 4 6 2" xfId="3148"/>
    <cellStyle name="Cálculo 3 2 4 7" xfId="3149"/>
    <cellStyle name="Cálculo 3 2 4 7 2" xfId="3150"/>
    <cellStyle name="Cálculo 3 2 4 8" xfId="3151"/>
    <cellStyle name="Cálculo 3 2 4 8 2" xfId="3152"/>
    <cellStyle name="Cálculo 3 2 4 9" xfId="3153"/>
    <cellStyle name="Cálculo 3 2 4 9 2" xfId="3154"/>
    <cellStyle name="Cálculo 3 2 5" xfId="3155"/>
    <cellStyle name="Cálculo 3 2 5 10" xfId="3156"/>
    <cellStyle name="Cálculo 3 2 5 10 2" xfId="3157"/>
    <cellStyle name="Cálculo 3 2 5 11" xfId="3158"/>
    <cellStyle name="Cálculo 3 2 5 2" xfId="3159"/>
    <cellStyle name="Cálculo 3 2 5 2 2" xfId="3160"/>
    <cellStyle name="Cálculo 3 2 5 3" xfId="3161"/>
    <cellStyle name="Cálculo 3 2 5 3 2" xfId="3162"/>
    <cellStyle name="Cálculo 3 2 5 4" xfId="3163"/>
    <cellStyle name="Cálculo 3 2 5 4 2" xfId="3164"/>
    <cellStyle name="Cálculo 3 2 5 5" xfId="3165"/>
    <cellStyle name="Cálculo 3 2 5 5 2" xfId="3166"/>
    <cellStyle name="Cálculo 3 2 5 6" xfId="3167"/>
    <cellStyle name="Cálculo 3 2 5 6 2" xfId="3168"/>
    <cellStyle name="Cálculo 3 2 5 7" xfId="3169"/>
    <cellStyle name="Cálculo 3 2 5 7 2" xfId="3170"/>
    <cellStyle name="Cálculo 3 2 5 8" xfId="3171"/>
    <cellStyle name="Cálculo 3 2 5 8 2" xfId="3172"/>
    <cellStyle name="Cálculo 3 2 5 9" xfId="3173"/>
    <cellStyle name="Cálculo 3 2 5 9 2" xfId="3174"/>
    <cellStyle name="Cálculo 3 2 6" xfId="3175"/>
    <cellStyle name="Cálculo 3 2 6 2" xfId="3176"/>
    <cellStyle name="Cálculo 3 2 7" xfId="3177"/>
    <cellStyle name="Cálculo 3 2 7 2" xfId="3178"/>
    <cellStyle name="Cálculo 3 2 8" xfId="3179"/>
    <cellStyle name="Cálculo 3 2 8 2" xfId="3180"/>
    <cellStyle name="Cálculo 3 2 9" xfId="3181"/>
    <cellStyle name="Cálculo 3 2 9 2" xfId="3182"/>
    <cellStyle name="Cálculo 3 3" xfId="3183"/>
    <cellStyle name="Cálculo 3 3 10" xfId="3184"/>
    <cellStyle name="Cálculo 3 3 10 2" xfId="3185"/>
    <cellStyle name="Cálculo 3 3 11" xfId="3186"/>
    <cellStyle name="Cálculo 3 3 11 2" xfId="3187"/>
    <cellStyle name="Cálculo 3 3 12" xfId="3188"/>
    <cellStyle name="Cálculo 3 3 12 2" xfId="3189"/>
    <cellStyle name="Cálculo 3 3 13" xfId="3190"/>
    <cellStyle name="Cálculo 3 3 13 2" xfId="3191"/>
    <cellStyle name="Cálculo 3 3 14" xfId="3192"/>
    <cellStyle name="Cálculo 3 3 14 2" xfId="3193"/>
    <cellStyle name="Cálculo 3 3 15" xfId="3194"/>
    <cellStyle name="Cálculo 3 3 2" xfId="3195"/>
    <cellStyle name="Cálculo 3 3 2 10" xfId="3196"/>
    <cellStyle name="Cálculo 3 3 2 10 2" xfId="3197"/>
    <cellStyle name="Cálculo 3 3 2 11" xfId="3198"/>
    <cellStyle name="Cálculo 3 3 2 11 2" xfId="3199"/>
    <cellStyle name="Cálculo 3 3 2 12" xfId="3200"/>
    <cellStyle name="Cálculo 3 3 2 12 2" xfId="3201"/>
    <cellStyle name="Cálculo 3 3 2 13" xfId="3202"/>
    <cellStyle name="Cálculo 3 3 2 2" xfId="3203"/>
    <cellStyle name="Cálculo 3 3 2 2 10" xfId="3204"/>
    <cellStyle name="Cálculo 3 3 2 2 10 2" xfId="3205"/>
    <cellStyle name="Cálculo 3 3 2 2 11" xfId="3206"/>
    <cellStyle name="Cálculo 3 3 2 2 2" xfId="3207"/>
    <cellStyle name="Cálculo 3 3 2 2 2 2" xfId="3208"/>
    <cellStyle name="Cálculo 3 3 2 2 3" xfId="3209"/>
    <cellStyle name="Cálculo 3 3 2 2 3 2" xfId="3210"/>
    <cellStyle name="Cálculo 3 3 2 2 4" xfId="3211"/>
    <cellStyle name="Cálculo 3 3 2 2 4 2" xfId="3212"/>
    <cellStyle name="Cálculo 3 3 2 2 5" xfId="3213"/>
    <cellStyle name="Cálculo 3 3 2 2 5 2" xfId="3214"/>
    <cellStyle name="Cálculo 3 3 2 2 6" xfId="3215"/>
    <cellStyle name="Cálculo 3 3 2 2 6 2" xfId="3216"/>
    <cellStyle name="Cálculo 3 3 2 2 7" xfId="3217"/>
    <cellStyle name="Cálculo 3 3 2 2 7 2" xfId="3218"/>
    <cellStyle name="Cálculo 3 3 2 2 8" xfId="3219"/>
    <cellStyle name="Cálculo 3 3 2 2 8 2" xfId="3220"/>
    <cellStyle name="Cálculo 3 3 2 2 9" xfId="3221"/>
    <cellStyle name="Cálculo 3 3 2 2 9 2" xfId="3222"/>
    <cellStyle name="Cálculo 3 3 2 3" xfId="3223"/>
    <cellStyle name="Cálculo 3 3 2 3 10" xfId="3224"/>
    <cellStyle name="Cálculo 3 3 2 3 10 2" xfId="3225"/>
    <cellStyle name="Cálculo 3 3 2 3 11" xfId="3226"/>
    <cellStyle name="Cálculo 3 3 2 3 2" xfId="3227"/>
    <cellStyle name="Cálculo 3 3 2 3 2 2" xfId="3228"/>
    <cellStyle name="Cálculo 3 3 2 3 3" xfId="3229"/>
    <cellStyle name="Cálculo 3 3 2 3 3 2" xfId="3230"/>
    <cellStyle name="Cálculo 3 3 2 3 4" xfId="3231"/>
    <cellStyle name="Cálculo 3 3 2 3 4 2" xfId="3232"/>
    <cellStyle name="Cálculo 3 3 2 3 5" xfId="3233"/>
    <cellStyle name="Cálculo 3 3 2 3 5 2" xfId="3234"/>
    <cellStyle name="Cálculo 3 3 2 3 6" xfId="3235"/>
    <cellStyle name="Cálculo 3 3 2 3 6 2" xfId="3236"/>
    <cellStyle name="Cálculo 3 3 2 3 7" xfId="3237"/>
    <cellStyle name="Cálculo 3 3 2 3 7 2" xfId="3238"/>
    <cellStyle name="Cálculo 3 3 2 3 8" xfId="3239"/>
    <cellStyle name="Cálculo 3 3 2 3 8 2" xfId="3240"/>
    <cellStyle name="Cálculo 3 3 2 3 9" xfId="3241"/>
    <cellStyle name="Cálculo 3 3 2 3 9 2" xfId="3242"/>
    <cellStyle name="Cálculo 3 3 2 4" xfId="3243"/>
    <cellStyle name="Cálculo 3 3 2 4 2" xfId="3244"/>
    <cellStyle name="Cálculo 3 3 2 5" xfId="3245"/>
    <cellStyle name="Cálculo 3 3 2 5 2" xfId="3246"/>
    <cellStyle name="Cálculo 3 3 2 6" xfId="3247"/>
    <cellStyle name="Cálculo 3 3 2 6 2" xfId="3248"/>
    <cellStyle name="Cálculo 3 3 2 7" xfId="3249"/>
    <cellStyle name="Cálculo 3 3 2 7 2" xfId="3250"/>
    <cellStyle name="Cálculo 3 3 2 8" xfId="3251"/>
    <cellStyle name="Cálculo 3 3 2 8 2" xfId="3252"/>
    <cellStyle name="Cálculo 3 3 2 9" xfId="3253"/>
    <cellStyle name="Cálculo 3 3 2 9 2" xfId="3254"/>
    <cellStyle name="Cálculo 3 3 3" xfId="3255"/>
    <cellStyle name="Cálculo 3 3 3 10" xfId="3256"/>
    <cellStyle name="Cálculo 3 3 3 10 2" xfId="3257"/>
    <cellStyle name="Cálculo 3 3 3 11" xfId="3258"/>
    <cellStyle name="Cálculo 3 3 3 11 2" xfId="3259"/>
    <cellStyle name="Cálculo 3 3 3 12" xfId="3260"/>
    <cellStyle name="Cálculo 3 3 3 12 2" xfId="3261"/>
    <cellStyle name="Cálculo 3 3 3 13" xfId="3262"/>
    <cellStyle name="Cálculo 3 3 3 2" xfId="3263"/>
    <cellStyle name="Cálculo 3 3 3 2 10" xfId="3264"/>
    <cellStyle name="Cálculo 3 3 3 2 10 2" xfId="3265"/>
    <cellStyle name="Cálculo 3 3 3 2 11" xfId="3266"/>
    <cellStyle name="Cálculo 3 3 3 2 2" xfId="3267"/>
    <cellStyle name="Cálculo 3 3 3 2 2 2" xfId="3268"/>
    <cellStyle name="Cálculo 3 3 3 2 3" xfId="3269"/>
    <cellStyle name="Cálculo 3 3 3 2 3 2" xfId="3270"/>
    <cellStyle name="Cálculo 3 3 3 2 4" xfId="3271"/>
    <cellStyle name="Cálculo 3 3 3 2 4 2" xfId="3272"/>
    <cellStyle name="Cálculo 3 3 3 2 5" xfId="3273"/>
    <cellStyle name="Cálculo 3 3 3 2 5 2" xfId="3274"/>
    <cellStyle name="Cálculo 3 3 3 2 6" xfId="3275"/>
    <cellStyle name="Cálculo 3 3 3 2 6 2" xfId="3276"/>
    <cellStyle name="Cálculo 3 3 3 2 7" xfId="3277"/>
    <cellStyle name="Cálculo 3 3 3 2 7 2" xfId="3278"/>
    <cellStyle name="Cálculo 3 3 3 2 8" xfId="3279"/>
    <cellStyle name="Cálculo 3 3 3 2 8 2" xfId="3280"/>
    <cellStyle name="Cálculo 3 3 3 2 9" xfId="3281"/>
    <cellStyle name="Cálculo 3 3 3 2 9 2" xfId="3282"/>
    <cellStyle name="Cálculo 3 3 3 3" xfId="3283"/>
    <cellStyle name="Cálculo 3 3 3 3 10" xfId="3284"/>
    <cellStyle name="Cálculo 3 3 3 3 10 2" xfId="3285"/>
    <cellStyle name="Cálculo 3 3 3 3 11" xfId="3286"/>
    <cellStyle name="Cálculo 3 3 3 3 2" xfId="3287"/>
    <cellStyle name="Cálculo 3 3 3 3 2 2" xfId="3288"/>
    <cellStyle name="Cálculo 3 3 3 3 3" xfId="3289"/>
    <cellStyle name="Cálculo 3 3 3 3 3 2" xfId="3290"/>
    <cellStyle name="Cálculo 3 3 3 3 4" xfId="3291"/>
    <cellStyle name="Cálculo 3 3 3 3 4 2" xfId="3292"/>
    <cellStyle name="Cálculo 3 3 3 3 5" xfId="3293"/>
    <cellStyle name="Cálculo 3 3 3 3 5 2" xfId="3294"/>
    <cellStyle name="Cálculo 3 3 3 3 6" xfId="3295"/>
    <cellStyle name="Cálculo 3 3 3 3 6 2" xfId="3296"/>
    <cellStyle name="Cálculo 3 3 3 3 7" xfId="3297"/>
    <cellStyle name="Cálculo 3 3 3 3 7 2" xfId="3298"/>
    <cellStyle name="Cálculo 3 3 3 3 8" xfId="3299"/>
    <cellStyle name="Cálculo 3 3 3 3 8 2" xfId="3300"/>
    <cellStyle name="Cálculo 3 3 3 3 9" xfId="3301"/>
    <cellStyle name="Cálculo 3 3 3 3 9 2" xfId="3302"/>
    <cellStyle name="Cálculo 3 3 3 4" xfId="3303"/>
    <cellStyle name="Cálculo 3 3 3 4 2" xfId="3304"/>
    <cellStyle name="Cálculo 3 3 3 5" xfId="3305"/>
    <cellStyle name="Cálculo 3 3 3 5 2" xfId="3306"/>
    <cellStyle name="Cálculo 3 3 3 6" xfId="3307"/>
    <cellStyle name="Cálculo 3 3 3 6 2" xfId="3308"/>
    <cellStyle name="Cálculo 3 3 3 7" xfId="3309"/>
    <cellStyle name="Cálculo 3 3 3 7 2" xfId="3310"/>
    <cellStyle name="Cálculo 3 3 3 8" xfId="3311"/>
    <cellStyle name="Cálculo 3 3 3 8 2" xfId="3312"/>
    <cellStyle name="Cálculo 3 3 3 9" xfId="3313"/>
    <cellStyle name="Cálculo 3 3 3 9 2" xfId="3314"/>
    <cellStyle name="Cálculo 3 3 4" xfId="3315"/>
    <cellStyle name="Cálculo 3 3 4 10" xfId="3316"/>
    <cellStyle name="Cálculo 3 3 4 10 2" xfId="3317"/>
    <cellStyle name="Cálculo 3 3 4 11" xfId="3318"/>
    <cellStyle name="Cálculo 3 3 4 2" xfId="3319"/>
    <cellStyle name="Cálculo 3 3 4 2 2" xfId="3320"/>
    <cellStyle name="Cálculo 3 3 4 3" xfId="3321"/>
    <cellStyle name="Cálculo 3 3 4 3 2" xfId="3322"/>
    <cellStyle name="Cálculo 3 3 4 4" xfId="3323"/>
    <cellStyle name="Cálculo 3 3 4 4 2" xfId="3324"/>
    <cellStyle name="Cálculo 3 3 4 5" xfId="3325"/>
    <cellStyle name="Cálculo 3 3 4 5 2" xfId="3326"/>
    <cellStyle name="Cálculo 3 3 4 6" xfId="3327"/>
    <cellStyle name="Cálculo 3 3 4 6 2" xfId="3328"/>
    <cellStyle name="Cálculo 3 3 4 7" xfId="3329"/>
    <cellStyle name="Cálculo 3 3 4 7 2" xfId="3330"/>
    <cellStyle name="Cálculo 3 3 4 8" xfId="3331"/>
    <cellStyle name="Cálculo 3 3 4 8 2" xfId="3332"/>
    <cellStyle name="Cálculo 3 3 4 9" xfId="3333"/>
    <cellStyle name="Cálculo 3 3 4 9 2" xfId="3334"/>
    <cellStyle name="Cálculo 3 3 5" xfId="3335"/>
    <cellStyle name="Cálculo 3 3 5 10" xfId="3336"/>
    <cellStyle name="Cálculo 3 3 5 10 2" xfId="3337"/>
    <cellStyle name="Cálculo 3 3 5 11" xfId="3338"/>
    <cellStyle name="Cálculo 3 3 5 2" xfId="3339"/>
    <cellStyle name="Cálculo 3 3 5 2 2" xfId="3340"/>
    <cellStyle name="Cálculo 3 3 5 3" xfId="3341"/>
    <cellStyle name="Cálculo 3 3 5 3 2" xfId="3342"/>
    <cellStyle name="Cálculo 3 3 5 4" xfId="3343"/>
    <cellStyle name="Cálculo 3 3 5 4 2" xfId="3344"/>
    <cellStyle name="Cálculo 3 3 5 5" xfId="3345"/>
    <cellStyle name="Cálculo 3 3 5 5 2" xfId="3346"/>
    <cellStyle name="Cálculo 3 3 5 6" xfId="3347"/>
    <cellStyle name="Cálculo 3 3 5 6 2" xfId="3348"/>
    <cellStyle name="Cálculo 3 3 5 7" xfId="3349"/>
    <cellStyle name="Cálculo 3 3 5 7 2" xfId="3350"/>
    <cellStyle name="Cálculo 3 3 5 8" xfId="3351"/>
    <cellStyle name="Cálculo 3 3 5 8 2" xfId="3352"/>
    <cellStyle name="Cálculo 3 3 5 9" xfId="3353"/>
    <cellStyle name="Cálculo 3 3 5 9 2" xfId="3354"/>
    <cellStyle name="Cálculo 3 3 6" xfId="3355"/>
    <cellStyle name="Cálculo 3 3 6 2" xfId="3356"/>
    <cellStyle name="Cálculo 3 3 7" xfId="3357"/>
    <cellStyle name="Cálculo 3 3 7 2" xfId="3358"/>
    <cellStyle name="Cálculo 3 3 8" xfId="3359"/>
    <cellStyle name="Cálculo 3 3 8 2" xfId="3360"/>
    <cellStyle name="Cálculo 3 3 9" xfId="3361"/>
    <cellStyle name="Cálculo 3 3 9 2" xfId="3362"/>
    <cellStyle name="Cálculo 3 4" xfId="3363"/>
    <cellStyle name="Cálculo 3 4 10" xfId="3364"/>
    <cellStyle name="Cálculo 3 4 10 2" xfId="3365"/>
    <cellStyle name="Cálculo 3 4 11" xfId="3366"/>
    <cellStyle name="Cálculo 3 4 11 2" xfId="3367"/>
    <cellStyle name="Cálculo 3 4 12" xfId="3368"/>
    <cellStyle name="Cálculo 3 4 12 2" xfId="3369"/>
    <cellStyle name="Cálculo 3 4 13" xfId="3370"/>
    <cellStyle name="Cálculo 3 4 2" xfId="3371"/>
    <cellStyle name="Cálculo 3 4 2 10" xfId="3372"/>
    <cellStyle name="Cálculo 3 4 2 10 2" xfId="3373"/>
    <cellStyle name="Cálculo 3 4 2 11" xfId="3374"/>
    <cellStyle name="Cálculo 3 4 2 2" xfId="3375"/>
    <cellStyle name="Cálculo 3 4 2 2 2" xfId="3376"/>
    <cellStyle name="Cálculo 3 4 2 3" xfId="3377"/>
    <cellStyle name="Cálculo 3 4 2 3 2" xfId="3378"/>
    <cellStyle name="Cálculo 3 4 2 4" xfId="3379"/>
    <cellStyle name="Cálculo 3 4 2 4 2" xfId="3380"/>
    <cellStyle name="Cálculo 3 4 2 5" xfId="3381"/>
    <cellStyle name="Cálculo 3 4 2 5 2" xfId="3382"/>
    <cellStyle name="Cálculo 3 4 2 6" xfId="3383"/>
    <cellStyle name="Cálculo 3 4 2 6 2" xfId="3384"/>
    <cellStyle name="Cálculo 3 4 2 7" xfId="3385"/>
    <cellStyle name="Cálculo 3 4 2 7 2" xfId="3386"/>
    <cellStyle name="Cálculo 3 4 2 8" xfId="3387"/>
    <cellStyle name="Cálculo 3 4 2 8 2" xfId="3388"/>
    <cellStyle name="Cálculo 3 4 2 9" xfId="3389"/>
    <cellStyle name="Cálculo 3 4 2 9 2" xfId="3390"/>
    <cellStyle name="Cálculo 3 4 3" xfId="3391"/>
    <cellStyle name="Cálculo 3 4 3 10" xfId="3392"/>
    <cellStyle name="Cálculo 3 4 3 10 2" xfId="3393"/>
    <cellStyle name="Cálculo 3 4 3 11" xfId="3394"/>
    <cellStyle name="Cálculo 3 4 3 2" xfId="3395"/>
    <cellStyle name="Cálculo 3 4 3 2 2" xfId="3396"/>
    <cellStyle name="Cálculo 3 4 3 3" xfId="3397"/>
    <cellStyle name="Cálculo 3 4 3 3 2" xfId="3398"/>
    <cellStyle name="Cálculo 3 4 3 4" xfId="3399"/>
    <cellStyle name="Cálculo 3 4 3 4 2" xfId="3400"/>
    <cellStyle name="Cálculo 3 4 3 5" xfId="3401"/>
    <cellStyle name="Cálculo 3 4 3 5 2" xfId="3402"/>
    <cellStyle name="Cálculo 3 4 3 6" xfId="3403"/>
    <cellStyle name="Cálculo 3 4 3 6 2" xfId="3404"/>
    <cellStyle name="Cálculo 3 4 3 7" xfId="3405"/>
    <cellStyle name="Cálculo 3 4 3 7 2" xfId="3406"/>
    <cellStyle name="Cálculo 3 4 3 8" xfId="3407"/>
    <cellStyle name="Cálculo 3 4 3 8 2" xfId="3408"/>
    <cellStyle name="Cálculo 3 4 3 9" xfId="3409"/>
    <cellStyle name="Cálculo 3 4 3 9 2" xfId="3410"/>
    <cellStyle name="Cálculo 3 4 4" xfId="3411"/>
    <cellStyle name="Cálculo 3 4 4 2" xfId="3412"/>
    <cellStyle name="Cálculo 3 4 5" xfId="3413"/>
    <cellStyle name="Cálculo 3 4 5 2" xfId="3414"/>
    <cellStyle name="Cálculo 3 4 6" xfId="3415"/>
    <cellStyle name="Cálculo 3 4 6 2" xfId="3416"/>
    <cellStyle name="Cálculo 3 4 7" xfId="3417"/>
    <cellStyle name="Cálculo 3 4 7 2" xfId="3418"/>
    <cellStyle name="Cálculo 3 4 8" xfId="3419"/>
    <cellStyle name="Cálculo 3 4 8 2" xfId="3420"/>
    <cellStyle name="Cálculo 3 4 9" xfId="3421"/>
    <cellStyle name="Cálculo 3 4 9 2" xfId="3422"/>
    <cellStyle name="Cálculo 3 5" xfId="3423"/>
    <cellStyle name="Cálculo 3 5 10" xfId="3424"/>
    <cellStyle name="Cálculo 3 5 10 2" xfId="3425"/>
    <cellStyle name="Cálculo 3 5 11" xfId="3426"/>
    <cellStyle name="Cálculo 3 5 11 2" xfId="3427"/>
    <cellStyle name="Cálculo 3 5 12" xfId="3428"/>
    <cellStyle name="Cálculo 3 5 12 2" xfId="3429"/>
    <cellStyle name="Cálculo 3 5 13" xfId="3430"/>
    <cellStyle name="Cálculo 3 5 2" xfId="3431"/>
    <cellStyle name="Cálculo 3 5 2 10" xfId="3432"/>
    <cellStyle name="Cálculo 3 5 2 10 2" xfId="3433"/>
    <cellStyle name="Cálculo 3 5 2 11" xfId="3434"/>
    <cellStyle name="Cálculo 3 5 2 2" xfId="3435"/>
    <cellStyle name="Cálculo 3 5 2 2 2" xfId="3436"/>
    <cellStyle name="Cálculo 3 5 2 3" xfId="3437"/>
    <cellStyle name="Cálculo 3 5 2 3 2" xfId="3438"/>
    <cellStyle name="Cálculo 3 5 2 4" xfId="3439"/>
    <cellStyle name="Cálculo 3 5 2 4 2" xfId="3440"/>
    <cellStyle name="Cálculo 3 5 2 5" xfId="3441"/>
    <cellStyle name="Cálculo 3 5 2 5 2" xfId="3442"/>
    <cellStyle name="Cálculo 3 5 2 6" xfId="3443"/>
    <cellStyle name="Cálculo 3 5 2 6 2" xfId="3444"/>
    <cellStyle name="Cálculo 3 5 2 7" xfId="3445"/>
    <cellStyle name="Cálculo 3 5 2 7 2" xfId="3446"/>
    <cellStyle name="Cálculo 3 5 2 8" xfId="3447"/>
    <cellStyle name="Cálculo 3 5 2 8 2" xfId="3448"/>
    <cellStyle name="Cálculo 3 5 2 9" xfId="3449"/>
    <cellStyle name="Cálculo 3 5 2 9 2" xfId="3450"/>
    <cellStyle name="Cálculo 3 5 3" xfId="3451"/>
    <cellStyle name="Cálculo 3 5 3 10" xfId="3452"/>
    <cellStyle name="Cálculo 3 5 3 10 2" xfId="3453"/>
    <cellStyle name="Cálculo 3 5 3 11" xfId="3454"/>
    <cellStyle name="Cálculo 3 5 3 2" xfId="3455"/>
    <cellStyle name="Cálculo 3 5 3 2 2" xfId="3456"/>
    <cellStyle name="Cálculo 3 5 3 3" xfId="3457"/>
    <cellStyle name="Cálculo 3 5 3 3 2" xfId="3458"/>
    <cellStyle name="Cálculo 3 5 3 4" xfId="3459"/>
    <cellStyle name="Cálculo 3 5 3 4 2" xfId="3460"/>
    <cellStyle name="Cálculo 3 5 3 5" xfId="3461"/>
    <cellStyle name="Cálculo 3 5 3 5 2" xfId="3462"/>
    <cellStyle name="Cálculo 3 5 3 6" xfId="3463"/>
    <cellStyle name="Cálculo 3 5 3 6 2" xfId="3464"/>
    <cellStyle name="Cálculo 3 5 3 7" xfId="3465"/>
    <cellStyle name="Cálculo 3 5 3 7 2" xfId="3466"/>
    <cellStyle name="Cálculo 3 5 3 8" xfId="3467"/>
    <cellStyle name="Cálculo 3 5 3 8 2" xfId="3468"/>
    <cellStyle name="Cálculo 3 5 3 9" xfId="3469"/>
    <cellStyle name="Cálculo 3 5 3 9 2" xfId="3470"/>
    <cellStyle name="Cálculo 3 5 4" xfId="3471"/>
    <cellStyle name="Cálculo 3 5 4 2" xfId="3472"/>
    <cellStyle name="Cálculo 3 5 5" xfId="3473"/>
    <cellStyle name="Cálculo 3 5 5 2" xfId="3474"/>
    <cellStyle name="Cálculo 3 5 6" xfId="3475"/>
    <cellStyle name="Cálculo 3 5 6 2" xfId="3476"/>
    <cellStyle name="Cálculo 3 5 7" xfId="3477"/>
    <cellStyle name="Cálculo 3 5 7 2" xfId="3478"/>
    <cellStyle name="Cálculo 3 5 8" xfId="3479"/>
    <cellStyle name="Cálculo 3 5 8 2" xfId="3480"/>
    <cellStyle name="Cálculo 3 5 9" xfId="3481"/>
    <cellStyle name="Cálculo 3 5 9 2" xfId="3482"/>
    <cellStyle name="Cálculo 3 6" xfId="3483"/>
    <cellStyle name="Cálculo 3 6 2" xfId="3484"/>
    <cellStyle name="Cálculo 3 7" xfId="3485"/>
    <cellStyle name="Cálculo 3 7 2" xfId="3486"/>
    <cellStyle name="Cálculo 3 8" xfId="3487"/>
    <cellStyle name="Cálculo 3 8 2" xfId="3488"/>
    <cellStyle name="Cálculo 3 9" xfId="3489"/>
    <cellStyle name="Cálculo 3 9 2" xfId="3490"/>
    <cellStyle name="Cálculo 4" xfId="3491"/>
    <cellStyle name="Cálculo 4 10" xfId="3492"/>
    <cellStyle name="Cálculo 4 10 2" xfId="3493"/>
    <cellStyle name="Cálculo 4 11" xfId="3494"/>
    <cellStyle name="Cálculo 4 11 2" xfId="3495"/>
    <cellStyle name="Cálculo 4 12" xfId="3496"/>
    <cellStyle name="Cálculo 4 12 2" xfId="3497"/>
    <cellStyle name="Cálculo 4 13" xfId="3498"/>
    <cellStyle name="Cálculo 4 13 2" xfId="3499"/>
    <cellStyle name="Cálculo 4 14" xfId="3500"/>
    <cellStyle name="Cálculo 4 14 2" xfId="3501"/>
    <cellStyle name="Cálculo 4 15" xfId="3502"/>
    <cellStyle name="Cálculo 4 15 2" xfId="3503"/>
    <cellStyle name="Cálculo 4 16" xfId="3504"/>
    <cellStyle name="Cálculo 4 17" xfId="3505"/>
    <cellStyle name="Cálculo 4 18" xfId="3506"/>
    <cellStyle name="Cálculo 4 2" xfId="3507"/>
    <cellStyle name="Cálculo 4 2 10" xfId="3508"/>
    <cellStyle name="Cálculo 4 2 10 2" xfId="3509"/>
    <cellStyle name="Cálculo 4 2 11" xfId="3510"/>
    <cellStyle name="Cálculo 4 2 11 2" xfId="3511"/>
    <cellStyle name="Cálculo 4 2 12" xfId="3512"/>
    <cellStyle name="Cálculo 4 2 12 2" xfId="3513"/>
    <cellStyle name="Cálculo 4 2 13" xfId="3514"/>
    <cellStyle name="Cálculo 4 2 13 2" xfId="3515"/>
    <cellStyle name="Cálculo 4 2 14" xfId="3516"/>
    <cellStyle name="Cálculo 4 2 14 2" xfId="3517"/>
    <cellStyle name="Cálculo 4 2 15" xfId="3518"/>
    <cellStyle name="Cálculo 4 2 2" xfId="3519"/>
    <cellStyle name="Cálculo 4 2 2 10" xfId="3520"/>
    <cellStyle name="Cálculo 4 2 2 10 2" xfId="3521"/>
    <cellStyle name="Cálculo 4 2 2 11" xfId="3522"/>
    <cellStyle name="Cálculo 4 2 2 11 2" xfId="3523"/>
    <cellStyle name="Cálculo 4 2 2 12" xfId="3524"/>
    <cellStyle name="Cálculo 4 2 2 12 2" xfId="3525"/>
    <cellStyle name="Cálculo 4 2 2 13" xfId="3526"/>
    <cellStyle name="Cálculo 4 2 2 2" xfId="3527"/>
    <cellStyle name="Cálculo 4 2 2 2 10" xfId="3528"/>
    <cellStyle name="Cálculo 4 2 2 2 10 2" xfId="3529"/>
    <cellStyle name="Cálculo 4 2 2 2 11" xfId="3530"/>
    <cellStyle name="Cálculo 4 2 2 2 2" xfId="3531"/>
    <cellStyle name="Cálculo 4 2 2 2 2 2" xfId="3532"/>
    <cellStyle name="Cálculo 4 2 2 2 3" xfId="3533"/>
    <cellStyle name="Cálculo 4 2 2 2 3 2" xfId="3534"/>
    <cellStyle name="Cálculo 4 2 2 2 4" xfId="3535"/>
    <cellStyle name="Cálculo 4 2 2 2 4 2" xfId="3536"/>
    <cellStyle name="Cálculo 4 2 2 2 5" xfId="3537"/>
    <cellStyle name="Cálculo 4 2 2 2 5 2" xfId="3538"/>
    <cellStyle name="Cálculo 4 2 2 2 6" xfId="3539"/>
    <cellStyle name="Cálculo 4 2 2 2 6 2" xfId="3540"/>
    <cellStyle name="Cálculo 4 2 2 2 7" xfId="3541"/>
    <cellStyle name="Cálculo 4 2 2 2 7 2" xfId="3542"/>
    <cellStyle name="Cálculo 4 2 2 2 8" xfId="3543"/>
    <cellStyle name="Cálculo 4 2 2 2 8 2" xfId="3544"/>
    <cellStyle name="Cálculo 4 2 2 2 9" xfId="3545"/>
    <cellStyle name="Cálculo 4 2 2 2 9 2" xfId="3546"/>
    <cellStyle name="Cálculo 4 2 2 3" xfId="3547"/>
    <cellStyle name="Cálculo 4 2 2 3 10" xfId="3548"/>
    <cellStyle name="Cálculo 4 2 2 3 10 2" xfId="3549"/>
    <cellStyle name="Cálculo 4 2 2 3 11" xfId="3550"/>
    <cellStyle name="Cálculo 4 2 2 3 2" xfId="3551"/>
    <cellStyle name="Cálculo 4 2 2 3 2 2" xfId="3552"/>
    <cellStyle name="Cálculo 4 2 2 3 3" xfId="3553"/>
    <cellStyle name="Cálculo 4 2 2 3 3 2" xfId="3554"/>
    <cellStyle name="Cálculo 4 2 2 3 4" xfId="3555"/>
    <cellStyle name="Cálculo 4 2 2 3 4 2" xfId="3556"/>
    <cellStyle name="Cálculo 4 2 2 3 5" xfId="3557"/>
    <cellStyle name="Cálculo 4 2 2 3 5 2" xfId="3558"/>
    <cellStyle name="Cálculo 4 2 2 3 6" xfId="3559"/>
    <cellStyle name="Cálculo 4 2 2 3 6 2" xfId="3560"/>
    <cellStyle name="Cálculo 4 2 2 3 7" xfId="3561"/>
    <cellStyle name="Cálculo 4 2 2 3 7 2" xfId="3562"/>
    <cellStyle name="Cálculo 4 2 2 3 8" xfId="3563"/>
    <cellStyle name="Cálculo 4 2 2 3 8 2" xfId="3564"/>
    <cellStyle name="Cálculo 4 2 2 3 9" xfId="3565"/>
    <cellStyle name="Cálculo 4 2 2 3 9 2" xfId="3566"/>
    <cellStyle name="Cálculo 4 2 2 4" xfId="3567"/>
    <cellStyle name="Cálculo 4 2 2 4 2" xfId="3568"/>
    <cellStyle name="Cálculo 4 2 2 5" xfId="3569"/>
    <cellStyle name="Cálculo 4 2 2 5 2" xfId="3570"/>
    <cellStyle name="Cálculo 4 2 2 6" xfId="3571"/>
    <cellStyle name="Cálculo 4 2 2 6 2" xfId="3572"/>
    <cellStyle name="Cálculo 4 2 2 7" xfId="3573"/>
    <cellStyle name="Cálculo 4 2 2 7 2" xfId="3574"/>
    <cellStyle name="Cálculo 4 2 2 8" xfId="3575"/>
    <cellStyle name="Cálculo 4 2 2 8 2" xfId="3576"/>
    <cellStyle name="Cálculo 4 2 2 9" xfId="3577"/>
    <cellStyle name="Cálculo 4 2 2 9 2" xfId="3578"/>
    <cellStyle name="Cálculo 4 2 3" xfId="3579"/>
    <cellStyle name="Cálculo 4 2 3 10" xfId="3580"/>
    <cellStyle name="Cálculo 4 2 3 10 2" xfId="3581"/>
    <cellStyle name="Cálculo 4 2 3 11" xfId="3582"/>
    <cellStyle name="Cálculo 4 2 3 11 2" xfId="3583"/>
    <cellStyle name="Cálculo 4 2 3 12" xfId="3584"/>
    <cellStyle name="Cálculo 4 2 3 12 2" xfId="3585"/>
    <cellStyle name="Cálculo 4 2 3 13" xfId="3586"/>
    <cellStyle name="Cálculo 4 2 3 2" xfId="3587"/>
    <cellStyle name="Cálculo 4 2 3 2 10" xfId="3588"/>
    <cellStyle name="Cálculo 4 2 3 2 10 2" xfId="3589"/>
    <cellStyle name="Cálculo 4 2 3 2 11" xfId="3590"/>
    <cellStyle name="Cálculo 4 2 3 2 2" xfId="3591"/>
    <cellStyle name="Cálculo 4 2 3 2 2 2" xfId="3592"/>
    <cellStyle name="Cálculo 4 2 3 2 3" xfId="3593"/>
    <cellStyle name="Cálculo 4 2 3 2 3 2" xfId="3594"/>
    <cellStyle name="Cálculo 4 2 3 2 4" xfId="3595"/>
    <cellStyle name="Cálculo 4 2 3 2 4 2" xfId="3596"/>
    <cellStyle name="Cálculo 4 2 3 2 5" xfId="3597"/>
    <cellStyle name="Cálculo 4 2 3 2 5 2" xfId="3598"/>
    <cellStyle name="Cálculo 4 2 3 2 6" xfId="3599"/>
    <cellStyle name="Cálculo 4 2 3 2 6 2" xfId="3600"/>
    <cellStyle name="Cálculo 4 2 3 2 7" xfId="3601"/>
    <cellStyle name="Cálculo 4 2 3 2 7 2" xfId="3602"/>
    <cellStyle name="Cálculo 4 2 3 2 8" xfId="3603"/>
    <cellStyle name="Cálculo 4 2 3 2 8 2" xfId="3604"/>
    <cellStyle name="Cálculo 4 2 3 2 9" xfId="3605"/>
    <cellStyle name="Cálculo 4 2 3 2 9 2" xfId="3606"/>
    <cellStyle name="Cálculo 4 2 3 3" xfId="3607"/>
    <cellStyle name="Cálculo 4 2 3 3 10" xfId="3608"/>
    <cellStyle name="Cálculo 4 2 3 3 10 2" xfId="3609"/>
    <cellStyle name="Cálculo 4 2 3 3 11" xfId="3610"/>
    <cellStyle name="Cálculo 4 2 3 3 2" xfId="3611"/>
    <cellStyle name="Cálculo 4 2 3 3 2 2" xfId="3612"/>
    <cellStyle name="Cálculo 4 2 3 3 3" xfId="3613"/>
    <cellStyle name="Cálculo 4 2 3 3 3 2" xfId="3614"/>
    <cellStyle name="Cálculo 4 2 3 3 4" xfId="3615"/>
    <cellStyle name="Cálculo 4 2 3 3 4 2" xfId="3616"/>
    <cellStyle name="Cálculo 4 2 3 3 5" xfId="3617"/>
    <cellStyle name="Cálculo 4 2 3 3 5 2" xfId="3618"/>
    <cellStyle name="Cálculo 4 2 3 3 6" xfId="3619"/>
    <cellStyle name="Cálculo 4 2 3 3 6 2" xfId="3620"/>
    <cellStyle name="Cálculo 4 2 3 3 7" xfId="3621"/>
    <cellStyle name="Cálculo 4 2 3 3 7 2" xfId="3622"/>
    <cellStyle name="Cálculo 4 2 3 3 8" xfId="3623"/>
    <cellStyle name="Cálculo 4 2 3 3 8 2" xfId="3624"/>
    <cellStyle name="Cálculo 4 2 3 3 9" xfId="3625"/>
    <cellStyle name="Cálculo 4 2 3 3 9 2" xfId="3626"/>
    <cellStyle name="Cálculo 4 2 3 4" xfId="3627"/>
    <cellStyle name="Cálculo 4 2 3 4 2" xfId="3628"/>
    <cellStyle name="Cálculo 4 2 3 5" xfId="3629"/>
    <cellStyle name="Cálculo 4 2 3 5 2" xfId="3630"/>
    <cellStyle name="Cálculo 4 2 3 6" xfId="3631"/>
    <cellStyle name="Cálculo 4 2 3 6 2" xfId="3632"/>
    <cellStyle name="Cálculo 4 2 3 7" xfId="3633"/>
    <cellStyle name="Cálculo 4 2 3 7 2" xfId="3634"/>
    <cellStyle name="Cálculo 4 2 3 8" xfId="3635"/>
    <cellStyle name="Cálculo 4 2 3 8 2" xfId="3636"/>
    <cellStyle name="Cálculo 4 2 3 9" xfId="3637"/>
    <cellStyle name="Cálculo 4 2 3 9 2" xfId="3638"/>
    <cellStyle name="Cálculo 4 2 4" xfId="3639"/>
    <cellStyle name="Cálculo 4 2 4 10" xfId="3640"/>
    <cellStyle name="Cálculo 4 2 4 10 2" xfId="3641"/>
    <cellStyle name="Cálculo 4 2 4 11" xfId="3642"/>
    <cellStyle name="Cálculo 4 2 4 2" xfId="3643"/>
    <cellStyle name="Cálculo 4 2 4 2 2" xfId="3644"/>
    <cellStyle name="Cálculo 4 2 4 3" xfId="3645"/>
    <cellStyle name="Cálculo 4 2 4 3 2" xfId="3646"/>
    <cellStyle name="Cálculo 4 2 4 4" xfId="3647"/>
    <cellStyle name="Cálculo 4 2 4 4 2" xfId="3648"/>
    <cellStyle name="Cálculo 4 2 4 5" xfId="3649"/>
    <cellStyle name="Cálculo 4 2 4 5 2" xfId="3650"/>
    <cellStyle name="Cálculo 4 2 4 6" xfId="3651"/>
    <cellStyle name="Cálculo 4 2 4 6 2" xfId="3652"/>
    <cellStyle name="Cálculo 4 2 4 7" xfId="3653"/>
    <cellStyle name="Cálculo 4 2 4 7 2" xfId="3654"/>
    <cellStyle name="Cálculo 4 2 4 8" xfId="3655"/>
    <cellStyle name="Cálculo 4 2 4 8 2" xfId="3656"/>
    <cellStyle name="Cálculo 4 2 4 9" xfId="3657"/>
    <cellStyle name="Cálculo 4 2 4 9 2" xfId="3658"/>
    <cellStyle name="Cálculo 4 2 5" xfId="3659"/>
    <cellStyle name="Cálculo 4 2 5 10" xfId="3660"/>
    <cellStyle name="Cálculo 4 2 5 10 2" xfId="3661"/>
    <cellStyle name="Cálculo 4 2 5 11" xfId="3662"/>
    <cellStyle name="Cálculo 4 2 5 2" xfId="3663"/>
    <cellStyle name="Cálculo 4 2 5 2 2" xfId="3664"/>
    <cellStyle name="Cálculo 4 2 5 3" xfId="3665"/>
    <cellStyle name="Cálculo 4 2 5 3 2" xfId="3666"/>
    <cellStyle name="Cálculo 4 2 5 4" xfId="3667"/>
    <cellStyle name="Cálculo 4 2 5 4 2" xfId="3668"/>
    <cellStyle name="Cálculo 4 2 5 5" xfId="3669"/>
    <cellStyle name="Cálculo 4 2 5 5 2" xfId="3670"/>
    <cellStyle name="Cálculo 4 2 5 6" xfId="3671"/>
    <cellStyle name="Cálculo 4 2 5 6 2" xfId="3672"/>
    <cellStyle name="Cálculo 4 2 5 7" xfId="3673"/>
    <cellStyle name="Cálculo 4 2 5 7 2" xfId="3674"/>
    <cellStyle name="Cálculo 4 2 5 8" xfId="3675"/>
    <cellStyle name="Cálculo 4 2 5 8 2" xfId="3676"/>
    <cellStyle name="Cálculo 4 2 5 9" xfId="3677"/>
    <cellStyle name="Cálculo 4 2 5 9 2" xfId="3678"/>
    <cellStyle name="Cálculo 4 2 6" xfId="3679"/>
    <cellStyle name="Cálculo 4 2 6 2" xfId="3680"/>
    <cellStyle name="Cálculo 4 2 7" xfId="3681"/>
    <cellStyle name="Cálculo 4 2 7 2" xfId="3682"/>
    <cellStyle name="Cálculo 4 2 8" xfId="3683"/>
    <cellStyle name="Cálculo 4 2 8 2" xfId="3684"/>
    <cellStyle name="Cálculo 4 2 9" xfId="3685"/>
    <cellStyle name="Cálculo 4 2 9 2" xfId="3686"/>
    <cellStyle name="Cálculo 4 3" xfId="3687"/>
    <cellStyle name="Cálculo 4 3 10" xfId="3688"/>
    <cellStyle name="Cálculo 4 3 10 2" xfId="3689"/>
    <cellStyle name="Cálculo 4 3 11" xfId="3690"/>
    <cellStyle name="Cálculo 4 3 11 2" xfId="3691"/>
    <cellStyle name="Cálculo 4 3 12" xfId="3692"/>
    <cellStyle name="Cálculo 4 3 12 2" xfId="3693"/>
    <cellStyle name="Cálculo 4 3 13" xfId="3694"/>
    <cellStyle name="Cálculo 4 3 2" xfId="3695"/>
    <cellStyle name="Cálculo 4 3 2 10" xfId="3696"/>
    <cellStyle name="Cálculo 4 3 2 10 2" xfId="3697"/>
    <cellStyle name="Cálculo 4 3 2 11" xfId="3698"/>
    <cellStyle name="Cálculo 4 3 2 2" xfId="3699"/>
    <cellStyle name="Cálculo 4 3 2 2 2" xfId="3700"/>
    <cellStyle name="Cálculo 4 3 2 3" xfId="3701"/>
    <cellStyle name="Cálculo 4 3 2 3 2" xfId="3702"/>
    <cellStyle name="Cálculo 4 3 2 4" xfId="3703"/>
    <cellStyle name="Cálculo 4 3 2 4 2" xfId="3704"/>
    <cellStyle name="Cálculo 4 3 2 5" xfId="3705"/>
    <cellStyle name="Cálculo 4 3 2 5 2" xfId="3706"/>
    <cellStyle name="Cálculo 4 3 2 6" xfId="3707"/>
    <cellStyle name="Cálculo 4 3 2 6 2" xfId="3708"/>
    <cellStyle name="Cálculo 4 3 2 7" xfId="3709"/>
    <cellStyle name="Cálculo 4 3 2 7 2" xfId="3710"/>
    <cellStyle name="Cálculo 4 3 2 8" xfId="3711"/>
    <cellStyle name="Cálculo 4 3 2 8 2" xfId="3712"/>
    <cellStyle name="Cálculo 4 3 2 9" xfId="3713"/>
    <cellStyle name="Cálculo 4 3 2 9 2" xfId="3714"/>
    <cellStyle name="Cálculo 4 3 3" xfId="3715"/>
    <cellStyle name="Cálculo 4 3 3 10" xfId="3716"/>
    <cellStyle name="Cálculo 4 3 3 10 2" xfId="3717"/>
    <cellStyle name="Cálculo 4 3 3 11" xfId="3718"/>
    <cellStyle name="Cálculo 4 3 3 2" xfId="3719"/>
    <cellStyle name="Cálculo 4 3 3 2 2" xfId="3720"/>
    <cellStyle name="Cálculo 4 3 3 3" xfId="3721"/>
    <cellStyle name="Cálculo 4 3 3 3 2" xfId="3722"/>
    <cellStyle name="Cálculo 4 3 3 4" xfId="3723"/>
    <cellStyle name="Cálculo 4 3 3 4 2" xfId="3724"/>
    <cellStyle name="Cálculo 4 3 3 5" xfId="3725"/>
    <cellStyle name="Cálculo 4 3 3 5 2" xfId="3726"/>
    <cellStyle name="Cálculo 4 3 3 6" xfId="3727"/>
    <cellStyle name="Cálculo 4 3 3 6 2" xfId="3728"/>
    <cellStyle name="Cálculo 4 3 3 7" xfId="3729"/>
    <cellStyle name="Cálculo 4 3 3 7 2" xfId="3730"/>
    <cellStyle name="Cálculo 4 3 3 8" xfId="3731"/>
    <cellStyle name="Cálculo 4 3 3 8 2" xfId="3732"/>
    <cellStyle name="Cálculo 4 3 3 9" xfId="3733"/>
    <cellStyle name="Cálculo 4 3 3 9 2" xfId="3734"/>
    <cellStyle name="Cálculo 4 3 4" xfId="3735"/>
    <cellStyle name="Cálculo 4 3 4 2" xfId="3736"/>
    <cellStyle name="Cálculo 4 3 5" xfId="3737"/>
    <cellStyle name="Cálculo 4 3 5 2" xfId="3738"/>
    <cellStyle name="Cálculo 4 3 6" xfId="3739"/>
    <cellStyle name="Cálculo 4 3 6 2" xfId="3740"/>
    <cellStyle name="Cálculo 4 3 7" xfId="3741"/>
    <cellStyle name="Cálculo 4 3 7 2" xfId="3742"/>
    <cellStyle name="Cálculo 4 3 8" xfId="3743"/>
    <cellStyle name="Cálculo 4 3 8 2" xfId="3744"/>
    <cellStyle name="Cálculo 4 3 9" xfId="3745"/>
    <cellStyle name="Cálculo 4 3 9 2" xfId="3746"/>
    <cellStyle name="Cálculo 4 4" xfId="3747"/>
    <cellStyle name="Cálculo 4 4 10" xfId="3748"/>
    <cellStyle name="Cálculo 4 4 10 2" xfId="3749"/>
    <cellStyle name="Cálculo 4 4 11" xfId="3750"/>
    <cellStyle name="Cálculo 4 4 11 2" xfId="3751"/>
    <cellStyle name="Cálculo 4 4 12" xfId="3752"/>
    <cellStyle name="Cálculo 4 4 12 2" xfId="3753"/>
    <cellStyle name="Cálculo 4 4 13" xfId="3754"/>
    <cellStyle name="Cálculo 4 4 2" xfId="3755"/>
    <cellStyle name="Cálculo 4 4 2 10" xfId="3756"/>
    <cellStyle name="Cálculo 4 4 2 10 2" xfId="3757"/>
    <cellStyle name="Cálculo 4 4 2 11" xfId="3758"/>
    <cellStyle name="Cálculo 4 4 2 2" xfId="3759"/>
    <cellStyle name="Cálculo 4 4 2 2 2" xfId="3760"/>
    <cellStyle name="Cálculo 4 4 2 3" xfId="3761"/>
    <cellStyle name="Cálculo 4 4 2 3 2" xfId="3762"/>
    <cellStyle name="Cálculo 4 4 2 4" xfId="3763"/>
    <cellStyle name="Cálculo 4 4 2 4 2" xfId="3764"/>
    <cellStyle name="Cálculo 4 4 2 5" xfId="3765"/>
    <cellStyle name="Cálculo 4 4 2 5 2" xfId="3766"/>
    <cellStyle name="Cálculo 4 4 2 6" xfId="3767"/>
    <cellStyle name="Cálculo 4 4 2 6 2" xfId="3768"/>
    <cellStyle name="Cálculo 4 4 2 7" xfId="3769"/>
    <cellStyle name="Cálculo 4 4 2 7 2" xfId="3770"/>
    <cellStyle name="Cálculo 4 4 2 8" xfId="3771"/>
    <cellStyle name="Cálculo 4 4 2 8 2" xfId="3772"/>
    <cellStyle name="Cálculo 4 4 2 9" xfId="3773"/>
    <cellStyle name="Cálculo 4 4 2 9 2" xfId="3774"/>
    <cellStyle name="Cálculo 4 4 3" xfId="3775"/>
    <cellStyle name="Cálculo 4 4 3 10" xfId="3776"/>
    <cellStyle name="Cálculo 4 4 3 10 2" xfId="3777"/>
    <cellStyle name="Cálculo 4 4 3 11" xfId="3778"/>
    <cellStyle name="Cálculo 4 4 3 2" xfId="3779"/>
    <cellStyle name="Cálculo 4 4 3 2 2" xfId="3780"/>
    <cellStyle name="Cálculo 4 4 3 3" xfId="3781"/>
    <cellStyle name="Cálculo 4 4 3 3 2" xfId="3782"/>
    <cellStyle name="Cálculo 4 4 3 4" xfId="3783"/>
    <cellStyle name="Cálculo 4 4 3 4 2" xfId="3784"/>
    <cellStyle name="Cálculo 4 4 3 5" xfId="3785"/>
    <cellStyle name="Cálculo 4 4 3 5 2" xfId="3786"/>
    <cellStyle name="Cálculo 4 4 3 6" xfId="3787"/>
    <cellStyle name="Cálculo 4 4 3 6 2" xfId="3788"/>
    <cellStyle name="Cálculo 4 4 3 7" xfId="3789"/>
    <cellStyle name="Cálculo 4 4 3 7 2" xfId="3790"/>
    <cellStyle name="Cálculo 4 4 3 8" xfId="3791"/>
    <cellStyle name="Cálculo 4 4 3 8 2" xfId="3792"/>
    <cellStyle name="Cálculo 4 4 3 9" xfId="3793"/>
    <cellStyle name="Cálculo 4 4 3 9 2" xfId="3794"/>
    <cellStyle name="Cálculo 4 4 4" xfId="3795"/>
    <cellStyle name="Cálculo 4 4 4 2" xfId="3796"/>
    <cellStyle name="Cálculo 4 4 5" xfId="3797"/>
    <cellStyle name="Cálculo 4 4 5 2" xfId="3798"/>
    <cellStyle name="Cálculo 4 4 6" xfId="3799"/>
    <cellStyle name="Cálculo 4 4 6 2" xfId="3800"/>
    <cellStyle name="Cálculo 4 4 7" xfId="3801"/>
    <cellStyle name="Cálculo 4 4 7 2" xfId="3802"/>
    <cellStyle name="Cálculo 4 4 8" xfId="3803"/>
    <cellStyle name="Cálculo 4 4 8 2" xfId="3804"/>
    <cellStyle name="Cálculo 4 4 9" xfId="3805"/>
    <cellStyle name="Cálculo 4 4 9 2" xfId="3806"/>
    <cellStyle name="Cálculo 4 5" xfId="3807"/>
    <cellStyle name="Cálculo 4 5 10" xfId="3808"/>
    <cellStyle name="Cálculo 4 5 10 2" xfId="3809"/>
    <cellStyle name="Cálculo 4 5 11" xfId="3810"/>
    <cellStyle name="Cálculo 4 5 2" xfId="3811"/>
    <cellStyle name="Cálculo 4 5 2 2" xfId="3812"/>
    <cellStyle name="Cálculo 4 5 3" xfId="3813"/>
    <cellStyle name="Cálculo 4 5 3 2" xfId="3814"/>
    <cellStyle name="Cálculo 4 5 4" xfId="3815"/>
    <cellStyle name="Cálculo 4 5 4 2" xfId="3816"/>
    <cellStyle name="Cálculo 4 5 5" xfId="3817"/>
    <cellStyle name="Cálculo 4 5 5 2" xfId="3818"/>
    <cellStyle name="Cálculo 4 5 6" xfId="3819"/>
    <cellStyle name="Cálculo 4 5 6 2" xfId="3820"/>
    <cellStyle name="Cálculo 4 5 7" xfId="3821"/>
    <cellStyle name="Cálculo 4 5 7 2" xfId="3822"/>
    <cellStyle name="Cálculo 4 5 8" xfId="3823"/>
    <cellStyle name="Cálculo 4 5 8 2" xfId="3824"/>
    <cellStyle name="Cálculo 4 5 9" xfId="3825"/>
    <cellStyle name="Cálculo 4 5 9 2" xfId="3826"/>
    <cellStyle name="Cálculo 4 6" xfId="3827"/>
    <cellStyle name="Cálculo 4 6 10" xfId="3828"/>
    <cellStyle name="Cálculo 4 6 10 2" xfId="3829"/>
    <cellStyle name="Cálculo 4 6 11" xfId="3830"/>
    <cellStyle name="Cálculo 4 6 2" xfId="3831"/>
    <cellStyle name="Cálculo 4 6 2 2" xfId="3832"/>
    <cellStyle name="Cálculo 4 6 3" xfId="3833"/>
    <cellStyle name="Cálculo 4 6 3 2" xfId="3834"/>
    <cellStyle name="Cálculo 4 6 4" xfId="3835"/>
    <cellStyle name="Cálculo 4 6 4 2" xfId="3836"/>
    <cellStyle name="Cálculo 4 6 5" xfId="3837"/>
    <cellStyle name="Cálculo 4 6 5 2" xfId="3838"/>
    <cellStyle name="Cálculo 4 6 6" xfId="3839"/>
    <cellStyle name="Cálculo 4 6 6 2" xfId="3840"/>
    <cellStyle name="Cálculo 4 6 7" xfId="3841"/>
    <cellStyle name="Cálculo 4 6 7 2" xfId="3842"/>
    <cellStyle name="Cálculo 4 6 8" xfId="3843"/>
    <cellStyle name="Cálculo 4 6 8 2" xfId="3844"/>
    <cellStyle name="Cálculo 4 6 9" xfId="3845"/>
    <cellStyle name="Cálculo 4 6 9 2" xfId="3846"/>
    <cellStyle name="Cálculo 4 7" xfId="3847"/>
    <cellStyle name="Cálculo 4 7 2" xfId="3848"/>
    <cellStyle name="Cálculo 4 8" xfId="3849"/>
    <cellStyle name="Cálculo 4 8 2" xfId="3850"/>
    <cellStyle name="Cálculo 4 9" xfId="3851"/>
    <cellStyle name="Cálculo 4 9 2" xfId="3852"/>
    <cellStyle name="Cálculo 5" xfId="3853"/>
    <cellStyle name="Cálculo 5 10" xfId="3854"/>
    <cellStyle name="Cálculo 5 10 2" xfId="3855"/>
    <cellStyle name="Cálculo 5 11" xfId="3856"/>
    <cellStyle name="Cálculo 5 11 2" xfId="3857"/>
    <cellStyle name="Cálculo 5 12" xfId="3858"/>
    <cellStyle name="Cálculo 5 12 2" xfId="3859"/>
    <cellStyle name="Cálculo 5 13" xfId="3860"/>
    <cellStyle name="Cálculo 5 2" xfId="3861"/>
    <cellStyle name="Cálculo 5 2 10" xfId="3862"/>
    <cellStyle name="Cálculo 5 2 10 2" xfId="3863"/>
    <cellStyle name="Cálculo 5 2 11" xfId="3864"/>
    <cellStyle name="Cálculo 5 2 2" xfId="3865"/>
    <cellStyle name="Cálculo 5 2 2 2" xfId="3866"/>
    <cellStyle name="Cálculo 5 2 3" xfId="3867"/>
    <cellStyle name="Cálculo 5 2 3 2" xfId="3868"/>
    <cellStyle name="Cálculo 5 2 4" xfId="3869"/>
    <cellStyle name="Cálculo 5 2 4 2" xfId="3870"/>
    <cellStyle name="Cálculo 5 2 5" xfId="3871"/>
    <cellStyle name="Cálculo 5 2 5 2" xfId="3872"/>
    <cellStyle name="Cálculo 5 2 6" xfId="3873"/>
    <cellStyle name="Cálculo 5 2 6 2" xfId="3874"/>
    <cellStyle name="Cálculo 5 2 7" xfId="3875"/>
    <cellStyle name="Cálculo 5 2 7 2" xfId="3876"/>
    <cellStyle name="Cálculo 5 2 8" xfId="3877"/>
    <cellStyle name="Cálculo 5 2 8 2" xfId="3878"/>
    <cellStyle name="Cálculo 5 2 9" xfId="3879"/>
    <cellStyle name="Cálculo 5 2 9 2" xfId="3880"/>
    <cellStyle name="Cálculo 5 3" xfId="3881"/>
    <cellStyle name="Cálculo 5 3 10" xfId="3882"/>
    <cellStyle name="Cálculo 5 3 10 2" xfId="3883"/>
    <cellStyle name="Cálculo 5 3 11" xfId="3884"/>
    <cellStyle name="Cálculo 5 3 2" xfId="3885"/>
    <cellStyle name="Cálculo 5 3 2 2" xfId="3886"/>
    <cellStyle name="Cálculo 5 3 3" xfId="3887"/>
    <cellStyle name="Cálculo 5 3 3 2" xfId="3888"/>
    <cellStyle name="Cálculo 5 3 4" xfId="3889"/>
    <cellStyle name="Cálculo 5 3 4 2" xfId="3890"/>
    <cellStyle name="Cálculo 5 3 5" xfId="3891"/>
    <cellStyle name="Cálculo 5 3 5 2" xfId="3892"/>
    <cellStyle name="Cálculo 5 3 6" xfId="3893"/>
    <cellStyle name="Cálculo 5 3 6 2" xfId="3894"/>
    <cellStyle name="Cálculo 5 3 7" xfId="3895"/>
    <cellStyle name="Cálculo 5 3 7 2" xfId="3896"/>
    <cellStyle name="Cálculo 5 3 8" xfId="3897"/>
    <cellStyle name="Cálculo 5 3 8 2" xfId="3898"/>
    <cellStyle name="Cálculo 5 3 9" xfId="3899"/>
    <cellStyle name="Cálculo 5 3 9 2" xfId="3900"/>
    <cellStyle name="Cálculo 5 4" xfId="3901"/>
    <cellStyle name="Cálculo 5 4 2" xfId="3902"/>
    <cellStyle name="Cálculo 5 5" xfId="3903"/>
    <cellStyle name="Cálculo 5 5 2" xfId="3904"/>
    <cellStyle name="Cálculo 5 6" xfId="3905"/>
    <cellStyle name="Cálculo 5 6 2" xfId="3906"/>
    <cellStyle name="Cálculo 5 7" xfId="3907"/>
    <cellStyle name="Cálculo 5 7 2" xfId="3908"/>
    <cellStyle name="Cálculo 5 8" xfId="3909"/>
    <cellStyle name="Cálculo 5 8 2" xfId="3910"/>
    <cellStyle name="Cálculo 5 9" xfId="3911"/>
    <cellStyle name="Cálculo 5 9 2" xfId="3912"/>
    <cellStyle name="Cálculo 6" xfId="3913"/>
    <cellStyle name="Cálculo 6 10" xfId="3914"/>
    <cellStyle name="Cálculo 6 10 2" xfId="3915"/>
    <cellStyle name="Cálculo 6 11" xfId="3916"/>
    <cellStyle name="Cálculo 6 11 2" xfId="3917"/>
    <cellStyle name="Cálculo 6 12" xfId="3918"/>
    <cellStyle name="Cálculo 6 12 2" xfId="3919"/>
    <cellStyle name="Cálculo 6 13" xfId="3920"/>
    <cellStyle name="Cálculo 6 2" xfId="3921"/>
    <cellStyle name="Cálculo 6 2 10" xfId="3922"/>
    <cellStyle name="Cálculo 6 2 10 2" xfId="3923"/>
    <cellStyle name="Cálculo 6 2 11" xfId="3924"/>
    <cellStyle name="Cálculo 6 2 2" xfId="3925"/>
    <cellStyle name="Cálculo 6 2 2 2" xfId="3926"/>
    <cellStyle name="Cálculo 6 2 3" xfId="3927"/>
    <cellStyle name="Cálculo 6 2 3 2" xfId="3928"/>
    <cellStyle name="Cálculo 6 2 4" xfId="3929"/>
    <cellStyle name="Cálculo 6 2 4 2" xfId="3930"/>
    <cellStyle name="Cálculo 6 2 5" xfId="3931"/>
    <cellStyle name="Cálculo 6 2 5 2" xfId="3932"/>
    <cellStyle name="Cálculo 6 2 6" xfId="3933"/>
    <cellStyle name="Cálculo 6 2 6 2" xfId="3934"/>
    <cellStyle name="Cálculo 6 2 7" xfId="3935"/>
    <cellStyle name="Cálculo 6 2 7 2" xfId="3936"/>
    <cellStyle name="Cálculo 6 2 8" xfId="3937"/>
    <cellStyle name="Cálculo 6 2 8 2" xfId="3938"/>
    <cellStyle name="Cálculo 6 2 9" xfId="3939"/>
    <cellStyle name="Cálculo 6 2 9 2" xfId="3940"/>
    <cellStyle name="Cálculo 6 3" xfId="3941"/>
    <cellStyle name="Cálculo 6 3 10" xfId="3942"/>
    <cellStyle name="Cálculo 6 3 10 2" xfId="3943"/>
    <cellStyle name="Cálculo 6 3 11" xfId="3944"/>
    <cellStyle name="Cálculo 6 3 2" xfId="3945"/>
    <cellStyle name="Cálculo 6 3 2 2" xfId="3946"/>
    <cellStyle name="Cálculo 6 3 3" xfId="3947"/>
    <cellStyle name="Cálculo 6 3 3 2" xfId="3948"/>
    <cellStyle name="Cálculo 6 3 4" xfId="3949"/>
    <cellStyle name="Cálculo 6 3 4 2" xfId="3950"/>
    <cellStyle name="Cálculo 6 3 5" xfId="3951"/>
    <cellStyle name="Cálculo 6 3 5 2" xfId="3952"/>
    <cellStyle name="Cálculo 6 3 6" xfId="3953"/>
    <cellStyle name="Cálculo 6 3 6 2" xfId="3954"/>
    <cellStyle name="Cálculo 6 3 7" xfId="3955"/>
    <cellStyle name="Cálculo 6 3 7 2" xfId="3956"/>
    <cellStyle name="Cálculo 6 3 8" xfId="3957"/>
    <cellStyle name="Cálculo 6 3 8 2" xfId="3958"/>
    <cellStyle name="Cálculo 6 3 9" xfId="3959"/>
    <cellStyle name="Cálculo 6 3 9 2" xfId="3960"/>
    <cellStyle name="Cálculo 6 4" xfId="3961"/>
    <cellStyle name="Cálculo 6 4 2" xfId="3962"/>
    <cellStyle name="Cálculo 6 5" xfId="3963"/>
    <cellStyle name="Cálculo 6 5 2" xfId="3964"/>
    <cellStyle name="Cálculo 6 6" xfId="3965"/>
    <cellStyle name="Cálculo 6 6 2" xfId="3966"/>
    <cellStyle name="Cálculo 6 7" xfId="3967"/>
    <cellStyle name="Cálculo 6 7 2" xfId="3968"/>
    <cellStyle name="Cálculo 6 8" xfId="3969"/>
    <cellStyle name="Cálculo 6 8 2" xfId="3970"/>
    <cellStyle name="Cálculo 6 9" xfId="3971"/>
    <cellStyle name="Cálculo 6 9 2" xfId="3972"/>
    <cellStyle name="Cálculo 7" xfId="3973"/>
    <cellStyle name="Cálculo 7 10" xfId="3974"/>
    <cellStyle name="Cálculo 7 10 2" xfId="3975"/>
    <cellStyle name="Cálculo 7 11" xfId="3976"/>
    <cellStyle name="Cálculo 7 11 2" xfId="3977"/>
    <cellStyle name="Cálculo 7 12" xfId="3978"/>
    <cellStyle name="Cálculo 7 12 2" xfId="3979"/>
    <cellStyle name="Cálculo 7 13" xfId="3980"/>
    <cellStyle name="Cálculo 7 2" xfId="3981"/>
    <cellStyle name="Cálculo 7 2 10" xfId="3982"/>
    <cellStyle name="Cálculo 7 2 10 2" xfId="3983"/>
    <cellStyle name="Cálculo 7 2 11" xfId="3984"/>
    <cellStyle name="Cálculo 7 2 2" xfId="3985"/>
    <cellStyle name="Cálculo 7 2 2 2" xfId="3986"/>
    <cellStyle name="Cálculo 7 2 3" xfId="3987"/>
    <cellStyle name="Cálculo 7 2 3 2" xfId="3988"/>
    <cellStyle name="Cálculo 7 2 4" xfId="3989"/>
    <cellStyle name="Cálculo 7 2 4 2" xfId="3990"/>
    <cellStyle name="Cálculo 7 2 5" xfId="3991"/>
    <cellStyle name="Cálculo 7 2 5 2" xfId="3992"/>
    <cellStyle name="Cálculo 7 2 6" xfId="3993"/>
    <cellStyle name="Cálculo 7 2 6 2" xfId="3994"/>
    <cellStyle name="Cálculo 7 2 7" xfId="3995"/>
    <cellStyle name="Cálculo 7 2 7 2" xfId="3996"/>
    <cellStyle name="Cálculo 7 2 8" xfId="3997"/>
    <cellStyle name="Cálculo 7 2 8 2" xfId="3998"/>
    <cellStyle name="Cálculo 7 2 9" xfId="3999"/>
    <cellStyle name="Cálculo 7 2 9 2" xfId="4000"/>
    <cellStyle name="Cálculo 7 3" xfId="4001"/>
    <cellStyle name="Cálculo 7 3 10" xfId="4002"/>
    <cellStyle name="Cálculo 7 3 10 2" xfId="4003"/>
    <cellStyle name="Cálculo 7 3 11" xfId="4004"/>
    <cellStyle name="Cálculo 7 3 2" xfId="4005"/>
    <cellStyle name="Cálculo 7 3 2 2" xfId="4006"/>
    <cellStyle name="Cálculo 7 3 3" xfId="4007"/>
    <cellStyle name="Cálculo 7 3 3 2" xfId="4008"/>
    <cellStyle name="Cálculo 7 3 4" xfId="4009"/>
    <cellStyle name="Cálculo 7 3 4 2" xfId="4010"/>
    <cellStyle name="Cálculo 7 3 5" xfId="4011"/>
    <cellStyle name="Cálculo 7 3 5 2" xfId="4012"/>
    <cellStyle name="Cálculo 7 3 6" xfId="4013"/>
    <cellStyle name="Cálculo 7 3 6 2" xfId="4014"/>
    <cellStyle name="Cálculo 7 3 7" xfId="4015"/>
    <cellStyle name="Cálculo 7 3 7 2" xfId="4016"/>
    <cellStyle name="Cálculo 7 3 8" xfId="4017"/>
    <cellStyle name="Cálculo 7 3 8 2" xfId="4018"/>
    <cellStyle name="Cálculo 7 3 9" xfId="4019"/>
    <cellStyle name="Cálculo 7 3 9 2" xfId="4020"/>
    <cellStyle name="Cálculo 7 4" xfId="4021"/>
    <cellStyle name="Cálculo 7 4 2" xfId="4022"/>
    <cellStyle name="Cálculo 7 5" xfId="4023"/>
    <cellStyle name="Cálculo 7 5 2" xfId="4024"/>
    <cellStyle name="Cálculo 7 6" xfId="4025"/>
    <cellStyle name="Cálculo 7 6 2" xfId="4026"/>
    <cellStyle name="Cálculo 7 7" xfId="4027"/>
    <cellStyle name="Cálculo 7 7 2" xfId="4028"/>
    <cellStyle name="Cálculo 7 8" xfId="4029"/>
    <cellStyle name="Cálculo 7 8 2" xfId="4030"/>
    <cellStyle name="Cálculo 7 9" xfId="4031"/>
    <cellStyle name="Cálculo 7 9 2" xfId="4032"/>
    <cellStyle name="Cálculo 8" xfId="4033"/>
    <cellStyle name="Cálculo 9" xfId="1065"/>
    <cellStyle name="Celda de comprobación" xfId="905" builtinId="23" customBuiltin="1"/>
    <cellStyle name="Celda de comprobación 2" xfId="1071"/>
    <cellStyle name="Celda de comprobación 2 2" xfId="1072"/>
    <cellStyle name="Celda de comprobación 2 3" xfId="1073"/>
    <cellStyle name="Celda de comprobación 2 4" xfId="4034"/>
    <cellStyle name="Celda de comprobación 3" xfId="1074"/>
    <cellStyle name="Celda de comprobación 4" xfId="4035"/>
    <cellStyle name="Celda de comprobación 5" xfId="4036"/>
    <cellStyle name="Celda de comprobación 6" xfId="4037"/>
    <cellStyle name="Celda de comprobación 7" xfId="4038"/>
    <cellStyle name="Celda de comprobación 8" xfId="1070"/>
    <cellStyle name="Celda vinculada" xfId="904" builtinId="24" customBuiltin="1"/>
    <cellStyle name="Celda vinculada 2" xfId="1076"/>
    <cellStyle name="Celda vinculada 2 2" xfId="1077"/>
    <cellStyle name="Celda vinculada 2 3" xfId="1078"/>
    <cellStyle name="Celda vinculada 2 4" xfId="4039"/>
    <cellStyle name="Celda vinculada 3" xfId="1079"/>
    <cellStyle name="Celda vinculada 4" xfId="4040"/>
    <cellStyle name="Celda vinculada 5" xfId="4041"/>
    <cellStyle name="Celda vinculada 6" xfId="4042"/>
    <cellStyle name="Celda vinculada 7" xfId="4043"/>
    <cellStyle name="Celda vinculada 8" xfId="1075"/>
    <cellStyle name="Encabezado 4" xfId="898" builtinId="19" customBuiltin="1"/>
    <cellStyle name="Encabezado 4 2" xfId="1081"/>
    <cellStyle name="Encabezado 4 2 2" xfId="1082"/>
    <cellStyle name="Encabezado 4 2 3" xfId="1083"/>
    <cellStyle name="Encabezado 4 2 4" xfId="4044"/>
    <cellStyle name="Encabezado 4 3" xfId="1084"/>
    <cellStyle name="Encabezado 4 4" xfId="4045"/>
    <cellStyle name="Encabezado 4 5" xfId="4046"/>
    <cellStyle name="Encabezado 4 6" xfId="4047"/>
    <cellStyle name="Encabezado 4 7" xfId="4048"/>
    <cellStyle name="Encabezado 4 8" xfId="1080"/>
    <cellStyle name="Énfasis1" xfId="910" builtinId="29" customBuiltin="1"/>
    <cellStyle name="Énfasis1 2" xfId="1086"/>
    <cellStyle name="Énfasis1 2 2" xfId="1087"/>
    <cellStyle name="Énfasis1 2 3" xfId="1088"/>
    <cellStyle name="Énfasis1 2 4" xfId="4049"/>
    <cellStyle name="Énfasis1 3" xfId="1089"/>
    <cellStyle name="Énfasis1 4" xfId="4050"/>
    <cellStyle name="Énfasis1 5" xfId="4051"/>
    <cellStyle name="Énfasis1 6" xfId="4052"/>
    <cellStyle name="Énfasis1 7" xfId="4053"/>
    <cellStyle name="Énfasis1 8" xfId="1085"/>
    <cellStyle name="Énfasis2" xfId="914" builtinId="33" customBuiltin="1"/>
    <cellStyle name="Énfasis2 2" xfId="1091"/>
    <cellStyle name="Énfasis2 2 2" xfId="1092"/>
    <cellStyle name="Énfasis2 2 3" xfId="1093"/>
    <cellStyle name="Énfasis2 2 4" xfId="4054"/>
    <cellStyle name="Énfasis2 3" xfId="1094"/>
    <cellStyle name="Énfasis2 4" xfId="4055"/>
    <cellStyle name="Énfasis2 5" xfId="4056"/>
    <cellStyle name="Énfasis2 6" xfId="4057"/>
    <cellStyle name="Énfasis2 7" xfId="4058"/>
    <cellStyle name="Énfasis2 8" xfId="1090"/>
    <cellStyle name="Énfasis3" xfId="918" builtinId="37" customBuiltin="1"/>
    <cellStyle name="Énfasis3 2" xfId="1096"/>
    <cellStyle name="Énfasis3 2 2" xfId="1097"/>
    <cellStyle name="Énfasis3 2 3" xfId="1098"/>
    <cellStyle name="Énfasis3 2 4" xfId="4059"/>
    <cellStyle name="Énfasis3 3" xfId="1099"/>
    <cellStyle name="Énfasis3 4" xfId="4060"/>
    <cellStyle name="Énfasis3 5" xfId="4061"/>
    <cellStyle name="Énfasis3 6" xfId="4062"/>
    <cellStyle name="Énfasis3 7" xfId="4063"/>
    <cellStyle name="Énfasis3 8" xfId="1095"/>
    <cellStyle name="Énfasis4" xfId="922" builtinId="41" customBuiltin="1"/>
    <cellStyle name="Énfasis4 2" xfId="1101"/>
    <cellStyle name="Énfasis4 2 2" xfId="1102"/>
    <cellStyle name="Énfasis4 2 3" xfId="1103"/>
    <cellStyle name="Énfasis4 2 4" xfId="4064"/>
    <cellStyle name="Énfasis4 3" xfId="1104"/>
    <cellStyle name="Énfasis4 4" xfId="4065"/>
    <cellStyle name="Énfasis4 5" xfId="4066"/>
    <cellStyle name="Énfasis4 6" xfId="4067"/>
    <cellStyle name="Énfasis4 7" xfId="4068"/>
    <cellStyle name="Énfasis4 8" xfId="1100"/>
    <cellStyle name="Énfasis5" xfId="926" builtinId="45" customBuiltin="1"/>
    <cellStyle name="Énfasis5 2" xfId="1106"/>
    <cellStyle name="Énfasis5 2 2" xfId="1107"/>
    <cellStyle name="Énfasis5 2 3" xfId="1108"/>
    <cellStyle name="Énfasis5 2 4" xfId="4069"/>
    <cellStyle name="Énfasis5 3" xfId="1109"/>
    <cellStyle name="Énfasis5 4" xfId="4070"/>
    <cellStyle name="Énfasis5 5" xfId="4071"/>
    <cellStyle name="Énfasis5 6" xfId="4072"/>
    <cellStyle name="Énfasis5 7" xfId="4073"/>
    <cellStyle name="Énfasis5 8" xfId="1105"/>
    <cellStyle name="Énfasis6" xfId="930" builtinId="49" customBuiltin="1"/>
    <cellStyle name="Énfasis6 2" xfId="1111"/>
    <cellStyle name="Énfasis6 2 2" xfId="1112"/>
    <cellStyle name="Énfasis6 2 3" xfId="1113"/>
    <cellStyle name="Énfasis6 2 4" xfId="4074"/>
    <cellStyle name="Énfasis6 3" xfId="1114"/>
    <cellStyle name="Énfasis6 4" xfId="4075"/>
    <cellStyle name="Énfasis6 5" xfId="4076"/>
    <cellStyle name="Énfasis6 6" xfId="4077"/>
    <cellStyle name="Énfasis6 7" xfId="4078"/>
    <cellStyle name="Énfasis6 8" xfId="1110"/>
    <cellStyle name="Entrada" xfId="901" builtinId="20" customBuiltin="1"/>
    <cellStyle name="Entrada 2" xfId="1116"/>
    <cellStyle name="Entrada 2 10" xfId="4079"/>
    <cellStyle name="Entrada 2 10 2" xfId="4080"/>
    <cellStyle name="Entrada 2 11" xfId="4081"/>
    <cellStyle name="Entrada 2 11 2" xfId="4082"/>
    <cellStyle name="Entrada 2 12" xfId="4083"/>
    <cellStyle name="Entrada 2 12 2" xfId="4084"/>
    <cellStyle name="Entrada 2 13" xfId="4085"/>
    <cellStyle name="Entrada 2 13 2" xfId="4086"/>
    <cellStyle name="Entrada 2 14" xfId="4087"/>
    <cellStyle name="Entrada 2 14 2" xfId="4088"/>
    <cellStyle name="Entrada 2 15" xfId="4089"/>
    <cellStyle name="Entrada 2 15 2" xfId="4090"/>
    <cellStyle name="Entrada 2 16" xfId="4091"/>
    <cellStyle name="Entrada 2 16 2" xfId="4092"/>
    <cellStyle name="Entrada 2 17" xfId="4093"/>
    <cellStyle name="Entrada 2 17 2" xfId="4094"/>
    <cellStyle name="Entrada 2 18" xfId="4095"/>
    <cellStyle name="Entrada 2 18 2" xfId="4096"/>
    <cellStyle name="Entrada 2 19" xfId="4097"/>
    <cellStyle name="Entrada 2 2" xfId="1117"/>
    <cellStyle name="Entrada 2 2 10" xfId="4098"/>
    <cellStyle name="Entrada 2 2 10 2" xfId="4099"/>
    <cellStyle name="Entrada 2 2 11" xfId="4100"/>
    <cellStyle name="Entrada 2 2 11 2" xfId="4101"/>
    <cellStyle name="Entrada 2 2 12" xfId="4102"/>
    <cellStyle name="Entrada 2 2 12 2" xfId="4103"/>
    <cellStyle name="Entrada 2 2 13" xfId="4104"/>
    <cellStyle name="Entrada 2 2 13 2" xfId="4105"/>
    <cellStyle name="Entrada 2 2 14" xfId="4106"/>
    <cellStyle name="Entrada 2 2 14 2" xfId="4107"/>
    <cellStyle name="Entrada 2 2 15" xfId="4108"/>
    <cellStyle name="Entrada 2 2 15 2" xfId="4109"/>
    <cellStyle name="Entrada 2 2 16" xfId="4110"/>
    <cellStyle name="Entrada 2 2 17" xfId="4111"/>
    <cellStyle name="Entrada 2 2 18" xfId="4112"/>
    <cellStyle name="Entrada 2 2 2" xfId="4113"/>
    <cellStyle name="Entrada 2 2 2 10" xfId="4114"/>
    <cellStyle name="Entrada 2 2 2 10 2" xfId="4115"/>
    <cellStyle name="Entrada 2 2 2 11" xfId="4116"/>
    <cellStyle name="Entrada 2 2 2 11 2" xfId="4117"/>
    <cellStyle name="Entrada 2 2 2 12" xfId="4118"/>
    <cellStyle name="Entrada 2 2 2 12 2" xfId="4119"/>
    <cellStyle name="Entrada 2 2 2 13" xfId="4120"/>
    <cellStyle name="Entrada 2 2 2 13 2" xfId="4121"/>
    <cellStyle name="Entrada 2 2 2 14" xfId="4122"/>
    <cellStyle name="Entrada 2 2 2 14 2" xfId="4123"/>
    <cellStyle name="Entrada 2 2 2 15" xfId="4124"/>
    <cellStyle name="Entrada 2 2 2 2" xfId="4125"/>
    <cellStyle name="Entrada 2 2 2 2 10" xfId="4126"/>
    <cellStyle name="Entrada 2 2 2 2 10 2" xfId="4127"/>
    <cellStyle name="Entrada 2 2 2 2 11" xfId="4128"/>
    <cellStyle name="Entrada 2 2 2 2 11 2" xfId="4129"/>
    <cellStyle name="Entrada 2 2 2 2 12" xfId="4130"/>
    <cellStyle name="Entrada 2 2 2 2 12 2" xfId="4131"/>
    <cellStyle name="Entrada 2 2 2 2 13" xfId="4132"/>
    <cellStyle name="Entrada 2 2 2 2 2" xfId="4133"/>
    <cellStyle name="Entrada 2 2 2 2 2 10" xfId="4134"/>
    <cellStyle name="Entrada 2 2 2 2 2 10 2" xfId="4135"/>
    <cellStyle name="Entrada 2 2 2 2 2 11" xfId="4136"/>
    <cellStyle name="Entrada 2 2 2 2 2 2" xfId="4137"/>
    <cellStyle name="Entrada 2 2 2 2 2 2 2" xfId="4138"/>
    <cellStyle name="Entrada 2 2 2 2 2 3" xfId="4139"/>
    <cellStyle name="Entrada 2 2 2 2 2 3 2" xfId="4140"/>
    <cellStyle name="Entrada 2 2 2 2 2 4" xfId="4141"/>
    <cellStyle name="Entrada 2 2 2 2 2 4 2" xfId="4142"/>
    <cellStyle name="Entrada 2 2 2 2 2 5" xfId="4143"/>
    <cellStyle name="Entrada 2 2 2 2 2 5 2" xfId="4144"/>
    <cellStyle name="Entrada 2 2 2 2 2 6" xfId="4145"/>
    <cellStyle name="Entrada 2 2 2 2 2 6 2" xfId="4146"/>
    <cellStyle name="Entrada 2 2 2 2 2 7" xfId="4147"/>
    <cellStyle name="Entrada 2 2 2 2 2 7 2" xfId="4148"/>
    <cellStyle name="Entrada 2 2 2 2 2 8" xfId="4149"/>
    <cellStyle name="Entrada 2 2 2 2 2 8 2" xfId="4150"/>
    <cellStyle name="Entrada 2 2 2 2 2 9" xfId="4151"/>
    <cellStyle name="Entrada 2 2 2 2 2 9 2" xfId="4152"/>
    <cellStyle name="Entrada 2 2 2 2 3" xfId="4153"/>
    <cellStyle name="Entrada 2 2 2 2 3 10" xfId="4154"/>
    <cellStyle name="Entrada 2 2 2 2 3 10 2" xfId="4155"/>
    <cellStyle name="Entrada 2 2 2 2 3 11" xfId="4156"/>
    <cellStyle name="Entrada 2 2 2 2 3 2" xfId="4157"/>
    <cellStyle name="Entrada 2 2 2 2 3 2 2" xfId="4158"/>
    <cellStyle name="Entrada 2 2 2 2 3 3" xfId="4159"/>
    <cellStyle name="Entrada 2 2 2 2 3 3 2" xfId="4160"/>
    <cellStyle name="Entrada 2 2 2 2 3 4" xfId="4161"/>
    <cellStyle name="Entrada 2 2 2 2 3 4 2" xfId="4162"/>
    <cellStyle name="Entrada 2 2 2 2 3 5" xfId="4163"/>
    <cellStyle name="Entrada 2 2 2 2 3 5 2" xfId="4164"/>
    <cellStyle name="Entrada 2 2 2 2 3 6" xfId="4165"/>
    <cellStyle name="Entrada 2 2 2 2 3 6 2" xfId="4166"/>
    <cellStyle name="Entrada 2 2 2 2 3 7" xfId="4167"/>
    <cellStyle name="Entrada 2 2 2 2 3 7 2" xfId="4168"/>
    <cellStyle name="Entrada 2 2 2 2 3 8" xfId="4169"/>
    <cellStyle name="Entrada 2 2 2 2 3 8 2" xfId="4170"/>
    <cellStyle name="Entrada 2 2 2 2 3 9" xfId="4171"/>
    <cellStyle name="Entrada 2 2 2 2 3 9 2" xfId="4172"/>
    <cellStyle name="Entrada 2 2 2 2 4" xfId="4173"/>
    <cellStyle name="Entrada 2 2 2 2 4 2" xfId="4174"/>
    <cellStyle name="Entrada 2 2 2 2 5" xfId="4175"/>
    <cellStyle name="Entrada 2 2 2 2 5 2" xfId="4176"/>
    <cellStyle name="Entrada 2 2 2 2 6" xfId="4177"/>
    <cellStyle name="Entrada 2 2 2 2 6 2" xfId="4178"/>
    <cellStyle name="Entrada 2 2 2 2 7" xfId="4179"/>
    <cellStyle name="Entrada 2 2 2 2 7 2" xfId="4180"/>
    <cellStyle name="Entrada 2 2 2 2 8" xfId="4181"/>
    <cellStyle name="Entrada 2 2 2 2 8 2" xfId="4182"/>
    <cellStyle name="Entrada 2 2 2 2 9" xfId="4183"/>
    <cellStyle name="Entrada 2 2 2 2 9 2" xfId="4184"/>
    <cellStyle name="Entrada 2 2 2 3" xfId="4185"/>
    <cellStyle name="Entrada 2 2 2 3 10" xfId="4186"/>
    <cellStyle name="Entrada 2 2 2 3 10 2" xfId="4187"/>
    <cellStyle name="Entrada 2 2 2 3 11" xfId="4188"/>
    <cellStyle name="Entrada 2 2 2 3 11 2" xfId="4189"/>
    <cellStyle name="Entrada 2 2 2 3 12" xfId="4190"/>
    <cellStyle name="Entrada 2 2 2 3 12 2" xfId="4191"/>
    <cellStyle name="Entrada 2 2 2 3 13" xfId="4192"/>
    <cellStyle name="Entrada 2 2 2 3 2" xfId="4193"/>
    <cellStyle name="Entrada 2 2 2 3 2 10" xfId="4194"/>
    <cellStyle name="Entrada 2 2 2 3 2 10 2" xfId="4195"/>
    <cellStyle name="Entrada 2 2 2 3 2 11" xfId="4196"/>
    <cellStyle name="Entrada 2 2 2 3 2 2" xfId="4197"/>
    <cellStyle name="Entrada 2 2 2 3 2 2 2" xfId="4198"/>
    <cellStyle name="Entrada 2 2 2 3 2 3" xfId="4199"/>
    <cellStyle name="Entrada 2 2 2 3 2 3 2" xfId="4200"/>
    <cellStyle name="Entrada 2 2 2 3 2 4" xfId="4201"/>
    <cellStyle name="Entrada 2 2 2 3 2 4 2" xfId="4202"/>
    <cellStyle name="Entrada 2 2 2 3 2 5" xfId="4203"/>
    <cellStyle name="Entrada 2 2 2 3 2 5 2" xfId="4204"/>
    <cellStyle name="Entrada 2 2 2 3 2 6" xfId="4205"/>
    <cellStyle name="Entrada 2 2 2 3 2 6 2" xfId="4206"/>
    <cellStyle name="Entrada 2 2 2 3 2 7" xfId="4207"/>
    <cellStyle name="Entrada 2 2 2 3 2 7 2" xfId="4208"/>
    <cellStyle name="Entrada 2 2 2 3 2 8" xfId="4209"/>
    <cellStyle name="Entrada 2 2 2 3 2 8 2" xfId="4210"/>
    <cellStyle name="Entrada 2 2 2 3 2 9" xfId="4211"/>
    <cellStyle name="Entrada 2 2 2 3 2 9 2" xfId="4212"/>
    <cellStyle name="Entrada 2 2 2 3 3" xfId="4213"/>
    <cellStyle name="Entrada 2 2 2 3 3 10" xfId="4214"/>
    <cellStyle name="Entrada 2 2 2 3 3 10 2" xfId="4215"/>
    <cellStyle name="Entrada 2 2 2 3 3 11" xfId="4216"/>
    <cellStyle name="Entrada 2 2 2 3 3 2" xfId="4217"/>
    <cellStyle name="Entrada 2 2 2 3 3 2 2" xfId="4218"/>
    <cellStyle name="Entrada 2 2 2 3 3 3" xfId="4219"/>
    <cellStyle name="Entrada 2 2 2 3 3 3 2" xfId="4220"/>
    <cellStyle name="Entrada 2 2 2 3 3 4" xfId="4221"/>
    <cellStyle name="Entrada 2 2 2 3 3 4 2" xfId="4222"/>
    <cellStyle name="Entrada 2 2 2 3 3 5" xfId="4223"/>
    <cellStyle name="Entrada 2 2 2 3 3 5 2" xfId="4224"/>
    <cellStyle name="Entrada 2 2 2 3 3 6" xfId="4225"/>
    <cellStyle name="Entrada 2 2 2 3 3 6 2" xfId="4226"/>
    <cellStyle name="Entrada 2 2 2 3 3 7" xfId="4227"/>
    <cellStyle name="Entrada 2 2 2 3 3 7 2" xfId="4228"/>
    <cellStyle name="Entrada 2 2 2 3 3 8" xfId="4229"/>
    <cellStyle name="Entrada 2 2 2 3 3 8 2" xfId="4230"/>
    <cellStyle name="Entrada 2 2 2 3 3 9" xfId="4231"/>
    <cellStyle name="Entrada 2 2 2 3 3 9 2" xfId="4232"/>
    <cellStyle name="Entrada 2 2 2 3 4" xfId="4233"/>
    <cellStyle name="Entrada 2 2 2 3 4 2" xfId="4234"/>
    <cellStyle name="Entrada 2 2 2 3 5" xfId="4235"/>
    <cellStyle name="Entrada 2 2 2 3 5 2" xfId="4236"/>
    <cellStyle name="Entrada 2 2 2 3 6" xfId="4237"/>
    <cellStyle name="Entrada 2 2 2 3 6 2" xfId="4238"/>
    <cellStyle name="Entrada 2 2 2 3 7" xfId="4239"/>
    <cellStyle name="Entrada 2 2 2 3 7 2" xfId="4240"/>
    <cellStyle name="Entrada 2 2 2 3 8" xfId="4241"/>
    <cellStyle name="Entrada 2 2 2 3 8 2" xfId="4242"/>
    <cellStyle name="Entrada 2 2 2 3 9" xfId="4243"/>
    <cellStyle name="Entrada 2 2 2 3 9 2" xfId="4244"/>
    <cellStyle name="Entrada 2 2 2 4" xfId="4245"/>
    <cellStyle name="Entrada 2 2 2 4 10" xfId="4246"/>
    <cellStyle name="Entrada 2 2 2 4 10 2" xfId="4247"/>
    <cellStyle name="Entrada 2 2 2 4 11" xfId="4248"/>
    <cellStyle name="Entrada 2 2 2 4 2" xfId="4249"/>
    <cellStyle name="Entrada 2 2 2 4 2 2" xfId="4250"/>
    <cellStyle name="Entrada 2 2 2 4 3" xfId="4251"/>
    <cellStyle name="Entrada 2 2 2 4 3 2" xfId="4252"/>
    <cellStyle name="Entrada 2 2 2 4 4" xfId="4253"/>
    <cellStyle name="Entrada 2 2 2 4 4 2" xfId="4254"/>
    <cellStyle name="Entrada 2 2 2 4 5" xfId="4255"/>
    <cellStyle name="Entrada 2 2 2 4 5 2" xfId="4256"/>
    <cellStyle name="Entrada 2 2 2 4 6" xfId="4257"/>
    <cellStyle name="Entrada 2 2 2 4 6 2" xfId="4258"/>
    <cellStyle name="Entrada 2 2 2 4 7" xfId="4259"/>
    <cellStyle name="Entrada 2 2 2 4 7 2" xfId="4260"/>
    <cellStyle name="Entrada 2 2 2 4 8" xfId="4261"/>
    <cellStyle name="Entrada 2 2 2 4 8 2" xfId="4262"/>
    <cellStyle name="Entrada 2 2 2 4 9" xfId="4263"/>
    <cellStyle name="Entrada 2 2 2 4 9 2" xfId="4264"/>
    <cellStyle name="Entrada 2 2 2 5" xfId="4265"/>
    <cellStyle name="Entrada 2 2 2 5 10" xfId="4266"/>
    <cellStyle name="Entrada 2 2 2 5 10 2" xfId="4267"/>
    <cellStyle name="Entrada 2 2 2 5 11" xfId="4268"/>
    <cellStyle name="Entrada 2 2 2 5 2" xfId="4269"/>
    <cellStyle name="Entrada 2 2 2 5 2 2" xfId="4270"/>
    <cellStyle name="Entrada 2 2 2 5 3" xfId="4271"/>
    <cellStyle name="Entrada 2 2 2 5 3 2" xfId="4272"/>
    <cellStyle name="Entrada 2 2 2 5 4" xfId="4273"/>
    <cellStyle name="Entrada 2 2 2 5 4 2" xfId="4274"/>
    <cellStyle name="Entrada 2 2 2 5 5" xfId="4275"/>
    <cellStyle name="Entrada 2 2 2 5 5 2" xfId="4276"/>
    <cellStyle name="Entrada 2 2 2 5 6" xfId="4277"/>
    <cellStyle name="Entrada 2 2 2 5 6 2" xfId="4278"/>
    <cellStyle name="Entrada 2 2 2 5 7" xfId="4279"/>
    <cellStyle name="Entrada 2 2 2 5 7 2" xfId="4280"/>
    <cellStyle name="Entrada 2 2 2 5 8" xfId="4281"/>
    <cellStyle name="Entrada 2 2 2 5 8 2" xfId="4282"/>
    <cellStyle name="Entrada 2 2 2 5 9" xfId="4283"/>
    <cellStyle name="Entrada 2 2 2 5 9 2" xfId="4284"/>
    <cellStyle name="Entrada 2 2 2 6" xfId="4285"/>
    <cellStyle name="Entrada 2 2 2 6 2" xfId="4286"/>
    <cellStyle name="Entrada 2 2 2 7" xfId="4287"/>
    <cellStyle name="Entrada 2 2 2 7 2" xfId="4288"/>
    <cellStyle name="Entrada 2 2 2 8" xfId="4289"/>
    <cellStyle name="Entrada 2 2 2 8 2" xfId="4290"/>
    <cellStyle name="Entrada 2 2 2 9" xfId="4291"/>
    <cellStyle name="Entrada 2 2 2 9 2" xfId="4292"/>
    <cellStyle name="Entrada 2 2 3" xfId="4293"/>
    <cellStyle name="Entrada 2 2 3 10" xfId="4294"/>
    <cellStyle name="Entrada 2 2 3 10 2" xfId="4295"/>
    <cellStyle name="Entrada 2 2 3 11" xfId="4296"/>
    <cellStyle name="Entrada 2 2 3 11 2" xfId="4297"/>
    <cellStyle name="Entrada 2 2 3 12" xfId="4298"/>
    <cellStyle name="Entrada 2 2 3 12 2" xfId="4299"/>
    <cellStyle name="Entrada 2 2 3 13" xfId="4300"/>
    <cellStyle name="Entrada 2 2 3 13 2" xfId="4301"/>
    <cellStyle name="Entrada 2 2 3 14" xfId="4302"/>
    <cellStyle name="Entrada 2 2 3 14 2" xfId="4303"/>
    <cellStyle name="Entrada 2 2 3 15" xfId="4304"/>
    <cellStyle name="Entrada 2 2 3 2" xfId="4305"/>
    <cellStyle name="Entrada 2 2 3 2 10" xfId="4306"/>
    <cellStyle name="Entrada 2 2 3 2 10 2" xfId="4307"/>
    <cellStyle name="Entrada 2 2 3 2 11" xfId="4308"/>
    <cellStyle name="Entrada 2 2 3 2 11 2" xfId="4309"/>
    <cellStyle name="Entrada 2 2 3 2 12" xfId="4310"/>
    <cellStyle name="Entrada 2 2 3 2 12 2" xfId="4311"/>
    <cellStyle name="Entrada 2 2 3 2 13" xfId="4312"/>
    <cellStyle name="Entrada 2 2 3 2 2" xfId="4313"/>
    <cellStyle name="Entrada 2 2 3 2 2 10" xfId="4314"/>
    <cellStyle name="Entrada 2 2 3 2 2 10 2" xfId="4315"/>
    <cellStyle name="Entrada 2 2 3 2 2 11" xfId="4316"/>
    <cellStyle name="Entrada 2 2 3 2 2 2" xfId="4317"/>
    <cellStyle name="Entrada 2 2 3 2 2 2 2" xfId="4318"/>
    <cellStyle name="Entrada 2 2 3 2 2 3" xfId="4319"/>
    <cellStyle name="Entrada 2 2 3 2 2 3 2" xfId="4320"/>
    <cellStyle name="Entrada 2 2 3 2 2 4" xfId="4321"/>
    <cellStyle name="Entrada 2 2 3 2 2 4 2" xfId="4322"/>
    <cellStyle name="Entrada 2 2 3 2 2 5" xfId="4323"/>
    <cellStyle name="Entrada 2 2 3 2 2 5 2" xfId="4324"/>
    <cellStyle name="Entrada 2 2 3 2 2 6" xfId="4325"/>
    <cellStyle name="Entrada 2 2 3 2 2 6 2" xfId="4326"/>
    <cellStyle name="Entrada 2 2 3 2 2 7" xfId="4327"/>
    <cellStyle name="Entrada 2 2 3 2 2 7 2" xfId="4328"/>
    <cellStyle name="Entrada 2 2 3 2 2 8" xfId="4329"/>
    <cellStyle name="Entrada 2 2 3 2 2 8 2" xfId="4330"/>
    <cellStyle name="Entrada 2 2 3 2 2 9" xfId="4331"/>
    <cellStyle name="Entrada 2 2 3 2 2 9 2" xfId="4332"/>
    <cellStyle name="Entrada 2 2 3 2 3" xfId="4333"/>
    <cellStyle name="Entrada 2 2 3 2 3 10" xfId="4334"/>
    <cellStyle name="Entrada 2 2 3 2 3 10 2" xfId="4335"/>
    <cellStyle name="Entrada 2 2 3 2 3 11" xfId="4336"/>
    <cellStyle name="Entrada 2 2 3 2 3 2" xfId="4337"/>
    <cellStyle name="Entrada 2 2 3 2 3 2 2" xfId="4338"/>
    <cellStyle name="Entrada 2 2 3 2 3 3" xfId="4339"/>
    <cellStyle name="Entrada 2 2 3 2 3 3 2" xfId="4340"/>
    <cellStyle name="Entrada 2 2 3 2 3 4" xfId="4341"/>
    <cellStyle name="Entrada 2 2 3 2 3 4 2" xfId="4342"/>
    <cellStyle name="Entrada 2 2 3 2 3 5" xfId="4343"/>
    <cellStyle name="Entrada 2 2 3 2 3 5 2" xfId="4344"/>
    <cellStyle name="Entrada 2 2 3 2 3 6" xfId="4345"/>
    <cellStyle name="Entrada 2 2 3 2 3 6 2" xfId="4346"/>
    <cellStyle name="Entrada 2 2 3 2 3 7" xfId="4347"/>
    <cellStyle name="Entrada 2 2 3 2 3 7 2" xfId="4348"/>
    <cellStyle name="Entrada 2 2 3 2 3 8" xfId="4349"/>
    <cellStyle name="Entrada 2 2 3 2 3 8 2" xfId="4350"/>
    <cellStyle name="Entrada 2 2 3 2 3 9" xfId="4351"/>
    <cellStyle name="Entrada 2 2 3 2 3 9 2" xfId="4352"/>
    <cellStyle name="Entrada 2 2 3 2 4" xfId="4353"/>
    <cellStyle name="Entrada 2 2 3 2 4 2" xfId="4354"/>
    <cellStyle name="Entrada 2 2 3 2 5" xfId="4355"/>
    <cellStyle name="Entrada 2 2 3 2 5 2" xfId="4356"/>
    <cellStyle name="Entrada 2 2 3 2 6" xfId="4357"/>
    <cellStyle name="Entrada 2 2 3 2 6 2" xfId="4358"/>
    <cellStyle name="Entrada 2 2 3 2 7" xfId="4359"/>
    <cellStyle name="Entrada 2 2 3 2 7 2" xfId="4360"/>
    <cellStyle name="Entrada 2 2 3 2 8" xfId="4361"/>
    <cellStyle name="Entrada 2 2 3 2 8 2" xfId="4362"/>
    <cellStyle name="Entrada 2 2 3 2 9" xfId="4363"/>
    <cellStyle name="Entrada 2 2 3 2 9 2" xfId="4364"/>
    <cellStyle name="Entrada 2 2 3 3" xfId="4365"/>
    <cellStyle name="Entrada 2 2 3 3 10" xfId="4366"/>
    <cellStyle name="Entrada 2 2 3 3 10 2" xfId="4367"/>
    <cellStyle name="Entrada 2 2 3 3 11" xfId="4368"/>
    <cellStyle name="Entrada 2 2 3 3 11 2" xfId="4369"/>
    <cellStyle name="Entrada 2 2 3 3 12" xfId="4370"/>
    <cellStyle name="Entrada 2 2 3 3 12 2" xfId="4371"/>
    <cellStyle name="Entrada 2 2 3 3 13" xfId="4372"/>
    <cellStyle name="Entrada 2 2 3 3 2" xfId="4373"/>
    <cellStyle name="Entrada 2 2 3 3 2 10" xfId="4374"/>
    <cellStyle name="Entrada 2 2 3 3 2 10 2" xfId="4375"/>
    <cellStyle name="Entrada 2 2 3 3 2 11" xfId="4376"/>
    <cellStyle name="Entrada 2 2 3 3 2 2" xfId="4377"/>
    <cellStyle name="Entrada 2 2 3 3 2 2 2" xfId="4378"/>
    <cellStyle name="Entrada 2 2 3 3 2 3" xfId="4379"/>
    <cellStyle name="Entrada 2 2 3 3 2 3 2" xfId="4380"/>
    <cellStyle name="Entrada 2 2 3 3 2 4" xfId="4381"/>
    <cellStyle name="Entrada 2 2 3 3 2 4 2" xfId="4382"/>
    <cellStyle name="Entrada 2 2 3 3 2 5" xfId="4383"/>
    <cellStyle name="Entrada 2 2 3 3 2 5 2" xfId="4384"/>
    <cellStyle name="Entrada 2 2 3 3 2 6" xfId="4385"/>
    <cellStyle name="Entrada 2 2 3 3 2 6 2" xfId="4386"/>
    <cellStyle name="Entrada 2 2 3 3 2 7" xfId="4387"/>
    <cellStyle name="Entrada 2 2 3 3 2 7 2" xfId="4388"/>
    <cellStyle name="Entrada 2 2 3 3 2 8" xfId="4389"/>
    <cellStyle name="Entrada 2 2 3 3 2 8 2" xfId="4390"/>
    <cellStyle name="Entrada 2 2 3 3 2 9" xfId="4391"/>
    <cellStyle name="Entrada 2 2 3 3 2 9 2" xfId="4392"/>
    <cellStyle name="Entrada 2 2 3 3 3" xfId="4393"/>
    <cellStyle name="Entrada 2 2 3 3 3 10" xfId="4394"/>
    <cellStyle name="Entrada 2 2 3 3 3 10 2" xfId="4395"/>
    <cellStyle name="Entrada 2 2 3 3 3 11" xfId="4396"/>
    <cellStyle name="Entrada 2 2 3 3 3 2" xfId="4397"/>
    <cellStyle name="Entrada 2 2 3 3 3 2 2" xfId="4398"/>
    <cellStyle name="Entrada 2 2 3 3 3 3" xfId="4399"/>
    <cellStyle name="Entrada 2 2 3 3 3 3 2" xfId="4400"/>
    <cellStyle name="Entrada 2 2 3 3 3 4" xfId="4401"/>
    <cellStyle name="Entrada 2 2 3 3 3 4 2" xfId="4402"/>
    <cellStyle name="Entrada 2 2 3 3 3 5" xfId="4403"/>
    <cellStyle name="Entrada 2 2 3 3 3 5 2" xfId="4404"/>
    <cellStyle name="Entrada 2 2 3 3 3 6" xfId="4405"/>
    <cellStyle name="Entrada 2 2 3 3 3 6 2" xfId="4406"/>
    <cellStyle name="Entrada 2 2 3 3 3 7" xfId="4407"/>
    <cellStyle name="Entrada 2 2 3 3 3 7 2" xfId="4408"/>
    <cellStyle name="Entrada 2 2 3 3 3 8" xfId="4409"/>
    <cellStyle name="Entrada 2 2 3 3 3 8 2" xfId="4410"/>
    <cellStyle name="Entrada 2 2 3 3 3 9" xfId="4411"/>
    <cellStyle name="Entrada 2 2 3 3 3 9 2" xfId="4412"/>
    <cellStyle name="Entrada 2 2 3 3 4" xfId="4413"/>
    <cellStyle name="Entrada 2 2 3 3 4 2" xfId="4414"/>
    <cellStyle name="Entrada 2 2 3 3 5" xfId="4415"/>
    <cellStyle name="Entrada 2 2 3 3 5 2" xfId="4416"/>
    <cellStyle name="Entrada 2 2 3 3 6" xfId="4417"/>
    <cellStyle name="Entrada 2 2 3 3 6 2" xfId="4418"/>
    <cellStyle name="Entrada 2 2 3 3 7" xfId="4419"/>
    <cellStyle name="Entrada 2 2 3 3 7 2" xfId="4420"/>
    <cellStyle name="Entrada 2 2 3 3 8" xfId="4421"/>
    <cellStyle name="Entrada 2 2 3 3 8 2" xfId="4422"/>
    <cellStyle name="Entrada 2 2 3 3 9" xfId="4423"/>
    <cellStyle name="Entrada 2 2 3 3 9 2" xfId="4424"/>
    <cellStyle name="Entrada 2 2 3 4" xfId="4425"/>
    <cellStyle name="Entrada 2 2 3 4 10" xfId="4426"/>
    <cellStyle name="Entrada 2 2 3 4 10 2" xfId="4427"/>
    <cellStyle name="Entrada 2 2 3 4 11" xfId="4428"/>
    <cellStyle name="Entrada 2 2 3 4 2" xfId="4429"/>
    <cellStyle name="Entrada 2 2 3 4 2 2" xfId="4430"/>
    <cellStyle name="Entrada 2 2 3 4 3" xfId="4431"/>
    <cellStyle name="Entrada 2 2 3 4 3 2" xfId="4432"/>
    <cellStyle name="Entrada 2 2 3 4 4" xfId="4433"/>
    <cellStyle name="Entrada 2 2 3 4 4 2" xfId="4434"/>
    <cellStyle name="Entrada 2 2 3 4 5" xfId="4435"/>
    <cellStyle name="Entrada 2 2 3 4 5 2" xfId="4436"/>
    <cellStyle name="Entrada 2 2 3 4 6" xfId="4437"/>
    <cellStyle name="Entrada 2 2 3 4 6 2" xfId="4438"/>
    <cellStyle name="Entrada 2 2 3 4 7" xfId="4439"/>
    <cellStyle name="Entrada 2 2 3 4 7 2" xfId="4440"/>
    <cellStyle name="Entrada 2 2 3 4 8" xfId="4441"/>
    <cellStyle name="Entrada 2 2 3 4 8 2" xfId="4442"/>
    <cellStyle name="Entrada 2 2 3 4 9" xfId="4443"/>
    <cellStyle name="Entrada 2 2 3 4 9 2" xfId="4444"/>
    <cellStyle name="Entrada 2 2 3 5" xfId="4445"/>
    <cellStyle name="Entrada 2 2 3 5 10" xfId="4446"/>
    <cellStyle name="Entrada 2 2 3 5 10 2" xfId="4447"/>
    <cellStyle name="Entrada 2 2 3 5 11" xfId="4448"/>
    <cellStyle name="Entrada 2 2 3 5 2" xfId="4449"/>
    <cellStyle name="Entrada 2 2 3 5 2 2" xfId="4450"/>
    <cellStyle name="Entrada 2 2 3 5 3" xfId="4451"/>
    <cellStyle name="Entrada 2 2 3 5 3 2" xfId="4452"/>
    <cellStyle name="Entrada 2 2 3 5 4" xfId="4453"/>
    <cellStyle name="Entrada 2 2 3 5 4 2" xfId="4454"/>
    <cellStyle name="Entrada 2 2 3 5 5" xfId="4455"/>
    <cellStyle name="Entrada 2 2 3 5 5 2" xfId="4456"/>
    <cellStyle name="Entrada 2 2 3 5 6" xfId="4457"/>
    <cellStyle name="Entrada 2 2 3 5 6 2" xfId="4458"/>
    <cellStyle name="Entrada 2 2 3 5 7" xfId="4459"/>
    <cellStyle name="Entrada 2 2 3 5 7 2" xfId="4460"/>
    <cellStyle name="Entrada 2 2 3 5 8" xfId="4461"/>
    <cellStyle name="Entrada 2 2 3 5 8 2" xfId="4462"/>
    <cellStyle name="Entrada 2 2 3 5 9" xfId="4463"/>
    <cellStyle name="Entrada 2 2 3 5 9 2" xfId="4464"/>
    <cellStyle name="Entrada 2 2 3 6" xfId="4465"/>
    <cellStyle name="Entrada 2 2 3 6 2" xfId="4466"/>
    <cellStyle name="Entrada 2 2 3 7" xfId="4467"/>
    <cellStyle name="Entrada 2 2 3 7 2" xfId="4468"/>
    <cellStyle name="Entrada 2 2 3 8" xfId="4469"/>
    <cellStyle name="Entrada 2 2 3 8 2" xfId="4470"/>
    <cellStyle name="Entrada 2 2 3 9" xfId="4471"/>
    <cellStyle name="Entrada 2 2 3 9 2" xfId="4472"/>
    <cellStyle name="Entrada 2 2 4" xfId="4473"/>
    <cellStyle name="Entrada 2 2 4 10" xfId="4474"/>
    <cellStyle name="Entrada 2 2 4 10 2" xfId="4475"/>
    <cellStyle name="Entrada 2 2 4 11" xfId="4476"/>
    <cellStyle name="Entrada 2 2 4 11 2" xfId="4477"/>
    <cellStyle name="Entrada 2 2 4 12" xfId="4478"/>
    <cellStyle name="Entrada 2 2 4 12 2" xfId="4479"/>
    <cellStyle name="Entrada 2 2 4 13" xfId="4480"/>
    <cellStyle name="Entrada 2 2 4 2" xfId="4481"/>
    <cellStyle name="Entrada 2 2 4 2 10" xfId="4482"/>
    <cellStyle name="Entrada 2 2 4 2 10 2" xfId="4483"/>
    <cellStyle name="Entrada 2 2 4 2 11" xfId="4484"/>
    <cellStyle name="Entrada 2 2 4 2 2" xfId="4485"/>
    <cellStyle name="Entrada 2 2 4 2 2 2" xfId="4486"/>
    <cellStyle name="Entrada 2 2 4 2 3" xfId="4487"/>
    <cellStyle name="Entrada 2 2 4 2 3 2" xfId="4488"/>
    <cellStyle name="Entrada 2 2 4 2 4" xfId="4489"/>
    <cellStyle name="Entrada 2 2 4 2 4 2" xfId="4490"/>
    <cellStyle name="Entrada 2 2 4 2 5" xfId="4491"/>
    <cellStyle name="Entrada 2 2 4 2 5 2" xfId="4492"/>
    <cellStyle name="Entrada 2 2 4 2 6" xfId="4493"/>
    <cellStyle name="Entrada 2 2 4 2 6 2" xfId="4494"/>
    <cellStyle name="Entrada 2 2 4 2 7" xfId="4495"/>
    <cellStyle name="Entrada 2 2 4 2 7 2" xfId="4496"/>
    <cellStyle name="Entrada 2 2 4 2 8" xfId="4497"/>
    <cellStyle name="Entrada 2 2 4 2 8 2" xfId="4498"/>
    <cellStyle name="Entrada 2 2 4 2 9" xfId="4499"/>
    <cellStyle name="Entrada 2 2 4 2 9 2" xfId="4500"/>
    <cellStyle name="Entrada 2 2 4 3" xfId="4501"/>
    <cellStyle name="Entrada 2 2 4 3 10" xfId="4502"/>
    <cellStyle name="Entrada 2 2 4 3 10 2" xfId="4503"/>
    <cellStyle name="Entrada 2 2 4 3 11" xfId="4504"/>
    <cellStyle name="Entrada 2 2 4 3 2" xfId="4505"/>
    <cellStyle name="Entrada 2 2 4 3 2 2" xfId="4506"/>
    <cellStyle name="Entrada 2 2 4 3 3" xfId="4507"/>
    <cellStyle name="Entrada 2 2 4 3 3 2" xfId="4508"/>
    <cellStyle name="Entrada 2 2 4 3 4" xfId="4509"/>
    <cellStyle name="Entrada 2 2 4 3 4 2" xfId="4510"/>
    <cellStyle name="Entrada 2 2 4 3 5" xfId="4511"/>
    <cellStyle name="Entrada 2 2 4 3 5 2" xfId="4512"/>
    <cellStyle name="Entrada 2 2 4 3 6" xfId="4513"/>
    <cellStyle name="Entrada 2 2 4 3 6 2" xfId="4514"/>
    <cellStyle name="Entrada 2 2 4 3 7" xfId="4515"/>
    <cellStyle name="Entrada 2 2 4 3 7 2" xfId="4516"/>
    <cellStyle name="Entrada 2 2 4 3 8" xfId="4517"/>
    <cellStyle name="Entrada 2 2 4 3 8 2" xfId="4518"/>
    <cellStyle name="Entrada 2 2 4 3 9" xfId="4519"/>
    <cellStyle name="Entrada 2 2 4 3 9 2" xfId="4520"/>
    <cellStyle name="Entrada 2 2 4 4" xfId="4521"/>
    <cellStyle name="Entrada 2 2 4 4 2" xfId="4522"/>
    <cellStyle name="Entrada 2 2 4 5" xfId="4523"/>
    <cellStyle name="Entrada 2 2 4 5 2" xfId="4524"/>
    <cellStyle name="Entrada 2 2 4 6" xfId="4525"/>
    <cellStyle name="Entrada 2 2 4 6 2" xfId="4526"/>
    <cellStyle name="Entrada 2 2 4 7" xfId="4527"/>
    <cellStyle name="Entrada 2 2 4 7 2" xfId="4528"/>
    <cellStyle name="Entrada 2 2 4 8" xfId="4529"/>
    <cellStyle name="Entrada 2 2 4 8 2" xfId="4530"/>
    <cellStyle name="Entrada 2 2 4 9" xfId="4531"/>
    <cellStyle name="Entrada 2 2 4 9 2" xfId="4532"/>
    <cellStyle name="Entrada 2 2 5" xfId="4533"/>
    <cellStyle name="Entrada 2 2 5 10" xfId="4534"/>
    <cellStyle name="Entrada 2 2 5 10 2" xfId="4535"/>
    <cellStyle name="Entrada 2 2 5 11" xfId="4536"/>
    <cellStyle name="Entrada 2 2 5 11 2" xfId="4537"/>
    <cellStyle name="Entrada 2 2 5 12" xfId="4538"/>
    <cellStyle name="Entrada 2 2 5 12 2" xfId="4539"/>
    <cellStyle name="Entrada 2 2 5 13" xfId="4540"/>
    <cellStyle name="Entrada 2 2 5 2" xfId="4541"/>
    <cellStyle name="Entrada 2 2 5 2 10" xfId="4542"/>
    <cellStyle name="Entrada 2 2 5 2 10 2" xfId="4543"/>
    <cellStyle name="Entrada 2 2 5 2 11" xfId="4544"/>
    <cellStyle name="Entrada 2 2 5 2 2" xfId="4545"/>
    <cellStyle name="Entrada 2 2 5 2 2 2" xfId="4546"/>
    <cellStyle name="Entrada 2 2 5 2 3" xfId="4547"/>
    <cellStyle name="Entrada 2 2 5 2 3 2" xfId="4548"/>
    <cellStyle name="Entrada 2 2 5 2 4" xfId="4549"/>
    <cellStyle name="Entrada 2 2 5 2 4 2" xfId="4550"/>
    <cellStyle name="Entrada 2 2 5 2 5" xfId="4551"/>
    <cellStyle name="Entrada 2 2 5 2 5 2" xfId="4552"/>
    <cellStyle name="Entrada 2 2 5 2 6" xfId="4553"/>
    <cellStyle name="Entrada 2 2 5 2 6 2" xfId="4554"/>
    <cellStyle name="Entrada 2 2 5 2 7" xfId="4555"/>
    <cellStyle name="Entrada 2 2 5 2 7 2" xfId="4556"/>
    <cellStyle name="Entrada 2 2 5 2 8" xfId="4557"/>
    <cellStyle name="Entrada 2 2 5 2 8 2" xfId="4558"/>
    <cellStyle name="Entrada 2 2 5 2 9" xfId="4559"/>
    <cellStyle name="Entrada 2 2 5 2 9 2" xfId="4560"/>
    <cellStyle name="Entrada 2 2 5 3" xfId="4561"/>
    <cellStyle name="Entrada 2 2 5 3 10" xfId="4562"/>
    <cellStyle name="Entrada 2 2 5 3 10 2" xfId="4563"/>
    <cellStyle name="Entrada 2 2 5 3 11" xfId="4564"/>
    <cellStyle name="Entrada 2 2 5 3 2" xfId="4565"/>
    <cellStyle name="Entrada 2 2 5 3 2 2" xfId="4566"/>
    <cellStyle name="Entrada 2 2 5 3 3" xfId="4567"/>
    <cellStyle name="Entrada 2 2 5 3 3 2" xfId="4568"/>
    <cellStyle name="Entrada 2 2 5 3 4" xfId="4569"/>
    <cellStyle name="Entrada 2 2 5 3 4 2" xfId="4570"/>
    <cellStyle name="Entrada 2 2 5 3 5" xfId="4571"/>
    <cellStyle name="Entrada 2 2 5 3 5 2" xfId="4572"/>
    <cellStyle name="Entrada 2 2 5 3 6" xfId="4573"/>
    <cellStyle name="Entrada 2 2 5 3 6 2" xfId="4574"/>
    <cellStyle name="Entrada 2 2 5 3 7" xfId="4575"/>
    <cellStyle name="Entrada 2 2 5 3 7 2" xfId="4576"/>
    <cellStyle name="Entrada 2 2 5 3 8" xfId="4577"/>
    <cellStyle name="Entrada 2 2 5 3 8 2" xfId="4578"/>
    <cellStyle name="Entrada 2 2 5 3 9" xfId="4579"/>
    <cellStyle name="Entrada 2 2 5 3 9 2" xfId="4580"/>
    <cellStyle name="Entrada 2 2 5 4" xfId="4581"/>
    <cellStyle name="Entrada 2 2 5 4 2" xfId="4582"/>
    <cellStyle name="Entrada 2 2 5 5" xfId="4583"/>
    <cellStyle name="Entrada 2 2 5 5 2" xfId="4584"/>
    <cellStyle name="Entrada 2 2 5 6" xfId="4585"/>
    <cellStyle name="Entrada 2 2 5 6 2" xfId="4586"/>
    <cellStyle name="Entrada 2 2 5 7" xfId="4587"/>
    <cellStyle name="Entrada 2 2 5 7 2" xfId="4588"/>
    <cellStyle name="Entrada 2 2 5 8" xfId="4589"/>
    <cellStyle name="Entrada 2 2 5 8 2" xfId="4590"/>
    <cellStyle name="Entrada 2 2 5 9" xfId="4591"/>
    <cellStyle name="Entrada 2 2 5 9 2" xfId="4592"/>
    <cellStyle name="Entrada 2 2 6" xfId="4593"/>
    <cellStyle name="Entrada 2 2 6 2" xfId="4594"/>
    <cellStyle name="Entrada 2 2 7" xfId="4595"/>
    <cellStyle name="Entrada 2 2 7 2" xfId="4596"/>
    <cellStyle name="Entrada 2 2 8" xfId="4597"/>
    <cellStyle name="Entrada 2 2 8 2" xfId="4598"/>
    <cellStyle name="Entrada 2 2 9" xfId="4599"/>
    <cellStyle name="Entrada 2 2 9 2" xfId="4600"/>
    <cellStyle name="Entrada 2 20" xfId="4601"/>
    <cellStyle name="Entrada 2 21" xfId="4602"/>
    <cellStyle name="Entrada 2 3" xfId="1118"/>
    <cellStyle name="Entrada 2 3 10" xfId="4603"/>
    <cellStyle name="Entrada 2 3 10 2" xfId="4604"/>
    <cellStyle name="Entrada 2 3 11" xfId="4605"/>
    <cellStyle name="Entrada 2 3 11 2" xfId="4606"/>
    <cellStyle name="Entrada 2 3 12" xfId="4607"/>
    <cellStyle name="Entrada 2 3 12 2" xfId="4608"/>
    <cellStyle name="Entrada 2 3 13" xfId="4609"/>
    <cellStyle name="Entrada 2 3 13 2" xfId="4610"/>
    <cellStyle name="Entrada 2 3 14" xfId="4611"/>
    <cellStyle name="Entrada 2 3 14 2" xfId="4612"/>
    <cellStyle name="Entrada 2 3 15" xfId="4613"/>
    <cellStyle name="Entrada 2 3 16" xfId="4614"/>
    <cellStyle name="Entrada 2 3 17" xfId="4615"/>
    <cellStyle name="Entrada 2 3 2" xfId="4616"/>
    <cellStyle name="Entrada 2 3 2 10" xfId="4617"/>
    <cellStyle name="Entrada 2 3 2 10 2" xfId="4618"/>
    <cellStyle name="Entrada 2 3 2 11" xfId="4619"/>
    <cellStyle name="Entrada 2 3 2 11 2" xfId="4620"/>
    <cellStyle name="Entrada 2 3 2 12" xfId="4621"/>
    <cellStyle name="Entrada 2 3 2 12 2" xfId="4622"/>
    <cellStyle name="Entrada 2 3 2 13" xfId="4623"/>
    <cellStyle name="Entrada 2 3 2 13 2" xfId="4624"/>
    <cellStyle name="Entrada 2 3 2 14" xfId="4625"/>
    <cellStyle name="Entrada 2 3 2 14 2" xfId="4626"/>
    <cellStyle name="Entrada 2 3 2 15" xfId="4627"/>
    <cellStyle name="Entrada 2 3 2 2" xfId="4628"/>
    <cellStyle name="Entrada 2 3 2 2 10" xfId="4629"/>
    <cellStyle name="Entrada 2 3 2 2 10 2" xfId="4630"/>
    <cellStyle name="Entrada 2 3 2 2 11" xfId="4631"/>
    <cellStyle name="Entrada 2 3 2 2 11 2" xfId="4632"/>
    <cellStyle name="Entrada 2 3 2 2 12" xfId="4633"/>
    <cellStyle name="Entrada 2 3 2 2 12 2" xfId="4634"/>
    <cellStyle name="Entrada 2 3 2 2 13" xfId="4635"/>
    <cellStyle name="Entrada 2 3 2 2 2" xfId="4636"/>
    <cellStyle name="Entrada 2 3 2 2 2 10" xfId="4637"/>
    <cellStyle name="Entrada 2 3 2 2 2 10 2" xfId="4638"/>
    <cellStyle name="Entrada 2 3 2 2 2 11" xfId="4639"/>
    <cellStyle name="Entrada 2 3 2 2 2 2" xfId="4640"/>
    <cellStyle name="Entrada 2 3 2 2 2 2 2" xfId="4641"/>
    <cellStyle name="Entrada 2 3 2 2 2 3" xfId="4642"/>
    <cellStyle name="Entrada 2 3 2 2 2 3 2" xfId="4643"/>
    <cellStyle name="Entrada 2 3 2 2 2 4" xfId="4644"/>
    <cellStyle name="Entrada 2 3 2 2 2 4 2" xfId="4645"/>
    <cellStyle name="Entrada 2 3 2 2 2 5" xfId="4646"/>
    <cellStyle name="Entrada 2 3 2 2 2 5 2" xfId="4647"/>
    <cellStyle name="Entrada 2 3 2 2 2 6" xfId="4648"/>
    <cellStyle name="Entrada 2 3 2 2 2 6 2" xfId="4649"/>
    <cellStyle name="Entrada 2 3 2 2 2 7" xfId="4650"/>
    <cellStyle name="Entrada 2 3 2 2 2 7 2" xfId="4651"/>
    <cellStyle name="Entrada 2 3 2 2 2 8" xfId="4652"/>
    <cellStyle name="Entrada 2 3 2 2 2 8 2" xfId="4653"/>
    <cellStyle name="Entrada 2 3 2 2 2 9" xfId="4654"/>
    <cellStyle name="Entrada 2 3 2 2 2 9 2" xfId="4655"/>
    <cellStyle name="Entrada 2 3 2 2 3" xfId="4656"/>
    <cellStyle name="Entrada 2 3 2 2 3 10" xfId="4657"/>
    <cellStyle name="Entrada 2 3 2 2 3 10 2" xfId="4658"/>
    <cellStyle name="Entrada 2 3 2 2 3 11" xfId="4659"/>
    <cellStyle name="Entrada 2 3 2 2 3 2" xfId="4660"/>
    <cellStyle name="Entrada 2 3 2 2 3 2 2" xfId="4661"/>
    <cellStyle name="Entrada 2 3 2 2 3 3" xfId="4662"/>
    <cellStyle name="Entrada 2 3 2 2 3 3 2" xfId="4663"/>
    <cellStyle name="Entrada 2 3 2 2 3 4" xfId="4664"/>
    <cellStyle name="Entrada 2 3 2 2 3 4 2" xfId="4665"/>
    <cellStyle name="Entrada 2 3 2 2 3 5" xfId="4666"/>
    <cellStyle name="Entrada 2 3 2 2 3 5 2" xfId="4667"/>
    <cellStyle name="Entrada 2 3 2 2 3 6" xfId="4668"/>
    <cellStyle name="Entrada 2 3 2 2 3 6 2" xfId="4669"/>
    <cellStyle name="Entrada 2 3 2 2 3 7" xfId="4670"/>
    <cellStyle name="Entrada 2 3 2 2 3 7 2" xfId="4671"/>
    <cellStyle name="Entrada 2 3 2 2 3 8" xfId="4672"/>
    <cellStyle name="Entrada 2 3 2 2 3 8 2" xfId="4673"/>
    <cellStyle name="Entrada 2 3 2 2 3 9" xfId="4674"/>
    <cellStyle name="Entrada 2 3 2 2 3 9 2" xfId="4675"/>
    <cellStyle name="Entrada 2 3 2 2 4" xfId="4676"/>
    <cellStyle name="Entrada 2 3 2 2 4 2" xfId="4677"/>
    <cellStyle name="Entrada 2 3 2 2 5" xfId="4678"/>
    <cellStyle name="Entrada 2 3 2 2 5 2" xfId="4679"/>
    <cellStyle name="Entrada 2 3 2 2 6" xfId="4680"/>
    <cellStyle name="Entrada 2 3 2 2 6 2" xfId="4681"/>
    <cellStyle name="Entrada 2 3 2 2 7" xfId="4682"/>
    <cellStyle name="Entrada 2 3 2 2 7 2" xfId="4683"/>
    <cellStyle name="Entrada 2 3 2 2 8" xfId="4684"/>
    <cellStyle name="Entrada 2 3 2 2 8 2" xfId="4685"/>
    <cellStyle name="Entrada 2 3 2 2 9" xfId="4686"/>
    <cellStyle name="Entrada 2 3 2 2 9 2" xfId="4687"/>
    <cellStyle name="Entrada 2 3 2 3" xfId="4688"/>
    <cellStyle name="Entrada 2 3 2 3 10" xfId="4689"/>
    <cellStyle name="Entrada 2 3 2 3 10 2" xfId="4690"/>
    <cellStyle name="Entrada 2 3 2 3 11" xfId="4691"/>
    <cellStyle name="Entrada 2 3 2 3 11 2" xfId="4692"/>
    <cellStyle name="Entrada 2 3 2 3 12" xfId="4693"/>
    <cellStyle name="Entrada 2 3 2 3 12 2" xfId="4694"/>
    <cellStyle name="Entrada 2 3 2 3 13" xfId="4695"/>
    <cellStyle name="Entrada 2 3 2 3 2" xfId="4696"/>
    <cellStyle name="Entrada 2 3 2 3 2 10" xfId="4697"/>
    <cellStyle name="Entrada 2 3 2 3 2 10 2" xfId="4698"/>
    <cellStyle name="Entrada 2 3 2 3 2 11" xfId="4699"/>
    <cellStyle name="Entrada 2 3 2 3 2 2" xfId="4700"/>
    <cellStyle name="Entrada 2 3 2 3 2 2 2" xfId="4701"/>
    <cellStyle name="Entrada 2 3 2 3 2 3" xfId="4702"/>
    <cellStyle name="Entrada 2 3 2 3 2 3 2" xfId="4703"/>
    <cellStyle name="Entrada 2 3 2 3 2 4" xfId="4704"/>
    <cellStyle name="Entrada 2 3 2 3 2 4 2" xfId="4705"/>
    <cellStyle name="Entrada 2 3 2 3 2 5" xfId="4706"/>
    <cellStyle name="Entrada 2 3 2 3 2 5 2" xfId="4707"/>
    <cellStyle name="Entrada 2 3 2 3 2 6" xfId="4708"/>
    <cellStyle name="Entrada 2 3 2 3 2 6 2" xfId="4709"/>
    <cellStyle name="Entrada 2 3 2 3 2 7" xfId="4710"/>
    <cellStyle name="Entrada 2 3 2 3 2 7 2" xfId="4711"/>
    <cellStyle name="Entrada 2 3 2 3 2 8" xfId="4712"/>
    <cellStyle name="Entrada 2 3 2 3 2 8 2" xfId="4713"/>
    <cellStyle name="Entrada 2 3 2 3 2 9" xfId="4714"/>
    <cellStyle name="Entrada 2 3 2 3 2 9 2" xfId="4715"/>
    <cellStyle name="Entrada 2 3 2 3 3" xfId="4716"/>
    <cellStyle name="Entrada 2 3 2 3 3 10" xfId="4717"/>
    <cellStyle name="Entrada 2 3 2 3 3 10 2" xfId="4718"/>
    <cellStyle name="Entrada 2 3 2 3 3 11" xfId="4719"/>
    <cellStyle name="Entrada 2 3 2 3 3 2" xfId="4720"/>
    <cellStyle name="Entrada 2 3 2 3 3 2 2" xfId="4721"/>
    <cellStyle name="Entrada 2 3 2 3 3 3" xfId="4722"/>
    <cellStyle name="Entrada 2 3 2 3 3 3 2" xfId="4723"/>
    <cellStyle name="Entrada 2 3 2 3 3 4" xfId="4724"/>
    <cellStyle name="Entrada 2 3 2 3 3 4 2" xfId="4725"/>
    <cellStyle name="Entrada 2 3 2 3 3 5" xfId="4726"/>
    <cellStyle name="Entrada 2 3 2 3 3 5 2" xfId="4727"/>
    <cellStyle name="Entrada 2 3 2 3 3 6" xfId="4728"/>
    <cellStyle name="Entrada 2 3 2 3 3 6 2" xfId="4729"/>
    <cellStyle name="Entrada 2 3 2 3 3 7" xfId="4730"/>
    <cellStyle name="Entrada 2 3 2 3 3 7 2" xfId="4731"/>
    <cellStyle name="Entrada 2 3 2 3 3 8" xfId="4732"/>
    <cellStyle name="Entrada 2 3 2 3 3 8 2" xfId="4733"/>
    <cellStyle name="Entrada 2 3 2 3 3 9" xfId="4734"/>
    <cellStyle name="Entrada 2 3 2 3 3 9 2" xfId="4735"/>
    <cellStyle name="Entrada 2 3 2 3 4" xfId="4736"/>
    <cellStyle name="Entrada 2 3 2 3 4 2" xfId="4737"/>
    <cellStyle name="Entrada 2 3 2 3 5" xfId="4738"/>
    <cellStyle name="Entrada 2 3 2 3 5 2" xfId="4739"/>
    <cellStyle name="Entrada 2 3 2 3 6" xfId="4740"/>
    <cellStyle name="Entrada 2 3 2 3 6 2" xfId="4741"/>
    <cellStyle name="Entrada 2 3 2 3 7" xfId="4742"/>
    <cellStyle name="Entrada 2 3 2 3 7 2" xfId="4743"/>
    <cellStyle name="Entrada 2 3 2 3 8" xfId="4744"/>
    <cellStyle name="Entrada 2 3 2 3 8 2" xfId="4745"/>
    <cellStyle name="Entrada 2 3 2 3 9" xfId="4746"/>
    <cellStyle name="Entrada 2 3 2 3 9 2" xfId="4747"/>
    <cellStyle name="Entrada 2 3 2 4" xfId="4748"/>
    <cellStyle name="Entrada 2 3 2 4 10" xfId="4749"/>
    <cellStyle name="Entrada 2 3 2 4 10 2" xfId="4750"/>
    <cellStyle name="Entrada 2 3 2 4 11" xfId="4751"/>
    <cellStyle name="Entrada 2 3 2 4 2" xfId="4752"/>
    <cellStyle name="Entrada 2 3 2 4 2 2" xfId="4753"/>
    <cellStyle name="Entrada 2 3 2 4 3" xfId="4754"/>
    <cellStyle name="Entrada 2 3 2 4 3 2" xfId="4755"/>
    <cellStyle name="Entrada 2 3 2 4 4" xfId="4756"/>
    <cellStyle name="Entrada 2 3 2 4 4 2" xfId="4757"/>
    <cellStyle name="Entrada 2 3 2 4 5" xfId="4758"/>
    <cellStyle name="Entrada 2 3 2 4 5 2" xfId="4759"/>
    <cellStyle name="Entrada 2 3 2 4 6" xfId="4760"/>
    <cellStyle name="Entrada 2 3 2 4 6 2" xfId="4761"/>
    <cellStyle name="Entrada 2 3 2 4 7" xfId="4762"/>
    <cellStyle name="Entrada 2 3 2 4 7 2" xfId="4763"/>
    <cellStyle name="Entrada 2 3 2 4 8" xfId="4764"/>
    <cellStyle name="Entrada 2 3 2 4 8 2" xfId="4765"/>
    <cellStyle name="Entrada 2 3 2 4 9" xfId="4766"/>
    <cellStyle name="Entrada 2 3 2 4 9 2" xfId="4767"/>
    <cellStyle name="Entrada 2 3 2 5" xfId="4768"/>
    <cellStyle name="Entrada 2 3 2 5 10" xfId="4769"/>
    <cellStyle name="Entrada 2 3 2 5 10 2" xfId="4770"/>
    <cellStyle name="Entrada 2 3 2 5 11" xfId="4771"/>
    <cellStyle name="Entrada 2 3 2 5 2" xfId="4772"/>
    <cellStyle name="Entrada 2 3 2 5 2 2" xfId="4773"/>
    <cellStyle name="Entrada 2 3 2 5 3" xfId="4774"/>
    <cellStyle name="Entrada 2 3 2 5 3 2" xfId="4775"/>
    <cellStyle name="Entrada 2 3 2 5 4" xfId="4776"/>
    <cellStyle name="Entrada 2 3 2 5 4 2" xfId="4777"/>
    <cellStyle name="Entrada 2 3 2 5 5" xfId="4778"/>
    <cellStyle name="Entrada 2 3 2 5 5 2" xfId="4779"/>
    <cellStyle name="Entrada 2 3 2 5 6" xfId="4780"/>
    <cellStyle name="Entrada 2 3 2 5 6 2" xfId="4781"/>
    <cellStyle name="Entrada 2 3 2 5 7" xfId="4782"/>
    <cellStyle name="Entrada 2 3 2 5 7 2" xfId="4783"/>
    <cellStyle name="Entrada 2 3 2 5 8" xfId="4784"/>
    <cellStyle name="Entrada 2 3 2 5 8 2" xfId="4785"/>
    <cellStyle name="Entrada 2 3 2 5 9" xfId="4786"/>
    <cellStyle name="Entrada 2 3 2 5 9 2" xfId="4787"/>
    <cellStyle name="Entrada 2 3 2 6" xfId="4788"/>
    <cellStyle name="Entrada 2 3 2 6 2" xfId="4789"/>
    <cellStyle name="Entrada 2 3 2 7" xfId="4790"/>
    <cellStyle name="Entrada 2 3 2 7 2" xfId="4791"/>
    <cellStyle name="Entrada 2 3 2 8" xfId="4792"/>
    <cellStyle name="Entrada 2 3 2 8 2" xfId="4793"/>
    <cellStyle name="Entrada 2 3 2 9" xfId="4794"/>
    <cellStyle name="Entrada 2 3 2 9 2" xfId="4795"/>
    <cellStyle name="Entrada 2 3 3" xfId="4796"/>
    <cellStyle name="Entrada 2 3 3 10" xfId="4797"/>
    <cellStyle name="Entrada 2 3 3 10 2" xfId="4798"/>
    <cellStyle name="Entrada 2 3 3 11" xfId="4799"/>
    <cellStyle name="Entrada 2 3 3 11 2" xfId="4800"/>
    <cellStyle name="Entrada 2 3 3 12" xfId="4801"/>
    <cellStyle name="Entrada 2 3 3 12 2" xfId="4802"/>
    <cellStyle name="Entrada 2 3 3 13" xfId="4803"/>
    <cellStyle name="Entrada 2 3 3 13 2" xfId="4804"/>
    <cellStyle name="Entrada 2 3 3 14" xfId="4805"/>
    <cellStyle name="Entrada 2 3 3 14 2" xfId="4806"/>
    <cellStyle name="Entrada 2 3 3 15" xfId="4807"/>
    <cellStyle name="Entrada 2 3 3 2" xfId="4808"/>
    <cellStyle name="Entrada 2 3 3 2 10" xfId="4809"/>
    <cellStyle name="Entrada 2 3 3 2 10 2" xfId="4810"/>
    <cellStyle name="Entrada 2 3 3 2 11" xfId="4811"/>
    <cellStyle name="Entrada 2 3 3 2 11 2" xfId="4812"/>
    <cellStyle name="Entrada 2 3 3 2 12" xfId="4813"/>
    <cellStyle name="Entrada 2 3 3 2 12 2" xfId="4814"/>
    <cellStyle name="Entrada 2 3 3 2 13" xfId="4815"/>
    <cellStyle name="Entrada 2 3 3 2 2" xfId="4816"/>
    <cellStyle name="Entrada 2 3 3 2 2 10" xfId="4817"/>
    <cellStyle name="Entrada 2 3 3 2 2 10 2" xfId="4818"/>
    <cellStyle name="Entrada 2 3 3 2 2 11" xfId="4819"/>
    <cellStyle name="Entrada 2 3 3 2 2 2" xfId="4820"/>
    <cellStyle name="Entrada 2 3 3 2 2 2 2" xfId="4821"/>
    <cellStyle name="Entrada 2 3 3 2 2 3" xfId="4822"/>
    <cellStyle name="Entrada 2 3 3 2 2 3 2" xfId="4823"/>
    <cellStyle name="Entrada 2 3 3 2 2 4" xfId="4824"/>
    <cellStyle name="Entrada 2 3 3 2 2 4 2" xfId="4825"/>
    <cellStyle name="Entrada 2 3 3 2 2 5" xfId="4826"/>
    <cellStyle name="Entrada 2 3 3 2 2 5 2" xfId="4827"/>
    <cellStyle name="Entrada 2 3 3 2 2 6" xfId="4828"/>
    <cellStyle name="Entrada 2 3 3 2 2 6 2" xfId="4829"/>
    <cellStyle name="Entrada 2 3 3 2 2 7" xfId="4830"/>
    <cellStyle name="Entrada 2 3 3 2 2 7 2" xfId="4831"/>
    <cellStyle name="Entrada 2 3 3 2 2 8" xfId="4832"/>
    <cellStyle name="Entrada 2 3 3 2 2 8 2" xfId="4833"/>
    <cellStyle name="Entrada 2 3 3 2 2 9" xfId="4834"/>
    <cellStyle name="Entrada 2 3 3 2 2 9 2" xfId="4835"/>
    <cellStyle name="Entrada 2 3 3 2 3" xfId="4836"/>
    <cellStyle name="Entrada 2 3 3 2 3 10" xfId="4837"/>
    <cellStyle name="Entrada 2 3 3 2 3 10 2" xfId="4838"/>
    <cellStyle name="Entrada 2 3 3 2 3 11" xfId="4839"/>
    <cellStyle name="Entrada 2 3 3 2 3 2" xfId="4840"/>
    <cellStyle name="Entrada 2 3 3 2 3 2 2" xfId="4841"/>
    <cellStyle name="Entrada 2 3 3 2 3 3" xfId="4842"/>
    <cellStyle name="Entrada 2 3 3 2 3 3 2" xfId="4843"/>
    <cellStyle name="Entrada 2 3 3 2 3 4" xfId="4844"/>
    <cellStyle name="Entrada 2 3 3 2 3 4 2" xfId="4845"/>
    <cellStyle name="Entrada 2 3 3 2 3 5" xfId="4846"/>
    <cellStyle name="Entrada 2 3 3 2 3 5 2" xfId="4847"/>
    <cellStyle name="Entrada 2 3 3 2 3 6" xfId="4848"/>
    <cellStyle name="Entrada 2 3 3 2 3 6 2" xfId="4849"/>
    <cellStyle name="Entrada 2 3 3 2 3 7" xfId="4850"/>
    <cellStyle name="Entrada 2 3 3 2 3 7 2" xfId="4851"/>
    <cellStyle name="Entrada 2 3 3 2 3 8" xfId="4852"/>
    <cellStyle name="Entrada 2 3 3 2 3 8 2" xfId="4853"/>
    <cellStyle name="Entrada 2 3 3 2 3 9" xfId="4854"/>
    <cellStyle name="Entrada 2 3 3 2 3 9 2" xfId="4855"/>
    <cellStyle name="Entrada 2 3 3 2 4" xfId="4856"/>
    <cellStyle name="Entrada 2 3 3 2 4 2" xfId="4857"/>
    <cellStyle name="Entrada 2 3 3 2 5" xfId="4858"/>
    <cellStyle name="Entrada 2 3 3 2 5 2" xfId="4859"/>
    <cellStyle name="Entrada 2 3 3 2 6" xfId="4860"/>
    <cellStyle name="Entrada 2 3 3 2 6 2" xfId="4861"/>
    <cellStyle name="Entrada 2 3 3 2 7" xfId="4862"/>
    <cellStyle name="Entrada 2 3 3 2 7 2" xfId="4863"/>
    <cellStyle name="Entrada 2 3 3 2 8" xfId="4864"/>
    <cellStyle name="Entrada 2 3 3 2 8 2" xfId="4865"/>
    <cellStyle name="Entrada 2 3 3 2 9" xfId="4866"/>
    <cellStyle name="Entrada 2 3 3 2 9 2" xfId="4867"/>
    <cellStyle name="Entrada 2 3 3 3" xfId="4868"/>
    <cellStyle name="Entrada 2 3 3 3 10" xfId="4869"/>
    <cellStyle name="Entrada 2 3 3 3 10 2" xfId="4870"/>
    <cellStyle name="Entrada 2 3 3 3 11" xfId="4871"/>
    <cellStyle name="Entrada 2 3 3 3 11 2" xfId="4872"/>
    <cellStyle name="Entrada 2 3 3 3 12" xfId="4873"/>
    <cellStyle name="Entrada 2 3 3 3 12 2" xfId="4874"/>
    <cellStyle name="Entrada 2 3 3 3 13" xfId="4875"/>
    <cellStyle name="Entrada 2 3 3 3 2" xfId="4876"/>
    <cellStyle name="Entrada 2 3 3 3 2 10" xfId="4877"/>
    <cellStyle name="Entrada 2 3 3 3 2 10 2" xfId="4878"/>
    <cellStyle name="Entrada 2 3 3 3 2 11" xfId="4879"/>
    <cellStyle name="Entrada 2 3 3 3 2 2" xfId="4880"/>
    <cellStyle name="Entrada 2 3 3 3 2 2 2" xfId="4881"/>
    <cellStyle name="Entrada 2 3 3 3 2 3" xfId="4882"/>
    <cellStyle name="Entrada 2 3 3 3 2 3 2" xfId="4883"/>
    <cellStyle name="Entrada 2 3 3 3 2 4" xfId="4884"/>
    <cellStyle name="Entrada 2 3 3 3 2 4 2" xfId="4885"/>
    <cellStyle name="Entrada 2 3 3 3 2 5" xfId="4886"/>
    <cellStyle name="Entrada 2 3 3 3 2 5 2" xfId="4887"/>
    <cellStyle name="Entrada 2 3 3 3 2 6" xfId="4888"/>
    <cellStyle name="Entrada 2 3 3 3 2 6 2" xfId="4889"/>
    <cellStyle name="Entrada 2 3 3 3 2 7" xfId="4890"/>
    <cellStyle name="Entrada 2 3 3 3 2 7 2" xfId="4891"/>
    <cellStyle name="Entrada 2 3 3 3 2 8" xfId="4892"/>
    <cellStyle name="Entrada 2 3 3 3 2 8 2" xfId="4893"/>
    <cellStyle name="Entrada 2 3 3 3 2 9" xfId="4894"/>
    <cellStyle name="Entrada 2 3 3 3 2 9 2" xfId="4895"/>
    <cellStyle name="Entrada 2 3 3 3 3" xfId="4896"/>
    <cellStyle name="Entrada 2 3 3 3 3 10" xfId="4897"/>
    <cellStyle name="Entrada 2 3 3 3 3 10 2" xfId="4898"/>
    <cellStyle name="Entrada 2 3 3 3 3 11" xfId="4899"/>
    <cellStyle name="Entrada 2 3 3 3 3 2" xfId="4900"/>
    <cellStyle name="Entrada 2 3 3 3 3 2 2" xfId="4901"/>
    <cellStyle name="Entrada 2 3 3 3 3 3" xfId="4902"/>
    <cellStyle name="Entrada 2 3 3 3 3 3 2" xfId="4903"/>
    <cellStyle name="Entrada 2 3 3 3 3 4" xfId="4904"/>
    <cellStyle name="Entrada 2 3 3 3 3 4 2" xfId="4905"/>
    <cellStyle name="Entrada 2 3 3 3 3 5" xfId="4906"/>
    <cellStyle name="Entrada 2 3 3 3 3 5 2" xfId="4907"/>
    <cellStyle name="Entrada 2 3 3 3 3 6" xfId="4908"/>
    <cellStyle name="Entrada 2 3 3 3 3 6 2" xfId="4909"/>
    <cellStyle name="Entrada 2 3 3 3 3 7" xfId="4910"/>
    <cellStyle name="Entrada 2 3 3 3 3 7 2" xfId="4911"/>
    <cellStyle name="Entrada 2 3 3 3 3 8" xfId="4912"/>
    <cellStyle name="Entrada 2 3 3 3 3 8 2" xfId="4913"/>
    <cellStyle name="Entrada 2 3 3 3 3 9" xfId="4914"/>
    <cellStyle name="Entrada 2 3 3 3 3 9 2" xfId="4915"/>
    <cellStyle name="Entrada 2 3 3 3 4" xfId="4916"/>
    <cellStyle name="Entrada 2 3 3 3 4 2" xfId="4917"/>
    <cellStyle name="Entrada 2 3 3 3 5" xfId="4918"/>
    <cellStyle name="Entrada 2 3 3 3 5 2" xfId="4919"/>
    <cellStyle name="Entrada 2 3 3 3 6" xfId="4920"/>
    <cellStyle name="Entrada 2 3 3 3 6 2" xfId="4921"/>
    <cellStyle name="Entrada 2 3 3 3 7" xfId="4922"/>
    <cellStyle name="Entrada 2 3 3 3 7 2" xfId="4923"/>
    <cellStyle name="Entrada 2 3 3 3 8" xfId="4924"/>
    <cellStyle name="Entrada 2 3 3 3 8 2" xfId="4925"/>
    <cellStyle name="Entrada 2 3 3 3 9" xfId="4926"/>
    <cellStyle name="Entrada 2 3 3 3 9 2" xfId="4927"/>
    <cellStyle name="Entrada 2 3 3 4" xfId="4928"/>
    <cellStyle name="Entrada 2 3 3 4 10" xfId="4929"/>
    <cellStyle name="Entrada 2 3 3 4 10 2" xfId="4930"/>
    <cellStyle name="Entrada 2 3 3 4 11" xfId="4931"/>
    <cellStyle name="Entrada 2 3 3 4 2" xfId="4932"/>
    <cellStyle name="Entrada 2 3 3 4 2 2" xfId="4933"/>
    <cellStyle name="Entrada 2 3 3 4 3" xfId="4934"/>
    <cellStyle name="Entrada 2 3 3 4 3 2" xfId="4935"/>
    <cellStyle name="Entrada 2 3 3 4 4" xfId="4936"/>
    <cellStyle name="Entrada 2 3 3 4 4 2" xfId="4937"/>
    <cellStyle name="Entrada 2 3 3 4 5" xfId="4938"/>
    <cellStyle name="Entrada 2 3 3 4 5 2" xfId="4939"/>
    <cellStyle name="Entrada 2 3 3 4 6" xfId="4940"/>
    <cellStyle name="Entrada 2 3 3 4 6 2" xfId="4941"/>
    <cellStyle name="Entrada 2 3 3 4 7" xfId="4942"/>
    <cellStyle name="Entrada 2 3 3 4 7 2" xfId="4943"/>
    <cellStyle name="Entrada 2 3 3 4 8" xfId="4944"/>
    <cellStyle name="Entrada 2 3 3 4 8 2" xfId="4945"/>
    <cellStyle name="Entrada 2 3 3 4 9" xfId="4946"/>
    <cellStyle name="Entrada 2 3 3 4 9 2" xfId="4947"/>
    <cellStyle name="Entrada 2 3 3 5" xfId="4948"/>
    <cellStyle name="Entrada 2 3 3 5 10" xfId="4949"/>
    <cellStyle name="Entrada 2 3 3 5 10 2" xfId="4950"/>
    <cellStyle name="Entrada 2 3 3 5 11" xfId="4951"/>
    <cellStyle name="Entrada 2 3 3 5 2" xfId="4952"/>
    <cellStyle name="Entrada 2 3 3 5 2 2" xfId="4953"/>
    <cellStyle name="Entrada 2 3 3 5 3" xfId="4954"/>
    <cellStyle name="Entrada 2 3 3 5 3 2" xfId="4955"/>
    <cellStyle name="Entrada 2 3 3 5 4" xfId="4956"/>
    <cellStyle name="Entrada 2 3 3 5 4 2" xfId="4957"/>
    <cellStyle name="Entrada 2 3 3 5 5" xfId="4958"/>
    <cellStyle name="Entrada 2 3 3 5 5 2" xfId="4959"/>
    <cellStyle name="Entrada 2 3 3 5 6" xfId="4960"/>
    <cellStyle name="Entrada 2 3 3 5 6 2" xfId="4961"/>
    <cellStyle name="Entrada 2 3 3 5 7" xfId="4962"/>
    <cellStyle name="Entrada 2 3 3 5 7 2" xfId="4963"/>
    <cellStyle name="Entrada 2 3 3 5 8" xfId="4964"/>
    <cellStyle name="Entrada 2 3 3 5 8 2" xfId="4965"/>
    <cellStyle name="Entrada 2 3 3 5 9" xfId="4966"/>
    <cellStyle name="Entrada 2 3 3 5 9 2" xfId="4967"/>
    <cellStyle name="Entrada 2 3 3 6" xfId="4968"/>
    <cellStyle name="Entrada 2 3 3 6 2" xfId="4969"/>
    <cellStyle name="Entrada 2 3 3 7" xfId="4970"/>
    <cellStyle name="Entrada 2 3 3 7 2" xfId="4971"/>
    <cellStyle name="Entrada 2 3 3 8" xfId="4972"/>
    <cellStyle name="Entrada 2 3 3 8 2" xfId="4973"/>
    <cellStyle name="Entrada 2 3 3 9" xfId="4974"/>
    <cellStyle name="Entrada 2 3 3 9 2" xfId="4975"/>
    <cellStyle name="Entrada 2 3 4" xfId="4976"/>
    <cellStyle name="Entrada 2 3 4 10" xfId="4977"/>
    <cellStyle name="Entrada 2 3 4 10 2" xfId="4978"/>
    <cellStyle name="Entrada 2 3 4 11" xfId="4979"/>
    <cellStyle name="Entrada 2 3 4 11 2" xfId="4980"/>
    <cellStyle name="Entrada 2 3 4 12" xfId="4981"/>
    <cellStyle name="Entrada 2 3 4 12 2" xfId="4982"/>
    <cellStyle name="Entrada 2 3 4 13" xfId="4983"/>
    <cellStyle name="Entrada 2 3 4 2" xfId="4984"/>
    <cellStyle name="Entrada 2 3 4 2 10" xfId="4985"/>
    <cellStyle name="Entrada 2 3 4 2 10 2" xfId="4986"/>
    <cellStyle name="Entrada 2 3 4 2 11" xfId="4987"/>
    <cellStyle name="Entrada 2 3 4 2 2" xfId="4988"/>
    <cellStyle name="Entrada 2 3 4 2 2 2" xfId="4989"/>
    <cellStyle name="Entrada 2 3 4 2 3" xfId="4990"/>
    <cellStyle name="Entrada 2 3 4 2 3 2" xfId="4991"/>
    <cellStyle name="Entrada 2 3 4 2 4" xfId="4992"/>
    <cellStyle name="Entrada 2 3 4 2 4 2" xfId="4993"/>
    <cellStyle name="Entrada 2 3 4 2 5" xfId="4994"/>
    <cellStyle name="Entrada 2 3 4 2 5 2" xfId="4995"/>
    <cellStyle name="Entrada 2 3 4 2 6" xfId="4996"/>
    <cellStyle name="Entrada 2 3 4 2 6 2" xfId="4997"/>
    <cellStyle name="Entrada 2 3 4 2 7" xfId="4998"/>
    <cellStyle name="Entrada 2 3 4 2 7 2" xfId="4999"/>
    <cellStyle name="Entrada 2 3 4 2 8" xfId="5000"/>
    <cellStyle name="Entrada 2 3 4 2 8 2" xfId="5001"/>
    <cellStyle name="Entrada 2 3 4 2 9" xfId="5002"/>
    <cellStyle name="Entrada 2 3 4 2 9 2" xfId="5003"/>
    <cellStyle name="Entrada 2 3 4 3" xfId="5004"/>
    <cellStyle name="Entrada 2 3 4 3 10" xfId="5005"/>
    <cellStyle name="Entrada 2 3 4 3 10 2" xfId="5006"/>
    <cellStyle name="Entrada 2 3 4 3 11" xfId="5007"/>
    <cellStyle name="Entrada 2 3 4 3 2" xfId="5008"/>
    <cellStyle name="Entrada 2 3 4 3 2 2" xfId="5009"/>
    <cellStyle name="Entrada 2 3 4 3 3" xfId="5010"/>
    <cellStyle name="Entrada 2 3 4 3 3 2" xfId="5011"/>
    <cellStyle name="Entrada 2 3 4 3 4" xfId="5012"/>
    <cellStyle name="Entrada 2 3 4 3 4 2" xfId="5013"/>
    <cellStyle name="Entrada 2 3 4 3 5" xfId="5014"/>
    <cellStyle name="Entrada 2 3 4 3 5 2" xfId="5015"/>
    <cellStyle name="Entrada 2 3 4 3 6" xfId="5016"/>
    <cellStyle name="Entrada 2 3 4 3 6 2" xfId="5017"/>
    <cellStyle name="Entrada 2 3 4 3 7" xfId="5018"/>
    <cellStyle name="Entrada 2 3 4 3 7 2" xfId="5019"/>
    <cellStyle name="Entrada 2 3 4 3 8" xfId="5020"/>
    <cellStyle name="Entrada 2 3 4 3 8 2" xfId="5021"/>
    <cellStyle name="Entrada 2 3 4 3 9" xfId="5022"/>
    <cellStyle name="Entrada 2 3 4 3 9 2" xfId="5023"/>
    <cellStyle name="Entrada 2 3 4 4" xfId="5024"/>
    <cellStyle name="Entrada 2 3 4 4 2" xfId="5025"/>
    <cellStyle name="Entrada 2 3 4 5" xfId="5026"/>
    <cellStyle name="Entrada 2 3 4 5 2" xfId="5027"/>
    <cellStyle name="Entrada 2 3 4 6" xfId="5028"/>
    <cellStyle name="Entrada 2 3 4 6 2" xfId="5029"/>
    <cellStyle name="Entrada 2 3 4 7" xfId="5030"/>
    <cellStyle name="Entrada 2 3 4 7 2" xfId="5031"/>
    <cellStyle name="Entrada 2 3 4 8" xfId="5032"/>
    <cellStyle name="Entrada 2 3 4 8 2" xfId="5033"/>
    <cellStyle name="Entrada 2 3 4 9" xfId="5034"/>
    <cellStyle name="Entrada 2 3 4 9 2" xfId="5035"/>
    <cellStyle name="Entrada 2 3 5" xfId="5036"/>
    <cellStyle name="Entrada 2 3 5 10" xfId="5037"/>
    <cellStyle name="Entrada 2 3 5 10 2" xfId="5038"/>
    <cellStyle name="Entrada 2 3 5 11" xfId="5039"/>
    <cellStyle name="Entrada 2 3 5 11 2" xfId="5040"/>
    <cellStyle name="Entrada 2 3 5 12" xfId="5041"/>
    <cellStyle name="Entrada 2 3 5 12 2" xfId="5042"/>
    <cellStyle name="Entrada 2 3 5 13" xfId="5043"/>
    <cellStyle name="Entrada 2 3 5 2" xfId="5044"/>
    <cellStyle name="Entrada 2 3 5 2 10" xfId="5045"/>
    <cellStyle name="Entrada 2 3 5 2 10 2" xfId="5046"/>
    <cellStyle name="Entrada 2 3 5 2 11" xfId="5047"/>
    <cellStyle name="Entrada 2 3 5 2 2" xfId="5048"/>
    <cellStyle name="Entrada 2 3 5 2 2 2" xfId="5049"/>
    <cellStyle name="Entrada 2 3 5 2 3" xfId="5050"/>
    <cellStyle name="Entrada 2 3 5 2 3 2" xfId="5051"/>
    <cellStyle name="Entrada 2 3 5 2 4" xfId="5052"/>
    <cellStyle name="Entrada 2 3 5 2 4 2" xfId="5053"/>
    <cellStyle name="Entrada 2 3 5 2 5" xfId="5054"/>
    <cellStyle name="Entrada 2 3 5 2 5 2" xfId="5055"/>
    <cellStyle name="Entrada 2 3 5 2 6" xfId="5056"/>
    <cellStyle name="Entrada 2 3 5 2 6 2" xfId="5057"/>
    <cellStyle name="Entrada 2 3 5 2 7" xfId="5058"/>
    <cellStyle name="Entrada 2 3 5 2 7 2" xfId="5059"/>
    <cellStyle name="Entrada 2 3 5 2 8" xfId="5060"/>
    <cellStyle name="Entrada 2 3 5 2 8 2" xfId="5061"/>
    <cellStyle name="Entrada 2 3 5 2 9" xfId="5062"/>
    <cellStyle name="Entrada 2 3 5 2 9 2" xfId="5063"/>
    <cellStyle name="Entrada 2 3 5 3" xfId="5064"/>
    <cellStyle name="Entrada 2 3 5 3 10" xfId="5065"/>
    <cellStyle name="Entrada 2 3 5 3 10 2" xfId="5066"/>
    <cellStyle name="Entrada 2 3 5 3 11" xfId="5067"/>
    <cellStyle name="Entrada 2 3 5 3 2" xfId="5068"/>
    <cellStyle name="Entrada 2 3 5 3 2 2" xfId="5069"/>
    <cellStyle name="Entrada 2 3 5 3 3" xfId="5070"/>
    <cellStyle name="Entrada 2 3 5 3 3 2" xfId="5071"/>
    <cellStyle name="Entrada 2 3 5 3 4" xfId="5072"/>
    <cellStyle name="Entrada 2 3 5 3 4 2" xfId="5073"/>
    <cellStyle name="Entrada 2 3 5 3 5" xfId="5074"/>
    <cellStyle name="Entrada 2 3 5 3 5 2" xfId="5075"/>
    <cellStyle name="Entrada 2 3 5 3 6" xfId="5076"/>
    <cellStyle name="Entrada 2 3 5 3 6 2" xfId="5077"/>
    <cellStyle name="Entrada 2 3 5 3 7" xfId="5078"/>
    <cellStyle name="Entrada 2 3 5 3 7 2" xfId="5079"/>
    <cellStyle name="Entrada 2 3 5 3 8" xfId="5080"/>
    <cellStyle name="Entrada 2 3 5 3 8 2" xfId="5081"/>
    <cellStyle name="Entrada 2 3 5 3 9" xfId="5082"/>
    <cellStyle name="Entrada 2 3 5 3 9 2" xfId="5083"/>
    <cellStyle name="Entrada 2 3 5 4" xfId="5084"/>
    <cellStyle name="Entrada 2 3 5 4 2" xfId="5085"/>
    <cellStyle name="Entrada 2 3 5 5" xfId="5086"/>
    <cellStyle name="Entrada 2 3 5 5 2" xfId="5087"/>
    <cellStyle name="Entrada 2 3 5 6" xfId="5088"/>
    <cellStyle name="Entrada 2 3 5 6 2" xfId="5089"/>
    <cellStyle name="Entrada 2 3 5 7" xfId="5090"/>
    <cellStyle name="Entrada 2 3 5 7 2" xfId="5091"/>
    <cellStyle name="Entrada 2 3 5 8" xfId="5092"/>
    <cellStyle name="Entrada 2 3 5 8 2" xfId="5093"/>
    <cellStyle name="Entrada 2 3 5 9" xfId="5094"/>
    <cellStyle name="Entrada 2 3 5 9 2" xfId="5095"/>
    <cellStyle name="Entrada 2 3 6" xfId="5096"/>
    <cellStyle name="Entrada 2 3 6 2" xfId="5097"/>
    <cellStyle name="Entrada 2 3 7" xfId="5098"/>
    <cellStyle name="Entrada 2 3 7 2" xfId="5099"/>
    <cellStyle name="Entrada 2 3 8" xfId="5100"/>
    <cellStyle name="Entrada 2 3 8 2" xfId="5101"/>
    <cellStyle name="Entrada 2 3 9" xfId="5102"/>
    <cellStyle name="Entrada 2 3 9 2" xfId="5103"/>
    <cellStyle name="Entrada 2 4" xfId="5104"/>
    <cellStyle name="Entrada 2 4 10" xfId="5105"/>
    <cellStyle name="Entrada 2 4 10 2" xfId="5106"/>
    <cellStyle name="Entrada 2 4 11" xfId="5107"/>
    <cellStyle name="Entrada 2 4 11 2" xfId="5108"/>
    <cellStyle name="Entrada 2 4 12" xfId="5109"/>
    <cellStyle name="Entrada 2 4 12 2" xfId="5110"/>
    <cellStyle name="Entrada 2 4 13" xfId="5111"/>
    <cellStyle name="Entrada 2 4 13 2" xfId="5112"/>
    <cellStyle name="Entrada 2 4 14" xfId="5113"/>
    <cellStyle name="Entrada 2 4 14 2" xfId="5114"/>
    <cellStyle name="Entrada 2 4 15" xfId="5115"/>
    <cellStyle name="Entrada 2 4 2" xfId="5116"/>
    <cellStyle name="Entrada 2 4 2 10" xfId="5117"/>
    <cellStyle name="Entrada 2 4 2 10 2" xfId="5118"/>
    <cellStyle name="Entrada 2 4 2 11" xfId="5119"/>
    <cellStyle name="Entrada 2 4 2 11 2" xfId="5120"/>
    <cellStyle name="Entrada 2 4 2 12" xfId="5121"/>
    <cellStyle name="Entrada 2 4 2 12 2" xfId="5122"/>
    <cellStyle name="Entrada 2 4 2 13" xfId="5123"/>
    <cellStyle name="Entrada 2 4 2 2" xfId="5124"/>
    <cellStyle name="Entrada 2 4 2 2 10" xfId="5125"/>
    <cellStyle name="Entrada 2 4 2 2 10 2" xfId="5126"/>
    <cellStyle name="Entrada 2 4 2 2 11" xfId="5127"/>
    <cellStyle name="Entrada 2 4 2 2 2" xfId="5128"/>
    <cellStyle name="Entrada 2 4 2 2 2 2" xfId="5129"/>
    <cellStyle name="Entrada 2 4 2 2 3" xfId="5130"/>
    <cellStyle name="Entrada 2 4 2 2 3 2" xfId="5131"/>
    <cellStyle name="Entrada 2 4 2 2 4" xfId="5132"/>
    <cellStyle name="Entrada 2 4 2 2 4 2" xfId="5133"/>
    <cellStyle name="Entrada 2 4 2 2 5" xfId="5134"/>
    <cellStyle name="Entrada 2 4 2 2 5 2" xfId="5135"/>
    <cellStyle name="Entrada 2 4 2 2 6" xfId="5136"/>
    <cellStyle name="Entrada 2 4 2 2 6 2" xfId="5137"/>
    <cellStyle name="Entrada 2 4 2 2 7" xfId="5138"/>
    <cellStyle name="Entrada 2 4 2 2 7 2" xfId="5139"/>
    <cellStyle name="Entrada 2 4 2 2 8" xfId="5140"/>
    <cellStyle name="Entrada 2 4 2 2 8 2" xfId="5141"/>
    <cellStyle name="Entrada 2 4 2 2 9" xfId="5142"/>
    <cellStyle name="Entrada 2 4 2 2 9 2" xfId="5143"/>
    <cellStyle name="Entrada 2 4 2 3" xfId="5144"/>
    <cellStyle name="Entrada 2 4 2 3 10" xfId="5145"/>
    <cellStyle name="Entrada 2 4 2 3 10 2" xfId="5146"/>
    <cellStyle name="Entrada 2 4 2 3 11" xfId="5147"/>
    <cellStyle name="Entrada 2 4 2 3 2" xfId="5148"/>
    <cellStyle name="Entrada 2 4 2 3 2 2" xfId="5149"/>
    <cellStyle name="Entrada 2 4 2 3 3" xfId="5150"/>
    <cellStyle name="Entrada 2 4 2 3 3 2" xfId="5151"/>
    <cellStyle name="Entrada 2 4 2 3 4" xfId="5152"/>
    <cellStyle name="Entrada 2 4 2 3 4 2" xfId="5153"/>
    <cellStyle name="Entrada 2 4 2 3 5" xfId="5154"/>
    <cellStyle name="Entrada 2 4 2 3 5 2" xfId="5155"/>
    <cellStyle name="Entrada 2 4 2 3 6" xfId="5156"/>
    <cellStyle name="Entrada 2 4 2 3 6 2" xfId="5157"/>
    <cellStyle name="Entrada 2 4 2 3 7" xfId="5158"/>
    <cellStyle name="Entrada 2 4 2 3 7 2" xfId="5159"/>
    <cellStyle name="Entrada 2 4 2 3 8" xfId="5160"/>
    <cellStyle name="Entrada 2 4 2 3 8 2" xfId="5161"/>
    <cellStyle name="Entrada 2 4 2 3 9" xfId="5162"/>
    <cellStyle name="Entrada 2 4 2 3 9 2" xfId="5163"/>
    <cellStyle name="Entrada 2 4 2 4" xfId="5164"/>
    <cellStyle name="Entrada 2 4 2 4 2" xfId="5165"/>
    <cellStyle name="Entrada 2 4 2 5" xfId="5166"/>
    <cellStyle name="Entrada 2 4 2 5 2" xfId="5167"/>
    <cellStyle name="Entrada 2 4 2 6" xfId="5168"/>
    <cellStyle name="Entrada 2 4 2 6 2" xfId="5169"/>
    <cellStyle name="Entrada 2 4 2 7" xfId="5170"/>
    <cellStyle name="Entrada 2 4 2 7 2" xfId="5171"/>
    <cellStyle name="Entrada 2 4 2 8" xfId="5172"/>
    <cellStyle name="Entrada 2 4 2 8 2" xfId="5173"/>
    <cellStyle name="Entrada 2 4 2 9" xfId="5174"/>
    <cellStyle name="Entrada 2 4 2 9 2" xfId="5175"/>
    <cellStyle name="Entrada 2 4 3" xfId="5176"/>
    <cellStyle name="Entrada 2 4 3 10" xfId="5177"/>
    <cellStyle name="Entrada 2 4 3 10 2" xfId="5178"/>
    <cellStyle name="Entrada 2 4 3 11" xfId="5179"/>
    <cellStyle name="Entrada 2 4 3 11 2" xfId="5180"/>
    <cellStyle name="Entrada 2 4 3 12" xfId="5181"/>
    <cellStyle name="Entrada 2 4 3 12 2" xfId="5182"/>
    <cellStyle name="Entrada 2 4 3 13" xfId="5183"/>
    <cellStyle name="Entrada 2 4 3 2" xfId="5184"/>
    <cellStyle name="Entrada 2 4 3 2 10" xfId="5185"/>
    <cellStyle name="Entrada 2 4 3 2 10 2" xfId="5186"/>
    <cellStyle name="Entrada 2 4 3 2 11" xfId="5187"/>
    <cellStyle name="Entrada 2 4 3 2 2" xfId="5188"/>
    <cellStyle name="Entrada 2 4 3 2 2 2" xfId="5189"/>
    <cellStyle name="Entrada 2 4 3 2 3" xfId="5190"/>
    <cellStyle name="Entrada 2 4 3 2 3 2" xfId="5191"/>
    <cellStyle name="Entrada 2 4 3 2 4" xfId="5192"/>
    <cellStyle name="Entrada 2 4 3 2 4 2" xfId="5193"/>
    <cellStyle name="Entrada 2 4 3 2 5" xfId="5194"/>
    <cellStyle name="Entrada 2 4 3 2 5 2" xfId="5195"/>
    <cellStyle name="Entrada 2 4 3 2 6" xfId="5196"/>
    <cellStyle name="Entrada 2 4 3 2 6 2" xfId="5197"/>
    <cellStyle name="Entrada 2 4 3 2 7" xfId="5198"/>
    <cellStyle name="Entrada 2 4 3 2 7 2" xfId="5199"/>
    <cellStyle name="Entrada 2 4 3 2 8" xfId="5200"/>
    <cellStyle name="Entrada 2 4 3 2 8 2" xfId="5201"/>
    <cellStyle name="Entrada 2 4 3 2 9" xfId="5202"/>
    <cellStyle name="Entrada 2 4 3 2 9 2" xfId="5203"/>
    <cellStyle name="Entrada 2 4 3 3" xfId="5204"/>
    <cellStyle name="Entrada 2 4 3 3 10" xfId="5205"/>
    <cellStyle name="Entrada 2 4 3 3 10 2" xfId="5206"/>
    <cellStyle name="Entrada 2 4 3 3 11" xfId="5207"/>
    <cellStyle name="Entrada 2 4 3 3 2" xfId="5208"/>
    <cellStyle name="Entrada 2 4 3 3 2 2" xfId="5209"/>
    <cellStyle name="Entrada 2 4 3 3 3" xfId="5210"/>
    <cellStyle name="Entrada 2 4 3 3 3 2" xfId="5211"/>
    <cellStyle name="Entrada 2 4 3 3 4" xfId="5212"/>
    <cellStyle name="Entrada 2 4 3 3 4 2" xfId="5213"/>
    <cellStyle name="Entrada 2 4 3 3 5" xfId="5214"/>
    <cellStyle name="Entrada 2 4 3 3 5 2" xfId="5215"/>
    <cellStyle name="Entrada 2 4 3 3 6" xfId="5216"/>
    <cellStyle name="Entrada 2 4 3 3 6 2" xfId="5217"/>
    <cellStyle name="Entrada 2 4 3 3 7" xfId="5218"/>
    <cellStyle name="Entrada 2 4 3 3 7 2" xfId="5219"/>
    <cellStyle name="Entrada 2 4 3 3 8" xfId="5220"/>
    <cellStyle name="Entrada 2 4 3 3 8 2" xfId="5221"/>
    <cellStyle name="Entrada 2 4 3 3 9" xfId="5222"/>
    <cellStyle name="Entrada 2 4 3 3 9 2" xfId="5223"/>
    <cellStyle name="Entrada 2 4 3 4" xfId="5224"/>
    <cellStyle name="Entrada 2 4 3 4 2" xfId="5225"/>
    <cellStyle name="Entrada 2 4 3 5" xfId="5226"/>
    <cellStyle name="Entrada 2 4 3 5 2" xfId="5227"/>
    <cellStyle name="Entrada 2 4 3 6" xfId="5228"/>
    <cellStyle name="Entrada 2 4 3 6 2" xfId="5229"/>
    <cellStyle name="Entrada 2 4 3 7" xfId="5230"/>
    <cellStyle name="Entrada 2 4 3 7 2" xfId="5231"/>
    <cellStyle name="Entrada 2 4 3 8" xfId="5232"/>
    <cellStyle name="Entrada 2 4 3 8 2" xfId="5233"/>
    <cellStyle name="Entrada 2 4 3 9" xfId="5234"/>
    <cellStyle name="Entrada 2 4 3 9 2" xfId="5235"/>
    <cellStyle name="Entrada 2 4 4" xfId="5236"/>
    <cellStyle name="Entrada 2 4 4 10" xfId="5237"/>
    <cellStyle name="Entrada 2 4 4 10 2" xfId="5238"/>
    <cellStyle name="Entrada 2 4 4 11" xfId="5239"/>
    <cellStyle name="Entrada 2 4 4 2" xfId="5240"/>
    <cellStyle name="Entrada 2 4 4 2 2" xfId="5241"/>
    <cellStyle name="Entrada 2 4 4 3" xfId="5242"/>
    <cellStyle name="Entrada 2 4 4 3 2" xfId="5243"/>
    <cellStyle name="Entrada 2 4 4 4" xfId="5244"/>
    <cellStyle name="Entrada 2 4 4 4 2" xfId="5245"/>
    <cellStyle name="Entrada 2 4 4 5" xfId="5246"/>
    <cellStyle name="Entrada 2 4 4 5 2" xfId="5247"/>
    <cellStyle name="Entrada 2 4 4 6" xfId="5248"/>
    <cellStyle name="Entrada 2 4 4 6 2" xfId="5249"/>
    <cellStyle name="Entrada 2 4 4 7" xfId="5250"/>
    <cellStyle name="Entrada 2 4 4 7 2" xfId="5251"/>
    <cellStyle name="Entrada 2 4 4 8" xfId="5252"/>
    <cellStyle name="Entrada 2 4 4 8 2" xfId="5253"/>
    <cellStyle name="Entrada 2 4 4 9" xfId="5254"/>
    <cellStyle name="Entrada 2 4 4 9 2" xfId="5255"/>
    <cellStyle name="Entrada 2 4 5" xfId="5256"/>
    <cellStyle name="Entrada 2 4 5 10" xfId="5257"/>
    <cellStyle name="Entrada 2 4 5 10 2" xfId="5258"/>
    <cellStyle name="Entrada 2 4 5 11" xfId="5259"/>
    <cellStyle name="Entrada 2 4 5 2" xfId="5260"/>
    <cellStyle name="Entrada 2 4 5 2 2" xfId="5261"/>
    <cellStyle name="Entrada 2 4 5 3" xfId="5262"/>
    <cellStyle name="Entrada 2 4 5 3 2" xfId="5263"/>
    <cellStyle name="Entrada 2 4 5 4" xfId="5264"/>
    <cellStyle name="Entrada 2 4 5 4 2" xfId="5265"/>
    <cellStyle name="Entrada 2 4 5 5" xfId="5266"/>
    <cellStyle name="Entrada 2 4 5 5 2" xfId="5267"/>
    <cellStyle name="Entrada 2 4 5 6" xfId="5268"/>
    <cellStyle name="Entrada 2 4 5 6 2" xfId="5269"/>
    <cellStyle name="Entrada 2 4 5 7" xfId="5270"/>
    <cellStyle name="Entrada 2 4 5 7 2" xfId="5271"/>
    <cellStyle name="Entrada 2 4 5 8" xfId="5272"/>
    <cellStyle name="Entrada 2 4 5 8 2" xfId="5273"/>
    <cellStyle name="Entrada 2 4 5 9" xfId="5274"/>
    <cellStyle name="Entrada 2 4 5 9 2" xfId="5275"/>
    <cellStyle name="Entrada 2 4 6" xfId="5276"/>
    <cellStyle name="Entrada 2 4 6 2" xfId="5277"/>
    <cellStyle name="Entrada 2 4 7" xfId="5278"/>
    <cellStyle name="Entrada 2 4 7 2" xfId="5279"/>
    <cellStyle name="Entrada 2 4 8" xfId="5280"/>
    <cellStyle name="Entrada 2 4 8 2" xfId="5281"/>
    <cellStyle name="Entrada 2 4 9" xfId="5282"/>
    <cellStyle name="Entrada 2 4 9 2" xfId="5283"/>
    <cellStyle name="Entrada 2 5" xfId="5284"/>
    <cellStyle name="Entrada 2 5 10" xfId="5285"/>
    <cellStyle name="Entrada 2 5 10 2" xfId="5286"/>
    <cellStyle name="Entrada 2 5 11" xfId="5287"/>
    <cellStyle name="Entrada 2 5 11 2" xfId="5288"/>
    <cellStyle name="Entrada 2 5 12" xfId="5289"/>
    <cellStyle name="Entrada 2 5 12 2" xfId="5290"/>
    <cellStyle name="Entrada 2 5 13" xfId="5291"/>
    <cellStyle name="Entrada 2 5 13 2" xfId="5292"/>
    <cellStyle name="Entrada 2 5 14" xfId="5293"/>
    <cellStyle name="Entrada 2 5 14 2" xfId="5294"/>
    <cellStyle name="Entrada 2 5 15" xfId="5295"/>
    <cellStyle name="Entrada 2 5 2" xfId="5296"/>
    <cellStyle name="Entrada 2 5 2 10" xfId="5297"/>
    <cellStyle name="Entrada 2 5 2 10 2" xfId="5298"/>
    <cellStyle name="Entrada 2 5 2 11" xfId="5299"/>
    <cellStyle name="Entrada 2 5 2 11 2" xfId="5300"/>
    <cellStyle name="Entrada 2 5 2 12" xfId="5301"/>
    <cellStyle name="Entrada 2 5 2 12 2" xfId="5302"/>
    <cellStyle name="Entrada 2 5 2 13" xfId="5303"/>
    <cellStyle name="Entrada 2 5 2 2" xfId="5304"/>
    <cellStyle name="Entrada 2 5 2 2 10" xfId="5305"/>
    <cellStyle name="Entrada 2 5 2 2 10 2" xfId="5306"/>
    <cellStyle name="Entrada 2 5 2 2 11" xfId="5307"/>
    <cellStyle name="Entrada 2 5 2 2 2" xfId="5308"/>
    <cellStyle name="Entrada 2 5 2 2 2 2" xfId="5309"/>
    <cellStyle name="Entrada 2 5 2 2 3" xfId="5310"/>
    <cellStyle name="Entrada 2 5 2 2 3 2" xfId="5311"/>
    <cellStyle name="Entrada 2 5 2 2 4" xfId="5312"/>
    <cellStyle name="Entrada 2 5 2 2 4 2" xfId="5313"/>
    <cellStyle name="Entrada 2 5 2 2 5" xfId="5314"/>
    <cellStyle name="Entrada 2 5 2 2 5 2" xfId="5315"/>
    <cellStyle name="Entrada 2 5 2 2 6" xfId="5316"/>
    <cellStyle name="Entrada 2 5 2 2 6 2" xfId="5317"/>
    <cellStyle name="Entrada 2 5 2 2 7" xfId="5318"/>
    <cellStyle name="Entrada 2 5 2 2 7 2" xfId="5319"/>
    <cellStyle name="Entrada 2 5 2 2 8" xfId="5320"/>
    <cellStyle name="Entrada 2 5 2 2 8 2" xfId="5321"/>
    <cellStyle name="Entrada 2 5 2 2 9" xfId="5322"/>
    <cellStyle name="Entrada 2 5 2 2 9 2" xfId="5323"/>
    <cellStyle name="Entrada 2 5 2 3" xfId="5324"/>
    <cellStyle name="Entrada 2 5 2 3 10" xfId="5325"/>
    <cellStyle name="Entrada 2 5 2 3 10 2" xfId="5326"/>
    <cellStyle name="Entrada 2 5 2 3 11" xfId="5327"/>
    <cellStyle name="Entrada 2 5 2 3 2" xfId="5328"/>
    <cellStyle name="Entrada 2 5 2 3 2 2" xfId="5329"/>
    <cellStyle name="Entrada 2 5 2 3 3" xfId="5330"/>
    <cellStyle name="Entrada 2 5 2 3 3 2" xfId="5331"/>
    <cellStyle name="Entrada 2 5 2 3 4" xfId="5332"/>
    <cellStyle name="Entrada 2 5 2 3 4 2" xfId="5333"/>
    <cellStyle name="Entrada 2 5 2 3 5" xfId="5334"/>
    <cellStyle name="Entrada 2 5 2 3 5 2" xfId="5335"/>
    <cellStyle name="Entrada 2 5 2 3 6" xfId="5336"/>
    <cellStyle name="Entrada 2 5 2 3 6 2" xfId="5337"/>
    <cellStyle name="Entrada 2 5 2 3 7" xfId="5338"/>
    <cellStyle name="Entrada 2 5 2 3 7 2" xfId="5339"/>
    <cellStyle name="Entrada 2 5 2 3 8" xfId="5340"/>
    <cellStyle name="Entrada 2 5 2 3 8 2" xfId="5341"/>
    <cellStyle name="Entrada 2 5 2 3 9" xfId="5342"/>
    <cellStyle name="Entrada 2 5 2 3 9 2" xfId="5343"/>
    <cellStyle name="Entrada 2 5 2 4" xfId="5344"/>
    <cellStyle name="Entrada 2 5 2 4 2" xfId="5345"/>
    <cellStyle name="Entrada 2 5 2 5" xfId="5346"/>
    <cellStyle name="Entrada 2 5 2 5 2" xfId="5347"/>
    <cellStyle name="Entrada 2 5 2 6" xfId="5348"/>
    <cellStyle name="Entrada 2 5 2 6 2" xfId="5349"/>
    <cellStyle name="Entrada 2 5 2 7" xfId="5350"/>
    <cellStyle name="Entrada 2 5 2 7 2" xfId="5351"/>
    <cellStyle name="Entrada 2 5 2 8" xfId="5352"/>
    <cellStyle name="Entrada 2 5 2 8 2" xfId="5353"/>
    <cellStyle name="Entrada 2 5 2 9" xfId="5354"/>
    <cellStyle name="Entrada 2 5 2 9 2" xfId="5355"/>
    <cellStyle name="Entrada 2 5 3" xfId="5356"/>
    <cellStyle name="Entrada 2 5 3 10" xfId="5357"/>
    <cellStyle name="Entrada 2 5 3 10 2" xfId="5358"/>
    <cellStyle name="Entrada 2 5 3 11" xfId="5359"/>
    <cellStyle name="Entrada 2 5 3 11 2" xfId="5360"/>
    <cellStyle name="Entrada 2 5 3 12" xfId="5361"/>
    <cellStyle name="Entrada 2 5 3 12 2" xfId="5362"/>
    <cellStyle name="Entrada 2 5 3 13" xfId="5363"/>
    <cellStyle name="Entrada 2 5 3 2" xfId="5364"/>
    <cellStyle name="Entrada 2 5 3 2 10" xfId="5365"/>
    <cellStyle name="Entrada 2 5 3 2 10 2" xfId="5366"/>
    <cellStyle name="Entrada 2 5 3 2 11" xfId="5367"/>
    <cellStyle name="Entrada 2 5 3 2 2" xfId="5368"/>
    <cellStyle name="Entrada 2 5 3 2 2 2" xfId="5369"/>
    <cellStyle name="Entrada 2 5 3 2 3" xfId="5370"/>
    <cellStyle name="Entrada 2 5 3 2 3 2" xfId="5371"/>
    <cellStyle name="Entrada 2 5 3 2 4" xfId="5372"/>
    <cellStyle name="Entrada 2 5 3 2 4 2" xfId="5373"/>
    <cellStyle name="Entrada 2 5 3 2 5" xfId="5374"/>
    <cellStyle name="Entrada 2 5 3 2 5 2" xfId="5375"/>
    <cellStyle name="Entrada 2 5 3 2 6" xfId="5376"/>
    <cellStyle name="Entrada 2 5 3 2 6 2" xfId="5377"/>
    <cellStyle name="Entrada 2 5 3 2 7" xfId="5378"/>
    <cellStyle name="Entrada 2 5 3 2 7 2" xfId="5379"/>
    <cellStyle name="Entrada 2 5 3 2 8" xfId="5380"/>
    <cellStyle name="Entrada 2 5 3 2 8 2" xfId="5381"/>
    <cellStyle name="Entrada 2 5 3 2 9" xfId="5382"/>
    <cellStyle name="Entrada 2 5 3 2 9 2" xfId="5383"/>
    <cellStyle name="Entrada 2 5 3 3" xfId="5384"/>
    <cellStyle name="Entrada 2 5 3 3 10" xfId="5385"/>
    <cellStyle name="Entrada 2 5 3 3 10 2" xfId="5386"/>
    <cellStyle name="Entrada 2 5 3 3 11" xfId="5387"/>
    <cellStyle name="Entrada 2 5 3 3 2" xfId="5388"/>
    <cellStyle name="Entrada 2 5 3 3 2 2" xfId="5389"/>
    <cellStyle name="Entrada 2 5 3 3 3" xfId="5390"/>
    <cellStyle name="Entrada 2 5 3 3 3 2" xfId="5391"/>
    <cellStyle name="Entrada 2 5 3 3 4" xfId="5392"/>
    <cellStyle name="Entrada 2 5 3 3 4 2" xfId="5393"/>
    <cellStyle name="Entrada 2 5 3 3 5" xfId="5394"/>
    <cellStyle name="Entrada 2 5 3 3 5 2" xfId="5395"/>
    <cellStyle name="Entrada 2 5 3 3 6" xfId="5396"/>
    <cellStyle name="Entrada 2 5 3 3 6 2" xfId="5397"/>
    <cellStyle name="Entrada 2 5 3 3 7" xfId="5398"/>
    <cellStyle name="Entrada 2 5 3 3 7 2" xfId="5399"/>
    <cellStyle name="Entrada 2 5 3 3 8" xfId="5400"/>
    <cellStyle name="Entrada 2 5 3 3 8 2" xfId="5401"/>
    <cellStyle name="Entrada 2 5 3 3 9" xfId="5402"/>
    <cellStyle name="Entrada 2 5 3 3 9 2" xfId="5403"/>
    <cellStyle name="Entrada 2 5 3 4" xfId="5404"/>
    <cellStyle name="Entrada 2 5 3 4 2" xfId="5405"/>
    <cellStyle name="Entrada 2 5 3 5" xfId="5406"/>
    <cellStyle name="Entrada 2 5 3 5 2" xfId="5407"/>
    <cellStyle name="Entrada 2 5 3 6" xfId="5408"/>
    <cellStyle name="Entrada 2 5 3 6 2" xfId="5409"/>
    <cellStyle name="Entrada 2 5 3 7" xfId="5410"/>
    <cellStyle name="Entrada 2 5 3 7 2" xfId="5411"/>
    <cellStyle name="Entrada 2 5 3 8" xfId="5412"/>
    <cellStyle name="Entrada 2 5 3 8 2" xfId="5413"/>
    <cellStyle name="Entrada 2 5 3 9" xfId="5414"/>
    <cellStyle name="Entrada 2 5 3 9 2" xfId="5415"/>
    <cellStyle name="Entrada 2 5 4" xfId="5416"/>
    <cellStyle name="Entrada 2 5 4 10" xfId="5417"/>
    <cellStyle name="Entrada 2 5 4 10 2" xfId="5418"/>
    <cellStyle name="Entrada 2 5 4 11" xfId="5419"/>
    <cellStyle name="Entrada 2 5 4 2" xfId="5420"/>
    <cellStyle name="Entrada 2 5 4 2 2" xfId="5421"/>
    <cellStyle name="Entrada 2 5 4 3" xfId="5422"/>
    <cellStyle name="Entrada 2 5 4 3 2" xfId="5423"/>
    <cellStyle name="Entrada 2 5 4 4" xfId="5424"/>
    <cellStyle name="Entrada 2 5 4 4 2" xfId="5425"/>
    <cellStyle name="Entrada 2 5 4 5" xfId="5426"/>
    <cellStyle name="Entrada 2 5 4 5 2" xfId="5427"/>
    <cellStyle name="Entrada 2 5 4 6" xfId="5428"/>
    <cellStyle name="Entrada 2 5 4 6 2" xfId="5429"/>
    <cellStyle name="Entrada 2 5 4 7" xfId="5430"/>
    <cellStyle name="Entrada 2 5 4 7 2" xfId="5431"/>
    <cellStyle name="Entrada 2 5 4 8" xfId="5432"/>
    <cellStyle name="Entrada 2 5 4 8 2" xfId="5433"/>
    <cellStyle name="Entrada 2 5 4 9" xfId="5434"/>
    <cellStyle name="Entrada 2 5 4 9 2" xfId="5435"/>
    <cellStyle name="Entrada 2 5 5" xfId="5436"/>
    <cellStyle name="Entrada 2 5 5 10" xfId="5437"/>
    <cellStyle name="Entrada 2 5 5 10 2" xfId="5438"/>
    <cellStyle name="Entrada 2 5 5 11" xfId="5439"/>
    <cellStyle name="Entrada 2 5 5 2" xfId="5440"/>
    <cellStyle name="Entrada 2 5 5 2 2" xfId="5441"/>
    <cellStyle name="Entrada 2 5 5 3" xfId="5442"/>
    <cellStyle name="Entrada 2 5 5 3 2" xfId="5443"/>
    <cellStyle name="Entrada 2 5 5 4" xfId="5444"/>
    <cellStyle name="Entrada 2 5 5 4 2" xfId="5445"/>
    <cellStyle name="Entrada 2 5 5 5" xfId="5446"/>
    <cellStyle name="Entrada 2 5 5 5 2" xfId="5447"/>
    <cellStyle name="Entrada 2 5 5 6" xfId="5448"/>
    <cellStyle name="Entrada 2 5 5 6 2" xfId="5449"/>
    <cellStyle name="Entrada 2 5 5 7" xfId="5450"/>
    <cellStyle name="Entrada 2 5 5 7 2" xfId="5451"/>
    <cellStyle name="Entrada 2 5 5 8" xfId="5452"/>
    <cellStyle name="Entrada 2 5 5 8 2" xfId="5453"/>
    <cellStyle name="Entrada 2 5 5 9" xfId="5454"/>
    <cellStyle name="Entrada 2 5 5 9 2" xfId="5455"/>
    <cellStyle name="Entrada 2 5 6" xfId="5456"/>
    <cellStyle name="Entrada 2 5 6 2" xfId="5457"/>
    <cellStyle name="Entrada 2 5 7" xfId="5458"/>
    <cellStyle name="Entrada 2 5 7 2" xfId="5459"/>
    <cellStyle name="Entrada 2 5 8" xfId="5460"/>
    <cellStyle name="Entrada 2 5 8 2" xfId="5461"/>
    <cellStyle name="Entrada 2 5 9" xfId="5462"/>
    <cellStyle name="Entrada 2 5 9 2" xfId="5463"/>
    <cellStyle name="Entrada 2 6" xfId="5464"/>
    <cellStyle name="Entrada 2 6 10" xfId="5465"/>
    <cellStyle name="Entrada 2 6 10 2" xfId="5466"/>
    <cellStyle name="Entrada 2 6 11" xfId="5467"/>
    <cellStyle name="Entrada 2 6 11 2" xfId="5468"/>
    <cellStyle name="Entrada 2 6 12" xfId="5469"/>
    <cellStyle name="Entrada 2 6 12 2" xfId="5470"/>
    <cellStyle name="Entrada 2 6 13" xfId="5471"/>
    <cellStyle name="Entrada 2 6 13 2" xfId="5472"/>
    <cellStyle name="Entrada 2 6 14" xfId="5473"/>
    <cellStyle name="Entrada 2 6 14 2" xfId="5474"/>
    <cellStyle name="Entrada 2 6 15" xfId="5475"/>
    <cellStyle name="Entrada 2 6 2" xfId="5476"/>
    <cellStyle name="Entrada 2 6 2 10" xfId="5477"/>
    <cellStyle name="Entrada 2 6 2 10 2" xfId="5478"/>
    <cellStyle name="Entrada 2 6 2 11" xfId="5479"/>
    <cellStyle name="Entrada 2 6 2 11 2" xfId="5480"/>
    <cellStyle name="Entrada 2 6 2 12" xfId="5481"/>
    <cellStyle name="Entrada 2 6 2 12 2" xfId="5482"/>
    <cellStyle name="Entrada 2 6 2 13" xfId="5483"/>
    <cellStyle name="Entrada 2 6 2 2" xfId="5484"/>
    <cellStyle name="Entrada 2 6 2 2 10" xfId="5485"/>
    <cellStyle name="Entrada 2 6 2 2 10 2" xfId="5486"/>
    <cellStyle name="Entrada 2 6 2 2 11" xfId="5487"/>
    <cellStyle name="Entrada 2 6 2 2 2" xfId="5488"/>
    <cellStyle name="Entrada 2 6 2 2 2 2" xfId="5489"/>
    <cellStyle name="Entrada 2 6 2 2 3" xfId="5490"/>
    <cellStyle name="Entrada 2 6 2 2 3 2" xfId="5491"/>
    <cellStyle name="Entrada 2 6 2 2 4" xfId="5492"/>
    <cellStyle name="Entrada 2 6 2 2 4 2" xfId="5493"/>
    <cellStyle name="Entrada 2 6 2 2 5" xfId="5494"/>
    <cellStyle name="Entrada 2 6 2 2 5 2" xfId="5495"/>
    <cellStyle name="Entrada 2 6 2 2 6" xfId="5496"/>
    <cellStyle name="Entrada 2 6 2 2 6 2" xfId="5497"/>
    <cellStyle name="Entrada 2 6 2 2 7" xfId="5498"/>
    <cellStyle name="Entrada 2 6 2 2 7 2" xfId="5499"/>
    <cellStyle name="Entrada 2 6 2 2 8" xfId="5500"/>
    <cellStyle name="Entrada 2 6 2 2 8 2" xfId="5501"/>
    <cellStyle name="Entrada 2 6 2 2 9" xfId="5502"/>
    <cellStyle name="Entrada 2 6 2 2 9 2" xfId="5503"/>
    <cellStyle name="Entrada 2 6 2 3" xfId="5504"/>
    <cellStyle name="Entrada 2 6 2 3 10" xfId="5505"/>
    <cellStyle name="Entrada 2 6 2 3 10 2" xfId="5506"/>
    <cellStyle name="Entrada 2 6 2 3 11" xfId="5507"/>
    <cellStyle name="Entrada 2 6 2 3 2" xfId="5508"/>
    <cellStyle name="Entrada 2 6 2 3 2 2" xfId="5509"/>
    <cellStyle name="Entrada 2 6 2 3 3" xfId="5510"/>
    <cellStyle name="Entrada 2 6 2 3 3 2" xfId="5511"/>
    <cellStyle name="Entrada 2 6 2 3 4" xfId="5512"/>
    <cellStyle name="Entrada 2 6 2 3 4 2" xfId="5513"/>
    <cellStyle name="Entrada 2 6 2 3 5" xfId="5514"/>
    <cellStyle name="Entrada 2 6 2 3 5 2" xfId="5515"/>
    <cellStyle name="Entrada 2 6 2 3 6" xfId="5516"/>
    <cellStyle name="Entrada 2 6 2 3 6 2" xfId="5517"/>
    <cellStyle name="Entrada 2 6 2 3 7" xfId="5518"/>
    <cellStyle name="Entrada 2 6 2 3 7 2" xfId="5519"/>
    <cellStyle name="Entrada 2 6 2 3 8" xfId="5520"/>
    <cellStyle name="Entrada 2 6 2 3 8 2" xfId="5521"/>
    <cellStyle name="Entrada 2 6 2 3 9" xfId="5522"/>
    <cellStyle name="Entrada 2 6 2 3 9 2" xfId="5523"/>
    <cellStyle name="Entrada 2 6 2 4" xfId="5524"/>
    <cellStyle name="Entrada 2 6 2 4 2" xfId="5525"/>
    <cellStyle name="Entrada 2 6 2 5" xfId="5526"/>
    <cellStyle name="Entrada 2 6 2 5 2" xfId="5527"/>
    <cellStyle name="Entrada 2 6 2 6" xfId="5528"/>
    <cellStyle name="Entrada 2 6 2 6 2" xfId="5529"/>
    <cellStyle name="Entrada 2 6 2 7" xfId="5530"/>
    <cellStyle name="Entrada 2 6 2 7 2" xfId="5531"/>
    <cellStyle name="Entrada 2 6 2 8" xfId="5532"/>
    <cellStyle name="Entrada 2 6 2 8 2" xfId="5533"/>
    <cellStyle name="Entrada 2 6 2 9" xfId="5534"/>
    <cellStyle name="Entrada 2 6 2 9 2" xfId="5535"/>
    <cellStyle name="Entrada 2 6 3" xfId="5536"/>
    <cellStyle name="Entrada 2 6 3 10" xfId="5537"/>
    <cellStyle name="Entrada 2 6 3 10 2" xfId="5538"/>
    <cellStyle name="Entrada 2 6 3 11" xfId="5539"/>
    <cellStyle name="Entrada 2 6 3 11 2" xfId="5540"/>
    <cellStyle name="Entrada 2 6 3 12" xfId="5541"/>
    <cellStyle name="Entrada 2 6 3 12 2" xfId="5542"/>
    <cellStyle name="Entrada 2 6 3 13" xfId="5543"/>
    <cellStyle name="Entrada 2 6 3 2" xfId="5544"/>
    <cellStyle name="Entrada 2 6 3 2 10" xfId="5545"/>
    <cellStyle name="Entrada 2 6 3 2 10 2" xfId="5546"/>
    <cellStyle name="Entrada 2 6 3 2 11" xfId="5547"/>
    <cellStyle name="Entrada 2 6 3 2 2" xfId="5548"/>
    <cellStyle name="Entrada 2 6 3 2 2 2" xfId="5549"/>
    <cellStyle name="Entrada 2 6 3 2 3" xfId="5550"/>
    <cellStyle name="Entrada 2 6 3 2 3 2" xfId="5551"/>
    <cellStyle name="Entrada 2 6 3 2 4" xfId="5552"/>
    <cellStyle name="Entrada 2 6 3 2 4 2" xfId="5553"/>
    <cellStyle name="Entrada 2 6 3 2 5" xfId="5554"/>
    <cellStyle name="Entrada 2 6 3 2 5 2" xfId="5555"/>
    <cellStyle name="Entrada 2 6 3 2 6" xfId="5556"/>
    <cellStyle name="Entrada 2 6 3 2 6 2" xfId="5557"/>
    <cellStyle name="Entrada 2 6 3 2 7" xfId="5558"/>
    <cellStyle name="Entrada 2 6 3 2 7 2" xfId="5559"/>
    <cellStyle name="Entrada 2 6 3 2 8" xfId="5560"/>
    <cellStyle name="Entrada 2 6 3 2 8 2" xfId="5561"/>
    <cellStyle name="Entrada 2 6 3 2 9" xfId="5562"/>
    <cellStyle name="Entrada 2 6 3 2 9 2" xfId="5563"/>
    <cellStyle name="Entrada 2 6 3 3" xfId="5564"/>
    <cellStyle name="Entrada 2 6 3 3 10" xfId="5565"/>
    <cellStyle name="Entrada 2 6 3 3 10 2" xfId="5566"/>
    <cellStyle name="Entrada 2 6 3 3 11" xfId="5567"/>
    <cellStyle name="Entrada 2 6 3 3 2" xfId="5568"/>
    <cellStyle name="Entrada 2 6 3 3 2 2" xfId="5569"/>
    <cellStyle name="Entrada 2 6 3 3 3" xfId="5570"/>
    <cellStyle name="Entrada 2 6 3 3 3 2" xfId="5571"/>
    <cellStyle name="Entrada 2 6 3 3 4" xfId="5572"/>
    <cellStyle name="Entrada 2 6 3 3 4 2" xfId="5573"/>
    <cellStyle name="Entrada 2 6 3 3 5" xfId="5574"/>
    <cellStyle name="Entrada 2 6 3 3 5 2" xfId="5575"/>
    <cellStyle name="Entrada 2 6 3 3 6" xfId="5576"/>
    <cellStyle name="Entrada 2 6 3 3 6 2" xfId="5577"/>
    <cellStyle name="Entrada 2 6 3 3 7" xfId="5578"/>
    <cellStyle name="Entrada 2 6 3 3 7 2" xfId="5579"/>
    <cellStyle name="Entrada 2 6 3 3 8" xfId="5580"/>
    <cellStyle name="Entrada 2 6 3 3 8 2" xfId="5581"/>
    <cellStyle name="Entrada 2 6 3 3 9" xfId="5582"/>
    <cellStyle name="Entrada 2 6 3 3 9 2" xfId="5583"/>
    <cellStyle name="Entrada 2 6 3 4" xfId="5584"/>
    <cellStyle name="Entrada 2 6 3 4 2" xfId="5585"/>
    <cellStyle name="Entrada 2 6 3 5" xfId="5586"/>
    <cellStyle name="Entrada 2 6 3 5 2" xfId="5587"/>
    <cellStyle name="Entrada 2 6 3 6" xfId="5588"/>
    <cellStyle name="Entrada 2 6 3 6 2" xfId="5589"/>
    <cellStyle name="Entrada 2 6 3 7" xfId="5590"/>
    <cellStyle name="Entrada 2 6 3 7 2" xfId="5591"/>
    <cellStyle name="Entrada 2 6 3 8" xfId="5592"/>
    <cellStyle name="Entrada 2 6 3 8 2" xfId="5593"/>
    <cellStyle name="Entrada 2 6 3 9" xfId="5594"/>
    <cellStyle name="Entrada 2 6 3 9 2" xfId="5595"/>
    <cellStyle name="Entrada 2 6 4" xfId="5596"/>
    <cellStyle name="Entrada 2 6 4 10" xfId="5597"/>
    <cellStyle name="Entrada 2 6 4 10 2" xfId="5598"/>
    <cellStyle name="Entrada 2 6 4 11" xfId="5599"/>
    <cellStyle name="Entrada 2 6 4 2" xfId="5600"/>
    <cellStyle name="Entrada 2 6 4 2 2" xfId="5601"/>
    <cellStyle name="Entrada 2 6 4 3" xfId="5602"/>
    <cellStyle name="Entrada 2 6 4 3 2" xfId="5603"/>
    <cellStyle name="Entrada 2 6 4 4" xfId="5604"/>
    <cellStyle name="Entrada 2 6 4 4 2" xfId="5605"/>
    <cellStyle name="Entrada 2 6 4 5" xfId="5606"/>
    <cellStyle name="Entrada 2 6 4 5 2" xfId="5607"/>
    <cellStyle name="Entrada 2 6 4 6" xfId="5608"/>
    <cellStyle name="Entrada 2 6 4 6 2" xfId="5609"/>
    <cellStyle name="Entrada 2 6 4 7" xfId="5610"/>
    <cellStyle name="Entrada 2 6 4 7 2" xfId="5611"/>
    <cellStyle name="Entrada 2 6 4 8" xfId="5612"/>
    <cellStyle name="Entrada 2 6 4 8 2" xfId="5613"/>
    <cellStyle name="Entrada 2 6 4 9" xfId="5614"/>
    <cellStyle name="Entrada 2 6 4 9 2" xfId="5615"/>
    <cellStyle name="Entrada 2 6 5" xfId="5616"/>
    <cellStyle name="Entrada 2 6 5 10" xfId="5617"/>
    <cellStyle name="Entrada 2 6 5 10 2" xfId="5618"/>
    <cellStyle name="Entrada 2 6 5 11" xfId="5619"/>
    <cellStyle name="Entrada 2 6 5 2" xfId="5620"/>
    <cellStyle name="Entrada 2 6 5 2 2" xfId="5621"/>
    <cellStyle name="Entrada 2 6 5 3" xfId="5622"/>
    <cellStyle name="Entrada 2 6 5 3 2" xfId="5623"/>
    <cellStyle name="Entrada 2 6 5 4" xfId="5624"/>
    <cellStyle name="Entrada 2 6 5 4 2" xfId="5625"/>
    <cellStyle name="Entrada 2 6 5 5" xfId="5626"/>
    <cellStyle name="Entrada 2 6 5 5 2" xfId="5627"/>
    <cellStyle name="Entrada 2 6 5 6" xfId="5628"/>
    <cellStyle name="Entrada 2 6 5 6 2" xfId="5629"/>
    <cellStyle name="Entrada 2 6 5 7" xfId="5630"/>
    <cellStyle name="Entrada 2 6 5 7 2" xfId="5631"/>
    <cellStyle name="Entrada 2 6 5 8" xfId="5632"/>
    <cellStyle name="Entrada 2 6 5 8 2" xfId="5633"/>
    <cellStyle name="Entrada 2 6 5 9" xfId="5634"/>
    <cellStyle name="Entrada 2 6 5 9 2" xfId="5635"/>
    <cellStyle name="Entrada 2 6 6" xfId="5636"/>
    <cellStyle name="Entrada 2 6 6 2" xfId="5637"/>
    <cellStyle name="Entrada 2 6 7" xfId="5638"/>
    <cellStyle name="Entrada 2 6 7 2" xfId="5639"/>
    <cellStyle name="Entrada 2 6 8" xfId="5640"/>
    <cellStyle name="Entrada 2 6 8 2" xfId="5641"/>
    <cellStyle name="Entrada 2 6 9" xfId="5642"/>
    <cellStyle name="Entrada 2 6 9 2" xfId="5643"/>
    <cellStyle name="Entrada 2 7" xfId="5644"/>
    <cellStyle name="Entrada 2 7 10" xfId="5645"/>
    <cellStyle name="Entrada 2 7 10 2" xfId="5646"/>
    <cellStyle name="Entrada 2 7 11" xfId="5647"/>
    <cellStyle name="Entrada 2 7 11 2" xfId="5648"/>
    <cellStyle name="Entrada 2 7 12" xfId="5649"/>
    <cellStyle name="Entrada 2 7 12 2" xfId="5650"/>
    <cellStyle name="Entrada 2 7 13" xfId="5651"/>
    <cellStyle name="Entrada 2 7 2" xfId="5652"/>
    <cellStyle name="Entrada 2 7 2 10" xfId="5653"/>
    <cellStyle name="Entrada 2 7 2 10 2" xfId="5654"/>
    <cellStyle name="Entrada 2 7 2 11" xfId="5655"/>
    <cellStyle name="Entrada 2 7 2 2" xfId="5656"/>
    <cellStyle name="Entrada 2 7 2 2 2" xfId="5657"/>
    <cellStyle name="Entrada 2 7 2 3" xfId="5658"/>
    <cellStyle name="Entrada 2 7 2 3 2" xfId="5659"/>
    <cellStyle name="Entrada 2 7 2 4" xfId="5660"/>
    <cellStyle name="Entrada 2 7 2 4 2" xfId="5661"/>
    <cellStyle name="Entrada 2 7 2 5" xfId="5662"/>
    <cellStyle name="Entrada 2 7 2 5 2" xfId="5663"/>
    <cellStyle name="Entrada 2 7 2 6" xfId="5664"/>
    <cellStyle name="Entrada 2 7 2 6 2" xfId="5665"/>
    <cellStyle name="Entrada 2 7 2 7" xfId="5666"/>
    <cellStyle name="Entrada 2 7 2 7 2" xfId="5667"/>
    <cellStyle name="Entrada 2 7 2 8" xfId="5668"/>
    <cellStyle name="Entrada 2 7 2 8 2" xfId="5669"/>
    <cellStyle name="Entrada 2 7 2 9" xfId="5670"/>
    <cellStyle name="Entrada 2 7 2 9 2" xfId="5671"/>
    <cellStyle name="Entrada 2 7 3" xfId="5672"/>
    <cellStyle name="Entrada 2 7 3 10" xfId="5673"/>
    <cellStyle name="Entrada 2 7 3 10 2" xfId="5674"/>
    <cellStyle name="Entrada 2 7 3 11" xfId="5675"/>
    <cellStyle name="Entrada 2 7 3 2" xfId="5676"/>
    <cellStyle name="Entrada 2 7 3 2 2" xfId="5677"/>
    <cellStyle name="Entrada 2 7 3 3" xfId="5678"/>
    <cellStyle name="Entrada 2 7 3 3 2" xfId="5679"/>
    <cellStyle name="Entrada 2 7 3 4" xfId="5680"/>
    <cellStyle name="Entrada 2 7 3 4 2" xfId="5681"/>
    <cellStyle name="Entrada 2 7 3 5" xfId="5682"/>
    <cellStyle name="Entrada 2 7 3 5 2" xfId="5683"/>
    <cellStyle name="Entrada 2 7 3 6" xfId="5684"/>
    <cellStyle name="Entrada 2 7 3 6 2" xfId="5685"/>
    <cellStyle name="Entrada 2 7 3 7" xfId="5686"/>
    <cellStyle name="Entrada 2 7 3 7 2" xfId="5687"/>
    <cellStyle name="Entrada 2 7 3 8" xfId="5688"/>
    <cellStyle name="Entrada 2 7 3 8 2" xfId="5689"/>
    <cellStyle name="Entrada 2 7 3 9" xfId="5690"/>
    <cellStyle name="Entrada 2 7 3 9 2" xfId="5691"/>
    <cellStyle name="Entrada 2 7 4" xfId="5692"/>
    <cellStyle name="Entrada 2 7 4 2" xfId="5693"/>
    <cellStyle name="Entrada 2 7 5" xfId="5694"/>
    <cellStyle name="Entrada 2 7 5 2" xfId="5695"/>
    <cellStyle name="Entrada 2 7 6" xfId="5696"/>
    <cellStyle name="Entrada 2 7 6 2" xfId="5697"/>
    <cellStyle name="Entrada 2 7 7" xfId="5698"/>
    <cellStyle name="Entrada 2 7 7 2" xfId="5699"/>
    <cellStyle name="Entrada 2 7 8" xfId="5700"/>
    <cellStyle name="Entrada 2 7 8 2" xfId="5701"/>
    <cellStyle name="Entrada 2 7 9" xfId="5702"/>
    <cellStyle name="Entrada 2 7 9 2" xfId="5703"/>
    <cellStyle name="Entrada 2 8" xfId="5704"/>
    <cellStyle name="Entrada 2 8 10" xfId="5705"/>
    <cellStyle name="Entrada 2 8 10 2" xfId="5706"/>
    <cellStyle name="Entrada 2 8 11" xfId="5707"/>
    <cellStyle name="Entrada 2 8 11 2" xfId="5708"/>
    <cellStyle name="Entrada 2 8 12" xfId="5709"/>
    <cellStyle name="Entrada 2 8 12 2" xfId="5710"/>
    <cellStyle name="Entrada 2 8 13" xfId="5711"/>
    <cellStyle name="Entrada 2 8 2" xfId="5712"/>
    <cellStyle name="Entrada 2 8 2 10" xfId="5713"/>
    <cellStyle name="Entrada 2 8 2 10 2" xfId="5714"/>
    <cellStyle name="Entrada 2 8 2 11" xfId="5715"/>
    <cellStyle name="Entrada 2 8 2 2" xfId="5716"/>
    <cellStyle name="Entrada 2 8 2 2 2" xfId="5717"/>
    <cellStyle name="Entrada 2 8 2 3" xfId="5718"/>
    <cellStyle name="Entrada 2 8 2 3 2" xfId="5719"/>
    <cellStyle name="Entrada 2 8 2 4" xfId="5720"/>
    <cellStyle name="Entrada 2 8 2 4 2" xfId="5721"/>
    <cellStyle name="Entrada 2 8 2 5" xfId="5722"/>
    <cellStyle name="Entrada 2 8 2 5 2" xfId="5723"/>
    <cellStyle name="Entrada 2 8 2 6" xfId="5724"/>
    <cellStyle name="Entrada 2 8 2 6 2" xfId="5725"/>
    <cellStyle name="Entrada 2 8 2 7" xfId="5726"/>
    <cellStyle name="Entrada 2 8 2 7 2" xfId="5727"/>
    <cellStyle name="Entrada 2 8 2 8" xfId="5728"/>
    <cellStyle name="Entrada 2 8 2 8 2" xfId="5729"/>
    <cellStyle name="Entrada 2 8 2 9" xfId="5730"/>
    <cellStyle name="Entrada 2 8 2 9 2" xfId="5731"/>
    <cellStyle name="Entrada 2 8 3" xfId="5732"/>
    <cellStyle name="Entrada 2 8 3 10" xfId="5733"/>
    <cellStyle name="Entrada 2 8 3 10 2" xfId="5734"/>
    <cellStyle name="Entrada 2 8 3 11" xfId="5735"/>
    <cellStyle name="Entrada 2 8 3 2" xfId="5736"/>
    <cellStyle name="Entrada 2 8 3 2 2" xfId="5737"/>
    <cellStyle name="Entrada 2 8 3 3" xfId="5738"/>
    <cellStyle name="Entrada 2 8 3 3 2" xfId="5739"/>
    <cellStyle name="Entrada 2 8 3 4" xfId="5740"/>
    <cellStyle name="Entrada 2 8 3 4 2" xfId="5741"/>
    <cellStyle name="Entrada 2 8 3 5" xfId="5742"/>
    <cellStyle name="Entrada 2 8 3 5 2" xfId="5743"/>
    <cellStyle name="Entrada 2 8 3 6" xfId="5744"/>
    <cellStyle name="Entrada 2 8 3 6 2" xfId="5745"/>
    <cellStyle name="Entrada 2 8 3 7" xfId="5746"/>
    <cellStyle name="Entrada 2 8 3 7 2" xfId="5747"/>
    <cellStyle name="Entrada 2 8 3 8" xfId="5748"/>
    <cellStyle name="Entrada 2 8 3 8 2" xfId="5749"/>
    <cellStyle name="Entrada 2 8 3 9" xfId="5750"/>
    <cellStyle name="Entrada 2 8 3 9 2" xfId="5751"/>
    <cellStyle name="Entrada 2 8 4" xfId="5752"/>
    <cellStyle name="Entrada 2 8 4 2" xfId="5753"/>
    <cellStyle name="Entrada 2 8 5" xfId="5754"/>
    <cellStyle name="Entrada 2 8 5 2" xfId="5755"/>
    <cellStyle name="Entrada 2 8 6" xfId="5756"/>
    <cellStyle name="Entrada 2 8 6 2" xfId="5757"/>
    <cellStyle name="Entrada 2 8 7" xfId="5758"/>
    <cellStyle name="Entrada 2 8 7 2" xfId="5759"/>
    <cellStyle name="Entrada 2 8 8" xfId="5760"/>
    <cellStyle name="Entrada 2 8 8 2" xfId="5761"/>
    <cellStyle name="Entrada 2 8 9" xfId="5762"/>
    <cellStyle name="Entrada 2 8 9 2" xfId="5763"/>
    <cellStyle name="Entrada 2 9" xfId="5764"/>
    <cellStyle name="Entrada 2 9 2" xfId="5765"/>
    <cellStyle name="Entrada 3" xfId="1119"/>
    <cellStyle name="Entrada 3 10" xfId="5766"/>
    <cellStyle name="Entrada 3 10 2" xfId="5767"/>
    <cellStyle name="Entrada 3 11" xfId="5768"/>
    <cellStyle name="Entrada 3 11 2" xfId="5769"/>
    <cellStyle name="Entrada 3 12" xfId="5770"/>
    <cellStyle name="Entrada 3 12 2" xfId="5771"/>
    <cellStyle name="Entrada 3 13" xfId="5772"/>
    <cellStyle name="Entrada 3 13 2" xfId="5773"/>
    <cellStyle name="Entrada 3 14" xfId="5774"/>
    <cellStyle name="Entrada 3 14 2" xfId="5775"/>
    <cellStyle name="Entrada 3 15" xfId="5776"/>
    <cellStyle name="Entrada 3 16" xfId="5777"/>
    <cellStyle name="Entrada 3 17" xfId="5778"/>
    <cellStyle name="Entrada 3 2" xfId="5779"/>
    <cellStyle name="Entrada 3 2 10" xfId="5780"/>
    <cellStyle name="Entrada 3 2 10 2" xfId="5781"/>
    <cellStyle name="Entrada 3 2 11" xfId="5782"/>
    <cellStyle name="Entrada 3 2 11 2" xfId="5783"/>
    <cellStyle name="Entrada 3 2 12" xfId="5784"/>
    <cellStyle name="Entrada 3 2 12 2" xfId="5785"/>
    <cellStyle name="Entrada 3 2 13" xfId="5786"/>
    <cellStyle name="Entrada 3 2 13 2" xfId="5787"/>
    <cellStyle name="Entrada 3 2 14" xfId="5788"/>
    <cellStyle name="Entrada 3 2 14 2" xfId="5789"/>
    <cellStyle name="Entrada 3 2 15" xfId="5790"/>
    <cellStyle name="Entrada 3 2 2" xfId="5791"/>
    <cellStyle name="Entrada 3 2 2 10" xfId="5792"/>
    <cellStyle name="Entrada 3 2 2 10 2" xfId="5793"/>
    <cellStyle name="Entrada 3 2 2 11" xfId="5794"/>
    <cellStyle name="Entrada 3 2 2 11 2" xfId="5795"/>
    <cellStyle name="Entrada 3 2 2 12" xfId="5796"/>
    <cellStyle name="Entrada 3 2 2 12 2" xfId="5797"/>
    <cellStyle name="Entrada 3 2 2 13" xfId="5798"/>
    <cellStyle name="Entrada 3 2 2 2" xfId="5799"/>
    <cellStyle name="Entrada 3 2 2 2 10" xfId="5800"/>
    <cellStyle name="Entrada 3 2 2 2 10 2" xfId="5801"/>
    <cellStyle name="Entrada 3 2 2 2 11" xfId="5802"/>
    <cellStyle name="Entrada 3 2 2 2 2" xfId="5803"/>
    <cellStyle name="Entrada 3 2 2 2 2 2" xfId="5804"/>
    <cellStyle name="Entrada 3 2 2 2 3" xfId="5805"/>
    <cellStyle name="Entrada 3 2 2 2 3 2" xfId="5806"/>
    <cellStyle name="Entrada 3 2 2 2 4" xfId="5807"/>
    <cellStyle name="Entrada 3 2 2 2 4 2" xfId="5808"/>
    <cellStyle name="Entrada 3 2 2 2 5" xfId="5809"/>
    <cellStyle name="Entrada 3 2 2 2 5 2" xfId="5810"/>
    <cellStyle name="Entrada 3 2 2 2 6" xfId="5811"/>
    <cellStyle name="Entrada 3 2 2 2 6 2" xfId="5812"/>
    <cellStyle name="Entrada 3 2 2 2 7" xfId="5813"/>
    <cellStyle name="Entrada 3 2 2 2 7 2" xfId="5814"/>
    <cellStyle name="Entrada 3 2 2 2 8" xfId="5815"/>
    <cellStyle name="Entrada 3 2 2 2 8 2" xfId="5816"/>
    <cellStyle name="Entrada 3 2 2 2 9" xfId="5817"/>
    <cellStyle name="Entrada 3 2 2 2 9 2" xfId="5818"/>
    <cellStyle name="Entrada 3 2 2 3" xfId="5819"/>
    <cellStyle name="Entrada 3 2 2 3 10" xfId="5820"/>
    <cellStyle name="Entrada 3 2 2 3 10 2" xfId="5821"/>
    <cellStyle name="Entrada 3 2 2 3 11" xfId="5822"/>
    <cellStyle name="Entrada 3 2 2 3 2" xfId="5823"/>
    <cellStyle name="Entrada 3 2 2 3 2 2" xfId="5824"/>
    <cellStyle name="Entrada 3 2 2 3 3" xfId="5825"/>
    <cellStyle name="Entrada 3 2 2 3 3 2" xfId="5826"/>
    <cellStyle name="Entrada 3 2 2 3 4" xfId="5827"/>
    <cellStyle name="Entrada 3 2 2 3 4 2" xfId="5828"/>
    <cellStyle name="Entrada 3 2 2 3 5" xfId="5829"/>
    <cellStyle name="Entrada 3 2 2 3 5 2" xfId="5830"/>
    <cellStyle name="Entrada 3 2 2 3 6" xfId="5831"/>
    <cellStyle name="Entrada 3 2 2 3 6 2" xfId="5832"/>
    <cellStyle name="Entrada 3 2 2 3 7" xfId="5833"/>
    <cellStyle name="Entrada 3 2 2 3 7 2" xfId="5834"/>
    <cellStyle name="Entrada 3 2 2 3 8" xfId="5835"/>
    <cellStyle name="Entrada 3 2 2 3 8 2" xfId="5836"/>
    <cellStyle name="Entrada 3 2 2 3 9" xfId="5837"/>
    <cellStyle name="Entrada 3 2 2 3 9 2" xfId="5838"/>
    <cellStyle name="Entrada 3 2 2 4" xfId="5839"/>
    <cellStyle name="Entrada 3 2 2 4 2" xfId="5840"/>
    <cellStyle name="Entrada 3 2 2 5" xfId="5841"/>
    <cellStyle name="Entrada 3 2 2 5 2" xfId="5842"/>
    <cellStyle name="Entrada 3 2 2 6" xfId="5843"/>
    <cellStyle name="Entrada 3 2 2 6 2" xfId="5844"/>
    <cellStyle name="Entrada 3 2 2 7" xfId="5845"/>
    <cellStyle name="Entrada 3 2 2 7 2" xfId="5846"/>
    <cellStyle name="Entrada 3 2 2 8" xfId="5847"/>
    <cellStyle name="Entrada 3 2 2 8 2" xfId="5848"/>
    <cellStyle name="Entrada 3 2 2 9" xfId="5849"/>
    <cellStyle name="Entrada 3 2 2 9 2" xfId="5850"/>
    <cellStyle name="Entrada 3 2 3" xfId="5851"/>
    <cellStyle name="Entrada 3 2 3 10" xfId="5852"/>
    <cellStyle name="Entrada 3 2 3 10 2" xfId="5853"/>
    <cellStyle name="Entrada 3 2 3 11" xfId="5854"/>
    <cellStyle name="Entrada 3 2 3 11 2" xfId="5855"/>
    <cellStyle name="Entrada 3 2 3 12" xfId="5856"/>
    <cellStyle name="Entrada 3 2 3 12 2" xfId="5857"/>
    <cellStyle name="Entrada 3 2 3 13" xfId="5858"/>
    <cellStyle name="Entrada 3 2 3 2" xfId="5859"/>
    <cellStyle name="Entrada 3 2 3 2 10" xfId="5860"/>
    <cellStyle name="Entrada 3 2 3 2 10 2" xfId="5861"/>
    <cellStyle name="Entrada 3 2 3 2 11" xfId="5862"/>
    <cellStyle name="Entrada 3 2 3 2 2" xfId="5863"/>
    <cellStyle name="Entrada 3 2 3 2 2 2" xfId="5864"/>
    <cellStyle name="Entrada 3 2 3 2 3" xfId="5865"/>
    <cellStyle name="Entrada 3 2 3 2 3 2" xfId="5866"/>
    <cellStyle name="Entrada 3 2 3 2 4" xfId="5867"/>
    <cellStyle name="Entrada 3 2 3 2 4 2" xfId="5868"/>
    <cellStyle name="Entrada 3 2 3 2 5" xfId="5869"/>
    <cellStyle name="Entrada 3 2 3 2 5 2" xfId="5870"/>
    <cellStyle name="Entrada 3 2 3 2 6" xfId="5871"/>
    <cellStyle name="Entrada 3 2 3 2 6 2" xfId="5872"/>
    <cellStyle name="Entrada 3 2 3 2 7" xfId="5873"/>
    <cellStyle name="Entrada 3 2 3 2 7 2" xfId="5874"/>
    <cellStyle name="Entrada 3 2 3 2 8" xfId="5875"/>
    <cellStyle name="Entrada 3 2 3 2 8 2" xfId="5876"/>
    <cellStyle name="Entrada 3 2 3 2 9" xfId="5877"/>
    <cellStyle name="Entrada 3 2 3 2 9 2" xfId="5878"/>
    <cellStyle name="Entrada 3 2 3 3" xfId="5879"/>
    <cellStyle name="Entrada 3 2 3 3 10" xfId="5880"/>
    <cellStyle name="Entrada 3 2 3 3 10 2" xfId="5881"/>
    <cellStyle name="Entrada 3 2 3 3 11" xfId="5882"/>
    <cellStyle name="Entrada 3 2 3 3 2" xfId="5883"/>
    <cellStyle name="Entrada 3 2 3 3 2 2" xfId="5884"/>
    <cellStyle name="Entrada 3 2 3 3 3" xfId="5885"/>
    <cellStyle name="Entrada 3 2 3 3 3 2" xfId="5886"/>
    <cellStyle name="Entrada 3 2 3 3 4" xfId="5887"/>
    <cellStyle name="Entrada 3 2 3 3 4 2" xfId="5888"/>
    <cellStyle name="Entrada 3 2 3 3 5" xfId="5889"/>
    <cellStyle name="Entrada 3 2 3 3 5 2" xfId="5890"/>
    <cellStyle name="Entrada 3 2 3 3 6" xfId="5891"/>
    <cellStyle name="Entrada 3 2 3 3 6 2" xfId="5892"/>
    <cellStyle name="Entrada 3 2 3 3 7" xfId="5893"/>
    <cellStyle name="Entrada 3 2 3 3 7 2" xfId="5894"/>
    <cellStyle name="Entrada 3 2 3 3 8" xfId="5895"/>
    <cellStyle name="Entrada 3 2 3 3 8 2" xfId="5896"/>
    <cellStyle name="Entrada 3 2 3 3 9" xfId="5897"/>
    <cellStyle name="Entrada 3 2 3 3 9 2" xfId="5898"/>
    <cellStyle name="Entrada 3 2 3 4" xfId="5899"/>
    <cellStyle name="Entrada 3 2 3 4 2" xfId="5900"/>
    <cellStyle name="Entrada 3 2 3 5" xfId="5901"/>
    <cellStyle name="Entrada 3 2 3 5 2" xfId="5902"/>
    <cellStyle name="Entrada 3 2 3 6" xfId="5903"/>
    <cellStyle name="Entrada 3 2 3 6 2" xfId="5904"/>
    <cellStyle name="Entrada 3 2 3 7" xfId="5905"/>
    <cellStyle name="Entrada 3 2 3 7 2" xfId="5906"/>
    <cellStyle name="Entrada 3 2 3 8" xfId="5907"/>
    <cellStyle name="Entrada 3 2 3 8 2" xfId="5908"/>
    <cellStyle name="Entrada 3 2 3 9" xfId="5909"/>
    <cellStyle name="Entrada 3 2 3 9 2" xfId="5910"/>
    <cellStyle name="Entrada 3 2 4" xfId="5911"/>
    <cellStyle name="Entrada 3 2 4 10" xfId="5912"/>
    <cellStyle name="Entrada 3 2 4 10 2" xfId="5913"/>
    <cellStyle name="Entrada 3 2 4 11" xfId="5914"/>
    <cellStyle name="Entrada 3 2 4 2" xfId="5915"/>
    <cellStyle name="Entrada 3 2 4 2 2" xfId="5916"/>
    <cellStyle name="Entrada 3 2 4 3" xfId="5917"/>
    <cellStyle name="Entrada 3 2 4 3 2" xfId="5918"/>
    <cellStyle name="Entrada 3 2 4 4" xfId="5919"/>
    <cellStyle name="Entrada 3 2 4 4 2" xfId="5920"/>
    <cellStyle name="Entrada 3 2 4 5" xfId="5921"/>
    <cellStyle name="Entrada 3 2 4 5 2" xfId="5922"/>
    <cellStyle name="Entrada 3 2 4 6" xfId="5923"/>
    <cellStyle name="Entrada 3 2 4 6 2" xfId="5924"/>
    <cellStyle name="Entrada 3 2 4 7" xfId="5925"/>
    <cellStyle name="Entrada 3 2 4 7 2" xfId="5926"/>
    <cellStyle name="Entrada 3 2 4 8" xfId="5927"/>
    <cellStyle name="Entrada 3 2 4 8 2" xfId="5928"/>
    <cellStyle name="Entrada 3 2 4 9" xfId="5929"/>
    <cellStyle name="Entrada 3 2 4 9 2" xfId="5930"/>
    <cellStyle name="Entrada 3 2 5" xfId="5931"/>
    <cellStyle name="Entrada 3 2 5 10" xfId="5932"/>
    <cellStyle name="Entrada 3 2 5 10 2" xfId="5933"/>
    <cellStyle name="Entrada 3 2 5 11" xfId="5934"/>
    <cellStyle name="Entrada 3 2 5 2" xfId="5935"/>
    <cellStyle name="Entrada 3 2 5 2 2" xfId="5936"/>
    <cellStyle name="Entrada 3 2 5 3" xfId="5937"/>
    <cellStyle name="Entrada 3 2 5 3 2" xfId="5938"/>
    <cellStyle name="Entrada 3 2 5 4" xfId="5939"/>
    <cellStyle name="Entrada 3 2 5 4 2" xfId="5940"/>
    <cellStyle name="Entrada 3 2 5 5" xfId="5941"/>
    <cellStyle name="Entrada 3 2 5 5 2" xfId="5942"/>
    <cellStyle name="Entrada 3 2 5 6" xfId="5943"/>
    <cellStyle name="Entrada 3 2 5 6 2" xfId="5944"/>
    <cellStyle name="Entrada 3 2 5 7" xfId="5945"/>
    <cellStyle name="Entrada 3 2 5 7 2" xfId="5946"/>
    <cellStyle name="Entrada 3 2 5 8" xfId="5947"/>
    <cellStyle name="Entrada 3 2 5 8 2" xfId="5948"/>
    <cellStyle name="Entrada 3 2 5 9" xfId="5949"/>
    <cellStyle name="Entrada 3 2 5 9 2" xfId="5950"/>
    <cellStyle name="Entrada 3 2 6" xfId="5951"/>
    <cellStyle name="Entrada 3 2 6 2" xfId="5952"/>
    <cellStyle name="Entrada 3 2 7" xfId="5953"/>
    <cellStyle name="Entrada 3 2 7 2" xfId="5954"/>
    <cellStyle name="Entrada 3 2 8" xfId="5955"/>
    <cellStyle name="Entrada 3 2 8 2" xfId="5956"/>
    <cellStyle name="Entrada 3 2 9" xfId="5957"/>
    <cellStyle name="Entrada 3 2 9 2" xfId="5958"/>
    <cellStyle name="Entrada 3 3" xfId="5959"/>
    <cellStyle name="Entrada 3 3 10" xfId="5960"/>
    <cellStyle name="Entrada 3 3 10 2" xfId="5961"/>
    <cellStyle name="Entrada 3 3 11" xfId="5962"/>
    <cellStyle name="Entrada 3 3 11 2" xfId="5963"/>
    <cellStyle name="Entrada 3 3 12" xfId="5964"/>
    <cellStyle name="Entrada 3 3 12 2" xfId="5965"/>
    <cellStyle name="Entrada 3 3 13" xfId="5966"/>
    <cellStyle name="Entrada 3 3 13 2" xfId="5967"/>
    <cellStyle name="Entrada 3 3 14" xfId="5968"/>
    <cellStyle name="Entrada 3 3 14 2" xfId="5969"/>
    <cellStyle name="Entrada 3 3 15" xfId="5970"/>
    <cellStyle name="Entrada 3 3 2" xfId="5971"/>
    <cellStyle name="Entrada 3 3 2 10" xfId="5972"/>
    <cellStyle name="Entrada 3 3 2 10 2" xfId="5973"/>
    <cellStyle name="Entrada 3 3 2 11" xfId="5974"/>
    <cellStyle name="Entrada 3 3 2 11 2" xfId="5975"/>
    <cellStyle name="Entrada 3 3 2 12" xfId="5976"/>
    <cellStyle name="Entrada 3 3 2 12 2" xfId="5977"/>
    <cellStyle name="Entrada 3 3 2 13" xfId="5978"/>
    <cellStyle name="Entrada 3 3 2 2" xfId="5979"/>
    <cellStyle name="Entrada 3 3 2 2 10" xfId="5980"/>
    <cellStyle name="Entrada 3 3 2 2 10 2" xfId="5981"/>
    <cellStyle name="Entrada 3 3 2 2 11" xfId="5982"/>
    <cellStyle name="Entrada 3 3 2 2 2" xfId="5983"/>
    <cellStyle name="Entrada 3 3 2 2 2 2" xfId="5984"/>
    <cellStyle name="Entrada 3 3 2 2 3" xfId="5985"/>
    <cellStyle name="Entrada 3 3 2 2 3 2" xfId="5986"/>
    <cellStyle name="Entrada 3 3 2 2 4" xfId="5987"/>
    <cellStyle name="Entrada 3 3 2 2 4 2" xfId="5988"/>
    <cellStyle name="Entrada 3 3 2 2 5" xfId="5989"/>
    <cellStyle name="Entrada 3 3 2 2 5 2" xfId="5990"/>
    <cellStyle name="Entrada 3 3 2 2 6" xfId="5991"/>
    <cellStyle name="Entrada 3 3 2 2 6 2" xfId="5992"/>
    <cellStyle name="Entrada 3 3 2 2 7" xfId="5993"/>
    <cellStyle name="Entrada 3 3 2 2 7 2" xfId="5994"/>
    <cellStyle name="Entrada 3 3 2 2 8" xfId="5995"/>
    <cellStyle name="Entrada 3 3 2 2 8 2" xfId="5996"/>
    <cellStyle name="Entrada 3 3 2 2 9" xfId="5997"/>
    <cellStyle name="Entrada 3 3 2 2 9 2" xfId="5998"/>
    <cellStyle name="Entrada 3 3 2 3" xfId="5999"/>
    <cellStyle name="Entrada 3 3 2 3 10" xfId="6000"/>
    <cellStyle name="Entrada 3 3 2 3 10 2" xfId="6001"/>
    <cellStyle name="Entrada 3 3 2 3 11" xfId="6002"/>
    <cellStyle name="Entrada 3 3 2 3 2" xfId="6003"/>
    <cellStyle name="Entrada 3 3 2 3 2 2" xfId="6004"/>
    <cellStyle name="Entrada 3 3 2 3 3" xfId="6005"/>
    <cellStyle name="Entrada 3 3 2 3 3 2" xfId="6006"/>
    <cellStyle name="Entrada 3 3 2 3 4" xfId="6007"/>
    <cellStyle name="Entrada 3 3 2 3 4 2" xfId="6008"/>
    <cellStyle name="Entrada 3 3 2 3 5" xfId="6009"/>
    <cellStyle name="Entrada 3 3 2 3 5 2" xfId="6010"/>
    <cellStyle name="Entrada 3 3 2 3 6" xfId="6011"/>
    <cellStyle name="Entrada 3 3 2 3 6 2" xfId="6012"/>
    <cellStyle name="Entrada 3 3 2 3 7" xfId="6013"/>
    <cellStyle name="Entrada 3 3 2 3 7 2" xfId="6014"/>
    <cellStyle name="Entrada 3 3 2 3 8" xfId="6015"/>
    <cellStyle name="Entrada 3 3 2 3 8 2" xfId="6016"/>
    <cellStyle name="Entrada 3 3 2 3 9" xfId="6017"/>
    <cellStyle name="Entrada 3 3 2 3 9 2" xfId="6018"/>
    <cellStyle name="Entrada 3 3 2 4" xfId="6019"/>
    <cellStyle name="Entrada 3 3 2 4 2" xfId="6020"/>
    <cellStyle name="Entrada 3 3 2 5" xfId="6021"/>
    <cellStyle name="Entrada 3 3 2 5 2" xfId="6022"/>
    <cellStyle name="Entrada 3 3 2 6" xfId="6023"/>
    <cellStyle name="Entrada 3 3 2 6 2" xfId="6024"/>
    <cellStyle name="Entrada 3 3 2 7" xfId="6025"/>
    <cellStyle name="Entrada 3 3 2 7 2" xfId="6026"/>
    <cellStyle name="Entrada 3 3 2 8" xfId="6027"/>
    <cellStyle name="Entrada 3 3 2 8 2" xfId="6028"/>
    <cellStyle name="Entrada 3 3 2 9" xfId="6029"/>
    <cellStyle name="Entrada 3 3 2 9 2" xfId="6030"/>
    <cellStyle name="Entrada 3 3 3" xfId="6031"/>
    <cellStyle name="Entrada 3 3 3 10" xfId="6032"/>
    <cellStyle name="Entrada 3 3 3 10 2" xfId="6033"/>
    <cellStyle name="Entrada 3 3 3 11" xfId="6034"/>
    <cellStyle name="Entrada 3 3 3 11 2" xfId="6035"/>
    <cellStyle name="Entrada 3 3 3 12" xfId="6036"/>
    <cellStyle name="Entrada 3 3 3 12 2" xfId="6037"/>
    <cellStyle name="Entrada 3 3 3 13" xfId="6038"/>
    <cellStyle name="Entrada 3 3 3 2" xfId="6039"/>
    <cellStyle name="Entrada 3 3 3 2 10" xfId="6040"/>
    <cellStyle name="Entrada 3 3 3 2 10 2" xfId="6041"/>
    <cellStyle name="Entrada 3 3 3 2 11" xfId="6042"/>
    <cellStyle name="Entrada 3 3 3 2 2" xfId="6043"/>
    <cellStyle name="Entrada 3 3 3 2 2 2" xfId="6044"/>
    <cellStyle name="Entrada 3 3 3 2 3" xfId="6045"/>
    <cellStyle name="Entrada 3 3 3 2 3 2" xfId="6046"/>
    <cellStyle name="Entrada 3 3 3 2 4" xfId="6047"/>
    <cellStyle name="Entrada 3 3 3 2 4 2" xfId="6048"/>
    <cellStyle name="Entrada 3 3 3 2 5" xfId="6049"/>
    <cellStyle name="Entrada 3 3 3 2 5 2" xfId="6050"/>
    <cellStyle name="Entrada 3 3 3 2 6" xfId="6051"/>
    <cellStyle name="Entrada 3 3 3 2 6 2" xfId="6052"/>
    <cellStyle name="Entrada 3 3 3 2 7" xfId="6053"/>
    <cellStyle name="Entrada 3 3 3 2 7 2" xfId="6054"/>
    <cellStyle name="Entrada 3 3 3 2 8" xfId="6055"/>
    <cellStyle name="Entrada 3 3 3 2 8 2" xfId="6056"/>
    <cellStyle name="Entrada 3 3 3 2 9" xfId="6057"/>
    <cellStyle name="Entrada 3 3 3 2 9 2" xfId="6058"/>
    <cellStyle name="Entrada 3 3 3 3" xfId="6059"/>
    <cellStyle name="Entrada 3 3 3 3 10" xfId="6060"/>
    <cellStyle name="Entrada 3 3 3 3 10 2" xfId="6061"/>
    <cellStyle name="Entrada 3 3 3 3 11" xfId="6062"/>
    <cellStyle name="Entrada 3 3 3 3 2" xfId="6063"/>
    <cellStyle name="Entrada 3 3 3 3 2 2" xfId="6064"/>
    <cellStyle name="Entrada 3 3 3 3 3" xfId="6065"/>
    <cellStyle name="Entrada 3 3 3 3 3 2" xfId="6066"/>
    <cellStyle name="Entrada 3 3 3 3 4" xfId="6067"/>
    <cellStyle name="Entrada 3 3 3 3 4 2" xfId="6068"/>
    <cellStyle name="Entrada 3 3 3 3 5" xfId="6069"/>
    <cellStyle name="Entrada 3 3 3 3 5 2" xfId="6070"/>
    <cellStyle name="Entrada 3 3 3 3 6" xfId="6071"/>
    <cellStyle name="Entrada 3 3 3 3 6 2" xfId="6072"/>
    <cellStyle name="Entrada 3 3 3 3 7" xfId="6073"/>
    <cellStyle name="Entrada 3 3 3 3 7 2" xfId="6074"/>
    <cellStyle name="Entrada 3 3 3 3 8" xfId="6075"/>
    <cellStyle name="Entrada 3 3 3 3 8 2" xfId="6076"/>
    <cellStyle name="Entrada 3 3 3 3 9" xfId="6077"/>
    <cellStyle name="Entrada 3 3 3 3 9 2" xfId="6078"/>
    <cellStyle name="Entrada 3 3 3 4" xfId="6079"/>
    <cellStyle name="Entrada 3 3 3 4 2" xfId="6080"/>
    <cellStyle name="Entrada 3 3 3 5" xfId="6081"/>
    <cellStyle name="Entrada 3 3 3 5 2" xfId="6082"/>
    <cellStyle name="Entrada 3 3 3 6" xfId="6083"/>
    <cellStyle name="Entrada 3 3 3 6 2" xfId="6084"/>
    <cellStyle name="Entrada 3 3 3 7" xfId="6085"/>
    <cellStyle name="Entrada 3 3 3 7 2" xfId="6086"/>
    <cellStyle name="Entrada 3 3 3 8" xfId="6087"/>
    <cellStyle name="Entrada 3 3 3 8 2" xfId="6088"/>
    <cellStyle name="Entrada 3 3 3 9" xfId="6089"/>
    <cellStyle name="Entrada 3 3 3 9 2" xfId="6090"/>
    <cellStyle name="Entrada 3 3 4" xfId="6091"/>
    <cellStyle name="Entrada 3 3 4 10" xfId="6092"/>
    <cellStyle name="Entrada 3 3 4 10 2" xfId="6093"/>
    <cellStyle name="Entrada 3 3 4 11" xfId="6094"/>
    <cellStyle name="Entrada 3 3 4 2" xfId="6095"/>
    <cellStyle name="Entrada 3 3 4 2 2" xfId="6096"/>
    <cellStyle name="Entrada 3 3 4 3" xfId="6097"/>
    <cellStyle name="Entrada 3 3 4 3 2" xfId="6098"/>
    <cellStyle name="Entrada 3 3 4 4" xfId="6099"/>
    <cellStyle name="Entrada 3 3 4 4 2" xfId="6100"/>
    <cellStyle name="Entrada 3 3 4 5" xfId="6101"/>
    <cellStyle name="Entrada 3 3 4 5 2" xfId="6102"/>
    <cellStyle name="Entrada 3 3 4 6" xfId="6103"/>
    <cellStyle name="Entrada 3 3 4 6 2" xfId="6104"/>
    <cellStyle name="Entrada 3 3 4 7" xfId="6105"/>
    <cellStyle name="Entrada 3 3 4 7 2" xfId="6106"/>
    <cellStyle name="Entrada 3 3 4 8" xfId="6107"/>
    <cellStyle name="Entrada 3 3 4 8 2" xfId="6108"/>
    <cellStyle name="Entrada 3 3 4 9" xfId="6109"/>
    <cellStyle name="Entrada 3 3 4 9 2" xfId="6110"/>
    <cellStyle name="Entrada 3 3 5" xfId="6111"/>
    <cellStyle name="Entrada 3 3 5 10" xfId="6112"/>
    <cellStyle name="Entrada 3 3 5 10 2" xfId="6113"/>
    <cellStyle name="Entrada 3 3 5 11" xfId="6114"/>
    <cellStyle name="Entrada 3 3 5 2" xfId="6115"/>
    <cellStyle name="Entrada 3 3 5 2 2" xfId="6116"/>
    <cellStyle name="Entrada 3 3 5 3" xfId="6117"/>
    <cellStyle name="Entrada 3 3 5 3 2" xfId="6118"/>
    <cellStyle name="Entrada 3 3 5 4" xfId="6119"/>
    <cellStyle name="Entrada 3 3 5 4 2" xfId="6120"/>
    <cellStyle name="Entrada 3 3 5 5" xfId="6121"/>
    <cellStyle name="Entrada 3 3 5 5 2" xfId="6122"/>
    <cellStyle name="Entrada 3 3 5 6" xfId="6123"/>
    <cellStyle name="Entrada 3 3 5 6 2" xfId="6124"/>
    <cellStyle name="Entrada 3 3 5 7" xfId="6125"/>
    <cellStyle name="Entrada 3 3 5 7 2" xfId="6126"/>
    <cellStyle name="Entrada 3 3 5 8" xfId="6127"/>
    <cellStyle name="Entrada 3 3 5 8 2" xfId="6128"/>
    <cellStyle name="Entrada 3 3 5 9" xfId="6129"/>
    <cellStyle name="Entrada 3 3 5 9 2" xfId="6130"/>
    <cellStyle name="Entrada 3 3 6" xfId="6131"/>
    <cellStyle name="Entrada 3 3 6 2" xfId="6132"/>
    <cellStyle name="Entrada 3 3 7" xfId="6133"/>
    <cellStyle name="Entrada 3 3 7 2" xfId="6134"/>
    <cellStyle name="Entrada 3 3 8" xfId="6135"/>
    <cellStyle name="Entrada 3 3 8 2" xfId="6136"/>
    <cellStyle name="Entrada 3 3 9" xfId="6137"/>
    <cellStyle name="Entrada 3 3 9 2" xfId="6138"/>
    <cellStyle name="Entrada 3 4" xfId="6139"/>
    <cellStyle name="Entrada 3 4 10" xfId="6140"/>
    <cellStyle name="Entrada 3 4 10 2" xfId="6141"/>
    <cellStyle name="Entrada 3 4 11" xfId="6142"/>
    <cellStyle name="Entrada 3 4 11 2" xfId="6143"/>
    <cellStyle name="Entrada 3 4 12" xfId="6144"/>
    <cellStyle name="Entrada 3 4 12 2" xfId="6145"/>
    <cellStyle name="Entrada 3 4 13" xfId="6146"/>
    <cellStyle name="Entrada 3 4 2" xfId="6147"/>
    <cellStyle name="Entrada 3 4 2 10" xfId="6148"/>
    <cellStyle name="Entrada 3 4 2 10 2" xfId="6149"/>
    <cellStyle name="Entrada 3 4 2 11" xfId="6150"/>
    <cellStyle name="Entrada 3 4 2 2" xfId="6151"/>
    <cellStyle name="Entrada 3 4 2 2 2" xfId="6152"/>
    <cellStyle name="Entrada 3 4 2 3" xfId="6153"/>
    <cellStyle name="Entrada 3 4 2 3 2" xfId="6154"/>
    <cellStyle name="Entrada 3 4 2 4" xfId="6155"/>
    <cellStyle name="Entrada 3 4 2 4 2" xfId="6156"/>
    <cellStyle name="Entrada 3 4 2 5" xfId="6157"/>
    <cellStyle name="Entrada 3 4 2 5 2" xfId="6158"/>
    <cellStyle name="Entrada 3 4 2 6" xfId="6159"/>
    <cellStyle name="Entrada 3 4 2 6 2" xfId="6160"/>
    <cellStyle name="Entrada 3 4 2 7" xfId="6161"/>
    <cellStyle name="Entrada 3 4 2 7 2" xfId="6162"/>
    <cellStyle name="Entrada 3 4 2 8" xfId="6163"/>
    <cellStyle name="Entrada 3 4 2 8 2" xfId="6164"/>
    <cellStyle name="Entrada 3 4 2 9" xfId="6165"/>
    <cellStyle name="Entrada 3 4 2 9 2" xfId="6166"/>
    <cellStyle name="Entrada 3 4 3" xfId="6167"/>
    <cellStyle name="Entrada 3 4 3 10" xfId="6168"/>
    <cellStyle name="Entrada 3 4 3 10 2" xfId="6169"/>
    <cellStyle name="Entrada 3 4 3 11" xfId="6170"/>
    <cellStyle name="Entrada 3 4 3 2" xfId="6171"/>
    <cellStyle name="Entrada 3 4 3 2 2" xfId="6172"/>
    <cellStyle name="Entrada 3 4 3 3" xfId="6173"/>
    <cellStyle name="Entrada 3 4 3 3 2" xfId="6174"/>
    <cellStyle name="Entrada 3 4 3 4" xfId="6175"/>
    <cellStyle name="Entrada 3 4 3 4 2" xfId="6176"/>
    <cellStyle name="Entrada 3 4 3 5" xfId="6177"/>
    <cellStyle name="Entrada 3 4 3 5 2" xfId="6178"/>
    <cellStyle name="Entrada 3 4 3 6" xfId="6179"/>
    <cellStyle name="Entrada 3 4 3 6 2" xfId="6180"/>
    <cellStyle name="Entrada 3 4 3 7" xfId="6181"/>
    <cellStyle name="Entrada 3 4 3 7 2" xfId="6182"/>
    <cellStyle name="Entrada 3 4 3 8" xfId="6183"/>
    <cellStyle name="Entrada 3 4 3 8 2" xfId="6184"/>
    <cellStyle name="Entrada 3 4 3 9" xfId="6185"/>
    <cellStyle name="Entrada 3 4 3 9 2" xfId="6186"/>
    <cellStyle name="Entrada 3 4 4" xfId="6187"/>
    <cellStyle name="Entrada 3 4 4 2" xfId="6188"/>
    <cellStyle name="Entrada 3 4 5" xfId="6189"/>
    <cellStyle name="Entrada 3 4 5 2" xfId="6190"/>
    <cellStyle name="Entrada 3 4 6" xfId="6191"/>
    <cellStyle name="Entrada 3 4 6 2" xfId="6192"/>
    <cellStyle name="Entrada 3 4 7" xfId="6193"/>
    <cellStyle name="Entrada 3 4 7 2" xfId="6194"/>
    <cellStyle name="Entrada 3 4 8" xfId="6195"/>
    <cellStyle name="Entrada 3 4 8 2" xfId="6196"/>
    <cellStyle name="Entrada 3 4 9" xfId="6197"/>
    <cellStyle name="Entrada 3 4 9 2" xfId="6198"/>
    <cellStyle name="Entrada 3 5" xfId="6199"/>
    <cellStyle name="Entrada 3 5 10" xfId="6200"/>
    <cellStyle name="Entrada 3 5 10 2" xfId="6201"/>
    <cellStyle name="Entrada 3 5 11" xfId="6202"/>
    <cellStyle name="Entrada 3 5 11 2" xfId="6203"/>
    <cellStyle name="Entrada 3 5 12" xfId="6204"/>
    <cellStyle name="Entrada 3 5 12 2" xfId="6205"/>
    <cellStyle name="Entrada 3 5 13" xfId="6206"/>
    <cellStyle name="Entrada 3 5 2" xfId="6207"/>
    <cellStyle name="Entrada 3 5 2 10" xfId="6208"/>
    <cellStyle name="Entrada 3 5 2 10 2" xfId="6209"/>
    <cellStyle name="Entrada 3 5 2 11" xfId="6210"/>
    <cellStyle name="Entrada 3 5 2 2" xfId="6211"/>
    <cellStyle name="Entrada 3 5 2 2 2" xfId="6212"/>
    <cellStyle name="Entrada 3 5 2 3" xfId="6213"/>
    <cellStyle name="Entrada 3 5 2 3 2" xfId="6214"/>
    <cellStyle name="Entrada 3 5 2 4" xfId="6215"/>
    <cellStyle name="Entrada 3 5 2 4 2" xfId="6216"/>
    <cellStyle name="Entrada 3 5 2 5" xfId="6217"/>
    <cellStyle name="Entrada 3 5 2 5 2" xfId="6218"/>
    <cellStyle name="Entrada 3 5 2 6" xfId="6219"/>
    <cellStyle name="Entrada 3 5 2 6 2" xfId="6220"/>
    <cellStyle name="Entrada 3 5 2 7" xfId="6221"/>
    <cellStyle name="Entrada 3 5 2 7 2" xfId="6222"/>
    <cellStyle name="Entrada 3 5 2 8" xfId="6223"/>
    <cellStyle name="Entrada 3 5 2 8 2" xfId="6224"/>
    <cellStyle name="Entrada 3 5 2 9" xfId="6225"/>
    <cellStyle name="Entrada 3 5 2 9 2" xfId="6226"/>
    <cellStyle name="Entrada 3 5 3" xfId="6227"/>
    <cellStyle name="Entrada 3 5 3 10" xfId="6228"/>
    <cellStyle name="Entrada 3 5 3 10 2" xfId="6229"/>
    <cellStyle name="Entrada 3 5 3 11" xfId="6230"/>
    <cellStyle name="Entrada 3 5 3 2" xfId="6231"/>
    <cellStyle name="Entrada 3 5 3 2 2" xfId="6232"/>
    <cellStyle name="Entrada 3 5 3 3" xfId="6233"/>
    <cellStyle name="Entrada 3 5 3 3 2" xfId="6234"/>
    <cellStyle name="Entrada 3 5 3 4" xfId="6235"/>
    <cellStyle name="Entrada 3 5 3 4 2" xfId="6236"/>
    <cellStyle name="Entrada 3 5 3 5" xfId="6237"/>
    <cellStyle name="Entrada 3 5 3 5 2" xfId="6238"/>
    <cellStyle name="Entrada 3 5 3 6" xfId="6239"/>
    <cellStyle name="Entrada 3 5 3 6 2" xfId="6240"/>
    <cellStyle name="Entrada 3 5 3 7" xfId="6241"/>
    <cellStyle name="Entrada 3 5 3 7 2" xfId="6242"/>
    <cellStyle name="Entrada 3 5 3 8" xfId="6243"/>
    <cellStyle name="Entrada 3 5 3 8 2" xfId="6244"/>
    <cellStyle name="Entrada 3 5 3 9" xfId="6245"/>
    <cellStyle name="Entrada 3 5 3 9 2" xfId="6246"/>
    <cellStyle name="Entrada 3 5 4" xfId="6247"/>
    <cellStyle name="Entrada 3 5 4 2" xfId="6248"/>
    <cellStyle name="Entrada 3 5 5" xfId="6249"/>
    <cellStyle name="Entrada 3 5 5 2" xfId="6250"/>
    <cellStyle name="Entrada 3 5 6" xfId="6251"/>
    <cellStyle name="Entrada 3 5 6 2" xfId="6252"/>
    <cellStyle name="Entrada 3 5 7" xfId="6253"/>
    <cellStyle name="Entrada 3 5 7 2" xfId="6254"/>
    <cellStyle name="Entrada 3 5 8" xfId="6255"/>
    <cellStyle name="Entrada 3 5 8 2" xfId="6256"/>
    <cellStyle name="Entrada 3 5 9" xfId="6257"/>
    <cellStyle name="Entrada 3 5 9 2" xfId="6258"/>
    <cellStyle name="Entrada 3 6" xfId="6259"/>
    <cellStyle name="Entrada 3 6 2" xfId="6260"/>
    <cellStyle name="Entrada 3 7" xfId="6261"/>
    <cellStyle name="Entrada 3 7 2" xfId="6262"/>
    <cellStyle name="Entrada 3 8" xfId="6263"/>
    <cellStyle name="Entrada 3 8 2" xfId="6264"/>
    <cellStyle name="Entrada 3 9" xfId="6265"/>
    <cellStyle name="Entrada 3 9 2" xfId="6266"/>
    <cellStyle name="Entrada 4" xfId="6267"/>
    <cellStyle name="Entrada 4 10" xfId="6268"/>
    <cellStyle name="Entrada 4 10 2" xfId="6269"/>
    <cellStyle name="Entrada 4 11" xfId="6270"/>
    <cellStyle name="Entrada 4 11 2" xfId="6271"/>
    <cellStyle name="Entrada 4 12" xfId="6272"/>
    <cellStyle name="Entrada 4 12 2" xfId="6273"/>
    <cellStyle name="Entrada 4 13" xfId="6274"/>
    <cellStyle name="Entrada 4 13 2" xfId="6275"/>
    <cellStyle name="Entrada 4 14" xfId="6276"/>
    <cellStyle name="Entrada 4 14 2" xfId="6277"/>
    <cellStyle name="Entrada 4 15" xfId="6278"/>
    <cellStyle name="Entrada 4 15 2" xfId="6279"/>
    <cellStyle name="Entrada 4 16" xfId="6280"/>
    <cellStyle name="Entrada 4 17" xfId="6281"/>
    <cellStyle name="Entrada 4 18" xfId="6282"/>
    <cellStyle name="Entrada 4 2" xfId="6283"/>
    <cellStyle name="Entrada 4 2 10" xfId="6284"/>
    <cellStyle name="Entrada 4 2 10 2" xfId="6285"/>
    <cellStyle name="Entrada 4 2 11" xfId="6286"/>
    <cellStyle name="Entrada 4 2 11 2" xfId="6287"/>
    <cellStyle name="Entrada 4 2 12" xfId="6288"/>
    <cellStyle name="Entrada 4 2 12 2" xfId="6289"/>
    <cellStyle name="Entrada 4 2 13" xfId="6290"/>
    <cellStyle name="Entrada 4 2 13 2" xfId="6291"/>
    <cellStyle name="Entrada 4 2 14" xfId="6292"/>
    <cellStyle name="Entrada 4 2 14 2" xfId="6293"/>
    <cellStyle name="Entrada 4 2 15" xfId="6294"/>
    <cellStyle name="Entrada 4 2 2" xfId="6295"/>
    <cellStyle name="Entrada 4 2 2 10" xfId="6296"/>
    <cellStyle name="Entrada 4 2 2 10 2" xfId="6297"/>
    <cellStyle name="Entrada 4 2 2 11" xfId="6298"/>
    <cellStyle name="Entrada 4 2 2 11 2" xfId="6299"/>
    <cellStyle name="Entrada 4 2 2 12" xfId="6300"/>
    <cellStyle name="Entrada 4 2 2 12 2" xfId="6301"/>
    <cellStyle name="Entrada 4 2 2 13" xfId="6302"/>
    <cellStyle name="Entrada 4 2 2 2" xfId="6303"/>
    <cellStyle name="Entrada 4 2 2 2 10" xfId="6304"/>
    <cellStyle name="Entrada 4 2 2 2 10 2" xfId="6305"/>
    <cellStyle name="Entrada 4 2 2 2 11" xfId="6306"/>
    <cellStyle name="Entrada 4 2 2 2 2" xfId="6307"/>
    <cellStyle name="Entrada 4 2 2 2 2 2" xfId="6308"/>
    <cellStyle name="Entrada 4 2 2 2 3" xfId="6309"/>
    <cellStyle name="Entrada 4 2 2 2 3 2" xfId="6310"/>
    <cellStyle name="Entrada 4 2 2 2 4" xfId="6311"/>
    <cellStyle name="Entrada 4 2 2 2 4 2" xfId="6312"/>
    <cellStyle name="Entrada 4 2 2 2 5" xfId="6313"/>
    <cellStyle name="Entrada 4 2 2 2 5 2" xfId="6314"/>
    <cellStyle name="Entrada 4 2 2 2 6" xfId="6315"/>
    <cellStyle name="Entrada 4 2 2 2 6 2" xfId="6316"/>
    <cellStyle name="Entrada 4 2 2 2 7" xfId="6317"/>
    <cellStyle name="Entrada 4 2 2 2 7 2" xfId="6318"/>
    <cellStyle name="Entrada 4 2 2 2 8" xfId="6319"/>
    <cellStyle name="Entrada 4 2 2 2 8 2" xfId="6320"/>
    <cellStyle name="Entrada 4 2 2 2 9" xfId="6321"/>
    <cellStyle name="Entrada 4 2 2 2 9 2" xfId="6322"/>
    <cellStyle name="Entrada 4 2 2 3" xfId="6323"/>
    <cellStyle name="Entrada 4 2 2 3 10" xfId="6324"/>
    <cellStyle name="Entrada 4 2 2 3 10 2" xfId="6325"/>
    <cellStyle name="Entrada 4 2 2 3 11" xfId="6326"/>
    <cellStyle name="Entrada 4 2 2 3 2" xfId="6327"/>
    <cellStyle name="Entrada 4 2 2 3 2 2" xfId="6328"/>
    <cellStyle name="Entrada 4 2 2 3 3" xfId="6329"/>
    <cellStyle name="Entrada 4 2 2 3 3 2" xfId="6330"/>
    <cellStyle name="Entrada 4 2 2 3 4" xfId="6331"/>
    <cellStyle name="Entrada 4 2 2 3 4 2" xfId="6332"/>
    <cellStyle name="Entrada 4 2 2 3 5" xfId="6333"/>
    <cellStyle name="Entrada 4 2 2 3 5 2" xfId="6334"/>
    <cellStyle name="Entrada 4 2 2 3 6" xfId="6335"/>
    <cellStyle name="Entrada 4 2 2 3 6 2" xfId="6336"/>
    <cellStyle name="Entrada 4 2 2 3 7" xfId="6337"/>
    <cellStyle name="Entrada 4 2 2 3 7 2" xfId="6338"/>
    <cellStyle name="Entrada 4 2 2 3 8" xfId="6339"/>
    <cellStyle name="Entrada 4 2 2 3 8 2" xfId="6340"/>
    <cellStyle name="Entrada 4 2 2 3 9" xfId="6341"/>
    <cellStyle name="Entrada 4 2 2 3 9 2" xfId="6342"/>
    <cellStyle name="Entrada 4 2 2 4" xfId="6343"/>
    <cellStyle name="Entrada 4 2 2 4 2" xfId="6344"/>
    <cellStyle name="Entrada 4 2 2 5" xfId="6345"/>
    <cellStyle name="Entrada 4 2 2 5 2" xfId="6346"/>
    <cellStyle name="Entrada 4 2 2 6" xfId="6347"/>
    <cellStyle name="Entrada 4 2 2 6 2" xfId="6348"/>
    <cellStyle name="Entrada 4 2 2 7" xfId="6349"/>
    <cellStyle name="Entrada 4 2 2 7 2" xfId="6350"/>
    <cellStyle name="Entrada 4 2 2 8" xfId="6351"/>
    <cellStyle name="Entrada 4 2 2 8 2" xfId="6352"/>
    <cellStyle name="Entrada 4 2 2 9" xfId="6353"/>
    <cellStyle name="Entrada 4 2 2 9 2" xfId="6354"/>
    <cellStyle name="Entrada 4 2 3" xfId="6355"/>
    <cellStyle name="Entrada 4 2 3 10" xfId="6356"/>
    <cellStyle name="Entrada 4 2 3 10 2" xfId="6357"/>
    <cellStyle name="Entrada 4 2 3 11" xfId="6358"/>
    <cellStyle name="Entrada 4 2 3 11 2" xfId="6359"/>
    <cellStyle name="Entrada 4 2 3 12" xfId="6360"/>
    <cellStyle name="Entrada 4 2 3 12 2" xfId="6361"/>
    <cellStyle name="Entrada 4 2 3 13" xfId="6362"/>
    <cellStyle name="Entrada 4 2 3 2" xfId="6363"/>
    <cellStyle name="Entrada 4 2 3 2 10" xfId="6364"/>
    <cellStyle name="Entrada 4 2 3 2 10 2" xfId="6365"/>
    <cellStyle name="Entrada 4 2 3 2 11" xfId="6366"/>
    <cellStyle name="Entrada 4 2 3 2 2" xfId="6367"/>
    <cellStyle name="Entrada 4 2 3 2 2 2" xfId="6368"/>
    <cellStyle name="Entrada 4 2 3 2 3" xfId="6369"/>
    <cellStyle name="Entrada 4 2 3 2 3 2" xfId="6370"/>
    <cellStyle name="Entrada 4 2 3 2 4" xfId="6371"/>
    <cellStyle name="Entrada 4 2 3 2 4 2" xfId="6372"/>
    <cellStyle name="Entrada 4 2 3 2 5" xfId="6373"/>
    <cellStyle name="Entrada 4 2 3 2 5 2" xfId="6374"/>
    <cellStyle name="Entrada 4 2 3 2 6" xfId="6375"/>
    <cellStyle name="Entrada 4 2 3 2 6 2" xfId="6376"/>
    <cellStyle name="Entrada 4 2 3 2 7" xfId="6377"/>
    <cellStyle name="Entrada 4 2 3 2 7 2" xfId="6378"/>
    <cellStyle name="Entrada 4 2 3 2 8" xfId="6379"/>
    <cellStyle name="Entrada 4 2 3 2 8 2" xfId="6380"/>
    <cellStyle name="Entrada 4 2 3 2 9" xfId="6381"/>
    <cellStyle name="Entrada 4 2 3 2 9 2" xfId="6382"/>
    <cellStyle name="Entrada 4 2 3 3" xfId="6383"/>
    <cellStyle name="Entrada 4 2 3 3 10" xfId="6384"/>
    <cellStyle name="Entrada 4 2 3 3 10 2" xfId="6385"/>
    <cellStyle name="Entrada 4 2 3 3 11" xfId="6386"/>
    <cellStyle name="Entrada 4 2 3 3 2" xfId="6387"/>
    <cellStyle name="Entrada 4 2 3 3 2 2" xfId="6388"/>
    <cellStyle name="Entrada 4 2 3 3 3" xfId="6389"/>
    <cellStyle name="Entrada 4 2 3 3 3 2" xfId="6390"/>
    <cellStyle name="Entrada 4 2 3 3 4" xfId="6391"/>
    <cellStyle name="Entrada 4 2 3 3 4 2" xfId="6392"/>
    <cellStyle name="Entrada 4 2 3 3 5" xfId="6393"/>
    <cellStyle name="Entrada 4 2 3 3 5 2" xfId="6394"/>
    <cellStyle name="Entrada 4 2 3 3 6" xfId="6395"/>
    <cellStyle name="Entrada 4 2 3 3 6 2" xfId="6396"/>
    <cellStyle name="Entrada 4 2 3 3 7" xfId="6397"/>
    <cellStyle name="Entrada 4 2 3 3 7 2" xfId="6398"/>
    <cellStyle name="Entrada 4 2 3 3 8" xfId="6399"/>
    <cellStyle name="Entrada 4 2 3 3 8 2" xfId="6400"/>
    <cellStyle name="Entrada 4 2 3 3 9" xfId="6401"/>
    <cellStyle name="Entrada 4 2 3 3 9 2" xfId="6402"/>
    <cellStyle name="Entrada 4 2 3 4" xfId="6403"/>
    <cellStyle name="Entrada 4 2 3 4 2" xfId="6404"/>
    <cellStyle name="Entrada 4 2 3 5" xfId="6405"/>
    <cellStyle name="Entrada 4 2 3 5 2" xfId="6406"/>
    <cellStyle name="Entrada 4 2 3 6" xfId="6407"/>
    <cellStyle name="Entrada 4 2 3 6 2" xfId="6408"/>
    <cellStyle name="Entrada 4 2 3 7" xfId="6409"/>
    <cellStyle name="Entrada 4 2 3 7 2" xfId="6410"/>
    <cellStyle name="Entrada 4 2 3 8" xfId="6411"/>
    <cellStyle name="Entrada 4 2 3 8 2" xfId="6412"/>
    <cellStyle name="Entrada 4 2 3 9" xfId="6413"/>
    <cellStyle name="Entrada 4 2 3 9 2" xfId="6414"/>
    <cellStyle name="Entrada 4 2 4" xfId="6415"/>
    <cellStyle name="Entrada 4 2 4 10" xfId="6416"/>
    <cellStyle name="Entrada 4 2 4 10 2" xfId="6417"/>
    <cellStyle name="Entrada 4 2 4 11" xfId="6418"/>
    <cellStyle name="Entrada 4 2 4 2" xfId="6419"/>
    <cellStyle name="Entrada 4 2 4 2 2" xfId="6420"/>
    <cellStyle name="Entrada 4 2 4 3" xfId="6421"/>
    <cellStyle name="Entrada 4 2 4 3 2" xfId="6422"/>
    <cellStyle name="Entrada 4 2 4 4" xfId="6423"/>
    <cellStyle name="Entrada 4 2 4 4 2" xfId="6424"/>
    <cellStyle name="Entrada 4 2 4 5" xfId="6425"/>
    <cellStyle name="Entrada 4 2 4 5 2" xfId="6426"/>
    <cellStyle name="Entrada 4 2 4 6" xfId="6427"/>
    <cellStyle name="Entrada 4 2 4 6 2" xfId="6428"/>
    <cellStyle name="Entrada 4 2 4 7" xfId="6429"/>
    <cellStyle name="Entrada 4 2 4 7 2" xfId="6430"/>
    <cellStyle name="Entrada 4 2 4 8" xfId="6431"/>
    <cellStyle name="Entrada 4 2 4 8 2" xfId="6432"/>
    <cellStyle name="Entrada 4 2 4 9" xfId="6433"/>
    <cellStyle name="Entrada 4 2 4 9 2" xfId="6434"/>
    <cellStyle name="Entrada 4 2 5" xfId="6435"/>
    <cellStyle name="Entrada 4 2 5 10" xfId="6436"/>
    <cellStyle name="Entrada 4 2 5 10 2" xfId="6437"/>
    <cellStyle name="Entrada 4 2 5 11" xfId="6438"/>
    <cellStyle name="Entrada 4 2 5 2" xfId="6439"/>
    <cellStyle name="Entrada 4 2 5 2 2" xfId="6440"/>
    <cellStyle name="Entrada 4 2 5 3" xfId="6441"/>
    <cellStyle name="Entrada 4 2 5 3 2" xfId="6442"/>
    <cellStyle name="Entrada 4 2 5 4" xfId="6443"/>
    <cellStyle name="Entrada 4 2 5 4 2" xfId="6444"/>
    <cellStyle name="Entrada 4 2 5 5" xfId="6445"/>
    <cellStyle name="Entrada 4 2 5 5 2" xfId="6446"/>
    <cellStyle name="Entrada 4 2 5 6" xfId="6447"/>
    <cellStyle name="Entrada 4 2 5 6 2" xfId="6448"/>
    <cellStyle name="Entrada 4 2 5 7" xfId="6449"/>
    <cellStyle name="Entrada 4 2 5 7 2" xfId="6450"/>
    <cellStyle name="Entrada 4 2 5 8" xfId="6451"/>
    <cellStyle name="Entrada 4 2 5 8 2" xfId="6452"/>
    <cellStyle name="Entrada 4 2 5 9" xfId="6453"/>
    <cellStyle name="Entrada 4 2 5 9 2" xfId="6454"/>
    <cellStyle name="Entrada 4 2 6" xfId="6455"/>
    <cellStyle name="Entrada 4 2 6 2" xfId="6456"/>
    <cellStyle name="Entrada 4 2 7" xfId="6457"/>
    <cellStyle name="Entrada 4 2 7 2" xfId="6458"/>
    <cellStyle name="Entrada 4 2 8" xfId="6459"/>
    <cellStyle name="Entrada 4 2 8 2" xfId="6460"/>
    <cellStyle name="Entrada 4 2 9" xfId="6461"/>
    <cellStyle name="Entrada 4 2 9 2" xfId="6462"/>
    <cellStyle name="Entrada 4 3" xfId="6463"/>
    <cellStyle name="Entrada 4 3 10" xfId="6464"/>
    <cellStyle name="Entrada 4 3 10 2" xfId="6465"/>
    <cellStyle name="Entrada 4 3 11" xfId="6466"/>
    <cellStyle name="Entrada 4 3 11 2" xfId="6467"/>
    <cellStyle name="Entrada 4 3 12" xfId="6468"/>
    <cellStyle name="Entrada 4 3 12 2" xfId="6469"/>
    <cellStyle name="Entrada 4 3 13" xfId="6470"/>
    <cellStyle name="Entrada 4 3 2" xfId="6471"/>
    <cellStyle name="Entrada 4 3 2 10" xfId="6472"/>
    <cellStyle name="Entrada 4 3 2 10 2" xfId="6473"/>
    <cellStyle name="Entrada 4 3 2 11" xfId="6474"/>
    <cellStyle name="Entrada 4 3 2 2" xfId="6475"/>
    <cellStyle name="Entrada 4 3 2 2 2" xfId="6476"/>
    <cellStyle name="Entrada 4 3 2 3" xfId="6477"/>
    <cellStyle name="Entrada 4 3 2 3 2" xfId="6478"/>
    <cellStyle name="Entrada 4 3 2 4" xfId="6479"/>
    <cellStyle name="Entrada 4 3 2 4 2" xfId="6480"/>
    <cellStyle name="Entrada 4 3 2 5" xfId="6481"/>
    <cellStyle name="Entrada 4 3 2 5 2" xfId="6482"/>
    <cellStyle name="Entrada 4 3 2 6" xfId="6483"/>
    <cellStyle name="Entrada 4 3 2 6 2" xfId="6484"/>
    <cellStyle name="Entrada 4 3 2 7" xfId="6485"/>
    <cellStyle name="Entrada 4 3 2 7 2" xfId="6486"/>
    <cellStyle name="Entrada 4 3 2 8" xfId="6487"/>
    <cellStyle name="Entrada 4 3 2 8 2" xfId="6488"/>
    <cellStyle name="Entrada 4 3 2 9" xfId="6489"/>
    <cellStyle name="Entrada 4 3 2 9 2" xfId="6490"/>
    <cellStyle name="Entrada 4 3 3" xfId="6491"/>
    <cellStyle name="Entrada 4 3 3 10" xfId="6492"/>
    <cellStyle name="Entrada 4 3 3 10 2" xfId="6493"/>
    <cellStyle name="Entrada 4 3 3 11" xfId="6494"/>
    <cellStyle name="Entrada 4 3 3 2" xfId="6495"/>
    <cellStyle name="Entrada 4 3 3 2 2" xfId="6496"/>
    <cellStyle name="Entrada 4 3 3 3" xfId="6497"/>
    <cellStyle name="Entrada 4 3 3 3 2" xfId="6498"/>
    <cellStyle name="Entrada 4 3 3 4" xfId="6499"/>
    <cellStyle name="Entrada 4 3 3 4 2" xfId="6500"/>
    <cellStyle name="Entrada 4 3 3 5" xfId="6501"/>
    <cellStyle name="Entrada 4 3 3 5 2" xfId="6502"/>
    <cellStyle name="Entrada 4 3 3 6" xfId="6503"/>
    <cellStyle name="Entrada 4 3 3 6 2" xfId="6504"/>
    <cellStyle name="Entrada 4 3 3 7" xfId="6505"/>
    <cellStyle name="Entrada 4 3 3 7 2" xfId="6506"/>
    <cellStyle name="Entrada 4 3 3 8" xfId="6507"/>
    <cellStyle name="Entrada 4 3 3 8 2" xfId="6508"/>
    <cellStyle name="Entrada 4 3 3 9" xfId="6509"/>
    <cellStyle name="Entrada 4 3 3 9 2" xfId="6510"/>
    <cellStyle name="Entrada 4 3 4" xfId="6511"/>
    <cellStyle name="Entrada 4 3 4 2" xfId="6512"/>
    <cellStyle name="Entrada 4 3 5" xfId="6513"/>
    <cellStyle name="Entrada 4 3 5 2" xfId="6514"/>
    <cellStyle name="Entrada 4 3 6" xfId="6515"/>
    <cellStyle name="Entrada 4 3 6 2" xfId="6516"/>
    <cellStyle name="Entrada 4 3 7" xfId="6517"/>
    <cellStyle name="Entrada 4 3 7 2" xfId="6518"/>
    <cellStyle name="Entrada 4 3 8" xfId="6519"/>
    <cellStyle name="Entrada 4 3 8 2" xfId="6520"/>
    <cellStyle name="Entrada 4 3 9" xfId="6521"/>
    <cellStyle name="Entrada 4 3 9 2" xfId="6522"/>
    <cellStyle name="Entrada 4 4" xfId="6523"/>
    <cellStyle name="Entrada 4 4 10" xfId="6524"/>
    <cellStyle name="Entrada 4 4 10 2" xfId="6525"/>
    <cellStyle name="Entrada 4 4 11" xfId="6526"/>
    <cellStyle name="Entrada 4 4 11 2" xfId="6527"/>
    <cellStyle name="Entrada 4 4 12" xfId="6528"/>
    <cellStyle name="Entrada 4 4 12 2" xfId="6529"/>
    <cellStyle name="Entrada 4 4 13" xfId="6530"/>
    <cellStyle name="Entrada 4 4 2" xfId="6531"/>
    <cellStyle name="Entrada 4 4 2 10" xfId="6532"/>
    <cellStyle name="Entrada 4 4 2 10 2" xfId="6533"/>
    <cellStyle name="Entrada 4 4 2 11" xfId="6534"/>
    <cellStyle name="Entrada 4 4 2 2" xfId="6535"/>
    <cellStyle name="Entrada 4 4 2 2 2" xfId="6536"/>
    <cellStyle name="Entrada 4 4 2 3" xfId="6537"/>
    <cellStyle name="Entrada 4 4 2 3 2" xfId="6538"/>
    <cellStyle name="Entrada 4 4 2 4" xfId="6539"/>
    <cellStyle name="Entrada 4 4 2 4 2" xfId="6540"/>
    <cellStyle name="Entrada 4 4 2 5" xfId="6541"/>
    <cellStyle name="Entrada 4 4 2 5 2" xfId="6542"/>
    <cellStyle name="Entrada 4 4 2 6" xfId="6543"/>
    <cellStyle name="Entrada 4 4 2 6 2" xfId="6544"/>
    <cellStyle name="Entrada 4 4 2 7" xfId="6545"/>
    <cellStyle name="Entrada 4 4 2 7 2" xfId="6546"/>
    <cellStyle name="Entrada 4 4 2 8" xfId="6547"/>
    <cellStyle name="Entrada 4 4 2 8 2" xfId="6548"/>
    <cellStyle name="Entrada 4 4 2 9" xfId="6549"/>
    <cellStyle name="Entrada 4 4 2 9 2" xfId="6550"/>
    <cellStyle name="Entrada 4 4 3" xfId="6551"/>
    <cellStyle name="Entrada 4 4 3 10" xfId="6552"/>
    <cellStyle name="Entrada 4 4 3 10 2" xfId="6553"/>
    <cellStyle name="Entrada 4 4 3 11" xfId="6554"/>
    <cellStyle name="Entrada 4 4 3 2" xfId="6555"/>
    <cellStyle name="Entrada 4 4 3 2 2" xfId="6556"/>
    <cellStyle name="Entrada 4 4 3 3" xfId="6557"/>
    <cellStyle name="Entrada 4 4 3 3 2" xfId="6558"/>
    <cellStyle name="Entrada 4 4 3 4" xfId="6559"/>
    <cellStyle name="Entrada 4 4 3 4 2" xfId="6560"/>
    <cellStyle name="Entrada 4 4 3 5" xfId="6561"/>
    <cellStyle name="Entrada 4 4 3 5 2" xfId="6562"/>
    <cellStyle name="Entrada 4 4 3 6" xfId="6563"/>
    <cellStyle name="Entrada 4 4 3 6 2" xfId="6564"/>
    <cellStyle name="Entrada 4 4 3 7" xfId="6565"/>
    <cellStyle name="Entrada 4 4 3 7 2" xfId="6566"/>
    <cellStyle name="Entrada 4 4 3 8" xfId="6567"/>
    <cellStyle name="Entrada 4 4 3 8 2" xfId="6568"/>
    <cellStyle name="Entrada 4 4 3 9" xfId="6569"/>
    <cellStyle name="Entrada 4 4 3 9 2" xfId="6570"/>
    <cellStyle name="Entrada 4 4 4" xfId="6571"/>
    <cellStyle name="Entrada 4 4 4 2" xfId="6572"/>
    <cellStyle name="Entrada 4 4 5" xfId="6573"/>
    <cellStyle name="Entrada 4 4 5 2" xfId="6574"/>
    <cellStyle name="Entrada 4 4 6" xfId="6575"/>
    <cellStyle name="Entrada 4 4 6 2" xfId="6576"/>
    <cellStyle name="Entrada 4 4 7" xfId="6577"/>
    <cellStyle name="Entrada 4 4 7 2" xfId="6578"/>
    <cellStyle name="Entrada 4 4 8" xfId="6579"/>
    <cellStyle name="Entrada 4 4 8 2" xfId="6580"/>
    <cellStyle name="Entrada 4 4 9" xfId="6581"/>
    <cellStyle name="Entrada 4 4 9 2" xfId="6582"/>
    <cellStyle name="Entrada 4 5" xfId="6583"/>
    <cellStyle name="Entrada 4 5 10" xfId="6584"/>
    <cellStyle name="Entrada 4 5 10 2" xfId="6585"/>
    <cellStyle name="Entrada 4 5 11" xfId="6586"/>
    <cellStyle name="Entrada 4 5 2" xfId="6587"/>
    <cellStyle name="Entrada 4 5 2 2" xfId="6588"/>
    <cellStyle name="Entrada 4 5 3" xfId="6589"/>
    <cellStyle name="Entrada 4 5 3 2" xfId="6590"/>
    <cellStyle name="Entrada 4 5 4" xfId="6591"/>
    <cellStyle name="Entrada 4 5 4 2" xfId="6592"/>
    <cellStyle name="Entrada 4 5 5" xfId="6593"/>
    <cellStyle name="Entrada 4 5 5 2" xfId="6594"/>
    <cellStyle name="Entrada 4 5 6" xfId="6595"/>
    <cellStyle name="Entrada 4 5 6 2" xfId="6596"/>
    <cellStyle name="Entrada 4 5 7" xfId="6597"/>
    <cellStyle name="Entrada 4 5 7 2" xfId="6598"/>
    <cellStyle name="Entrada 4 5 8" xfId="6599"/>
    <cellStyle name="Entrada 4 5 8 2" xfId="6600"/>
    <cellStyle name="Entrada 4 5 9" xfId="6601"/>
    <cellStyle name="Entrada 4 5 9 2" xfId="6602"/>
    <cellStyle name="Entrada 4 6" xfId="6603"/>
    <cellStyle name="Entrada 4 6 10" xfId="6604"/>
    <cellStyle name="Entrada 4 6 10 2" xfId="6605"/>
    <cellStyle name="Entrada 4 6 11" xfId="6606"/>
    <cellStyle name="Entrada 4 6 2" xfId="6607"/>
    <cellStyle name="Entrada 4 6 2 2" xfId="6608"/>
    <cellStyle name="Entrada 4 6 3" xfId="6609"/>
    <cellStyle name="Entrada 4 6 3 2" xfId="6610"/>
    <cellStyle name="Entrada 4 6 4" xfId="6611"/>
    <cellStyle name="Entrada 4 6 4 2" xfId="6612"/>
    <cellStyle name="Entrada 4 6 5" xfId="6613"/>
    <cellStyle name="Entrada 4 6 5 2" xfId="6614"/>
    <cellStyle name="Entrada 4 6 6" xfId="6615"/>
    <cellStyle name="Entrada 4 6 6 2" xfId="6616"/>
    <cellStyle name="Entrada 4 6 7" xfId="6617"/>
    <cellStyle name="Entrada 4 6 7 2" xfId="6618"/>
    <cellStyle name="Entrada 4 6 8" xfId="6619"/>
    <cellStyle name="Entrada 4 6 8 2" xfId="6620"/>
    <cellStyle name="Entrada 4 6 9" xfId="6621"/>
    <cellStyle name="Entrada 4 6 9 2" xfId="6622"/>
    <cellStyle name="Entrada 4 7" xfId="6623"/>
    <cellStyle name="Entrada 4 7 2" xfId="6624"/>
    <cellStyle name="Entrada 4 8" xfId="6625"/>
    <cellStyle name="Entrada 4 8 2" xfId="6626"/>
    <cellStyle name="Entrada 4 9" xfId="6627"/>
    <cellStyle name="Entrada 4 9 2" xfId="6628"/>
    <cellStyle name="Entrada 5" xfId="6629"/>
    <cellStyle name="Entrada 5 10" xfId="6630"/>
    <cellStyle name="Entrada 5 10 2" xfId="6631"/>
    <cellStyle name="Entrada 5 11" xfId="6632"/>
    <cellStyle name="Entrada 5 11 2" xfId="6633"/>
    <cellStyle name="Entrada 5 12" xfId="6634"/>
    <cellStyle name="Entrada 5 12 2" xfId="6635"/>
    <cellStyle name="Entrada 5 13" xfId="6636"/>
    <cellStyle name="Entrada 5 2" xfId="6637"/>
    <cellStyle name="Entrada 5 2 10" xfId="6638"/>
    <cellStyle name="Entrada 5 2 10 2" xfId="6639"/>
    <cellStyle name="Entrada 5 2 11" xfId="6640"/>
    <cellStyle name="Entrada 5 2 2" xfId="6641"/>
    <cellStyle name="Entrada 5 2 2 2" xfId="6642"/>
    <cellStyle name="Entrada 5 2 3" xfId="6643"/>
    <cellStyle name="Entrada 5 2 3 2" xfId="6644"/>
    <cellStyle name="Entrada 5 2 4" xfId="6645"/>
    <cellStyle name="Entrada 5 2 4 2" xfId="6646"/>
    <cellStyle name="Entrada 5 2 5" xfId="6647"/>
    <cellStyle name="Entrada 5 2 5 2" xfId="6648"/>
    <cellStyle name="Entrada 5 2 6" xfId="6649"/>
    <cellStyle name="Entrada 5 2 6 2" xfId="6650"/>
    <cellStyle name="Entrada 5 2 7" xfId="6651"/>
    <cellStyle name="Entrada 5 2 7 2" xfId="6652"/>
    <cellStyle name="Entrada 5 2 8" xfId="6653"/>
    <cellStyle name="Entrada 5 2 8 2" xfId="6654"/>
    <cellStyle name="Entrada 5 2 9" xfId="6655"/>
    <cellStyle name="Entrada 5 2 9 2" xfId="6656"/>
    <cellStyle name="Entrada 5 3" xfId="6657"/>
    <cellStyle name="Entrada 5 3 10" xfId="6658"/>
    <cellStyle name="Entrada 5 3 10 2" xfId="6659"/>
    <cellStyle name="Entrada 5 3 11" xfId="6660"/>
    <cellStyle name="Entrada 5 3 2" xfId="6661"/>
    <cellStyle name="Entrada 5 3 2 2" xfId="6662"/>
    <cellStyle name="Entrada 5 3 3" xfId="6663"/>
    <cellStyle name="Entrada 5 3 3 2" xfId="6664"/>
    <cellStyle name="Entrada 5 3 4" xfId="6665"/>
    <cellStyle name="Entrada 5 3 4 2" xfId="6666"/>
    <cellStyle name="Entrada 5 3 5" xfId="6667"/>
    <cellStyle name="Entrada 5 3 5 2" xfId="6668"/>
    <cellStyle name="Entrada 5 3 6" xfId="6669"/>
    <cellStyle name="Entrada 5 3 6 2" xfId="6670"/>
    <cellStyle name="Entrada 5 3 7" xfId="6671"/>
    <cellStyle name="Entrada 5 3 7 2" xfId="6672"/>
    <cellStyle name="Entrada 5 3 8" xfId="6673"/>
    <cellStyle name="Entrada 5 3 8 2" xfId="6674"/>
    <cellStyle name="Entrada 5 3 9" xfId="6675"/>
    <cellStyle name="Entrada 5 3 9 2" xfId="6676"/>
    <cellStyle name="Entrada 5 4" xfId="6677"/>
    <cellStyle name="Entrada 5 4 2" xfId="6678"/>
    <cellStyle name="Entrada 5 5" xfId="6679"/>
    <cellStyle name="Entrada 5 5 2" xfId="6680"/>
    <cellStyle name="Entrada 5 6" xfId="6681"/>
    <cellStyle name="Entrada 5 6 2" xfId="6682"/>
    <cellStyle name="Entrada 5 7" xfId="6683"/>
    <cellStyle name="Entrada 5 7 2" xfId="6684"/>
    <cellStyle name="Entrada 5 8" xfId="6685"/>
    <cellStyle name="Entrada 5 8 2" xfId="6686"/>
    <cellStyle name="Entrada 5 9" xfId="6687"/>
    <cellStyle name="Entrada 5 9 2" xfId="6688"/>
    <cellStyle name="Entrada 6" xfId="6689"/>
    <cellStyle name="Entrada 6 10" xfId="6690"/>
    <cellStyle name="Entrada 6 10 2" xfId="6691"/>
    <cellStyle name="Entrada 6 11" xfId="6692"/>
    <cellStyle name="Entrada 6 11 2" xfId="6693"/>
    <cellStyle name="Entrada 6 12" xfId="6694"/>
    <cellStyle name="Entrada 6 12 2" xfId="6695"/>
    <cellStyle name="Entrada 6 13" xfId="6696"/>
    <cellStyle name="Entrada 6 2" xfId="6697"/>
    <cellStyle name="Entrada 6 2 10" xfId="6698"/>
    <cellStyle name="Entrada 6 2 10 2" xfId="6699"/>
    <cellStyle name="Entrada 6 2 11" xfId="6700"/>
    <cellStyle name="Entrada 6 2 2" xfId="6701"/>
    <cellStyle name="Entrada 6 2 2 2" xfId="6702"/>
    <cellStyle name="Entrada 6 2 3" xfId="6703"/>
    <cellStyle name="Entrada 6 2 3 2" xfId="6704"/>
    <cellStyle name="Entrada 6 2 4" xfId="6705"/>
    <cellStyle name="Entrada 6 2 4 2" xfId="6706"/>
    <cellStyle name="Entrada 6 2 5" xfId="6707"/>
    <cellStyle name="Entrada 6 2 5 2" xfId="6708"/>
    <cellStyle name="Entrada 6 2 6" xfId="6709"/>
    <cellStyle name="Entrada 6 2 6 2" xfId="6710"/>
    <cellStyle name="Entrada 6 2 7" xfId="6711"/>
    <cellStyle name="Entrada 6 2 7 2" xfId="6712"/>
    <cellStyle name="Entrada 6 2 8" xfId="6713"/>
    <cellStyle name="Entrada 6 2 8 2" xfId="6714"/>
    <cellStyle name="Entrada 6 2 9" xfId="6715"/>
    <cellStyle name="Entrada 6 2 9 2" xfId="6716"/>
    <cellStyle name="Entrada 6 3" xfId="6717"/>
    <cellStyle name="Entrada 6 3 10" xfId="6718"/>
    <cellStyle name="Entrada 6 3 10 2" xfId="6719"/>
    <cellStyle name="Entrada 6 3 11" xfId="6720"/>
    <cellStyle name="Entrada 6 3 2" xfId="6721"/>
    <cellStyle name="Entrada 6 3 2 2" xfId="6722"/>
    <cellStyle name="Entrada 6 3 3" xfId="6723"/>
    <cellStyle name="Entrada 6 3 3 2" xfId="6724"/>
    <cellStyle name="Entrada 6 3 4" xfId="6725"/>
    <cellStyle name="Entrada 6 3 4 2" xfId="6726"/>
    <cellStyle name="Entrada 6 3 5" xfId="6727"/>
    <cellStyle name="Entrada 6 3 5 2" xfId="6728"/>
    <cellStyle name="Entrada 6 3 6" xfId="6729"/>
    <cellStyle name="Entrada 6 3 6 2" xfId="6730"/>
    <cellStyle name="Entrada 6 3 7" xfId="6731"/>
    <cellStyle name="Entrada 6 3 7 2" xfId="6732"/>
    <cellStyle name="Entrada 6 3 8" xfId="6733"/>
    <cellStyle name="Entrada 6 3 8 2" xfId="6734"/>
    <cellStyle name="Entrada 6 3 9" xfId="6735"/>
    <cellStyle name="Entrada 6 3 9 2" xfId="6736"/>
    <cellStyle name="Entrada 6 4" xfId="6737"/>
    <cellStyle name="Entrada 6 4 2" xfId="6738"/>
    <cellStyle name="Entrada 6 5" xfId="6739"/>
    <cellStyle name="Entrada 6 5 2" xfId="6740"/>
    <cellStyle name="Entrada 6 6" xfId="6741"/>
    <cellStyle name="Entrada 6 6 2" xfId="6742"/>
    <cellStyle name="Entrada 6 7" xfId="6743"/>
    <cellStyle name="Entrada 6 7 2" xfId="6744"/>
    <cellStyle name="Entrada 6 8" xfId="6745"/>
    <cellStyle name="Entrada 6 8 2" xfId="6746"/>
    <cellStyle name="Entrada 6 9" xfId="6747"/>
    <cellStyle name="Entrada 6 9 2" xfId="6748"/>
    <cellStyle name="Entrada 7" xfId="6749"/>
    <cellStyle name="Entrada 7 10" xfId="6750"/>
    <cellStyle name="Entrada 7 10 2" xfId="6751"/>
    <cellStyle name="Entrada 7 11" xfId="6752"/>
    <cellStyle name="Entrada 7 11 2" xfId="6753"/>
    <cellStyle name="Entrada 7 12" xfId="6754"/>
    <cellStyle name="Entrada 7 12 2" xfId="6755"/>
    <cellStyle name="Entrada 7 13" xfId="6756"/>
    <cellStyle name="Entrada 7 2" xfId="6757"/>
    <cellStyle name="Entrada 7 2 10" xfId="6758"/>
    <cellStyle name="Entrada 7 2 10 2" xfId="6759"/>
    <cellStyle name="Entrada 7 2 11" xfId="6760"/>
    <cellStyle name="Entrada 7 2 2" xfId="6761"/>
    <cellStyle name="Entrada 7 2 2 2" xfId="6762"/>
    <cellStyle name="Entrada 7 2 3" xfId="6763"/>
    <cellStyle name="Entrada 7 2 3 2" xfId="6764"/>
    <cellStyle name="Entrada 7 2 4" xfId="6765"/>
    <cellStyle name="Entrada 7 2 4 2" xfId="6766"/>
    <cellStyle name="Entrada 7 2 5" xfId="6767"/>
    <cellStyle name="Entrada 7 2 5 2" xfId="6768"/>
    <cellStyle name="Entrada 7 2 6" xfId="6769"/>
    <cellStyle name="Entrada 7 2 6 2" xfId="6770"/>
    <cellStyle name="Entrada 7 2 7" xfId="6771"/>
    <cellStyle name="Entrada 7 2 7 2" xfId="6772"/>
    <cellStyle name="Entrada 7 2 8" xfId="6773"/>
    <cellStyle name="Entrada 7 2 8 2" xfId="6774"/>
    <cellStyle name="Entrada 7 2 9" xfId="6775"/>
    <cellStyle name="Entrada 7 2 9 2" xfId="6776"/>
    <cellStyle name="Entrada 7 3" xfId="6777"/>
    <cellStyle name="Entrada 7 3 10" xfId="6778"/>
    <cellStyle name="Entrada 7 3 10 2" xfId="6779"/>
    <cellStyle name="Entrada 7 3 11" xfId="6780"/>
    <cellStyle name="Entrada 7 3 2" xfId="6781"/>
    <cellStyle name="Entrada 7 3 2 2" xfId="6782"/>
    <cellStyle name="Entrada 7 3 3" xfId="6783"/>
    <cellStyle name="Entrada 7 3 3 2" xfId="6784"/>
    <cellStyle name="Entrada 7 3 4" xfId="6785"/>
    <cellStyle name="Entrada 7 3 4 2" xfId="6786"/>
    <cellStyle name="Entrada 7 3 5" xfId="6787"/>
    <cellStyle name="Entrada 7 3 5 2" xfId="6788"/>
    <cellStyle name="Entrada 7 3 6" xfId="6789"/>
    <cellStyle name="Entrada 7 3 6 2" xfId="6790"/>
    <cellStyle name="Entrada 7 3 7" xfId="6791"/>
    <cellStyle name="Entrada 7 3 7 2" xfId="6792"/>
    <cellStyle name="Entrada 7 3 8" xfId="6793"/>
    <cellStyle name="Entrada 7 3 8 2" xfId="6794"/>
    <cellStyle name="Entrada 7 3 9" xfId="6795"/>
    <cellStyle name="Entrada 7 3 9 2" xfId="6796"/>
    <cellStyle name="Entrada 7 4" xfId="6797"/>
    <cellStyle name="Entrada 7 4 2" xfId="6798"/>
    <cellStyle name="Entrada 7 5" xfId="6799"/>
    <cellStyle name="Entrada 7 5 2" xfId="6800"/>
    <cellStyle name="Entrada 7 6" xfId="6801"/>
    <cellStyle name="Entrada 7 6 2" xfId="6802"/>
    <cellStyle name="Entrada 7 7" xfId="6803"/>
    <cellStyle name="Entrada 7 7 2" xfId="6804"/>
    <cellStyle name="Entrada 7 8" xfId="6805"/>
    <cellStyle name="Entrada 7 8 2" xfId="6806"/>
    <cellStyle name="Entrada 7 9" xfId="6807"/>
    <cellStyle name="Entrada 7 9 2" xfId="6808"/>
    <cellStyle name="Entrada 8" xfId="6809"/>
    <cellStyle name="Entrada 9" xfId="1115"/>
    <cellStyle name="Excel Built-in Normal" xfId="1120"/>
    <cellStyle name="Hipervínculo" xfId="957" builtinId="8"/>
    <cellStyle name="Hipervínculo 2" xfId="962"/>
    <cellStyle name="Hipervínculo 2 2" xfId="42132"/>
    <cellStyle name="Hipervínculo 3" xfId="965"/>
    <cellStyle name="Hipervínculo 3 2" xfId="1199"/>
    <cellStyle name="Incorrecto" xfId="899" builtinId="27" customBuiltin="1"/>
    <cellStyle name="Incorrecto 2" xfId="1122"/>
    <cellStyle name="Incorrecto 2 2" xfId="1123"/>
    <cellStyle name="Incorrecto 2 3" xfId="1124"/>
    <cellStyle name="Incorrecto 2 4" xfId="6810"/>
    <cellStyle name="Incorrecto 3" xfId="1125"/>
    <cellStyle name="Incorrecto 4" xfId="6811"/>
    <cellStyle name="Incorrecto 5" xfId="6812"/>
    <cellStyle name="Incorrecto 6" xfId="6813"/>
    <cellStyle name="Incorrecto 7" xfId="6814"/>
    <cellStyle name="Incorrecto 8" xfId="1121"/>
    <cellStyle name="Millares" xfId="939" builtinId="3"/>
    <cellStyle name="Millares 10" xfId="6815"/>
    <cellStyle name="Millares 11" xfId="6816"/>
    <cellStyle name="Millares 12" xfId="6817"/>
    <cellStyle name="Millares 13" xfId="6818"/>
    <cellStyle name="Millares 14" xfId="6819"/>
    <cellStyle name="Millares 15" xfId="6820"/>
    <cellStyle name="Millares 16" xfId="1126"/>
    <cellStyle name="Millares 2" xfId="1127"/>
    <cellStyle name="Millares 2 2" xfId="1128"/>
    <cellStyle name="Millares 2 2 10" xfId="6821"/>
    <cellStyle name="Millares 2 2 11" xfId="6822"/>
    <cellStyle name="Millares 2 2 12" xfId="6823"/>
    <cellStyle name="Millares 2 2 13" xfId="6824"/>
    <cellStyle name="Millares 2 2 14" xfId="6825"/>
    <cellStyle name="Millares 2 2 2" xfId="6826"/>
    <cellStyle name="Millares 2 2 3" xfId="6827"/>
    <cellStyle name="Millares 2 2 4" xfId="6828"/>
    <cellStyle name="Millares 2 2 5" xfId="6829"/>
    <cellStyle name="Millares 2 2 6" xfId="6830"/>
    <cellStyle name="Millares 2 2 7" xfId="6831"/>
    <cellStyle name="Millares 2 2 8" xfId="6832"/>
    <cellStyle name="Millares 2 2 9" xfId="6833"/>
    <cellStyle name="Millares 2 3" xfId="1129"/>
    <cellStyle name="Millares 2 3 10" xfId="6834"/>
    <cellStyle name="Millares 2 3 11" xfId="6835"/>
    <cellStyle name="Millares 2 3 12" xfId="6836"/>
    <cellStyle name="Millares 2 3 13" xfId="6837"/>
    <cellStyle name="Millares 2 3 14" xfId="6838"/>
    <cellStyle name="Millares 2 3 2" xfId="6839"/>
    <cellStyle name="Millares 2 3 3" xfId="6840"/>
    <cellStyle name="Millares 2 3 4" xfId="6841"/>
    <cellStyle name="Millares 2 3 5" xfId="6842"/>
    <cellStyle name="Millares 2 3 6" xfId="6843"/>
    <cellStyle name="Millares 2 3 7" xfId="6844"/>
    <cellStyle name="Millares 2 3 8" xfId="6845"/>
    <cellStyle name="Millares 2 3 9" xfId="6846"/>
    <cellStyle name="Millares 2 4" xfId="6847"/>
    <cellStyle name="Millares 2 5" xfId="6848"/>
    <cellStyle name="Millares 2 6" xfId="6849"/>
    <cellStyle name="Millares 2 7" xfId="6850"/>
    <cellStyle name="Millares 3" xfId="6851"/>
    <cellStyle name="Millares 4" xfId="6852"/>
    <cellStyle name="Millares 4 10" xfId="6853"/>
    <cellStyle name="Millares 4 10 2" xfId="6854"/>
    <cellStyle name="Millares 4 11" xfId="6855"/>
    <cellStyle name="Millares 4 11 2" xfId="6856"/>
    <cellStyle name="Millares 4 12" xfId="6857"/>
    <cellStyle name="Millares 4 12 2" xfId="6858"/>
    <cellStyle name="Millares 4 13" xfId="6859"/>
    <cellStyle name="Millares 4 2" xfId="6860"/>
    <cellStyle name="Millares 4 2 10" xfId="6861"/>
    <cellStyle name="Millares 4 2 10 2" xfId="6862"/>
    <cellStyle name="Millares 4 2 11" xfId="6863"/>
    <cellStyle name="Millares 4 2 11 2" xfId="6864"/>
    <cellStyle name="Millares 4 2 12" xfId="6865"/>
    <cellStyle name="Millares 4 2 2" xfId="6866"/>
    <cellStyle name="Millares 4 2 2 10" xfId="6867"/>
    <cellStyle name="Millares 4 2 2 10 2" xfId="6868"/>
    <cellStyle name="Millares 4 2 2 11" xfId="6869"/>
    <cellStyle name="Millares 4 2 2 2" xfId="6870"/>
    <cellStyle name="Millares 4 2 2 2 2" xfId="6871"/>
    <cellStyle name="Millares 4 2 2 3" xfId="6872"/>
    <cellStyle name="Millares 4 2 2 3 2" xfId="6873"/>
    <cellStyle name="Millares 4 2 2 4" xfId="6874"/>
    <cellStyle name="Millares 4 2 2 4 2" xfId="6875"/>
    <cellStyle name="Millares 4 2 2 5" xfId="6876"/>
    <cellStyle name="Millares 4 2 2 5 2" xfId="6877"/>
    <cellStyle name="Millares 4 2 2 6" xfId="6878"/>
    <cellStyle name="Millares 4 2 2 6 2" xfId="6879"/>
    <cellStyle name="Millares 4 2 2 7" xfId="6880"/>
    <cellStyle name="Millares 4 2 2 7 2" xfId="6881"/>
    <cellStyle name="Millares 4 2 2 8" xfId="6882"/>
    <cellStyle name="Millares 4 2 2 8 2" xfId="6883"/>
    <cellStyle name="Millares 4 2 2 9" xfId="6884"/>
    <cellStyle name="Millares 4 2 2 9 2" xfId="6885"/>
    <cellStyle name="Millares 4 2 3" xfId="6886"/>
    <cellStyle name="Millares 4 2 3 2" xfId="6887"/>
    <cellStyle name="Millares 4 2 4" xfId="6888"/>
    <cellStyle name="Millares 4 2 4 2" xfId="6889"/>
    <cellStyle name="Millares 4 2 5" xfId="6890"/>
    <cellStyle name="Millares 4 2 5 2" xfId="6891"/>
    <cellStyle name="Millares 4 2 6" xfId="6892"/>
    <cellStyle name="Millares 4 2 6 2" xfId="6893"/>
    <cellStyle name="Millares 4 2 7" xfId="6894"/>
    <cellStyle name="Millares 4 2 7 2" xfId="6895"/>
    <cellStyle name="Millares 4 2 8" xfId="6896"/>
    <cellStyle name="Millares 4 2 8 2" xfId="6897"/>
    <cellStyle name="Millares 4 2 9" xfId="6898"/>
    <cellStyle name="Millares 4 2 9 2" xfId="6899"/>
    <cellStyle name="Millares 4 3" xfId="6900"/>
    <cellStyle name="Millares 4 3 10" xfId="6901"/>
    <cellStyle name="Millares 4 3 10 2" xfId="6902"/>
    <cellStyle name="Millares 4 3 11" xfId="6903"/>
    <cellStyle name="Millares 4 3 2" xfId="6904"/>
    <cellStyle name="Millares 4 3 2 2" xfId="6905"/>
    <cellStyle name="Millares 4 3 3" xfId="6906"/>
    <cellStyle name="Millares 4 3 3 2" xfId="6907"/>
    <cellStyle name="Millares 4 3 4" xfId="6908"/>
    <cellStyle name="Millares 4 3 4 2" xfId="6909"/>
    <cellStyle name="Millares 4 3 5" xfId="6910"/>
    <cellStyle name="Millares 4 3 5 2" xfId="6911"/>
    <cellStyle name="Millares 4 3 6" xfId="6912"/>
    <cellStyle name="Millares 4 3 6 2" xfId="6913"/>
    <cellStyle name="Millares 4 3 7" xfId="6914"/>
    <cellStyle name="Millares 4 3 7 2" xfId="6915"/>
    <cellStyle name="Millares 4 3 8" xfId="6916"/>
    <cellStyle name="Millares 4 3 8 2" xfId="6917"/>
    <cellStyle name="Millares 4 3 9" xfId="6918"/>
    <cellStyle name="Millares 4 3 9 2" xfId="6919"/>
    <cellStyle name="Millares 4 4" xfId="6920"/>
    <cellStyle name="Millares 4 4 2" xfId="6921"/>
    <cellStyle name="Millares 4 5" xfId="6922"/>
    <cellStyle name="Millares 4 5 2" xfId="6923"/>
    <cellStyle name="Millares 4 6" xfId="6924"/>
    <cellStyle name="Millares 4 6 2" xfId="6925"/>
    <cellStyle name="Millares 4 7" xfId="6926"/>
    <cellStyle name="Millares 4 7 2" xfId="6927"/>
    <cellStyle name="Millares 4 8" xfId="6928"/>
    <cellStyle name="Millares 4 8 2" xfId="6929"/>
    <cellStyle name="Millares 4 9" xfId="6930"/>
    <cellStyle name="Millares 4 9 2" xfId="6931"/>
    <cellStyle name="Millares 5" xfId="6932"/>
    <cellStyle name="Millares 5 10" xfId="6933"/>
    <cellStyle name="Millares 5 10 2" xfId="6934"/>
    <cellStyle name="Millares 5 11" xfId="6935"/>
    <cellStyle name="Millares 5 11 2" xfId="6936"/>
    <cellStyle name="Millares 5 12" xfId="6937"/>
    <cellStyle name="Millares 5 12 2" xfId="6938"/>
    <cellStyle name="Millares 5 13" xfId="6939"/>
    <cellStyle name="Millares 5 2" xfId="6940"/>
    <cellStyle name="Millares 5 2 10" xfId="6941"/>
    <cellStyle name="Millares 5 2 10 2" xfId="6942"/>
    <cellStyle name="Millares 5 2 11" xfId="6943"/>
    <cellStyle name="Millares 5 2 11 2" xfId="6944"/>
    <cellStyle name="Millares 5 2 12" xfId="6945"/>
    <cellStyle name="Millares 5 2 2" xfId="6946"/>
    <cellStyle name="Millares 5 2 2 10" xfId="6947"/>
    <cellStyle name="Millares 5 2 2 10 2" xfId="6948"/>
    <cellStyle name="Millares 5 2 2 11" xfId="6949"/>
    <cellStyle name="Millares 5 2 2 2" xfId="6950"/>
    <cellStyle name="Millares 5 2 2 2 2" xfId="6951"/>
    <cellStyle name="Millares 5 2 2 3" xfId="6952"/>
    <cellStyle name="Millares 5 2 2 3 2" xfId="6953"/>
    <cellStyle name="Millares 5 2 2 4" xfId="6954"/>
    <cellStyle name="Millares 5 2 2 4 2" xfId="6955"/>
    <cellStyle name="Millares 5 2 2 5" xfId="6956"/>
    <cellStyle name="Millares 5 2 2 5 2" xfId="6957"/>
    <cellStyle name="Millares 5 2 2 6" xfId="6958"/>
    <cellStyle name="Millares 5 2 2 6 2" xfId="6959"/>
    <cellStyle name="Millares 5 2 2 7" xfId="6960"/>
    <cellStyle name="Millares 5 2 2 7 2" xfId="6961"/>
    <cellStyle name="Millares 5 2 2 8" xfId="6962"/>
    <cellStyle name="Millares 5 2 2 8 2" xfId="6963"/>
    <cellStyle name="Millares 5 2 2 9" xfId="6964"/>
    <cellStyle name="Millares 5 2 2 9 2" xfId="6965"/>
    <cellStyle name="Millares 5 2 3" xfId="6966"/>
    <cellStyle name="Millares 5 2 3 2" xfId="6967"/>
    <cellStyle name="Millares 5 2 4" xfId="6968"/>
    <cellStyle name="Millares 5 2 4 2" xfId="6969"/>
    <cellStyle name="Millares 5 2 5" xfId="6970"/>
    <cellStyle name="Millares 5 2 5 2" xfId="6971"/>
    <cellStyle name="Millares 5 2 6" xfId="6972"/>
    <cellStyle name="Millares 5 2 6 2" xfId="6973"/>
    <cellStyle name="Millares 5 2 7" xfId="6974"/>
    <cellStyle name="Millares 5 2 7 2" xfId="6975"/>
    <cellStyle name="Millares 5 2 8" xfId="6976"/>
    <cellStyle name="Millares 5 2 8 2" xfId="6977"/>
    <cellStyle name="Millares 5 2 9" xfId="6978"/>
    <cellStyle name="Millares 5 2 9 2" xfId="6979"/>
    <cellStyle name="Millares 5 3" xfId="6980"/>
    <cellStyle name="Millares 5 3 10" xfId="6981"/>
    <cellStyle name="Millares 5 3 10 2" xfId="6982"/>
    <cellStyle name="Millares 5 3 11" xfId="6983"/>
    <cellStyle name="Millares 5 3 2" xfId="6984"/>
    <cellStyle name="Millares 5 3 2 2" xfId="6985"/>
    <cellStyle name="Millares 5 3 3" xfId="6986"/>
    <cellStyle name="Millares 5 3 3 2" xfId="6987"/>
    <cellStyle name="Millares 5 3 4" xfId="6988"/>
    <cellStyle name="Millares 5 3 4 2" xfId="6989"/>
    <cellStyle name="Millares 5 3 5" xfId="6990"/>
    <cellStyle name="Millares 5 3 5 2" xfId="6991"/>
    <cellStyle name="Millares 5 3 6" xfId="6992"/>
    <cellStyle name="Millares 5 3 6 2" xfId="6993"/>
    <cellStyle name="Millares 5 3 7" xfId="6994"/>
    <cellStyle name="Millares 5 3 7 2" xfId="6995"/>
    <cellStyle name="Millares 5 3 8" xfId="6996"/>
    <cellStyle name="Millares 5 3 8 2" xfId="6997"/>
    <cellStyle name="Millares 5 3 9" xfId="6998"/>
    <cellStyle name="Millares 5 3 9 2" xfId="6999"/>
    <cellStyle name="Millares 5 4" xfId="7000"/>
    <cellStyle name="Millares 5 4 2" xfId="7001"/>
    <cellStyle name="Millares 5 5" xfId="7002"/>
    <cellStyle name="Millares 5 5 2" xfId="7003"/>
    <cellStyle name="Millares 5 6" xfId="7004"/>
    <cellStyle name="Millares 5 6 2" xfId="7005"/>
    <cellStyle name="Millares 5 7" xfId="7006"/>
    <cellStyle name="Millares 5 7 2" xfId="7007"/>
    <cellStyle name="Millares 5 8" xfId="7008"/>
    <cellStyle name="Millares 5 8 2" xfId="7009"/>
    <cellStyle name="Millares 5 9" xfId="7010"/>
    <cellStyle name="Millares 5 9 2" xfId="7011"/>
    <cellStyle name="Millares 6" xfId="7012"/>
    <cellStyle name="Millares 6 10" xfId="7013"/>
    <cellStyle name="Millares 6 10 2" xfId="7014"/>
    <cellStyle name="Millares 6 11" xfId="7015"/>
    <cellStyle name="Millares 6 11 2" xfId="7016"/>
    <cellStyle name="Millares 6 12" xfId="7017"/>
    <cellStyle name="Millares 6 12 2" xfId="7018"/>
    <cellStyle name="Millares 6 13" xfId="7019"/>
    <cellStyle name="Millares 6 2" xfId="7020"/>
    <cellStyle name="Millares 6 2 10" xfId="7021"/>
    <cellStyle name="Millares 6 2 10 2" xfId="7022"/>
    <cellStyle name="Millares 6 2 11" xfId="7023"/>
    <cellStyle name="Millares 6 2 11 2" xfId="7024"/>
    <cellStyle name="Millares 6 2 12" xfId="7025"/>
    <cellStyle name="Millares 6 2 2" xfId="7026"/>
    <cellStyle name="Millares 6 2 2 10" xfId="7027"/>
    <cellStyle name="Millares 6 2 2 10 2" xfId="7028"/>
    <cellStyle name="Millares 6 2 2 11" xfId="7029"/>
    <cellStyle name="Millares 6 2 2 2" xfId="7030"/>
    <cellStyle name="Millares 6 2 2 2 2" xfId="7031"/>
    <cellStyle name="Millares 6 2 2 3" xfId="7032"/>
    <cellStyle name="Millares 6 2 2 3 2" xfId="7033"/>
    <cellStyle name="Millares 6 2 2 4" xfId="7034"/>
    <cellStyle name="Millares 6 2 2 4 2" xfId="7035"/>
    <cellStyle name="Millares 6 2 2 5" xfId="7036"/>
    <cellStyle name="Millares 6 2 2 5 2" xfId="7037"/>
    <cellStyle name="Millares 6 2 2 6" xfId="7038"/>
    <cellStyle name="Millares 6 2 2 6 2" xfId="7039"/>
    <cellStyle name="Millares 6 2 2 7" xfId="7040"/>
    <cellStyle name="Millares 6 2 2 7 2" xfId="7041"/>
    <cellStyle name="Millares 6 2 2 8" xfId="7042"/>
    <cellStyle name="Millares 6 2 2 8 2" xfId="7043"/>
    <cellStyle name="Millares 6 2 2 9" xfId="7044"/>
    <cellStyle name="Millares 6 2 2 9 2" xfId="7045"/>
    <cellStyle name="Millares 6 2 3" xfId="7046"/>
    <cellStyle name="Millares 6 2 3 2" xfId="7047"/>
    <cellStyle name="Millares 6 2 4" xfId="7048"/>
    <cellStyle name="Millares 6 2 4 2" xfId="7049"/>
    <cellStyle name="Millares 6 2 5" xfId="7050"/>
    <cellStyle name="Millares 6 2 5 2" xfId="7051"/>
    <cellStyle name="Millares 6 2 6" xfId="7052"/>
    <cellStyle name="Millares 6 2 6 2" xfId="7053"/>
    <cellStyle name="Millares 6 2 7" xfId="7054"/>
    <cellStyle name="Millares 6 2 7 2" xfId="7055"/>
    <cellStyle name="Millares 6 2 8" xfId="7056"/>
    <cellStyle name="Millares 6 2 8 2" xfId="7057"/>
    <cellStyle name="Millares 6 2 9" xfId="7058"/>
    <cellStyle name="Millares 6 2 9 2" xfId="7059"/>
    <cellStyle name="Millares 6 3" xfId="7060"/>
    <cellStyle name="Millares 6 3 10" xfId="7061"/>
    <cellStyle name="Millares 6 3 10 2" xfId="7062"/>
    <cellStyle name="Millares 6 3 11" xfId="7063"/>
    <cellStyle name="Millares 6 3 2" xfId="7064"/>
    <cellStyle name="Millares 6 3 2 2" xfId="7065"/>
    <cellStyle name="Millares 6 3 3" xfId="7066"/>
    <cellStyle name="Millares 6 3 3 2" xfId="7067"/>
    <cellStyle name="Millares 6 3 4" xfId="7068"/>
    <cellStyle name="Millares 6 3 4 2" xfId="7069"/>
    <cellStyle name="Millares 6 3 5" xfId="7070"/>
    <cellStyle name="Millares 6 3 5 2" xfId="7071"/>
    <cellStyle name="Millares 6 3 6" xfId="7072"/>
    <cellStyle name="Millares 6 3 6 2" xfId="7073"/>
    <cellStyle name="Millares 6 3 7" xfId="7074"/>
    <cellStyle name="Millares 6 3 7 2" xfId="7075"/>
    <cellStyle name="Millares 6 3 8" xfId="7076"/>
    <cellStyle name="Millares 6 3 8 2" xfId="7077"/>
    <cellStyle name="Millares 6 3 9" xfId="7078"/>
    <cellStyle name="Millares 6 3 9 2" xfId="7079"/>
    <cellStyle name="Millares 6 4" xfId="7080"/>
    <cellStyle name="Millares 6 4 2" xfId="7081"/>
    <cellStyle name="Millares 6 5" xfId="7082"/>
    <cellStyle name="Millares 6 5 2" xfId="7083"/>
    <cellStyle name="Millares 6 6" xfId="7084"/>
    <cellStyle name="Millares 6 6 2" xfId="7085"/>
    <cellStyle name="Millares 6 7" xfId="7086"/>
    <cellStyle name="Millares 6 7 2" xfId="7087"/>
    <cellStyle name="Millares 6 8" xfId="7088"/>
    <cellStyle name="Millares 6 8 2" xfId="7089"/>
    <cellStyle name="Millares 6 9" xfId="7090"/>
    <cellStyle name="Millares 6 9 2" xfId="7091"/>
    <cellStyle name="Millares 7" xfId="7092"/>
    <cellStyle name="Millares 7 10" xfId="7093"/>
    <cellStyle name="Millares 7 11" xfId="7094"/>
    <cellStyle name="Millares 7 12" xfId="7095"/>
    <cellStyle name="Millares 7 2" xfId="7096"/>
    <cellStyle name="Millares 7 3" xfId="7097"/>
    <cellStyle name="Millares 7 4" xfId="7098"/>
    <cellStyle name="Millares 7 5" xfId="7099"/>
    <cellStyle name="Millares 7 6" xfId="7100"/>
    <cellStyle name="Millares 7 7" xfId="7101"/>
    <cellStyle name="Millares 7 8" xfId="7102"/>
    <cellStyle name="Millares 7 9" xfId="7103"/>
    <cellStyle name="Millares 8" xfId="7104"/>
    <cellStyle name="Millares 9" xfId="7105"/>
    <cellStyle name="Moneda 2" xfId="7106"/>
    <cellStyle name="Moneda 2 2" xfId="7107"/>
    <cellStyle name="Moneda 2 3" xfId="7108"/>
    <cellStyle name="Moneda 3" xfId="7109"/>
    <cellStyle name="Moneda 4" xfId="7110"/>
    <cellStyle name="Moneda 5" xfId="7111"/>
    <cellStyle name="Moneda 6" xfId="7112"/>
    <cellStyle name="Moneda 7" xfId="7113"/>
    <cellStyle name="Moneda 8" xfId="1130"/>
    <cellStyle name="Neutral" xfId="900" builtinId="28" customBuiltin="1"/>
    <cellStyle name="Neutral 2" xfId="1132"/>
    <cellStyle name="Neutral 2 2" xfId="1133"/>
    <cellStyle name="Neutral 2 3" xfId="1134"/>
    <cellStyle name="Neutral 2 4" xfId="7114"/>
    <cellStyle name="Neutral 3" xfId="1135"/>
    <cellStyle name="Neutral 4" xfId="7115"/>
    <cellStyle name="Neutral 5" xfId="7116"/>
    <cellStyle name="Neutral 6" xfId="7117"/>
    <cellStyle name="Neutral 7" xfId="7118"/>
    <cellStyle name="Neutral 8" xfId="1131"/>
    <cellStyle name="Normal" xfId="0" builtinId="0"/>
    <cellStyle name="Normal 10" xfId="1"/>
    <cellStyle name="Normal 10 10" xfId="7120"/>
    <cellStyle name="Normal 10 10 2" xfId="7121"/>
    <cellStyle name="Normal 10 11" xfId="7122"/>
    <cellStyle name="Normal 10 11 2" xfId="7123"/>
    <cellStyle name="Normal 10 12" xfId="7124"/>
    <cellStyle name="Normal 10 12 2" xfId="7125"/>
    <cellStyle name="Normal 10 13" xfId="7126"/>
    <cellStyle name="Normal 10 13 2" xfId="7127"/>
    <cellStyle name="Normal 10 14" xfId="7128"/>
    <cellStyle name="Normal 10 14 2" xfId="7129"/>
    <cellStyle name="Normal 10 15" xfId="7130"/>
    <cellStyle name="Normal 10 15 2" xfId="7131"/>
    <cellStyle name="Normal 10 16" xfId="7132"/>
    <cellStyle name="Normal 10 16 2" xfId="7133"/>
    <cellStyle name="Normal 10 17" xfId="7134"/>
    <cellStyle name="Normal 10 17 2" xfId="7135"/>
    <cellStyle name="Normal 10 18" xfId="7136"/>
    <cellStyle name="Normal 10 18 2" xfId="7137"/>
    <cellStyle name="Normal 10 19" xfId="7138"/>
    <cellStyle name="Normal 10 2" xfId="2"/>
    <cellStyle name="Normal 10 2 2" xfId="3"/>
    <cellStyle name="Normal 10 20" xfId="7119"/>
    <cellStyle name="Normal 10 3" xfId="4"/>
    <cellStyle name="Normal 10 3 2" xfId="5"/>
    <cellStyle name="Normal 10 4" xfId="6"/>
    <cellStyle name="Normal 10 4 2" xfId="7"/>
    <cellStyle name="Normal 10 5" xfId="8"/>
    <cellStyle name="Normal 10 5 2" xfId="9"/>
    <cellStyle name="Normal 10 6" xfId="10"/>
    <cellStyle name="Normal 10 6 2" xfId="11"/>
    <cellStyle name="Normal 10 7" xfId="12"/>
    <cellStyle name="Normal 10 8" xfId="7139"/>
    <cellStyle name="Normal 10 8 10" xfId="7140"/>
    <cellStyle name="Normal 10 8 10 2" xfId="7141"/>
    <cellStyle name="Normal 10 8 11" xfId="7142"/>
    <cellStyle name="Normal 10 8 11 2" xfId="7143"/>
    <cellStyle name="Normal 10 8 12" xfId="7144"/>
    <cellStyle name="Normal 10 8 2" xfId="7145"/>
    <cellStyle name="Normal 10 8 2 10" xfId="7146"/>
    <cellStyle name="Normal 10 8 2 10 2" xfId="7147"/>
    <cellStyle name="Normal 10 8 2 11" xfId="7148"/>
    <cellStyle name="Normal 10 8 2 2" xfId="7149"/>
    <cellStyle name="Normal 10 8 2 2 2" xfId="7150"/>
    <cellStyle name="Normal 10 8 2 3" xfId="7151"/>
    <cellStyle name="Normal 10 8 2 3 2" xfId="7152"/>
    <cellStyle name="Normal 10 8 2 4" xfId="7153"/>
    <cellStyle name="Normal 10 8 2 4 2" xfId="7154"/>
    <cellStyle name="Normal 10 8 2 5" xfId="7155"/>
    <cellStyle name="Normal 10 8 2 5 2" xfId="7156"/>
    <cellStyle name="Normal 10 8 2 6" xfId="7157"/>
    <cellStyle name="Normal 10 8 2 6 2" xfId="7158"/>
    <cellStyle name="Normal 10 8 2 7" xfId="7159"/>
    <cellStyle name="Normal 10 8 2 7 2" xfId="7160"/>
    <cellStyle name="Normal 10 8 2 8" xfId="7161"/>
    <cellStyle name="Normal 10 8 2 8 2" xfId="7162"/>
    <cellStyle name="Normal 10 8 2 9" xfId="7163"/>
    <cellStyle name="Normal 10 8 2 9 2" xfId="7164"/>
    <cellStyle name="Normal 10 8 3" xfId="7165"/>
    <cellStyle name="Normal 10 8 3 2" xfId="7166"/>
    <cellStyle name="Normal 10 8 4" xfId="7167"/>
    <cellStyle name="Normal 10 8 4 2" xfId="7168"/>
    <cellStyle name="Normal 10 8 5" xfId="7169"/>
    <cellStyle name="Normal 10 8 5 2" xfId="7170"/>
    <cellStyle name="Normal 10 8 6" xfId="7171"/>
    <cellStyle name="Normal 10 8 6 2" xfId="7172"/>
    <cellStyle name="Normal 10 8 7" xfId="7173"/>
    <cellStyle name="Normal 10 8 7 2" xfId="7174"/>
    <cellStyle name="Normal 10 8 8" xfId="7175"/>
    <cellStyle name="Normal 10 8 8 2" xfId="7176"/>
    <cellStyle name="Normal 10 8 9" xfId="7177"/>
    <cellStyle name="Normal 10 8 9 2" xfId="7178"/>
    <cellStyle name="Normal 10 9" xfId="7179"/>
    <cellStyle name="Normal 10 9 10" xfId="7180"/>
    <cellStyle name="Normal 10 9 10 2" xfId="7181"/>
    <cellStyle name="Normal 10 9 11" xfId="7182"/>
    <cellStyle name="Normal 10 9 2" xfId="7183"/>
    <cellStyle name="Normal 10 9 2 2" xfId="7184"/>
    <cellStyle name="Normal 10 9 3" xfId="7185"/>
    <cellStyle name="Normal 10 9 3 2" xfId="7186"/>
    <cellStyle name="Normal 10 9 4" xfId="7187"/>
    <cellStyle name="Normal 10 9 4 2" xfId="7188"/>
    <cellStyle name="Normal 10 9 5" xfId="7189"/>
    <cellStyle name="Normal 10 9 5 2" xfId="7190"/>
    <cellStyle name="Normal 10 9 6" xfId="7191"/>
    <cellStyle name="Normal 10 9 6 2" xfId="7192"/>
    <cellStyle name="Normal 10 9 7" xfId="7193"/>
    <cellStyle name="Normal 10 9 7 2" xfId="7194"/>
    <cellStyle name="Normal 10 9 8" xfId="7195"/>
    <cellStyle name="Normal 10 9 8 2" xfId="7196"/>
    <cellStyle name="Normal 10 9 9" xfId="7197"/>
    <cellStyle name="Normal 10 9 9 2" xfId="7198"/>
    <cellStyle name="Normal 11" xfId="13"/>
    <cellStyle name="Normal 11 2" xfId="14"/>
    <cellStyle name="Normal 11 2 10" xfId="7199"/>
    <cellStyle name="Normal 11 2 11" xfId="7200"/>
    <cellStyle name="Normal 11 2 12" xfId="7201"/>
    <cellStyle name="Normal 11 2 13" xfId="7202"/>
    <cellStyle name="Normal 11 2 14" xfId="7203"/>
    <cellStyle name="Normal 11 2 15" xfId="7204"/>
    <cellStyle name="Normal 11 2 2" xfId="15"/>
    <cellStyle name="Normal 11 2 3" xfId="7205"/>
    <cellStyle name="Normal 11 2 4" xfId="7206"/>
    <cellStyle name="Normal 11 2 5" xfId="7207"/>
    <cellStyle name="Normal 11 2 6" xfId="7208"/>
    <cellStyle name="Normal 11 2 7" xfId="7209"/>
    <cellStyle name="Normal 11 2 8" xfId="7210"/>
    <cellStyle name="Normal 11 2 9" xfId="7211"/>
    <cellStyle name="Normal 11 3" xfId="16"/>
    <cellStyle name="Normal 11 3 10" xfId="7212"/>
    <cellStyle name="Normal 11 3 11" xfId="7213"/>
    <cellStyle name="Normal 11 3 12" xfId="7214"/>
    <cellStyle name="Normal 11 3 13" xfId="7215"/>
    <cellStyle name="Normal 11 3 14" xfId="7216"/>
    <cellStyle name="Normal 11 3 2" xfId="17"/>
    <cellStyle name="Normal 11 3 3" xfId="7217"/>
    <cellStyle name="Normal 11 3 4" xfId="7218"/>
    <cellStyle name="Normal 11 3 5" xfId="7219"/>
    <cellStyle name="Normal 11 3 6" xfId="7220"/>
    <cellStyle name="Normal 11 3 7" xfId="7221"/>
    <cellStyle name="Normal 11 3 8" xfId="7222"/>
    <cellStyle name="Normal 11 3 9" xfId="7223"/>
    <cellStyle name="Normal 11 4" xfId="18"/>
    <cellStyle name="Normal 11 4 2" xfId="19"/>
    <cellStyle name="Normal 11 5" xfId="20"/>
    <cellStyle name="Normal 11 5 2" xfId="21"/>
    <cellStyle name="Normal 11 6" xfId="22"/>
    <cellStyle name="Normal 11 6 2" xfId="23"/>
    <cellStyle name="Normal 11 7" xfId="24"/>
    <cellStyle name="Normal 12" xfId="25"/>
    <cellStyle name="Normal 12 2" xfId="26"/>
    <cellStyle name="Normal 12 2 10" xfId="7224"/>
    <cellStyle name="Normal 12 2 11" xfId="7225"/>
    <cellStyle name="Normal 12 2 12" xfId="7226"/>
    <cellStyle name="Normal 12 2 13" xfId="7227"/>
    <cellStyle name="Normal 12 2 14" xfId="7228"/>
    <cellStyle name="Normal 12 2 15" xfId="7229"/>
    <cellStyle name="Normal 12 2 2" xfId="27"/>
    <cellStyle name="Normal 12 2 3" xfId="7230"/>
    <cellStyle name="Normal 12 2 4" xfId="7231"/>
    <cellStyle name="Normal 12 2 5" xfId="7232"/>
    <cellStyle name="Normal 12 2 6" xfId="7233"/>
    <cellStyle name="Normal 12 2 7" xfId="7234"/>
    <cellStyle name="Normal 12 2 8" xfId="7235"/>
    <cellStyle name="Normal 12 2 9" xfId="7236"/>
    <cellStyle name="Normal 12 3" xfId="28"/>
    <cellStyle name="Normal 12 3 10" xfId="7237"/>
    <cellStyle name="Normal 12 3 11" xfId="7238"/>
    <cellStyle name="Normal 12 3 12" xfId="7239"/>
    <cellStyle name="Normal 12 3 13" xfId="7240"/>
    <cellStyle name="Normal 12 3 14" xfId="7241"/>
    <cellStyle name="Normal 12 3 2" xfId="7242"/>
    <cellStyle name="Normal 12 3 3" xfId="7243"/>
    <cellStyle name="Normal 12 3 4" xfId="7244"/>
    <cellStyle name="Normal 12 3 5" xfId="7245"/>
    <cellStyle name="Normal 12 3 6" xfId="7246"/>
    <cellStyle name="Normal 12 3 7" xfId="7247"/>
    <cellStyle name="Normal 12 3 8" xfId="7248"/>
    <cellStyle name="Normal 12 3 9" xfId="7249"/>
    <cellStyle name="Normal 13" xfId="29"/>
    <cellStyle name="Normal 13 2" xfId="30"/>
    <cellStyle name="Normal 13 2 2" xfId="31"/>
    <cellStyle name="Normal 13 3" xfId="32"/>
    <cellStyle name="Normal 14" xfId="33"/>
    <cellStyle name="Normal 14 10" xfId="7251"/>
    <cellStyle name="Normal 14 10 2" xfId="7252"/>
    <cellStyle name="Normal 14 11" xfId="7253"/>
    <cellStyle name="Normal 14 11 2" xfId="7254"/>
    <cellStyle name="Normal 14 12" xfId="7255"/>
    <cellStyle name="Normal 14 12 2" xfId="7256"/>
    <cellStyle name="Normal 14 13" xfId="7257"/>
    <cellStyle name="Normal 14 13 2" xfId="7258"/>
    <cellStyle name="Normal 14 14" xfId="7259"/>
    <cellStyle name="Normal 14 14 2" xfId="7260"/>
    <cellStyle name="Normal 14 15" xfId="7261"/>
    <cellStyle name="Normal 14 16" xfId="7250"/>
    <cellStyle name="Normal 14 2" xfId="34"/>
    <cellStyle name="Normal 14 2 2" xfId="35"/>
    <cellStyle name="Normal 14 3" xfId="36"/>
    <cellStyle name="Normal 14 4" xfId="7262"/>
    <cellStyle name="Normal 14 4 10" xfId="7263"/>
    <cellStyle name="Normal 14 4 10 2" xfId="7264"/>
    <cellStyle name="Normal 14 4 11" xfId="7265"/>
    <cellStyle name="Normal 14 4 11 2" xfId="7266"/>
    <cellStyle name="Normal 14 4 12" xfId="7267"/>
    <cellStyle name="Normal 14 4 2" xfId="7268"/>
    <cellStyle name="Normal 14 4 2 10" xfId="7269"/>
    <cellStyle name="Normal 14 4 2 10 2" xfId="7270"/>
    <cellStyle name="Normal 14 4 2 11" xfId="7271"/>
    <cellStyle name="Normal 14 4 2 2" xfId="7272"/>
    <cellStyle name="Normal 14 4 2 2 2" xfId="7273"/>
    <cellStyle name="Normal 14 4 2 3" xfId="7274"/>
    <cellStyle name="Normal 14 4 2 3 2" xfId="7275"/>
    <cellStyle name="Normal 14 4 2 4" xfId="7276"/>
    <cellStyle name="Normal 14 4 2 4 2" xfId="7277"/>
    <cellStyle name="Normal 14 4 2 5" xfId="7278"/>
    <cellStyle name="Normal 14 4 2 5 2" xfId="7279"/>
    <cellStyle name="Normal 14 4 2 6" xfId="7280"/>
    <cellStyle name="Normal 14 4 2 6 2" xfId="7281"/>
    <cellStyle name="Normal 14 4 2 7" xfId="7282"/>
    <cellStyle name="Normal 14 4 2 7 2" xfId="7283"/>
    <cellStyle name="Normal 14 4 2 8" xfId="7284"/>
    <cellStyle name="Normal 14 4 2 8 2" xfId="7285"/>
    <cellStyle name="Normal 14 4 2 9" xfId="7286"/>
    <cellStyle name="Normal 14 4 2 9 2" xfId="7287"/>
    <cellStyle name="Normal 14 4 3" xfId="7288"/>
    <cellStyle name="Normal 14 4 3 2" xfId="7289"/>
    <cellStyle name="Normal 14 4 4" xfId="7290"/>
    <cellStyle name="Normal 14 4 4 2" xfId="7291"/>
    <cellStyle name="Normal 14 4 5" xfId="7292"/>
    <cellStyle name="Normal 14 4 5 2" xfId="7293"/>
    <cellStyle name="Normal 14 4 6" xfId="7294"/>
    <cellStyle name="Normal 14 4 6 2" xfId="7295"/>
    <cellStyle name="Normal 14 4 7" xfId="7296"/>
    <cellStyle name="Normal 14 4 7 2" xfId="7297"/>
    <cellStyle name="Normal 14 4 8" xfId="7298"/>
    <cellStyle name="Normal 14 4 8 2" xfId="7299"/>
    <cellStyle name="Normal 14 4 9" xfId="7300"/>
    <cellStyle name="Normal 14 4 9 2" xfId="7301"/>
    <cellStyle name="Normal 14 5" xfId="7302"/>
    <cellStyle name="Normal 14 5 10" xfId="7303"/>
    <cellStyle name="Normal 14 5 10 2" xfId="7304"/>
    <cellStyle name="Normal 14 5 11" xfId="7305"/>
    <cellStyle name="Normal 14 5 2" xfId="7306"/>
    <cellStyle name="Normal 14 5 2 2" xfId="7307"/>
    <cellStyle name="Normal 14 5 3" xfId="7308"/>
    <cellStyle name="Normal 14 5 3 2" xfId="7309"/>
    <cellStyle name="Normal 14 5 4" xfId="7310"/>
    <cellStyle name="Normal 14 5 4 2" xfId="7311"/>
    <cellStyle name="Normal 14 5 5" xfId="7312"/>
    <cellStyle name="Normal 14 5 5 2" xfId="7313"/>
    <cellStyle name="Normal 14 5 6" xfId="7314"/>
    <cellStyle name="Normal 14 5 6 2" xfId="7315"/>
    <cellStyle name="Normal 14 5 7" xfId="7316"/>
    <cellStyle name="Normal 14 5 7 2" xfId="7317"/>
    <cellStyle name="Normal 14 5 8" xfId="7318"/>
    <cellStyle name="Normal 14 5 8 2" xfId="7319"/>
    <cellStyle name="Normal 14 5 9" xfId="7320"/>
    <cellStyle name="Normal 14 5 9 2" xfId="7321"/>
    <cellStyle name="Normal 14 6" xfId="7322"/>
    <cellStyle name="Normal 14 6 2" xfId="7323"/>
    <cellStyle name="Normal 14 7" xfId="7324"/>
    <cellStyle name="Normal 14 7 2" xfId="7325"/>
    <cellStyle name="Normal 14 8" xfId="7326"/>
    <cellStyle name="Normal 14 8 2" xfId="7327"/>
    <cellStyle name="Normal 14 9" xfId="7328"/>
    <cellStyle name="Normal 14 9 2" xfId="7329"/>
    <cellStyle name="Normal 15" xfId="37"/>
    <cellStyle name="Normal 15 10" xfId="7331"/>
    <cellStyle name="Normal 15 10 2" xfId="7332"/>
    <cellStyle name="Normal 15 11" xfId="7333"/>
    <cellStyle name="Normal 15 11 2" xfId="7334"/>
    <cellStyle name="Normal 15 12" xfId="7335"/>
    <cellStyle name="Normal 15 12 2" xfId="7336"/>
    <cellStyle name="Normal 15 13" xfId="7337"/>
    <cellStyle name="Normal 15 13 2" xfId="7338"/>
    <cellStyle name="Normal 15 14" xfId="7339"/>
    <cellStyle name="Normal 15 14 2" xfId="7340"/>
    <cellStyle name="Normal 15 15" xfId="7341"/>
    <cellStyle name="Normal 15 16" xfId="7330"/>
    <cellStyle name="Normal 15 2" xfId="38"/>
    <cellStyle name="Normal 15 2 2" xfId="39"/>
    <cellStyle name="Normal 15 3" xfId="40"/>
    <cellStyle name="Normal 15 4" xfId="7342"/>
    <cellStyle name="Normal 15 4 10" xfId="7343"/>
    <cellStyle name="Normal 15 4 10 2" xfId="7344"/>
    <cellStyle name="Normal 15 4 11" xfId="7345"/>
    <cellStyle name="Normal 15 4 11 2" xfId="7346"/>
    <cellStyle name="Normal 15 4 12" xfId="7347"/>
    <cellStyle name="Normal 15 4 2" xfId="7348"/>
    <cellStyle name="Normal 15 4 2 10" xfId="7349"/>
    <cellStyle name="Normal 15 4 2 10 2" xfId="7350"/>
    <cellStyle name="Normal 15 4 2 11" xfId="7351"/>
    <cellStyle name="Normal 15 4 2 2" xfId="7352"/>
    <cellStyle name="Normal 15 4 2 2 2" xfId="7353"/>
    <cellStyle name="Normal 15 4 2 3" xfId="7354"/>
    <cellStyle name="Normal 15 4 2 3 2" xfId="7355"/>
    <cellStyle name="Normal 15 4 2 4" xfId="7356"/>
    <cellStyle name="Normal 15 4 2 4 2" xfId="7357"/>
    <cellStyle name="Normal 15 4 2 5" xfId="7358"/>
    <cellStyle name="Normal 15 4 2 5 2" xfId="7359"/>
    <cellStyle name="Normal 15 4 2 6" xfId="7360"/>
    <cellStyle name="Normal 15 4 2 6 2" xfId="7361"/>
    <cellStyle name="Normal 15 4 2 7" xfId="7362"/>
    <cellStyle name="Normal 15 4 2 7 2" xfId="7363"/>
    <cellStyle name="Normal 15 4 2 8" xfId="7364"/>
    <cellStyle name="Normal 15 4 2 8 2" xfId="7365"/>
    <cellStyle name="Normal 15 4 2 9" xfId="7366"/>
    <cellStyle name="Normal 15 4 2 9 2" xfId="7367"/>
    <cellStyle name="Normal 15 4 3" xfId="7368"/>
    <cellStyle name="Normal 15 4 3 2" xfId="7369"/>
    <cellStyle name="Normal 15 4 4" xfId="7370"/>
    <cellStyle name="Normal 15 4 4 2" xfId="7371"/>
    <cellStyle name="Normal 15 4 5" xfId="7372"/>
    <cellStyle name="Normal 15 4 5 2" xfId="7373"/>
    <cellStyle name="Normal 15 4 6" xfId="7374"/>
    <cellStyle name="Normal 15 4 6 2" xfId="7375"/>
    <cellStyle name="Normal 15 4 7" xfId="7376"/>
    <cellStyle name="Normal 15 4 7 2" xfId="7377"/>
    <cellStyle name="Normal 15 4 8" xfId="7378"/>
    <cellStyle name="Normal 15 4 8 2" xfId="7379"/>
    <cellStyle name="Normal 15 4 9" xfId="7380"/>
    <cellStyle name="Normal 15 4 9 2" xfId="7381"/>
    <cellStyle name="Normal 15 5" xfId="7382"/>
    <cellStyle name="Normal 15 5 10" xfId="7383"/>
    <cellStyle name="Normal 15 5 10 2" xfId="7384"/>
    <cellStyle name="Normal 15 5 11" xfId="7385"/>
    <cellStyle name="Normal 15 5 2" xfId="7386"/>
    <cellStyle name="Normal 15 5 2 2" xfId="7387"/>
    <cellStyle name="Normal 15 5 3" xfId="7388"/>
    <cellStyle name="Normal 15 5 3 2" xfId="7389"/>
    <cellStyle name="Normal 15 5 4" xfId="7390"/>
    <cellStyle name="Normal 15 5 4 2" xfId="7391"/>
    <cellStyle name="Normal 15 5 5" xfId="7392"/>
    <cellStyle name="Normal 15 5 5 2" xfId="7393"/>
    <cellStyle name="Normal 15 5 6" xfId="7394"/>
    <cellStyle name="Normal 15 5 6 2" xfId="7395"/>
    <cellStyle name="Normal 15 5 7" xfId="7396"/>
    <cellStyle name="Normal 15 5 7 2" xfId="7397"/>
    <cellStyle name="Normal 15 5 8" xfId="7398"/>
    <cellStyle name="Normal 15 5 8 2" xfId="7399"/>
    <cellStyle name="Normal 15 5 9" xfId="7400"/>
    <cellStyle name="Normal 15 5 9 2" xfId="7401"/>
    <cellStyle name="Normal 15 6" xfId="7402"/>
    <cellStyle name="Normal 15 6 2" xfId="7403"/>
    <cellStyle name="Normal 15 7" xfId="7404"/>
    <cellStyle name="Normal 15 7 2" xfId="7405"/>
    <cellStyle name="Normal 15 8" xfId="7406"/>
    <cellStyle name="Normal 15 8 2" xfId="7407"/>
    <cellStyle name="Normal 15 9" xfId="7408"/>
    <cellStyle name="Normal 15 9 2" xfId="7409"/>
    <cellStyle name="Normal 16" xfId="41"/>
    <cellStyle name="Normal 16 10" xfId="7410"/>
    <cellStyle name="Normal 16 11" xfId="7411"/>
    <cellStyle name="Normal 16 12" xfId="7412"/>
    <cellStyle name="Normal 16 13" xfId="7413"/>
    <cellStyle name="Normal 16 14" xfId="7414"/>
    <cellStyle name="Normal 16 15" xfId="7415"/>
    <cellStyle name="Normal 16 2" xfId="42"/>
    <cellStyle name="Normal 16 3" xfId="7416"/>
    <cellStyle name="Normal 16 4" xfId="7417"/>
    <cellStyle name="Normal 16 5" xfId="7418"/>
    <cellStyle name="Normal 16 6" xfId="7419"/>
    <cellStyle name="Normal 16 7" xfId="7420"/>
    <cellStyle name="Normal 16 8" xfId="7421"/>
    <cellStyle name="Normal 16 9" xfId="7422"/>
    <cellStyle name="Normal 17" xfId="43"/>
    <cellStyle name="Normal 17 10" xfId="7424"/>
    <cellStyle name="Normal 17 10 2" xfId="7425"/>
    <cellStyle name="Normal 17 11" xfId="7426"/>
    <cellStyle name="Normal 17 11 2" xfId="7427"/>
    <cellStyle name="Normal 17 12" xfId="7428"/>
    <cellStyle name="Normal 17 12 2" xfId="7429"/>
    <cellStyle name="Normal 17 13" xfId="7430"/>
    <cellStyle name="Normal 17 14" xfId="7423"/>
    <cellStyle name="Normal 17 2" xfId="44"/>
    <cellStyle name="Normal 17 2 10" xfId="7432"/>
    <cellStyle name="Normal 17 2 10 2" xfId="7433"/>
    <cellStyle name="Normal 17 2 11" xfId="7434"/>
    <cellStyle name="Normal 17 2 11 2" xfId="7435"/>
    <cellStyle name="Normal 17 2 12" xfId="7436"/>
    <cellStyle name="Normal 17 2 13" xfId="7431"/>
    <cellStyle name="Normal 17 2 2" xfId="7437"/>
    <cellStyle name="Normal 17 2 2 10" xfId="7438"/>
    <cellStyle name="Normal 17 2 2 10 2" xfId="7439"/>
    <cellStyle name="Normal 17 2 2 11" xfId="7440"/>
    <cellStyle name="Normal 17 2 2 2" xfId="7441"/>
    <cellStyle name="Normal 17 2 2 2 2" xfId="7442"/>
    <cellStyle name="Normal 17 2 2 3" xfId="7443"/>
    <cellStyle name="Normal 17 2 2 3 2" xfId="7444"/>
    <cellStyle name="Normal 17 2 2 4" xfId="7445"/>
    <cellStyle name="Normal 17 2 2 4 2" xfId="7446"/>
    <cellStyle name="Normal 17 2 2 5" xfId="7447"/>
    <cellStyle name="Normal 17 2 2 5 2" xfId="7448"/>
    <cellStyle name="Normal 17 2 2 6" xfId="7449"/>
    <cellStyle name="Normal 17 2 2 6 2" xfId="7450"/>
    <cellStyle name="Normal 17 2 2 7" xfId="7451"/>
    <cellStyle name="Normal 17 2 2 7 2" xfId="7452"/>
    <cellStyle name="Normal 17 2 2 8" xfId="7453"/>
    <cellStyle name="Normal 17 2 2 8 2" xfId="7454"/>
    <cellStyle name="Normal 17 2 2 9" xfId="7455"/>
    <cellStyle name="Normal 17 2 2 9 2" xfId="7456"/>
    <cellStyle name="Normal 17 2 3" xfId="7457"/>
    <cellStyle name="Normal 17 2 3 2" xfId="7458"/>
    <cellStyle name="Normal 17 2 4" xfId="7459"/>
    <cellStyle name="Normal 17 2 4 2" xfId="7460"/>
    <cellStyle name="Normal 17 2 5" xfId="7461"/>
    <cellStyle name="Normal 17 2 5 2" xfId="7462"/>
    <cellStyle name="Normal 17 2 6" xfId="7463"/>
    <cellStyle name="Normal 17 2 6 2" xfId="7464"/>
    <cellStyle name="Normal 17 2 7" xfId="7465"/>
    <cellStyle name="Normal 17 2 7 2" xfId="7466"/>
    <cellStyle name="Normal 17 2 8" xfId="7467"/>
    <cellStyle name="Normal 17 2 8 2" xfId="7468"/>
    <cellStyle name="Normal 17 2 9" xfId="7469"/>
    <cellStyle name="Normal 17 2 9 2" xfId="7470"/>
    <cellStyle name="Normal 17 3" xfId="7471"/>
    <cellStyle name="Normal 17 3 10" xfId="7472"/>
    <cellStyle name="Normal 17 3 10 2" xfId="7473"/>
    <cellStyle name="Normal 17 3 11" xfId="7474"/>
    <cellStyle name="Normal 17 3 2" xfId="7475"/>
    <cellStyle name="Normal 17 3 2 2" xfId="7476"/>
    <cellStyle name="Normal 17 3 3" xfId="7477"/>
    <cellStyle name="Normal 17 3 3 2" xfId="7478"/>
    <cellStyle name="Normal 17 3 4" xfId="7479"/>
    <cellStyle name="Normal 17 3 4 2" xfId="7480"/>
    <cellStyle name="Normal 17 3 5" xfId="7481"/>
    <cellStyle name="Normal 17 3 5 2" xfId="7482"/>
    <cellStyle name="Normal 17 3 6" xfId="7483"/>
    <cellStyle name="Normal 17 3 6 2" xfId="7484"/>
    <cellStyle name="Normal 17 3 7" xfId="7485"/>
    <cellStyle name="Normal 17 3 7 2" xfId="7486"/>
    <cellStyle name="Normal 17 3 8" xfId="7487"/>
    <cellStyle name="Normal 17 3 8 2" xfId="7488"/>
    <cellStyle name="Normal 17 3 9" xfId="7489"/>
    <cellStyle name="Normal 17 3 9 2" xfId="7490"/>
    <cellStyle name="Normal 17 4" xfId="7491"/>
    <cellStyle name="Normal 17 4 2" xfId="7492"/>
    <cellStyle name="Normal 17 5" xfId="7493"/>
    <cellStyle name="Normal 17 5 2" xfId="7494"/>
    <cellStyle name="Normal 17 6" xfId="7495"/>
    <cellStyle name="Normal 17 6 2" xfId="7496"/>
    <cellStyle name="Normal 17 7" xfId="7497"/>
    <cellStyle name="Normal 17 7 2" xfId="7498"/>
    <cellStyle name="Normal 17 8" xfId="7499"/>
    <cellStyle name="Normal 17 8 2" xfId="7500"/>
    <cellStyle name="Normal 17 9" xfId="7501"/>
    <cellStyle name="Normal 17 9 2" xfId="7502"/>
    <cellStyle name="Normal 18" xfId="45"/>
    <cellStyle name="Normal 18 10" xfId="7503"/>
    <cellStyle name="Normal 18 11" xfId="7504"/>
    <cellStyle name="Normal 18 12" xfId="7505"/>
    <cellStyle name="Normal 18 13" xfId="7506"/>
    <cellStyle name="Normal 18 14" xfId="7507"/>
    <cellStyle name="Normal 18 15" xfId="7508"/>
    <cellStyle name="Normal 18 16" xfId="7509"/>
    <cellStyle name="Normal 18 2" xfId="46"/>
    <cellStyle name="Normal 18 2 10" xfId="7510"/>
    <cellStyle name="Normal 18 2 11" xfId="7511"/>
    <cellStyle name="Normal 18 2 12" xfId="7512"/>
    <cellStyle name="Normal 18 2 13" xfId="7513"/>
    <cellStyle name="Normal 18 2 14" xfId="7514"/>
    <cellStyle name="Normal 18 2 2" xfId="7515"/>
    <cellStyle name="Normal 18 2 3" xfId="7516"/>
    <cellStyle name="Normal 18 2 4" xfId="7517"/>
    <cellStyle name="Normal 18 2 5" xfId="7518"/>
    <cellStyle name="Normal 18 2 6" xfId="7519"/>
    <cellStyle name="Normal 18 2 7" xfId="7520"/>
    <cellStyle name="Normal 18 2 8" xfId="7521"/>
    <cellStyle name="Normal 18 2 9" xfId="7522"/>
    <cellStyle name="Normal 18 3" xfId="7523"/>
    <cellStyle name="Normal 18 4" xfId="7524"/>
    <cellStyle name="Normal 18 5" xfId="7525"/>
    <cellStyle name="Normal 18 6" xfId="7526"/>
    <cellStyle name="Normal 18 7" xfId="7527"/>
    <cellStyle name="Normal 18 8" xfId="7528"/>
    <cellStyle name="Normal 18 9" xfId="7529"/>
    <cellStyle name="Normal 19" xfId="47"/>
    <cellStyle name="Normal 19 10" xfId="7530"/>
    <cellStyle name="Normal 19 11" xfId="7531"/>
    <cellStyle name="Normal 19 12" xfId="7532"/>
    <cellStyle name="Normal 19 13" xfId="7533"/>
    <cellStyle name="Normal 19 14" xfId="7534"/>
    <cellStyle name="Normal 19 15" xfId="7535"/>
    <cellStyle name="Normal 19 2" xfId="48"/>
    <cellStyle name="Normal 19 3" xfId="7536"/>
    <cellStyle name="Normal 19 4" xfId="7537"/>
    <cellStyle name="Normal 19 5" xfId="7538"/>
    <cellStyle name="Normal 19 6" xfId="7539"/>
    <cellStyle name="Normal 19 7" xfId="7540"/>
    <cellStyle name="Normal 19 8" xfId="7541"/>
    <cellStyle name="Normal 19 9" xfId="7542"/>
    <cellStyle name="Normal 2" xfId="49"/>
    <cellStyle name="Normal 2 10" xfId="50"/>
    <cellStyle name="Normal 2 10 10" xfId="7543"/>
    <cellStyle name="Normal 2 10 10 2" xfId="7544"/>
    <cellStyle name="Normal 2 10 11" xfId="7545"/>
    <cellStyle name="Normal 2 10 11 2" xfId="7546"/>
    <cellStyle name="Normal 2 10 12" xfId="7547"/>
    <cellStyle name="Normal 2 10 12 2" xfId="7548"/>
    <cellStyle name="Normal 2 10 13" xfId="7549"/>
    <cellStyle name="Normal 2 10 2" xfId="7550"/>
    <cellStyle name="Normal 2 10 2 10" xfId="7551"/>
    <cellStyle name="Normal 2 10 2 10 2" xfId="7552"/>
    <cellStyle name="Normal 2 10 2 11" xfId="7553"/>
    <cellStyle name="Normal 2 10 2 11 2" xfId="7554"/>
    <cellStyle name="Normal 2 10 2 12" xfId="7555"/>
    <cellStyle name="Normal 2 10 2 2" xfId="7556"/>
    <cellStyle name="Normal 2 10 2 2 10" xfId="7557"/>
    <cellStyle name="Normal 2 10 2 2 10 2" xfId="7558"/>
    <cellStyle name="Normal 2 10 2 2 11" xfId="7559"/>
    <cellStyle name="Normal 2 10 2 2 2" xfId="7560"/>
    <cellStyle name="Normal 2 10 2 2 2 2" xfId="7561"/>
    <cellStyle name="Normal 2 10 2 2 3" xfId="7562"/>
    <cellStyle name="Normal 2 10 2 2 3 2" xfId="7563"/>
    <cellStyle name="Normal 2 10 2 2 4" xfId="7564"/>
    <cellStyle name="Normal 2 10 2 2 4 2" xfId="7565"/>
    <cellStyle name="Normal 2 10 2 2 5" xfId="7566"/>
    <cellStyle name="Normal 2 10 2 2 5 2" xfId="7567"/>
    <cellStyle name="Normal 2 10 2 2 6" xfId="7568"/>
    <cellStyle name="Normal 2 10 2 2 6 2" xfId="7569"/>
    <cellStyle name="Normal 2 10 2 2 7" xfId="7570"/>
    <cellStyle name="Normal 2 10 2 2 7 2" xfId="7571"/>
    <cellStyle name="Normal 2 10 2 2 8" xfId="7572"/>
    <cellStyle name="Normal 2 10 2 2 8 2" xfId="7573"/>
    <cellStyle name="Normal 2 10 2 2 9" xfId="7574"/>
    <cellStyle name="Normal 2 10 2 2 9 2" xfId="7575"/>
    <cellStyle name="Normal 2 10 2 3" xfId="7576"/>
    <cellStyle name="Normal 2 10 2 3 2" xfId="7577"/>
    <cellStyle name="Normal 2 10 2 4" xfId="7578"/>
    <cellStyle name="Normal 2 10 2 4 2" xfId="7579"/>
    <cellStyle name="Normal 2 10 2 5" xfId="7580"/>
    <cellStyle name="Normal 2 10 2 5 2" xfId="7581"/>
    <cellStyle name="Normal 2 10 2 6" xfId="7582"/>
    <cellStyle name="Normal 2 10 2 6 2" xfId="7583"/>
    <cellStyle name="Normal 2 10 2 7" xfId="7584"/>
    <cellStyle name="Normal 2 10 2 7 2" xfId="7585"/>
    <cellStyle name="Normal 2 10 2 8" xfId="7586"/>
    <cellStyle name="Normal 2 10 2 8 2" xfId="7587"/>
    <cellStyle name="Normal 2 10 2 9" xfId="7588"/>
    <cellStyle name="Normal 2 10 2 9 2" xfId="7589"/>
    <cellStyle name="Normal 2 10 3" xfId="7590"/>
    <cellStyle name="Normal 2 10 3 10" xfId="7591"/>
    <cellStyle name="Normal 2 10 3 10 2" xfId="7592"/>
    <cellStyle name="Normal 2 10 3 11" xfId="7593"/>
    <cellStyle name="Normal 2 10 3 2" xfId="7594"/>
    <cellStyle name="Normal 2 10 3 2 2" xfId="7595"/>
    <cellStyle name="Normal 2 10 3 3" xfId="7596"/>
    <cellStyle name="Normal 2 10 3 3 2" xfId="7597"/>
    <cellStyle name="Normal 2 10 3 4" xfId="7598"/>
    <cellStyle name="Normal 2 10 3 4 2" xfId="7599"/>
    <cellStyle name="Normal 2 10 3 5" xfId="7600"/>
    <cellStyle name="Normal 2 10 3 5 2" xfId="7601"/>
    <cellStyle name="Normal 2 10 3 6" xfId="7602"/>
    <cellStyle name="Normal 2 10 3 6 2" xfId="7603"/>
    <cellStyle name="Normal 2 10 3 7" xfId="7604"/>
    <cellStyle name="Normal 2 10 3 7 2" xfId="7605"/>
    <cellStyle name="Normal 2 10 3 8" xfId="7606"/>
    <cellStyle name="Normal 2 10 3 8 2" xfId="7607"/>
    <cellStyle name="Normal 2 10 3 9" xfId="7608"/>
    <cellStyle name="Normal 2 10 3 9 2" xfId="7609"/>
    <cellStyle name="Normal 2 10 4" xfId="7610"/>
    <cellStyle name="Normal 2 10 4 2" xfId="7611"/>
    <cellStyle name="Normal 2 10 5" xfId="7612"/>
    <cellStyle name="Normal 2 10 5 2" xfId="7613"/>
    <cellStyle name="Normal 2 10 6" xfId="7614"/>
    <cellStyle name="Normal 2 10 6 2" xfId="7615"/>
    <cellStyle name="Normal 2 10 7" xfId="7616"/>
    <cellStyle name="Normal 2 10 7 2" xfId="7617"/>
    <cellStyle name="Normal 2 10 8" xfId="7618"/>
    <cellStyle name="Normal 2 10 8 2" xfId="7619"/>
    <cellStyle name="Normal 2 10 9" xfId="7620"/>
    <cellStyle name="Normal 2 10 9 2" xfId="7621"/>
    <cellStyle name="Normal 2 11" xfId="51"/>
    <cellStyle name="Normal 2 11 2" xfId="52"/>
    <cellStyle name="Normal 2 11 2 10" xfId="7622"/>
    <cellStyle name="Normal 2 11 2 10 2" xfId="7623"/>
    <cellStyle name="Normal 2 11 2 11" xfId="7624"/>
    <cellStyle name="Normal 2 11 2 11 2" xfId="7625"/>
    <cellStyle name="Normal 2 11 2 12" xfId="7626"/>
    <cellStyle name="Normal 2 11 2 12 2" xfId="7627"/>
    <cellStyle name="Normal 2 11 2 13" xfId="7628"/>
    <cellStyle name="Normal 2 11 2 13 2" xfId="7629"/>
    <cellStyle name="Normal 2 11 2 14" xfId="7630"/>
    <cellStyle name="Normal 2 11 2 14 2" xfId="7631"/>
    <cellStyle name="Normal 2 11 2 15" xfId="7632"/>
    <cellStyle name="Normal 2 11 2 15 2" xfId="7633"/>
    <cellStyle name="Normal 2 11 2 16" xfId="7634"/>
    <cellStyle name="Normal 2 11 2 16 2" xfId="7635"/>
    <cellStyle name="Normal 2 11 2 17" xfId="7636"/>
    <cellStyle name="Normal 2 11 2 2" xfId="53"/>
    <cellStyle name="Normal 2 11 2 2 2" xfId="54"/>
    <cellStyle name="Normal 2 11 2 2 2 10" xfId="7637"/>
    <cellStyle name="Normal 2 11 2 2 2 10 2" xfId="7638"/>
    <cellStyle name="Normal 2 11 2 2 2 11" xfId="7639"/>
    <cellStyle name="Normal 2 11 2 2 2 11 2" xfId="7640"/>
    <cellStyle name="Normal 2 11 2 2 2 12" xfId="7641"/>
    <cellStyle name="Normal 2 11 2 2 2 12 2" xfId="7642"/>
    <cellStyle name="Normal 2 11 2 2 2 13" xfId="7643"/>
    <cellStyle name="Normal 2 11 2 2 2 2" xfId="7644"/>
    <cellStyle name="Normal 2 11 2 2 2 2 10" xfId="7645"/>
    <cellStyle name="Normal 2 11 2 2 2 2 10 2" xfId="7646"/>
    <cellStyle name="Normal 2 11 2 2 2 2 11" xfId="7647"/>
    <cellStyle name="Normal 2 11 2 2 2 2 11 2" xfId="7648"/>
    <cellStyle name="Normal 2 11 2 2 2 2 12" xfId="7649"/>
    <cellStyle name="Normal 2 11 2 2 2 2 2" xfId="7650"/>
    <cellStyle name="Normal 2 11 2 2 2 2 2 10" xfId="7651"/>
    <cellStyle name="Normal 2 11 2 2 2 2 2 10 2" xfId="7652"/>
    <cellStyle name="Normal 2 11 2 2 2 2 2 11" xfId="7653"/>
    <cellStyle name="Normal 2 11 2 2 2 2 2 2" xfId="7654"/>
    <cellStyle name="Normal 2 11 2 2 2 2 2 2 2" xfId="7655"/>
    <cellStyle name="Normal 2 11 2 2 2 2 2 3" xfId="7656"/>
    <cellStyle name="Normal 2 11 2 2 2 2 2 3 2" xfId="7657"/>
    <cellStyle name="Normal 2 11 2 2 2 2 2 4" xfId="7658"/>
    <cellStyle name="Normal 2 11 2 2 2 2 2 4 2" xfId="7659"/>
    <cellStyle name="Normal 2 11 2 2 2 2 2 5" xfId="7660"/>
    <cellStyle name="Normal 2 11 2 2 2 2 2 5 2" xfId="7661"/>
    <cellStyle name="Normal 2 11 2 2 2 2 2 6" xfId="7662"/>
    <cellStyle name="Normal 2 11 2 2 2 2 2 6 2" xfId="7663"/>
    <cellStyle name="Normal 2 11 2 2 2 2 2 7" xfId="7664"/>
    <cellStyle name="Normal 2 11 2 2 2 2 2 7 2" xfId="7665"/>
    <cellStyle name="Normal 2 11 2 2 2 2 2 8" xfId="7666"/>
    <cellStyle name="Normal 2 11 2 2 2 2 2 8 2" xfId="7667"/>
    <cellStyle name="Normal 2 11 2 2 2 2 2 9" xfId="7668"/>
    <cellStyle name="Normal 2 11 2 2 2 2 2 9 2" xfId="7669"/>
    <cellStyle name="Normal 2 11 2 2 2 2 3" xfId="7670"/>
    <cellStyle name="Normal 2 11 2 2 2 2 3 2" xfId="7671"/>
    <cellStyle name="Normal 2 11 2 2 2 2 4" xfId="7672"/>
    <cellStyle name="Normal 2 11 2 2 2 2 4 2" xfId="7673"/>
    <cellStyle name="Normal 2 11 2 2 2 2 5" xfId="7674"/>
    <cellStyle name="Normal 2 11 2 2 2 2 5 2" xfId="7675"/>
    <cellStyle name="Normal 2 11 2 2 2 2 6" xfId="7676"/>
    <cellStyle name="Normal 2 11 2 2 2 2 6 2" xfId="7677"/>
    <cellStyle name="Normal 2 11 2 2 2 2 7" xfId="7678"/>
    <cellStyle name="Normal 2 11 2 2 2 2 7 2" xfId="7679"/>
    <cellStyle name="Normal 2 11 2 2 2 2 8" xfId="7680"/>
    <cellStyle name="Normal 2 11 2 2 2 2 8 2" xfId="7681"/>
    <cellStyle name="Normal 2 11 2 2 2 2 9" xfId="7682"/>
    <cellStyle name="Normal 2 11 2 2 2 2 9 2" xfId="7683"/>
    <cellStyle name="Normal 2 11 2 2 2 3" xfId="7684"/>
    <cellStyle name="Normal 2 11 2 2 2 3 10" xfId="7685"/>
    <cellStyle name="Normal 2 11 2 2 2 3 10 2" xfId="7686"/>
    <cellStyle name="Normal 2 11 2 2 2 3 11" xfId="7687"/>
    <cellStyle name="Normal 2 11 2 2 2 3 2" xfId="7688"/>
    <cellStyle name="Normal 2 11 2 2 2 3 2 2" xfId="7689"/>
    <cellStyle name="Normal 2 11 2 2 2 3 3" xfId="7690"/>
    <cellStyle name="Normal 2 11 2 2 2 3 3 2" xfId="7691"/>
    <cellStyle name="Normal 2 11 2 2 2 3 4" xfId="7692"/>
    <cellStyle name="Normal 2 11 2 2 2 3 4 2" xfId="7693"/>
    <cellStyle name="Normal 2 11 2 2 2 3 5" xfId="7694"/>
    <cellStyle name="Normal 2 11 2 2 2 3 5 2" xfId="7695"/>
    <cellStyle name="Normal 2 11 2 2 2 3 6" xfId="7696"/>
    <cellStyle name="Normal 2 11 2 2 2 3 6 2" xfId="7697"/>
    <cellStyle name="Normal 2 11 2 2 2 3 7" xfId="7698"/>
    <cellStyle name="Normal 2 11 2 2 2 3 7 2" xfId="7699"/>
    <cellStyle name="Normal 2 11 2 2 2 3 8" xfId="7700"/>
    <cellStyle name="Normal 2 11 2 2 2 3 8 2" xfId="7701"/>
    <cellStyle name="Normal 2 11 2 2 2 3 9" xfId="7702"/>
    <cellStyle name="Normal 2 11 2 2 2 3 9 2" xfId="7703"/>
    <cellStyle name="Normal 2 11 2 2 2 4" xfId="7704"/>
    <cellStyle name="Normal 2 11 2 2 2 4 2" xfId="7705"/>
    <cellStyle name="Normal 2 11 2 2 2 5" xfId="7706"/>
    <cellStyle name="Normal 2 11 2 2 2 5 2" xfId="7707"/>
    <cellStyle name="Normal 2 11 2 2 2 6" xfId="7708"/>
    <cellStyle name="Normal 2 11 2 2 2 6 2" xfId="7709"/>
    <cellStyle name="Normal 2 11 2 2 2 7" xfId="7710"/>
    <cellStyle name="Normal 2 11 2 2 2 7 2" xfId="7711"/>
    <cellStyle name="Normal 2 11 2 2 2 8" xfId="7712"/>
    <cellStyle name="Normal 2 11 2 2 2 8 2" xfId="7713"/>
    <cellStyle name="Normal 2 11 2 2 2 9" xfId="7714"/>
    <cellStyle name="Normal 2 11 2 2 2 9 2" xfId="7715"/>
    <cellStyle name="Normal 2 11 2 2 3" xfId="55"/>
    <cellStyle name="Normal 2 11 2 2 3 10" xfId="7716"/>
    <cellStyle name="Normal 2 11 2 2 3 10 2" xfId="7717"/>
    <cellStyle name="Normal 2 11 2 2 3 11" xfId="7718"/>
    <cellStyle name="Normal 2 11 2 2 3 11 2" xfId="7719"/>
    <cellStyle name="Normal 2 11 2 2 3 12" xfId="7720"/>
    <cellStyle name="Normal 2 11 2 2 3 12 2" xfId="7721"/>
    <cellStyle name="Normal 2 11 2 2 3 13" xfId="7722"/>
    <cellStyle name="Normal 2 11 2 2 3 2" xfId="7723"/>
    <cellStyle name="Normal 2 11 2 2 3 2 10" xfId="7724"/>
    <cellStyle name="Normal 2 11 2 2 3 2 10 2" xfId="7725"/>
    <cellStyle name="Normal 2 11 2 2 3 2 11" xfId="7726"/>
    <cellStyle name="Normal 2 11 2 2 3 2 11 2" xfId="7727"/>
    <cellStyle name="Normal 2 11 2 2 3 2 12" xfId="7728"/>
    <cellStyle name="Normal 2 11 2 2 3 2 2" xfId="7729"/>
    <cellStyle name="Normal 2 11 2 2 3 2 2 10" xfId="7730"/>
    <cellStyle name="Normal 2 11 2 2 3 2 2 10 2" xfId="7731"/>
    <cellStyle name="Normal 2 11 2 2 3 2 2 11" xfId="7732"/>
    <cellStyle name="Normal 2 11 2 2 3 2 2 2" xfId="7733"/>
    <cellStyle name="Normal 2 11 2 2 3 2 2 2 2" xfId="7734"/>
    <cellStyle name="Normal 2 11 2 2 3 2 2 3" xfId="7735"/>
    <cellStyle name="Normal 2 11 2 2 3 2 2 3 2" xfId="7736"/>
    <cellStyle name="Normal 2 11 2 2 3 2 2 4" xfId="7737"/>
    <cellStyle name="Normal 2 11 2 2 3 2 2 4 2" xfId="7738"/>
    <cellStyle name="Normal 2 11 2 2 3 2 2 5" xfId="7739"/>
    <cellStyle name="Normal 2 11 2 2 3 2 2 5 2" xfId="7740"/>
    <cellStyle name="Normal 2 11 2 2 3 2 2 6" xfId="7741"/>
    <cellStyle name="Normal 2 11 2 2 3 2 2 6 2" xfId="7742"/>
    <cellStyle name="Normal 2 11 2 2 3 2 2 7" xfId="7743"/>
    <cellStyle name="Normal 2 11 2 2 3 2 2 7 2" xfId="7744"/>
    <cellStyle name="Normal 2 11 2 2 3 2 2 8" xfId="7745"/>
    <cellStyle name="Normal 2 11 2 2 3 2 2 8 2" xfId="7746"/>
    <cellStyle name="Normal 2 11 2 2 3 2 2 9" xfId="7747"/>
    <cellStyle name="Normal 2 11 2 2 3 2 2 9 2" xfId="7748"/>
    <cellStyle name="Normal 2 11 2 2 3 2 3" xfId="7749"/>
    <cellStyle name="Normal 2 11 2 2 3 2 3 2" xfId="7750"/>
    <cellStyle name="Normal 2 11 2 2 3 2 4" xfId="7751"/>
    <cellStyle name="Normal 2 11 2 2 3 2 4 2" xfId="7752"/>
    <cellStyle name="Normal 2 11 2 2 3 2 5" xfId="7753"/>
    <cellStyle name="Normal 2 11 2 2 3 2 5 2" xfId="7754"/>
    <cellStyle name="Normal 2 11 2 2 3 2 6" xfId="7755"/>
    <cellStyle name="Normal 2 11 2 2 3 2 6 2" xfId="7756"/>
    <cellStyle name="Normal 2 11 2 2 3 2 7" xfId="7757"/>
    <cellStyle name="Normal 2 11 2 2 3 2 7 2" xfId="7758"/>
    <cellStyle name="Normal 2 11 2 2 3 2 8" xfId="7759"/>
    <cellStyle name="Normal 2 11 2 2 3 2 8 2" xfId="7760"/>
    <cellStyle name="Normal 2 11 2 2 3 2 9" xfId="7761"/>
    <cellStyle name="Normal 2 11 2 2 3 2 9 2" xfId="7762"/>
    <cellStyle name="Normal 2 11 2 2 3 3" xfId="7763"/>
    <cellStyle name="Normal 2 11 2 2 3 3 10" xfId="7764"/>
    <cellStyle name="Normal 2 11 2 2 3 3 10 2" xfId="7765"/>
    <cellStyle name="Normal 2 11 2 2 3 3 11" xfId="7766"/>
    <cellStyle name="Normal 2 11 2 2 3 3 2" xfId="7767"/>
    <cellStyle name="Normal 2 11 2 2 3 3 2 2" xfId="7768"/>
    <cellStyle name="Normal 2 11 2 2 3 3 3" xfId="7769"/>
    <cellStyle name="Normal 2 11 2 2 3 3 3 2" xfId="7770"/>
    <cellStyle name="Normal 2 11 2 2 3 3 4" xfId="7771"/>
    <cellStyle name="Normal 2 11 2 2 3 3 4 2" xfId="7772"/>
    <cellStyle name="Normal 2 11 2 2 3 3 5" xfId="7773"/>
    <cellStyle name="Normal 2 11 2 2 3 3 5 2" xfId="7774"/>
    <cellStyle name="Normal 2 11 2 2 3 3 6" xfId="7775"/>
    <cellStyle name="Normal 2 11 2 2 3 3 6 2" xfId="7776"/>
    <cellStyle name="Normal 2 11 2 2 3 3 7" xfId="7777"/>
    <cellStyle name="Normal 2 11 2 2 3 3 7 2" xfId="7778"/>
    <cellStyle name="Normal 2 11 2 2 3 3 8" xfId="7779"/>
    <cellStyle name="Normal 2 11 2 2 3 3 8 2" xfId="7780"/>
    <cellStyle name="Normal 2 11 2 2 3 3 9" xfId="7781"/>
    <cellStyle name="Normal 2 11 2 2 3 3 9 2" xfId="7782"/>
    <cellStyle name="Normal 2 11 2 2 3 4" xfId="7783"/>
    <cellStyle name="Normal 2 11 2 2 3 4 2" xfId="7784"/>
    <cellStyle name="Normal 2 11 2 2 3 5" xfId="7785"/>
    <cellStyle name="Normal 2 11 2 2 3 5 2" xfId="7786"/>
    <cellStyle name="Normal 2 11 2 2 3 6" xfId="7787"/>
    <cellStyle name="Normal 2 11 2 2 3 6 2" xfId="7788"/>
    <cellStyle name="Normal 2 11 2 2 3 7" xfId="7789"/>
    <cellStyle name="Normal 2 11 2 2 3 7 2" xfId="7790"/>
    <cellStyle name="Normal 2 11 2 2 3 8" xfId="7791"/>
    <cellStyle name="Normal 2 11 2 2 3 8 2" xfId="7792"/>
    <cellStyle name="Normal 2 11 2 2 3 9" xfId="7793"/>
    <cellStyle name="Normal 2 11 2 2 3 9 2" xfId="7794"/>
    <cellStyle name="Normal 2 11 2 2 4" xfId="56"/>
    <cellStyle name="Normal 2 11 2 2 4 10" xfId="7795"/>
    <cellStyle name="Normal 2 11 2 2 4 10 2" xfId="7796"/>
    <cellStyle name="Normal 2 11 2 2 4 11" xfId="7797"/>
    <cellStyle name="Normal 2 11 2 2 4 11 2" xfId="7798"/>
    <cellStyle name="Normal 2 11 2 2 4 12" xfId="7799"/>
    <cellStyle name="Normal 2 11 2 2 4 12 2" xfId="7800"/>
    <cellStyle name="Normal 2 11 2 2 4 13" xfId="7801"/>
    <cellStyle name="Normal 2 11 2 2 4 2" xfId="7802"/>
    <cellStyle name="Normal 2 11 2 2 4 2 10" xfId="7803"/>
    <cellStyle name="Normal 2 11 2 2 4 2 10 2" xfId="7804"/>
    <cellStyle name="Normal 2 11 2 2 4 2 11" xfId="7805"/>
    <cellStyle name="Normal 2 11 2 2 4 2 11 2" xfId="7806"/>
    <cellStyle name="Normal 2 11 2 2 4 2 12" xfId="7807"/>
    <cellStyle name="Normal 2 11 2 2 4 2 2" xfId="7808"/>
    <cellStyle name="Normal 2 11 2 2 4 2 2 10" xfId="7809"/>
    <cellStyle name="Normal 2 11 2 2 4 2 2 10 2" xfId="7810"/>
    <cellStyle name="Normal 2 11 2 2 4 2 2 11" xfId="7811"/>
    <cellStyle name="Normal 2 11 2 2 4 2 2 2" xfId="7812"/>
    <cellStyle name="Normal 2 11 2 2 4 2 2 2 2" xfId="7813"/>
    <cellStyle name="Normal 2 11 2 2 4 2 2 3" xfId="7814"/>
    <cellStyle name="Normal 2 11 2 2 4 2 2 3 2" xfId="7815"/>
    <cellStyle name="Normal 2 11 2 2 4 2 2 4" xfId="7816"/>
    <cellStyle name="Normal 2 11 2 2 4 2 2 4 2" xfId="7817"/>
    <cellStyle name="Normal 2 11 2 2 4 2 2 5" xfId="7818"/>
    <cellStyle name="Normal 2 11 2 2 4 2 2 5 2" xfId="7819"/>
    <cellStyle name="Normal 2 11 2 2 4 2 2 6" xfId="7820"/>
    <cellStyle name="Normal 2 11 2 2 4 2 2 6 2" xfId="7821"/>
    <cellStyle name="Normal 2 11 2 2 4 2 2 7" xfId="7822"/>
    <cellStyle name="Normal 2 11 2 2 4 2 2 7 2" xfId="7823"/>
    <cellStyle name="Normal 2 11 2 2 4 2 2 8" xfId="7824"/>
    <cellStyle name="Normal 2 11 2 2 4 2 2 8 2" xfId="7825"/>
    <cellStyle name="Normal 2 11 2 2 4 2 2 9" xfId="7826"/>
    <cellStyle name="Normal 2 11 2 2 4 2 2 9 2" xfId="7827"/>
    <cellStyle name="Normal 2 11 2 2 4 2 3" xfId="7828"/>
    <cellStyle name="Normal 2 11 2 2 4 2 3 2" xfId="7829"/>
    <cellStyle name="Normal 2 11 2 2 4 2 4" xfId="7830"/>
    <cellStyle name="Normal 2 11 2 2 4 2 4 2" xfId="7831"/>
    <cellStyle name="Normal 2 11 2 2 4 2 5" xfId="7832"/>
    <cellStyle name="Normal 2 11 2 2 4 2 5 2" xfId="7833"/>
    <cellStyle name="Normal 2 11 2 2 4 2 6" xfId="7834"/>
    <cellStyle name="Normal 2 11 2 2 4 2 6 2" xfId="7835"/>
    <cellStyle name="Normal 2 11 2 2 4 2 7" xfId="7836"/>
    <cellStyle name="Normal 2 11 2 2 4 2 7 2" xfId="7837"/>
    <cellStyle name="Normal 2 11 2 2 4 2 8" xfId="7838"/>
    <cellStyle name="Normal 2 11 2 2 4 2 8 2" xfId="7839"/>
    <cellStyle name="Normal 2 11 2 2 4 2 9" xfId="7840"/>
    <cellStyle name="Normal 2 11 2 2 4 2 9 2" xfId="7841"/>
    <cellStyle name="Normal 2 11 2 2 4 3" xfId="7842"/>
    <cellStyle name="Normal 2 11 2 2 4 3 10" xfId="7843"/>
    <cellStyle name="Normal 2 11 2 2 4 3 10 2" xfId="7844"/>
    <cellStyle name="Normal 2 11 2 2 4 3 11" xfId="7845"/>
    <cellStyle name="Normal 2 11 2 2 4 3 2" xfId="7846"/>
    <cellStyle name="Normal 2 11 2 2 4 3 2 2" xfId="7847"/>
    <cellStyle name="Normal 2 11 2 2 4 3 3" xfId="7848"/>
    <cellStyle name="Normal 2 11 2 2 4 3 3 2" xfId="7849"/>
    <cellStyle name="Normal 2 11 2 2 4 3 4" xfId="7850"/>
    <cellStyle name="Normal 2 11 2 2 4 3 4 2" xfId="7851"/>
    <cellStyle name="Normal 2 11 2 2 4 3 5" xfId="7852"/>
    <cellStyle name="Normal 2 11 2 2 4 3 5 2" xfId="7853"/>
    <cellStyle name="Normal 2 11 2 2 4 3 6" xfId="7854"/>
    <cellStyle name="Normal 2 11 2 2 4 3 6 2" xfId="7855"/>
    <cellStyle name="Normal 2 11 2 2 4 3 7" xfId="7856"/>
    <cellStyle name="Normal 2 11 2 2 4 3 7 2" xfId="7857"/>
    <cellStyle name="Normal 2 11 2 2 4 3 8" xfId="7858"/>
    <cellStyle name="Normal 2 11 2 2 4 3 8 2" xfId="7859"/>
    <cellStyle name="Normal 2 11 2 2 4 3 9" xfId="7860"/>
    <cellStyle name="Normal 2 11 2 2 4 3 9 2" xfId="7861"/>
    <cellStyle name="Normal 2 11 2 2 4 4" xfId="7862"/>
    <cellStyle name="Normal 2 11 2 2 4 4 2" xfId="7863"/>
    <cellStyle name="Normal 2 11 2 2 4 5" xfId="7864"/>
    <cellStyle name="Normal 2 11 2 2 4 5 2" xfId="7865"/>
    <cellStyle name="Normal 2 11 2 2 4 6" xfId="7866"/>
    <cellStyle name="Normal 2 11 2 2 4 6 2" xfId="7867"/>
    <cellStyle name="Normal 2 11 2 2 4 7" xfId="7868"/>
    <cellStyle name="Normal 2 11 2 2 4 7 2" xfId="7869"/>
    <cellStyle name="Normal 2 11 2 2 4 8" xfId="7870"/>
    <cellStyle name="Normal 2 11 2 2 4 8 2" xfId="7871"/>
    <cellStyle name="Normal 2 11 2 2 4 9" xfId="7872"/>
    <cellStyle name="Normal 2 11 2 2 4 9 2" xfId="7873"/>
    <cellStyle name="Normal 2 11 2 2 5" xfId="57"/>
    <cellStyle name="Normal 2 11 2 2 5 10" xfId="7874"/>
    <cellStyle name="Normal 2 11 2 2 5 10 2" xfId="7875"/>
    <cellStyle name="Normal 2 11 2 2 5 11" xfId="7876"/>
    <cellStyle name="Normal 2 11 2 2 5 11 2" xfId="7877"/>
    <cellStyle name="Normal 2 11 2 2 5 12" xfId="7878"/>
    <cellStyle name="Normal 2 11 2 2 5 12 2" xfId="7879"/>
    <cellStyle name="Normal 2 11 2 2 5 13" xfId="7880"/>
    <cellStyle name="Normal 2 11 2 2 5 2" xfId="7881"/>
    <cellStyle name="Normal 2 11 2 2 5 2 10" xfId="7882"/>
    <cellStyle name="Normal 2 11 2 2 5 2 10 2" xfId="7883"/>
    <cellStyle name="Normal 2 11 2 2 5 2 11" xfId="7884"/>
    <cellStyle name="Normal 2 11 2 2 5 2 11 2" xfId="7885"/>
    <cellStyle name="Normal 2 11 2 2 5 2 12" xfId="7886"/>
    <cellStyle name="Normal 2 11 2 2 5 2 2" xfId="7887"/>
    <cellStyle name="Normal 2 11 2 2 5 2 2 10" xfId="7888"/>
    <cellStyle name="Normal 2 11 2 2 5 2 2 10 2" xfId="7889"/>
    <cellStyle name="Normal 2 11 2 2 5 2 2 11" xfId="7890"/>
    <cellStyle name="Normal 2 11 2 2 5 2 2 2" xfId="7891"/>
    <cellStyle name="Normal 2 11 2 2 5 2 2 2 2" xfId="7892"/>
    <cellStyle name="Normal 2 11 2 2 5 2 2 3" xfId="7893"/>
    <cellStyle name="Normal 2 11 2 2 5 2 2 3 2" xfId="7894"/>
    <cellStyle name="Normal 2 11 2 2 5 2 2 4" xfId="7895"/>
    <cellStyle name="Normal 2 11 2 2 5 2 2 4 2" xfId="7896"/>
    <cellStyle name="Normal 2 11 2 2 5 2 2 5" xfId="7897"/>
    <cellStyle name="Normal 2 11 2 2 5 2 2 5 2" xfId="7898"/>
    <cellStyle name="Normal 2 11 2 2 5 2 2 6" xfId="7899"/>
    <cellStyle name="Normal 2 11 2 2 5 2 2 6 2" xfId="7900"/>
    <cellStyle name="Normal 2 11 2 2 5 2 2 7" xfId="7901"/>
    <cellStyle name="Normal 2 11 2 2 5 2 2 7 2" xfId="7902"/>
    <cellStyle name="Normal 2 11 2 2 5 2 2 8" xfId="7903"/>
    <cellStyle name="Normal 2 11 2 2 5 2 2 8 2" xfId="7904"/>
    <cellStyle name="Normal 2 11 2 2 5 2 2 9" xfId="7905"/>
    <cellStyle name="Normal 2 11 2 2 5 2 2 9 2" xfId="7906"/>
    <cellStyle name="Normal 2 11 2 2 5 2 3" xfId="7907"/>
    <cellStyle name="Normal 2 11 2 2 5 2 3 2" xfId="7908"/>
    <cellStyle name="Normal 2 11 2 2 5 2 4" xfId="7909"/>
    <cellStyle name="Normal 2 11 2 2 5 2 4 2" xfId="7910"/>
    <cellStyle name="Normal 2 11 2 2 5 2 5" xfId="7911"/>
    <cellStyle name="Normal 2 11 2 2 5 2 5 2" xfId="7912"/>
    <cellStyle name="Normal 2 11 2 2 5 2 6" xfId="7913"/>
    <cellStyle name="Normal 2 11 2 2 5 2 6 2" xfId="7914"/>
    <cellStyle name="Normal 2 11 2 2 5 2 7" xfId="7915"/>
    <cellStyle name="Normal 2 11 2 2 5 2 7 2" xfId="7916"/>
    <cellStyle name="Normal 2 11 2 2 5 2 8" xfId="7917"/>
    <cellStyle name="Normal 2 11 2 2 5 2 8 2" xfId="7918"/>
    <cellStyle name="Normal 2 11 2 2 5 2 9" xfId="7919"/>
    <cellStyle name="Normal 2 11 2 2 5 2 9 2" xfId="7920"/>
    <cellStyle name="Normal 2 11 2 2 5 3" xfId="7921"/>
    <cellStyle name="Normal 2 11 2 2 5 3 10" xfId="7922"/>
    <cellStyle name="Normal 2 11 2 2 5 3 10 2" xfId="7923"/>
    <cellStyle name="Normal 2 11 2 2 5 3 11" xfId="7924"/>
    <cellStyle name="Normal 2 11 2 2 5 3 2" xfId="7925"/>
    <cellStyle name="Normal 2 11 2 2 5 3 2 2" xfId="7926"/>
    <cellStyle name="Normal 2 11 2 2 5 3 3" xfId="7927"/>
    <cellStyle name="Normal 2 11 2 2 5 3 3 2" xfId="7928"/>
    <cellStyle name="Normal 2 11 2 2 5 3 4" xfId="7929"/>
    <cellStyle name="Normal 2 11 2 2 5 3 4 2" xfId="7930"/>
    <cellStyle name="Normal 2 11 2 2 5 3 5" xfId="7931"/>
    <cellStyle name="Normal 2 11 2 2 5 3 5 2" xfId="7932"/>
    <cellStyle name="Normal 2 11 2 2 5 3 6" xfId="7933"/>
    <cellStyle name="Normal 2 11 2 2 5 3 6 2" xfId="7934"/>
    <cellStyle name="Normal 2 11 2 2 5 3 7" xfId="7935"/>
    <cellStyle name="Normal 2 11 2 2 5 3 7 2" xfId="7936"/>
    <cellStyle name="Normal 2 11 2 2 5 3 8" xfId="7937"/>
    <cellStyle name="Normal 2 11 2 2 5 3 8 2" xfId="7938"/>
    <cellStyle name="Normal 2 11 2 2 5 3 9" xfId="7939"/>
    <cellStyle name="Normal 2 11 2 2 5 3 9 2" xfId="7940"/>
    <cellStyle name="Normal 2 11 2 2 5 4" xfId="7941"/>
    <cellStyle name="Normal 2 11 2 2 5 4 2" xfId="7942"/>
    <cellStyle name="Normal 2 11 2 2 5 5" xfId="7943"/>
    <cellStyle name="Normal 2 11 2 2 5 5 2" xfId="7944"/>
    <cellStyle name="Normal 2 11 2 2 5 6" xfId="7945"/>
    <cellStyle name="Normal 2 11 2 2 5 6 2" xfId="7946"/>
    <cellStyle name="Normal 2 11 2 2 5 7" xfId="7947"/>
    <cellStyle name="Normal 2 11 2 2 5 7 2" xfId="7948"/>
    <cellStyle name="Normal 2 11 2 2 5 8" xfId="7949"/>
    <cellStyle name="Normal 2 11 2 2 5 8 2" xfId="7950"/>
    <cellStyle name="Normal 2 11 2 2 5 9" xfId="7951"/>
    <cellStyle name="Normal 2 11 2 2 5 9 2" xfId="7952"/>
    <cellStyle name="Normal 2 11 2 2 6" xfId="58"/>
    <cellStyle name="Normal 2 11 2 3" xfId="59"/>
    <cellStyle name="Normal 2 11 2 3 2" xfId="60"/>
    <cellStyle name="Normal 2 11 2 4" xfId="61"/>
    <cellStyle name="Normal 2 11 2 4 2" xfId="62"/>
    <cellStyle name="Normal 2 11 2 5" xfId="63"/>
    <cellStyle name="Normal 2 11 2 5 2" xfId="64"/>
    <cellStyle name="Normal 2 11 2 6" xfId="7953"/>
    <cellStyle name="Normal 2 11 2 6 10" xfId="7954"/>
    <cellStyle name="Normal 2 11 2 6 10 2" xfId="7955"/>
    <cellStyle name="Normal 2 11 2 6 11" xfId="7956"/>
    <cellStyle name="Normal 2 11 2 6 11 2" xfId="7957"/>
    <cellStyle name="Normal 2 11 2 6 12" xfId="7958"/>
    <cellStyle name="Normal 2 11 2 6 2" xfId="7959"/>
    <cellStyle name="Normal 2 11 2 6 2 10" xfId="7960"/>
    <cellStyle name="Normal 2 11 2 6 2 10 2" xfId="7961"/>
    <cellStyle name="Normal 2 11 2 6 2 11" xfId="7962"/>
    <cellStyle name="Normal 2 11 2 6 2 2" xfId="7963"/>
    <cellStyle name="Normal 2 11 2 6 2 2 2" xfId="7964"/>
    <cellStyle name="Normal 2 11 2 6 2 3" xfId="7965"/>
    <cellStyle name="Normal 2 11 2 6 2 3 2" xfId="7966"/>
    <cellStyle name="Normal 2 11 2 6 2 4" xfId="7967"/>
    <cellStyle name="Normal 2 11 2 6 2 4 2" xfId="7968"/>
    <cellStyle name="Normal 2 11 2 6 2 5" xfId="7969"/>
    <cellStyle name="Normal 2 11 2 6 2 5 2" xfId="7970"/>
    <cellStyle name="Normal 2 11 2 6 2 6" xfId="7971"/>
    <cellStyle name="Normal 2 11 2 6 2 6 2" xfId="7972"/>
    <cellStyle name="Normal 2 11 2 6 2 7" xfId="7973"/>
    <cellStyle name="Normal 2 11 2 6 2 7 2" xfId="7974"/>
    <cellStyle name="Normal 2 11 2 6 2 8" xfId="7975"/>
    <cellStyle name="Normal 2 11 2 6 2 8 2" xfId="7976"/>
    <cellStyle name="Normal 2 11 2 6 2 9" xfId="7977"/>
    <cellStyle name="Normal 2 11 2 6 2 9 2" xfId="7978"/>
    <cellStyle name="Normal 2 11 2 6 3" xfId="7979"/>
    <cellStyle name="Normal 2 11 2 6 3 2" xfId="7980"/>
    <cellStyle name="Normal 2 11 2 6 4" xfId="7981"/>
    <cellStyle name="Normal 2 11 2 6 4 2" xfId="7982"/>
    <cellStyle name="Normal 2 11 2 6 5" xfId="7983"/>
    <cellStyle name="Normal 2 11 2 6 5 2" xfId="7984"/>
    <cellStyle name="Normal 2 11 2 6 6" xfId="7985"/>
    <cellStyle name="Normal 2 11 2 6 6 2" xfId="7986"/>
    <cellStyle name="Normal 2 11 2 6 7" xfId="7987"/>
    <cellStyle name="Normal 2 11 2 6 7 2" xfId="7988"/>
    <cellStyle name="Normal 2 11 2 6 8" xfId="7989"/>
    <cellStyle name="Normal 2 11 2 6 8 2" xfId="7990"/>
    <cellStyle name="Normal 2 11 2 6 9" xfId="7991"/>
    <cellStyle name="Normal 2 11 2 6 9 2" xfId="7992"/>
    <cellStyle name="Normal 2 11 2 7" xfId="7993"/>
    <cellStyle name="Normal 2 11 2 7 10" xfId="7994"/>
    <cellStyle name="Normal 2 11 2 7 10 2" xfId="7995"/>
    <cellStyle name="Normal 2 11 2 7 11" xfId="7996"/>
    <cellStyle name="Normal 2 11 2 7 2" xfId="7997"/>
    <cellStyle name="Normal 2 11 2 7 2 2" xfId="7998"/>
    <cellStyle name="Normal 2 11 2 7 3" xfId="7999"/>
    <cellStyle name="Normal 2 11 2 7 3 2" xfId="8000"/>
    <cellStyle name="Normal 2 11 2 7 4" xfId="8001"/>
    <cellStyle name="Normal 2 11 2 7 4 2" xfId="8002"/>
    <cellStyle name="Normal 2 11 2 7 5" xfId="8003"/>
    <cellStyle name="Normal 2 11 2 7 5 2" xfId="8004"/>
    <cellStyle name="Normal 2 11 2 7 6" xfId="8005"/>
    <cellStyle name="Normal 2 11 2 7 6 2" xfId="8006"/>
    <cellStyle name="Normal 2 11 2 7 7" xfId="8007"/>
    <cellStyle name="Normal 2 11 2 7 7 2" xfId="8008"/>
    <cellStyle name="Normal 2 11 2 7 8" xfId="8009"/>
    <cellStyle name="Normal 2 11 2 7 8 2" xfId="8010"/>
    <cellStyle name="Normal 2 11 2 7 9" xfId="8011"/>
    <cellStyle name="Normal 2 11 2 7 9 2" xfId="8012"/>
    <cellStyle name="Normal 2 11 2 8" xfId="8013"/>
    <cellStyle name="Normal 2 11 2 8 2" xfId="8014"/>
    <cellStyle name="Normal 2 11 2 9" xfId="8015"/>
    <cellStyle name="Normal 2 11 2 9 2" xfId="8016"/>
    <cellStyle name="Normal 2 11 3" xfId="65"/>
    <cellStyle name="Normal 2 11 3 10" xfId="8017"/>
    <cellStyle name="Normal 2 11 3 10 2" xfId="8018"/>
    <cellStyle name="Normal 2 11 3 11" xfId="8019"/>
    <cellStyle name="Normal 2 11 3 11 2" xfId="8020"/>
    <cellStyle name="Normal 2 11 3 12" xfId="8021"/>
    <cellStyle name="Normal 2 11 3 12 2" xfId="8022"/>
    <cellStyle name="Normal 2 11 3 13" xfId="8023"/>
    <cellStyle name="Normal 2 11 3 2" xfId="8024"/>
    <cellStyle name="Normal 2 11 3 2 10" xfId="8025"/>
    <cellStyle name="Normal 2 11 3 2 10 2" xfId="8026"/>
    <cellStyle name="Normal 2 11 3 2 11" xfId="8027"/>
    <cellStyle name="Normal 2 11 3 2 11 2" xfId="8028"/>
    <cellStyle name="Normal 2 11 3 2 12" xfId="8029"/>
    <cellStyle name="Normal 2 11 3 2 2" xfId="8030"/>
    <cellStyle name="Normal 2 11 3 2 2 10" xfId="8031"/>
    <cellStyle name="Normal 2 11 3 2 2 10 2" xfId="8032"/>
    <cellStyle name="Normal 2 11 3 2 2 11" xfId="8033"/>
    <cellStyle name="Normal 2 11 3 2 2 2" xfId="8034"/>
    <cellStyle name="Normal 2 11 3 2 2 2 2" xfId="8035"/>
    <cellStyle name="Normal 2 11 3 2 2 3" xfId="8036"/>
    <cellStyle name="Normal 2 11 3 2 2 3 2" xfId="8037"/>
    <cellStyle name="Normal 2 11 3 2 2 4" xfId="8038"/>
    <cellStyle name="Normal 2 11 3 2 2 4 2" xfId="8039"/>
    <cellStyle name="Normal 2 11 3 2 2 5" xfId="8040"/>
    <cellStyle name="Normal 2 11 3 2 2 5 2" xfId="8041"/>
    <cellStyle name="Normal 2 11 3 2 2 6" xfId="8042"/>
    <cellStyle name="Normal 2 11 3 2 2 6 2" xfId="8043"/>
    <cellStyle name="Normal 2 11 3 2 2 7" xfId="8044"/>
    <cellStyle name="Normal 2 11 3 2 2 7 2" xfId="8045"/>
    <cellStyle name="Normal 2 11 3 2 2 8" xfId="8046"/>
    <cellStyle name="Normal 2 11 3 2 2 8 2" xfId="8047"/>
    <cellStyle name="Normal 2 11 3 2 2 9" xfId="8048"/>
    <cellStyle name="Normal 2 11 3 2 2 9 2" xfId="8049"/>
    <cellStyle name="Normal 2 11 3 2 3" xfId="8050"/>
    <cellStyle name="Normal 2 11 3 2 3 2" xfId="8051"/>
    <cellStyle name="Normal 2 11 3 2 4" xfId="8052"/>
    <cellStyle name="Normal 2 11 3 2 4 2" xfId="8053"/>
    <cellStyle name="Normal 2 11 3 2 5" xfId="8054"/>
    <cellStyle name="Normal 2 11 3 2 5 2" xfId="8055"/>
    <cellStyle name="Normal 2 11 3 2 6" xfId="8056"/>
    <cellStyle name="Normal 2 11 3 2 6 2" xfId="8057"/>
    <cellStyle name="Normal 2 11 3 2 7" xfId="8058"/>
    <cellStyle name="Normal 2 11 3 2 7 2" xfId="8059"/>
    <cellStyle name="Normal 2 11 3 2 8" xfId="8060"/>
    <cellStyle name="Normal 2 11 3 2 8 2" xfId="8061"/>
    <cellStyle name="Normal 2 11 3 2 9" xfId="8062"/>
    <cellStyle name="Normal 2 11 3 2 9 2" xfId="8063"/>
    <cellStyle name="Normal 2 11 3 3" xfId="8064"/>
    <cellStyle name="Normal 2 11 3 3 10" xfId="8065"/>
    <cellStyle name="Normal 2 11 3 3 10 2" xfId="8066"/>
    <cellStyle name="Normal 2 11 3 3 11" xfId="8067"/>
    <cellStyle name="Normal 2 11 3 3 2" xfId="8068"/>
    <cellStyle name="Normal 2 11 3 3 2 2" xfId="8069"/>
    <cellStyle name="Normal 2 11 3 3 3" xfId="8070"/>
    <cellStyle name="Normal 2 11 3 3 3 2" xfId="8071"/>
    <cellStyle name="Normal 2 11 3 3 4" xfId="8072"/>
    <cellStyle name="Normal 2 11 3 3 4 2" xfId="8073"/>
    <cellStyle name="Normal 2 11 3 3 5" xfId="8074"/>
    <cellStyle name="Normal 2 11 3 3 5 2" xfId="8075"/>
    <cellStyle name="Normal 2 11 3 3 6" xfId="8076"/>
    <cellStyle name="Normal 2 11 3 3 6 2" xfId="8077"/>
    <cellStyle name="Normal 2 11 3 3 7" xfId="8078"/>
    <cellStyle name="Normal 2 11 3 3 7 2" xfId="8079"/>
    <cellStyle name="Normal 2 11 3 3 8" xfId="8080"/>
    <cellStyle name="Normal 2 11 3 3 8 2" xfId="8081"/>
    <cellStyle name="Normal 2 11 3 3 9" xfId="8082"/>
    <cellStyle name="Normal 2 11 3 3 9 2" xfId="8083"/>
    <cellStyle name="Normal 2 11 3 4" xfId="8084"/>
    <cellStyle name="Normal 2 11 3 4 2" xfId="8085"/>
    <cellStyle name="Normal 2 11 3 5" xfId="8086"/>
    <cellStyle name="Normal 2 11 3 5 2" xfId="8087"/>
    <cellStyle name="Normal 2 11 3 6" xfId="8088"/>
    <cellStyle name="Normal 2 11 3 6 2" xfId="8089"/>
    <cellStyle name="Normal 2 11 3 7" xfId="8090"/>
    <cellStyle name="Normal 2 11 3 7 2" xfId="8091"/>
    <cellStyle name="Normal 2 11 3 8" xfId="8092"/>
    <cellStyle name="Normal 2 11 3 8 2" xfId="8093"/>
    <cellStyle name="Normal 2 11 3 9" xfId="8094"/>
    <cellStyle name="Normal 2 11 3 9 2" xfId="8095"/>
    <cellStyle name="Normal 2 11 4" xfId="66"/>
    <cellStyle name="Normal 2 11 4 10" xfId="8096"/>
    <cellStyle name="Normal 2 11 4 10 2" xfId="8097"/>
    <cellStyle name="Normal 2 11 4 11" xfId="8098"/>
    <cellStyle name="Normal 2 11 4 11 2" xfId="8099"/>
    <cellStyle name="Normal 2 11 4 12" xfId="8100"/>
    <cellStyle name="Normal 2 11 4 12 2" xfId="8101"/>
    <cellStyle name="Normal 2 11 4 13" xfId="8102"/>
    <cellStyle name="Normal 2 11 4 2" xfId="8103"/>
    <cellStyle name="Normal 2 11 4 2 10" xfId="8104"/>
    <cellStyle name="Normal 2 11 4 2 10 2" xfId="8105"/>
    <cellStyle name="Normal 2 11 4 2 11" xfId="8106"/>
    <cellStyle name="Normal 2 11 4 2 11 2" xfId="8107"/>
    <cellStyle name="Normal 2 11 4 2 12" xfId="8108"/>
    <cellStyle name="Normal 2 11 4 2 2" xfId="8109"/>
    <cellStyle name="Normal 2 11 4 2 2 10" xfId="8110"/>
    <cellStyle name="Normal 2 11 4 2 2 10 2" xfId="8111"/>
    <cellStyle name="Normal 2 11 4 2 2 11" xfId="8112"/>
    <cellStyle name="Normal 2 11 4 2 2 2" xfId="8113"/>
    <cellStyle name="Normal 2 11 4 2 2 2 2" xfId="8114"/>
    <cellStyle name="Normal 2 11 4 2 2 3" xfId="8115"/>
    <cellStyle name="Normal 2 11 4 2 2 3 2" xfId="8116"/>
    <cellStyle name="Normal 2 11 4 2 2 4" xfId="8117"/>
    <cellStyle name="Normal 2 11 4 2 2 4 2" xfId="8118"/>
    <cellStyle name="Normal 2 11 4 2 2 5" xfId="8119"/>
    <cellStyle name="Normal 2 11 4 2 2 5 2" xfId="8120"/>
    <cellStyle name="Normal 2 11 4 2 2 6" xfId="8121"/>
    <cellStyle name="Normal 2 11 4 2 2 6 2" xfId="8122"/>
    <cellStyle name="Normal 2 11 4 2 2 7" xfId="8123"/>
    <cellStyle name="Normal 2 11 4 2 2 7 2" xfId="8124"/>
    <cellStyle name="Normal 2 11 4 2 2 8" xfId="8125"/>
    <cellStyle name="Normal 2 11 4 2 2 8 2" xfId="8126"/>
    <cellStyle name="Normal 2 11 4 2 2 9" xfId="8127"/>
    <cellStyle name="Normal 2 11 4 2 2 9 2" xfId="8128"/>
    <cellStyle name="Normal 2 11 4 2 3" xfId="8129"/>
    <cellStyle name="Normal 2 11 4 2 3 2" xfId="8130"/>
    <cellStyle name="Normal 2 11 4 2 4" xfId="8131"/>
    <cellStyle name="Normal 2 11 4 2 4 2" xfId="8132"/>
    <cellStyle name="Normal 2 11 4 2 5" xfId="8133"/>
    <cellStyle name="Normal 2 11 4 2 5 2" xfId="8134"/>
    <cellStyle name="Normal 2 11 4 2 6" xfId="8135"/>
    <cellStyle name="Normal 2 11 4 2 6 2" xfId="8136"/>
    <cellStyle name="Normal 2 11 4 2 7" xfId="8137"/>
    <cellStyle name="Normal 2 11 4 2 7 2" xfId="8138"/>
    <cellStyle name="Normal 2 11 4 2 8" xfId="8139"/>
    <cellStyle name="Normal 2 11 4 2 8 2" xfId="8140"/>
    <cellStyle name="Normal 2 11 4 2 9" xfId="8141"/>
    <cellStyle name="Normal 2 11 4 2 9 2" xfId="8142"/>
    <cellStyle name="Normal 2 11 4 3" xfId="8143"/>
    <cellStyle name="Normal 2 11 4 3 10" xfId="8144"/>
    <cellStyle name="Normal 2 11 4 3 10 2" xfId="8145"/>
    <cellStyle name="Normal 2 11 4 3 11" xfId="8146"/>
    <cellStyle name="Normal 2 11 4 3 2" xfId="8147"/>
    <cellStyle name="Normal 2 11 4 3 2 2" xfId="8148"/>
    <cellStyle name="Normal 2 11 4 3 3" xfId="8149"/>
    <cellStyle name="Normal 2 11 4 3 3 2" xfId="8150"/>
    <cellStyle name="Normal 2 11 4 3 4" xfId="8151"/>
    <cellStyle name="Normal 2 11 4 3 4 2" xfId="8152"/>
    <cellStyle name="Normal 2 11 4 3 5" xfId="8153"/>
    <cellStyle name="Normal 2 11 4 3 5 2" xfId="8154"/>
    <cellStyle name="Normal 2 11 4 3 6" xfId="8155"/>
    <cellStyle name="Normal 2 11 4 3 6 2" xfId="8156"/>
    <cellStyle name="Normal 2 11 4 3 7" xfId="8157"/>
    <cellStyle name="Normal 2 11 4 3 7 2" xfId="8158"/>
    <cellStyle name="Normal 2 11 4 3 8" xfId="8159"/>
    <cellStyle name="Normal 2 11 4 3 8 2" xfId="8160"/>
    <cellStyle name="Normal 2 11 4 3 9" xfId="8161"/>
    <cellStyle name="Normal 2 11 4 3 9 2" xfId="8162"/>
    <cellStyle name="Normal 2 11 4 4" xfId="8163"/>
    <cellStyle name="Normal 2 11 4 4 2" xfId="8164"/>
    <cellStyle name="Normal 2 11 4 5" xfId="8165"/>
    <cellStyle name="Normal 2 11 4 5 2" xfId="8166"/>
    <cellStyle name="Normal 2 11 4 6" xfId="8167"/>
    <cellStyle name="Normal 2 11 4 6 2" xfId="8168"/>
    <cellStyle name="Normal 2 11 4 7" xfId="8169"/>
    <cellStyle name="Normal 2 11 4 7 2" xfId="8170"/>
    <cellStyle name="Normal 2 11 4 8" xfId="8171"/>
    <cellStyle name="Normal 2 11 4 8 2" xfId="8172"/>
    <cellStyle name="Normal 2 11 4 9" xfId="8173"/>
    <cellStyle name="Normal 2 11 4 9 2" xfId="8174"/>
    <cellStyle name="Normal 2 11 5" xfId="67"/>
    <cellStyle name="Normal 2 11 5 10" xfId="8175"/>
    <cellStyle name="Normal 2 11 5 10 2" xfId="8176"/>
    <cellStyle name="Normal 2 11 5 11" xfId="8177"/>
    <cellStyle name="Normal 2 11 5 11 2" xfId="8178"/>
    <cellStyle name="Normal 2 11 5 12" xfId="8179"/>
    <cellStyle name="Normal 2 11 5 12 2" xfId="8180"/>
    <cellStyle name="Normal 2 11 5 13" xfId="8181"/>
    <cellStyle name="Normal 2 11 5 2" xfId="8182"/>
    <cellStyle name="Normal 2 11 5 2 10" xfId="8183"/>
    <cellStyle name="Normal 2 11 5 2 10 2" xfId="8184"/>
    <cellStyle name="Normal 2 11 5 2 11" xfId="8185"/>
    <cellStyle name="Normal 2 11 5 2 11 2" xfId="8186"/>
    <cellStyle name="Normal 2 11 5 2 12" xfId="8187"/>
    <cellStyle name="Normal 2 11 5 2 2" xfId="8188"/>
    <cellStyle name="Normal 2 11 5 2 2 10" xfId="8189"/>
    <cellStyle name="Normal 2 11 5 2 2 10 2" xfId="8190"/>
    <cellStyle name="Normal 2 11 5 2 2 11" xfId="8191"/>
    <cellStyle name="Normal 2 11 5 2 2 2" xfId="8192"/>
    <cellStyle name="Normal 2 11 5 2 2 2 2" xfId="8193"/>
    <cellStyle name="Normal 2 11 5 2 2 3" xfId="8194"/>
    <cellStyle name="Normal 2 11 5 2 2 3 2" xfId="8195"/>
    <cellStyle name="Normal 2 11 5 2 2 4" xfId="8196"/>
    <cellStyle name="Normal 2 11 5 2 2 4 2" xfId="8197"/>
    <cellStyle name="Normal 2 11 5 2 2 5" xfId="8198"/>
    <cellStyle name="Normal 2 11 5 2 2 5 2" xfId="8199"/>
    <cellStyle name="Normal 2 11 5 2 2 6" xfId="8200"/>
    <cellStyle name="Normal 2 11 5 2 2 6 2" xfId="8201"/>
    <cellStyle name="Normal 2 11 5 2 2 7" xfId="8202"/>
    <cellStyle name="Normal 2 11 5 2 2 7 2" xfId="8203"/>
    <cellStyle name="Normal 2 11 5 2 2 8" xfId="8204"/>
    <cellStyle name="Normal 2 11 5 2 2 8 2" xfId="8205"/>
    <cellStyle name="Normal 2 11 5 2 2 9" xfId="8206"/>
    <cellStyle name="Normal 2 11 5 2 2 9 2" xfId="8207"/>
    <cellStyle name="Normal 2 11 5 2 3" xfId="8208"/>
    <cellStyle name="Normal 2 11 5 2 3 2" xfId="8209"/>
    <cellStyle name="Normal 2 11 5 2 4" xfId="8210"/>
    <cellStyle name="Normal 2 11 5 2 4 2" xfId="8211"/>
    <cellStyle name="Normal 2 11 5 2 5" xfId="8212"/>
    <cellStyle name="Normal 2 11 5 2 5 2" xfId="8213"/>
    <cellStyle name="Normal 2 11 5 2 6" xfId="8214"/>
    <cellStyle name="Normal 2 11 5 2 6 2" xfId="8215"/>
    <cellStyle name="Normal 2 11 5 2 7" xfId="8216"/>
    <cellStyle name="Normal 2 11 5 2 7 2" xfId="8217"/>
    <cellStyle name="Normal 2 11 5 2 8" xfId="8218"/>
    <cellStyle name="Normal 2 11 5 2 8 2" xfId="8219"/>
    <cellStyle name="Normal 2 11 5 2 9" xfId="8220"/>
    <cellStyle name="Normal 2 11 5 2 9 2" xfId="8221"/>
    <cellStyle name="Normal 2 11 5 3" xfId="8222"/>
    <cellStyle name="Normal 2 11 5 3 10" xfId="8223"/>
    <cellStyle name="Normal 2 11 5 3 10 2" xfId="8224"/>
    <cellStyle name="Normal 2 11 5 3 11" xfId="8225"/>
    <cellStyle name="Normal 2 11 5 3 2" xfId="8226"/>
    <cellStyle name="Normal 2 11 5 3 2 2" xfId="8227"/>
    <cellStyle name="Normal 2 11 5 3 3" xfId="8228"/>
    <cellStyle name="Normal 2 11 5 3 3 2" xfId="8229"/>
    <cellStyle name="Normal 2 11 5 3 4" xfId="8230"/>
    <cellStyle name="Normal 2 11 5 3 4 2" xfId="8231"/>
    <cellStyle name="Normal 2 11 5 3 5" xfId="8232"/>
    <cellStyle name="Normal 2 11 5 3 5 2" xfId="8233"/>
    <cellStyle name="Normal 2 11 5 3 6" xfId="8234"/>
    <cellStyle name="Normal 2 11 5 3 6 2" xfId="8235"/>
    <cellStyle name="Normal 2 11 5 3 7" xfId="8236"/>
    <cellStyle name="Normal 2 11 5 3 7 2" xfId="8237"/>
    <cellStyle name="Normal 2 11 5 3 8" xfId="8238"/>
    <cellStyle name="Normal 2 11 5 3 8 2" xfId="8239"/>
    <cellStyle name="Normal 2 11 5 3 9" xfId="8240"/>
    <cellStyle name="Normal 2 11 5 3 9 2" xfId="8241"/>
    <cellStyle name="Normal 2 11 5 4" xfId="8242"/>
    <cellStyle name="Normal 2 11 5 4 2" xfId="8243"/>
    <cellStyle name="Normal 2 11 5 5" xfId="8244"/>
    <cellStyle name="Normal 2 11 5 5 2" xfId="8245"/>
    <cellStyle name="Normal 2 11 5 6" xfId="8246"/>
    <cellStyle name="Normal 2 11 5 6 2" xfId="8247"/>
    <cellStyle name="Normal 2 11 5 7" xfId="8248"/>
    <cellStyle name="Normal 2 11 5 7 2" xfId="8249"/>
    <cellStyle name="Normal 2 11 5 8" xfId="8250"/>
    <cellStyle name="Normal 2 11 5 8 2" xfId="8251"/>
    <cellStyle name="Normal 2 11 5 9" xfId="8252"/>
    <cellStyle name="Normal 2 11 5 9 2" xfId="8253"/>
    <cellStyle name="Normal 2 11 6" xfId="68"/>
    <cellStyle name="Normal 2 11 6 10" xfId="8254"/>
    <cellStyle name="Normal 2 11 6 10 2" xfId="8255"/>
    <cellStyle name="Normal 2 11 6 11" xfId="8256"/>
    <cellStyle name="Normal 2 11 6 11 2" xfId="8257"/>
    <cellStyle name="Normal 2 11 6 12" xfId="8258"/>
    <cellStyle name="Normal 2 11 6 12 2" xfId="8259"/>
    <cellStyle name="Normal 2 11 6 13" xfId="8260"/>
    <cellStyle name="Normal 2 11 6 2" xfId="8261"/>
    <cellStyle name="Normal 2 11 6 2 10" xfId="8262"/>
    <cellStyle name="Normal 2 11 6 2 10 2" xfId="8263"/>
    <cellStyle name="Normal 2 11 6 2 11" xfId="8264"/>
    <cellStyle name="Normal 2 11 6 2 11 2" xfId="8265"/>
    <cellStyle name="Normal 2 11 6 2 12" xfId="8266"/>
    <cellStyle name="Normal 2 11 6 2 2" xfId="8267"/>
    <cellStyle name="Normal 2 11 6 2 2 10" xfId="8268"/>
    <cellStyle name="Normal 2 11 6 2 2 10 2" xfId="8269"/>
    <cellStyle name="Normal 2 11 6 2 2 11" xfId="8270"/>
    <cellStyle name="Normal 2 11 6 2 2 2" xfId="8271"/>
    <cellStyle name="Normal 2 11 6 2 2 2 2" xfId="8272"/>
    <cellStyle name="Normal 2 11 6 2 2 3" xfId="8273"/>
    <cellStyle name="Normal 2 11 6 2 2 3 2" xfId="8274"/>
    <cellStyle name="Normal 2 11 6 2 2 4" xfId="8275"/>
    <cellStyle name="Normal 2 11 6 2 2 4 2" xfId="8276"/>
    <cellStyle name="Normal 2 11 6 2 2 5" xfId="8277"/>
    <cellStyle name="Normal 2 11 6 2 2 5 2" xfId="8278"/>
    <cellStyle name="Normal 2 11 6 2 2 6" xfId="8279"/>
    <cellStyle name="Normal 2 11 6 2 2 6 2" xfId="8280"/>
    <cellStyle name="Normal 2 11 6 2 2 7" xfId="8281"/>
    <cellStyle name="Normal 2 11 6 2 2 7 2" xfId="8282"/>
    <cellStyle name="Normal 2 11 6 2 2 8" xfId="8283"/>
    <cellStyle name="Normal 2 11 6 2 2 8 2" xfId="8284"/>
    <cellStyle name="Normal 2 11 6 2 2 9" xfId="8285"/>
    <cellStyle name="Normal 2 11 6 2 2 9 2" xfId="8286"/>
    <cellStyle name="Normal 2 11 6 2 3" xfId="8287"/>
    <cellStyle name="Normal 2 11 6 2 3 2" xfId="8288"/>
    <cellStyle name="Normal 2 11 6 2 4" xfId="8289"/>
    <cellStyle name="Normal 2 11 6 2 4 2" xfId="8290"/>
    <cellStyle name="Normal 2 11 6 2 5" xfId="8291"/>
    <cellStyle name="Normal 2 11 6 2 5 2" xfId="8292"/>
    <cellStyle name="Normal 2 11 6 2 6" xfId="8293"/>
    <cellStyle name="Normal 2 11 6 2 6 2" xfId="8294"/>
    <cellStyle name="Normal 2 11 6 2 7" xfId="8295"/>
    <cellStyle name="Normal 2 11 6 2 7 2" xfId="8296"/>
    <cellStyle name="Normal 2 11 6 2 8" xfId="8297"/>
    <cellStyle name="Normal 2 11 6 2 8 2" xfId="8298"/>
    <cellStyle name="Normal 2 11 6 2 9" xfId="8299"/>
    <cellStyle name="Normal 2 11 6 2 9 2" xfId="8300"/>
    <cellStyle name="Normal 2 11 6 3" xfId="8301"/>
    <cellStyle name="Normal 2 11 6 3 10" xfId="8302"/>
    <cellStyle name="Normal 2 11 6 3 10 2" xfId="8303"/>
    <cellStyle name="Normal 2 11 6 3 11" xfId="8304"/>
    <cellStyle name="Normal 2 11 6 3 2" xfId="8305"/>
    <cellStyle name="Normal 2 11 6 3 2 2" xfId="8306"/>
    <cellStyle name="Normal 2 11 6 3 3" xfId="8307"/>
    <cellStyle name="Normal 2 11 6 3 3 2" xfId="8308"/>
    <cellStyle name="Normal 2 11 6 3 4" xfId="8309"/>
    <cellStyle name="Normal 2 11 6 3 4 2" xfId="8310"/>
    <cellStyle name="Normal 2 11 6 3 5" xfId="8311"/>
    <cellStyle name="Normal 2 11 6 3 5 2" xfId="8312"/>
    <cellStyle name="Normal 2 11 6 3 6" xfId="8313"/>
    <cellStyle name="Normal 2 11 6 3 6 2" xfId="8314"/>
    <cellStyle name="Normal 2 11 6 3 7" xfId="8315"/>
    <cellStyle name="Normal 2 11 6 3 7 2" xfId="8316"/>
    <cellStyle name="Normal 2 11 6 3 8" xfId="8317"/>
    <cellStyle name="Normal 2 11 6 3 8 2" xfId="8318"/>
    <cellStyle name="Normal 2 11 6 3 9" xfId="8319"/>
    <cellStyle name="Normal 2 11 6 3 9 2" xfId="8320"/>
    <cellStyle name="Normal 2 11 6 4" xfId="8321"/>
    <cellStyle name="Normal 2 11 6 4 2" xfId="8322"/>
    <cellStyle name="Normal 2 11 6 5" xfId="8323"/>
    <cellStyle name="Normal 2 11 6 5 2" xfId="8324"/>
    <cellStyle name="Normal 2 11 6 6" xfId="8325"/>
    <cellStyle name="Normal 2 11 6 6 2" xfId="8326"/>
    <cellStyle name="Normal 2 11 6 7" xfId="8327"/>
    <cellStyle name="Normal 2 11 6 7 2" xfId="8328"/>
    <cellStyle name="Normal 2 11 6 8" xfId="8329"/>
    <cellStyle name="Normal 2 11 6 8 2" xfId="8330"/>
    <cellStyle name="Normal 2 11 6 9" xfId="8331"/>
    <cellStyle name="Normal 2 11 6 9 2" xfId="8332"/>
    <cellStyle name="Normal 2 11 7" xfId="69"/>
    <cellStyle name="Normal 2 12" xfId="70"/>
    <cellStyle name="Normal 2 12 10" xfId="8333"/>
    <cellStyle name="Normal 2 12 10 2" xfId="8334"/>
    <cellStyle name="Normal 2 12 11" xfId="8335"/>
    <cellStyle name="Normal 2 12 11 2" xfId="8336"/>
    <cellStyle name="Normal 2 12 12" xfId="8337"/>
    <cellStyle name="Normal 2 12 12 2" xfId="8338"/>
    <cellStyle name="Normal 2 12 13" xfId="8339"/>
    <cellStyle name="Normal 2 12 2" xfId="8340"/>
    <cellStyle name="Normal 2 12 2 10" xfId="8341"/>
    <cellStyle name="Normal 2 12 2 10 2" xfId="8342"/>
    <cellStyle name="Normal 2 12 2 11" xfId="8343"/>
    <cellStyle name="Normal 2 12 2 11 2" xfId="8344"/>
    <cellStyle name="Normal 2 12 2 12" xfId="8345"/>
    <cellStyle name="Normal 2 12 2 2" xfId="8346"/>
    <cellStyle name="Normal 2 12 2 2 10" xfId="8347"/>
    <cellStyle name="Normal 2 12 2 2 10 2" xfId="8348"/>
    <cellStyle name="Normal 2 12 2 2 11" xfId="8349"/>
    <cellStyle name="Normal 2 12 2 2 2" xfId="8350"/>
    <cellStyle name="Normal 2 12 2 2 2 2" xfId="8351"/>
    <cellStyle name="Normal 2 12 2 2 3" xfId="8352"/>
    <cellStyle name="Normal 2 12 2 2 3 2" xfId="8353"/>
    <cellStyle name="Normal 2 12 2 2 4" xfId="8354"/>
    <cellStyle name="Normal 2 12 2 2 4 2" xfId="8355"/>
    <cellStyle name="Normal 2 12 2 2 5" xfId="8356"/>
    <cellStyle name="Normal 2 12 2 2 5 2" xfId="8357"/>
    <cellStyle name="Normal 2 12 2 2 6" xfId="8358"/>
    <cellStyle name="Normal 2 12 2 2 6 2" xfId="8359"/>
    <cellStyle name="Normal 2 12 2 2 7" xfId="8360"/>
    <cellStyle name="Normal 2 12 2 2 7 2" xfId="8361"/>
    <cellStyle name="Normal 2 12 2 2 8" xfId="8362"/>
    <cellStyle name="Normal 2 12 2 2 8 2" xfId="8363"/>
    <cellStyle name="Normal 2 12 2 2 9" xfId="8364"/>
    <cellStyle name="Normal 2 12 2 2 9 2" xfId="8365"/>
    <cellStyle name="Normal 2 12 2 3" xfId="8366"/>
    <cellStyle name="Normal 2 12 2 3 2" xfId="8367"/>
    <cellStyle name="Normal 2 12 2 4" xfId="8368"/>
    <cellStyle name="Normal 2 12 2 4 2" xfId="8369"/>
    <cellStyle name="Normal 2 12 2 5" xfId="8370"/>
    <cellStyle name="Normal 2 12 2 5 2" xfId="8371"/>
    <cellStyle name="Normal 2 12 2 6" xfId="8372"/>
    <cellStyle name="Normal 2 12 2 6 2" xfId="8373"/>
    <cellStyle name="Normal 2 12 2 7" xfId="8374"/>
    <cellStyle name="Normal 2 12 2 7 2" xfId="8375"/>
    <cellStyle name="Normal 2 12 2 8" xfId="8376"/>
    <cellStyle name="Normal 2 12 2 8 2" xfId="8377"/>
    <cellStyle name="Normal 2 12 2 9" xfId="8378"/>
    <cellStyle name="Normal 2 12 2 9 2" xfId="8379"/>
    <cellStyle name="Normal 2 12 3" xfId="8380"/>
    <cellStyle name="Normal 2 12 3 10" xfId="8381"/>
    <cellStyle name="Normal 2 12 3 10 2" xfId="8382"/>
    <cellStyle name="Normal 2 12 3 11" xfId="8383"/>
    <cellStyle name="Normal 2 12 3 2" xfId="8384"/>
    <cellStyle name="Normal 2 12 3 2 2" xfId="8385"/>
    <cellStyle name="Normal 2 12 3 3" xfId="8386"/>
    <cellStyle name="Normal 2 12 3 3 2" xfId="8387"/>
    <cellStyle name="Normal 2 12 3 4" xfId="8388"/>
    <cellStyle name="Normal 2 12 3 4 2" xfId="8389"/>
    <cellStyle name="Normal 2 12 3 5" xfId="8390"/>
    <cellStyle name="Normal 2 12 3 5 2" xfId="8391"/>
    <cellStyle name="Normal 2 12 3 6" xfId="8392"/>
    <cellStyle name="Normal 2 12 3 6 2" xfId="8393"/>
    <cellStyle name="Normal 2 12 3 7" xfId="8394"/>
    <cellStyle name="Normal 2 12 3 7 2" xfId="8395"/>
    <cellStyle name="Normal 2 12 3 8" xfId="8396"/>
    <cellStyle name="Normal 2 12 3 8 2" xfId="8397"/>
    <cellStyle name="Normal 2 12 3 9" xfId="8398"/>
    <cellStyle name="Normal 2 12 3 9 2" xfId="8399"/>
    <cellStyle name="Normal 2 12 4" xfId="8400"/>
    <cellStyle name="Normal 2 12 4 2" xfId="8401"/>
    <cellStyle name="Normal 2 12 5" xfId="8402"/>
    <cellStyle name="Normal 2 12 5 2" xfId="8403"/>
    <cellStyle name="Normal 2 12 6" xfId="8404"/>
    <cellStyle name="Normal 2 12 6 2" xfId="8405"/>
    <cellStyle name="Normal 2 12 7" xfId="8406"/>
    <cellStyle name="Normal 2 12 7 2" xfId="8407"/>
    <cellStyle name="Normal 2 12 8" xfId="8408"/>
    <cellStyle name="Normal 2 12 8 2" xfId="8409"/>
    <cellStyle name="Normal 2 12 9" xfId="8410"/>
    <cellStyle name="Normal 2 12 9 2" xfId="8411"/>
    <cellStyle name="Normal 2 13" xfId="71"/>
    <cellStyle name="Normal 2 13 10" xfId="8412"/>
    <cellStyle name="Normal 2 13 10 2" xfId="8413"/>
    <cellStyle name="Normal 2 13 11" xfId="8414"/>
    <cellStyle name="Normal 2 13 11 2" xfId="8415"/>
    <cellStyle name="Normal 2 13 12" xfId="8416"/>
    <cellStyle name="Normal 2 13 12 2" xfId="8417"/>
    <cellStyle name="Normal 2 13 13" xfId="8418"/>
    <cellStyle name="Normal 2 13 2" xfId="8419"/>
    <cellStyle name="Normal 2 13 2 10" xfId="8420"/>
    <cellStyle name="Normal 2 13 2 10 2" xfId="8421"/>
    <cellStyle name="Normal 2 13 2 11" xfId="8422"/>
    <cellStyle name="Normal 2 13 2 11 2" xfId="8423"/>
    <cellStyle name="Normal 2 13 2 12" xfId="8424"/>
    <cellStyle name="Normal 2 13 2 2" xfId="8425"/>
    <cellStyle name="Normal 2 13 2 2 10" xfId="8426"/>
    <cellStyle name="Normal 2 13 2 2 10 2" xfId="8427"/>
    <cellStyle name="Normal 2 13 2 2 11" xfId="8428"/>
    <cellStyle name="Normal 2 13 2 2 2" xfId="8429"/>
    <cellStyle name="Normal 2 13 2 2 2 2" xfId="8430"/>
    <cellStyle name="Normal 2 13 2 2 3" xfId="8431"/>
    <cellStyle name="Normal 2 13 2 2 3 2" xfId="8432"/>
    <cellStyle name="Normal 2 13 2 2 4" xfId="8433"/>
    <cellStyle name="Normal 2 13 2 2 4 2" xfId="8434"/>
    <cellStyle name="Normal 2 13 2 2 5" xfId="8435"/>
    <cellStyle name="Normal 2 13 2 2 5 2" xfId="8436"/>
    <cellStyle name="Normal 2 13 2 2 6" xfId="8437"/>
    <cellStyle name="Normal 2 13 2 2 6 2" xfId="8438"/>
    <cellStyle name="Normal 2 13 2 2 7" xfId="8439"/>
    <cellStyle name="Normal 2 13 2 2 7 2" xfId="8440"/>
    <cellStyle name="Normal 2 13 2 2 8" xfId="8441"/>
    <cellStyle name="Normal 2 13 2 2 8 2" xfId="8442"/>
    <cellStyle name="Normal 2 13 2 2 9" xfId="8443"/>
    <cellStyle name="Normal 2 13 2 2 9 2" xfId="8444"/>
    <cellStyle name="Normal 2 13 2 3" xfId="8445"/>
    <cellStyle name="Normal 2 13 2 3 2" xfId="8446"/>
    <cellStyle name="Normal 2 13 2 4" xfId="8447"/>
    <cellStyle name="Normal 2 13 2 4 2" xfId="8448"/>
    <cellStyle name="Normal 2 13 2 5" xfId="8449"/>
    <cellStyle name="Normal 2 13 2 5 2" xfId="8450"/>
    <cellStyle name="Normal 2 13 2 6" xfId="8451"/>
    <cellStyle name="Normal 2 13 2 6 2" xfId="8452"/>
    <cellStyle name="Normal 2 13 2 7" xfId="8453"/>
    <cellStyle name="Normal 2 13 2 7 2" xfId="8454"/>
    <cellStyle name="Normal 2 13 2 8" xfId="8455"/>
    <cellStyle name="Normal 2 13 2 8 2" xfId="8456"/>
    <cellStyle name="Normal 2 13 2 9" xfId="8457"/>
    <cellStyle name="Normal 2 13 2 9 2" xfId="8458"/>
    <cellStyle name="Normal 2 13 3" xfId="8459"/>
    <cellStyle name="Normal 2 13 3 10" xfId="8460"/>
    <cellStyle name="Normal 2 13 3 10 2" xfId="8461"/>
    <cellStyle name="Normal 2 13 3 11" xfId="8462"/>
    <cellStyle name="Normal 2 13 3 2" xfId="8463"/>
    <cellStyle name="Normal 2 13 3 2 2" xfId="8464"/>
    <cellStyle name="Normal 2 13 3 3" xfId="8465"/>
    <cellStyle name="Normal 2 13 3 3 2" xfId="8466"/>
    <cellStyle name="Normal 2 13 3 4" xfId="8467"/>
    <cellStyle name="Normal 2 13 3 4 2" xfId="8468"/>
    <cellStyle name="Normal 2 13 3 5" xfId="8469"/>
    <cellStyle name="Normal 2 13 3 5 2" xfId="8470"/>
    <cellStyle name="Normal 2 13 3 6" xfId="8471"/>
    <cellStyle name="Normal 2 13 3 6 2" xfId="8472"/>
    <cellStyle name="Normal 2 13 3 7" xfId="8473"/>
    <cellStyle name="Normal 2 13 3 7 2" xfId="8474"/>
    <cellStyle name="Normal 2 13 3 8" xfId="8475"/>
    <cellStyle name="Normal 2 13 3 8 2" xfId="8476"/>
    <cellStyle name="Normal 2 13 3 9" xfId="8477"/>
    <cellStyle name="Normal 2 13 3 9 2" xfId="8478"/>
    <cellStyle name="Normal 2 13 4" xfId="8479"/>
    <cellStyle name="Normal 2 13 4 2" xfId="8480"/>
    <cellStyle name="Normal 2 13 5" xfId="8481"/>
    <cellStyle name="Normal 2 13 5 2" xfId="8482"/>
    <cellStyle name="Normal 2 13 6" xfId="8483"/>
    <cellStyle name="Normal 2 13 6 2" xfId="8484"/>
    <cellStyle name="Normal 2 13 7" xfId="8485"/>
    <cellStyle name="Normal 2 13 7 2" xfId="8486"/>
    <cellStyle name="Normal 2 13 8" xfId="8487"/>
    <cellStyle name="Normal 2 13 8 2" xfId="8488"/>
    <cellStyle name="Normal 2 13 9" xfId="8489"/>
    <cellStyle name="Normal 2 13 9 2" xfId="8490"/>
    <cellStyle name="Normal 2 14" xfId="72"/>
    <cellStyle name="Normal 2 14 10" xfId="8491"/>
    <cellStyle name="Normal 2 14 10 2" xfId="8492"/>
    <cellStyle name="Normal 2 14 11" xfId="8493"/>
    <cellStyle name="Normal 2 14 11 2" xfId="8494"/>
    <cellStyle name="Normal 2 14 12" xfId="8495"/>
    <cellStyle name="Normal 2 14 12 2" xfId="8496"/>
    <cellStyle name="Normal 2 14 13" xfId="8497"/>
    <cellStyle name="Normal 2 14 2" xfId="8498"/>
    <cellStyle name="Normal 2 14 2 10" xfId="8499"/>
    <cellStyle name="Normal 2 14 2 10 2" xfId="8500"/>
    <cellStyle name="Normal 2 14 2 11" xfId="8501"/>
    <cellStyle name="Normal 2 14 2 11 2" xfId="8502"/>
    <cellStyle name="Normal 2 14 2 12" xfId="8503"/>
    <cellStyle name="Normal 2 14 2 2" xfId="8504"/>
    <cellStyle name="Normal 2 14 2 2 10" xfId="8505"/>
    <cellStyle name="Normal 2 14 2 2 10 2" xfId="8506"/>
    <cellStyle name="Normal 2 14 2 2 11" xfId="8507"/>
    <cellStyle name="Normal 2 14 2 2 2" xfId="8508"/>
    <cellStyle name="Normal 2 14 2 2 2 2" xfId="8509"/>
    <cellStyle name="Normal 2 14 2 2 3" xfId="8510"/>
    <cellStyle name="Normal 2 14 2 2 3 2" xfId="8511"/>
    <cellStyle name="Normal 2 14 2 2 4" xfId="8512"/>
    <cellStyle name="Normal 2 14 2 2 4 2" xfId="8513"/>
    <cellStyle name="Normal 2 14 2 2 5" xfId="8514"/>
    <cellStyle name="Normal 2 14 2 2 5 2" xfId="8515"/>
    <cellStyle name="Normal 2 14 2 2 6" xfId="8516"/>
    <cellStyle name="Normal 2 14 2 2 6 2" xfId="8517"/>
    <cellStyle name="Normal 2 14 2 2 7" xfId="8518"/>
    <cellStyle name="Normal 2 14 2 2 7 2" xfId="8519"/>
    <cellStyle name="Normal 2 14 2 2 8" xfId="8520"/>
    <cellStyle name="Normal 2 14 2 2 8 2" xfId="8521"/>
    <cellStyle name="Normal 2 14 2 2 9" xfId="8522"/>
    <cellStyle name="Normal 2 14 2 2 9 2" xfId="8523"/>
    <cellStyle name="Normal 2 14 2 3" xfId="8524"/>
    <cellStyle name="Normal 2 14 2 3 2" xfId="8525"/>
    <cellStyle name="Normal 2 14 2 4" xfId="8526"/>
    <cellStyle name="Normal 2 14 2 4 2" xfId="8527"/>
    <cellStyle name="Normal 2 14 2 5" xfId="8528"/>
    <cellStyle name="Normal 2 14 2 5 2" xfId="8529"/>
    <cellStyle name="Normal 2 14 2 6" xfId="8530"/>
    <cellStyle name="Normal 2 14 2 6 2" xfId="8531"/>
    <cellStyle name="Normal 2 14 2 7" xfId="8532"/>
    <cellStyle name="Normal 2 14 2 7 2" xfId="8533"/>
    <cellStyle name="Normal 2 14 2 8" xfId="8534"/>
    <cellStyle name="Normal 2 14 2 8 2" xfId="8535"/>
    <cellStyle name="Normal 2 14 2 9" xfId="8536"/>
    <cellStyle name="Normal 2 14 2 9 2" xfId="8537"/>
    <cellStyle name="Normal 2 14 3" xfId="8538"/>
    <cellStyle name="Normal 2 14 3 10" xfId="8539"/>
    <cellStyle name="Normal 2 14 3 10 2" xfId="8540"/>
    <cellStyle name="Normal 2 14 3 11" xfId="8541"/>
    <cellStyle name="Normal 2 14 3 2" xfId="8542"/>
    <cellStyle name="Normal 2 14 3 2 2" xfId="8543"/>
    <cellStyle name="Normal 2 14 3 3" xfId="8544"/>
    <cellStyle name="Normal 2 14 3 3 2" xfId="8545"/>
    <cellStyle name="Normal 2 14 3 4" xfId="8546"/>
    <cellStyle name="Normal 2 14 3 4 2" xfId="8547"/>
    <cellStyle name="Normal 2 14 3 5" xfId="8548"/>
    <cellStyle name="Normal 2 14 3 5 2" xfId="8549"/>
    <cellStyle name="Normal 2 14 3 6" xfId="8550"/>
    <cellStyle name="Normal 2 14 3 6 2" xfId="8551"/>
    <cellStyle name="Normal 2 14 3 7" xfId="8552"/>
    <cellStyle name="Normal 2 14 3 7 2" xfId="8553"/>
    <cellStyle name="Normal 2 14 3 8" xfId="8554"/>
    <cellStyle name="Normal 2 14 3 8 2" xfId="8555"/>
    <cellStyle name="Normal 2 14 3 9" xfId="8556"/>
    <cellStyle name="Normal 2 14 3 9 2" xfId="8557"/>
    <cellStyle name="Normal 2 14 4" xfId="8558"/>
    <cellStyle name="Normal 2 14 4 2" xfId="8559"/>
    <cellStyle name="Normal 2 14 5" xfId="8560"/>
    <cellStyle name="Normal 2 14 5 2" xfId="8561"/>
    <cellStyle name="Normal 2 14 6" xfId="8562"/>
    <cellStyle name="Normal 2 14 6 2" xfId="8563"/>
    <cellStyle name="Normal 2 14 7" xfId="8564"/>
    <cellStyle name="Normal 2 14 7 2" xfId="8565"/>
    <cellStyle name="Normal 2 14 8" xfId="8566"/>
    <cellStyle name="Normal 2 14 8 2" xfId="8567"/>
    <cellStyle name="Normal 2 14 9" xfId="8568"/>
    <cellStyle name="Normal 2 14 9 2" xfId="8569"/>
    <cellStyle name="Normal 2 15" xfId="73"/>
    <cellStyle name="Normal 2 15 2" xfId="74"/>
    <cellStyle name="Normal 2 15 2 10" xfId="8570"/>
    <cellStyle name="Normal 2 15 2 10 2" xfId="8571"/>
    <cellStyle name="Normal 2 15 2 11" xfId="8572"/>
    <cellStyle name="Normal 2 15 2 11 2" xfId="8573"/>
    <cellStyle name="Normal 2 15 2 12" xfId="8574"/>
    <cellStyle name="Normal 2 15 2 12 2" xfId="8575"/>
    <cellStyle name="Normal 2 15 2 13" xfId="8576"/>
    <cellStyle name="Normal 2 15 2 2" xfId="8577"/>
    <cellStyle name="Normal 2 15 2 2 10" xfId="8578"/>
    <cellStyle name="Normal 2 15 2 2 10 2" xfId="8579"/>
    <cellStyle name="Normal 2 15 2 2 11" xfId="8580"/>
    <cellStyle name="Normal 2 15 2 2 11 2" xfId="8581"/>
    <cellStyle name="Normal 2 15 2 2 12" xfId="8582"/>
    <cellStyle name="Normal 2 15 2 2 2" xfId="8583"/>
    <cellStyle name="Normal 2 15 2 2 2 10" xfId="8584"/>
    <cellStyle name="Normal 2 15 2 2 2 10 2" xfId="8585"/>
    <cellStyle name="Normal 2 15 2 2 2 11" xfId="8586"/>
    <cellStyle name="Normal 2 15 2 2 2 2" xfId="8587"/>
    <cellStyle name="Normal 2 15 2 2 2 2 2" xfId="8588"/>
    <cellStyle name="Normal 2 15 2 2 2 3" xfId="8589"/>
    <cellStyle name="Normal 2 15 2 2 2 3 2" xfId="8590"/>
    <cellStyle name="Normal 2 15 2 2 2 4" xfId="8591"/>
    <cellStyle name="Normal 2 15 2 2 2 4 2" xfId="8592"/>
    <cellStyle name="Normal 2 15 2 2 2 5" xfId="8593"/>
    <cellStyle name="Normal 2 15 2 2 2 5 2" xfId="8594"/>
    <cellStyle name="Normal 2 15 2 2 2 6" xfId="8595"/>
    <cellStyle name="Normal 2 15 2 2 2 6 2" xfId="8596"/>
    <cellStyle name="Normal 2 15 2 2 2 7" xfId="8597"/>
    <cellStyle name="Normal 2 15 2 2 2 7 2" xfId="8598"/>
    <cellStyle name="Normal 2 15 2 2 2 8" xfId="8599"/>
    <cellStyle name="Normal 2 15 2 2 2 8 2" xfId="8600"/>
    <cellStyle name="Normal 2 15 2 2 2 9" xfId="8601"/>
    <cellStyle name="Normal 2 15 2 2 2 9 2" xfId="8602"/>
    <cellStyle name="Normal 2 15 2 2 3" xfId="8603"/>
    <cellStyle name="Normal 2 15 2 2 3 2" xfId="8604"/>
    <cellStyle name="Normal 2 15 2 2 4" xfId="8605"/>
    <cellStyle name="Normal 2 15 2 2 4 2" xfId="8606"/>
    <cellStyle name="Normal 2 15 2 2 5" xfId="8607"/>
    <cellStyle name="Normal 2 15 2 2 5 2" xfId="8608"/>
    <cellStyle name="Normal 2 15 2 2 6" xfId="8609"/>
    <cellStyle name="Normal 2 15 2 2 6 2" xfId="8610"/>
    <cellStyle name="Normal 2 15 2 2 7" xfId="8611"/>
    <cellStyle name="Normal 2 15 2 2 7 2" xfId="8612"/>
    <cellStyle name="Normal 2 15 2 2 8" xfId="8613"/>
    <cellStyle name="Normal 2 15 2 2 8 2" xfId="8614"/>
    <cellStyle name="Normal 2 15 2 2 9" xfId="8615"/>
    <cellStyle name="Normal 2 15 2 2 9 2" xfId="8616"/>
    <cellStyle name="Normal 2 15 2 3" xfId="8617"/>
    <cellStyle name="Normal 2 15 2 3 10" xfId="8618"/>
    <cellStyle name="Normal 2 15 2 3 10 2" xfId="8619"/>
    <cellStyle name="Normal 2 15 2 3 11" xfId="8620"/>
    <cellStyle name="Normal 2 15 2 3 2" xfId="8621"/>
    <cellStyle name="Normal 2 15 2 3 2 2" xfId="8622"/>
    <cellStyle name="Normal 2 15 2 3 3" xfId="8623"/>
    <cellStyle name="Normal 2 15 2 3 3 2" xfId="8624"/>
    <cellStyle name="Normal 2 15 2 3 4" xfId="8625"/>
    <cellStyle name="Normal 2 15 2 3 4 2" xfId="8626"/>
    <cellStyle name="Normal 2 15 2 3 5" xfId="8627"/>
    <cellStyle name="Normal 2 15 2 3 5 2" xfId="8628"/>
    <cellStyle name="Normal 2 15 2 3 6" xfId="8629"/>
    <cellStyle name="Normal 2 15 2 3 6 2" xfId="8630"/>
    <cellStyle name="Normal 2 15 2 3 7" xfId="8631"/>
    <cellStyle name="Normal 2 15 2 3 7 2" xfId="8632"/>
    <cellStyle name="Normal 2 15 2 3 8" xfId="8633"/>
    <cellStyle name="Normal 2 15 2 3 8 2" xfId="8634"/>
    <cellStyle name="Normal 2 15 2 3 9" xfId="8635"/>
    <cellStyle name="Normal 2 15 2 3 9 2" xfId="8636"/>
    <cellStyle name="Normal 2 15 2 4" xfId="8637"/>
    <cellStyle name="Normal 2 15 2 4 2" xfId="8638"/>
    <cellStyle name="Normal 2 15 2 5" xfId="8639"/>
    <cellStyle name="Normal 2 15 2 5 2" xfId="8640"/>
    <cellStyle name="Normal 2 15 2 6" xfId="8641"/>
    <cellStyle name="Normal 2 15 2 6 2" xfId="8642"/>
    <cellStyle name="Normal 2 15 2 7" xfId="8643"/>
    <cellStyle name="Normal 2 15 2 7 2" xfId="8644"/>
    <cellStyle name="Normal 2 15 2 8" xfId="8645"/>
    <cellStyle name="Normal 2 15 2 8 2" xfId="8646"/>
    <cellStyle name="Normal 2 15 2 9" xfId="8647"/>
    <cellStyle name="Normal 2 15 2 9 2" xfId="8648"/>
    <cellStyle name="Normal 2 15 3" xfId="75"/>
    <cellStyle name="Normal 2 15 3 10" xfId="8649"/>
    <cellStyle name="Normal 2 15 3 10 2" xfId="8650"/>
    <cellStyle name="Normal 2 15 3 11" xfId="8651"/>
    <cellStyle name="Normal 2 15 3 11 2" xfId="8652"/>
    <cellStyle name="Normal 2 15 3 12" xfId="8653"/>
    <cellStyle name="Normal 2 15 3 12 2" xfId="8654"/>
    <cellStyle name="Normal 2 15 3 13" xfId="8655"/>
    <cellStyle name="Normal 2 15 3 2" xfId="8656"/>
    <cellStyle name="Normal 2 15 3 2 10" xfId="8657"/>
    <cellStyle name="Normal 2 15 3 2 10 2" xfId="8658"/>
    <cellStyle name="Normal 2 15 3 2 11" xfId="8659"/>
    <cellStyle name="Normal 2 15 3 2 11 2" xfId="8660"/>
    <cellStyle name="Normal 2 15 3 2 12" xfId="8661"/>
    <cellStyle name="Normal 2 15 3 2 2" xfId="8662"/>
    <cellStyle name="Normal 2 15 3 2 2 10" xfId="8663"/>
    <cellStyle name="Normal 2 15 3 2 2 10 2" xfId="8664"/>
    <cellStyle name="Normal 2 15 3 2 2 11" xfId="8665"/>
    <cellStyle name="Normal 2 15 3 2 2 2" xfId="8666"/>
    <cellStyle name="Normal 2 15 3 2 2 2 2" xfId="8667"/>
    <cellStyle name="Normal 2 15 3 2 2 3" xfId="8668"/>
    <cellStyle name="Normal 2 15 3 2 2 3 2" xfId="8669"/>
    <cellStyle name="Normal 2 15 3 2 2 4" xfId="8670"/>
    <cellStyle name="Normal 2 15 3 2 2 4 2" xfId="8671"/>
    <cellStyle name="Normal 2 15 3 2 2 5" xfId="8672"/>
    <cellStyle name="Normal 2 15 3 2 2 5 2" xfId="8673"/>
    <cellStyle name="Normal 2 15 3 2 2 6" xfId="8674"/>
    <cellStyle name="Normal 2 15 3 2 2 6 2" xfId="8675"/>
    <cellStyle name="Normal 2 15 3 2 2 7" xfId="8676"/>
    <cellStyle name="Normal 2 15 3 2 2 7 2" xfId="8677"/>
    <cellStyle name="Normal 2 15 3 2 2 8" xfId="8678"/>
    <cellStyle name="Normal 2 15 3 2 2 8 2" xfId="8679"/>
    <cellStyle name="Normal 2 15 3 2 2 9" xfId="8680"/>
    <cellStyle name="Normal 2 15 3 2 2 9 2" xfId="8681"/>
    <cellStyle name="Normal 2 15 3 2 3" xfId="8682"/>
    <cellStyle name="Normal 2 15 3 2 3 2" xfId="8683"/>
    <cellStyle name="Normal 2 15 3 2 4" xfId="8684"/>
    <cellStyle name="Normal 2 15 3 2 4 2" xfId="8685"/>
    <cellStyle name="Normal 2 15 3 2 5" xfId="8686"/>
    <cellStyle name="Normal 2 15 3 2 5 2" xfId="8687"/>
    <cellStyle name="Normal 2 15 3 2 6" xfId="8688"/>
    <cellStyle name="Normal 2 15 3 2 6 2" xfId="8689"/>
    <cellStyle name="Normal 2 15 3 2 7" xfId="8690"/>
    <cellStyle name="Normal 2 15 3 2 7 2" xfId="8691"/>
    <cellStyle name="Normal 2 15 3 2 8" xfId="8692"/>
    <cellStyle name="Normal 2 15 3 2 8 2" xfId="8693"/>
    <cellStyle name="Normal 2 15 3 2 9" xfId="8694"/>
    <cellStyle name="Normal 2 15 3 2 9 2" xfId="8695"/>
    <cellStyle name="Normal 2 15 3 3" xfId="8696"/>
    <cellStyle name="Normal 2 15 3 3 10" xfId="8697"/>
    <cellStyle name="Normal 2 15 3 3 10 2" xfId="8698"/>
    <cellStyle name="Normal 2 15 3 3 11" xfId="8699"/>
    <cellStyle name="Normal 2 15 3 3 2" xfId="8700"/>
    <cellStyle name="Normal 2 15 3 3 2 2" xfId="8701"/>
    <cellStyle name="Normal 2 15 3 3 3" xfId="8702"/>
    <cellStyle name="Normal 2 15 3 3 3 2" xfId="8703"/>
    <cellStyle name="Normal 2 15 3 3 4" xfId="8704"/>
    <cellStyle name="Normal 2 15 3 3 4 2" xfId="8705"/>
    <cellStyle name="Normal 2 15 3 3 5" xfId="8706"/>
    <cellStyle name="Normal 2 15 3 3 5 2" xfId="8707"/>
    <cellStyle name="Normal 2 15 3 3 6" xfId="8708"/>
    <cellStyle name="Normal 2 15 3 3 6 2" xfId="8709"/>
    <cellStyle name="Normal 2 15 3 3 7" xfId="8710"/>
    <cellStyle name="Normal 2 15 3 3 7 2" xfId="8711"/>
    <cellStyle name="Normal 2 15 3 3 8" xfId="8712"/>
    <cellStyle name="Normal 2 15 3 3 8 2" xfId="8713"/>
    <cellStyle name="Normal 2 15 3 3 9" xfId="8714"/>
    <cellStyle name="Normal 2 15 3 3 9 2" xfId="8715"/>
    <cellStyle name="Normal 2 15 3 4" xfId="8716"/>
    <cellStyle name="Normal 2 15 3 4 2" xfId="8717"/>
    <cellStyle name="Normal 2 15 3 5" xfId="8718"/>
    <cellStyle name="Normal 2 15 3 5 2" xfId="8719"/>
    <cellStyle name="Normal 2 15 3 6" xfId="8720"/>
    <cellStyle name="Normal 2 15 3 6 2" xfId="8721"/>
    <cellStyle name="Normal 2 15 3 7" xfId="8722"/>
    <cellStyle name="Normal 2 15 3 7 2" xfId="8723"/>
    <cellStyle name="Normal 2 15 3 8" xfId="8724"/>
    <cellStyle name="Normal 2 15 3 8 2" xfId="8725"/>
    <cellStyle name="Normal 2 15 3 9" xfId="8726"/>
    <cellStyle name="Normal 2 15 3 9 2" xfId="8727"/>
    <cellStyle name="Normal 2 15 4" xfId="76"/>
    <cellStyle name="Normal 2 15 4 10" xfId="8728"/>
    <cellStyle name="Normal 2 15 4 10 2" xfId="8729"/>
    <cellStyle name="Normal 2 15 4 11" xfId="8730"/>
    <cellStyle name="Normal 2 15 4 11 2" xfId="8731"/>
    <cellStyle name="Normal 2 15 4 12" xfId="8732"/>
    <cellStyle name="Normal 2 15 4 12 2" xfId="8733"/>
    <cellStyle name="Normal 2 15 4 13" xfId="8734"/>
    <cellStyle name="Normal 2 15 4 2" xfId="8735"/>
    <cellStyle name="Normal 2 15 4 2 10" xfId="8736"/>
    <cellStyle name="Normal 2 15 4 2 10 2" xfId="8737"/>
    <cellStyle name="Normal 2 15 4 2 11" xfId="8738"/>
    <cellStyle name="Normal 2 15 4 2 11 2" xfId="8739"/>
    <cellStyle name="Normal 2 15 4 2 12" xfId="8740"/>
    <cellStyle name="Normal 2 15 4 2 2" xfId="8741"/>
    <cellStyle name="Normal 2 15 4 2 2 10" xfId="8742"/>
    <cellStyle name="Normal 2 15 4 2 2 10 2" xfId="8743"/>
    <cellStyle name="Normal 2 15 4 2 2 11" xfId="8744"/>
    <cellStyle name="Normal 2 15 4 2 2 2" xfId="8745"/>
    <cellStyle name="Normal 2 15 4 2 2 2 2" xfId="8746"/>
    <cellStyle name="Normal 2 15 4 2 2 3" xfId="8747"/>
    <cellStyle name="Normal 2 15 4 2 2 3 2" xfId="8748"/>
    <cellStyle name="Normal 2 15 4 2 2 4" xfId="8749"/>
    <cellStyle name="Normal 2 15 4 2 2 4 2" xfId="8750"/>
    <cellStyle name="Normal 2 15 4 2 2 5" xfId="8751"/>
    <cellStyle name="Normal 2 15 4 2 2 5 2" xfId="8752"/>
    <cellStyle name="Normal 2 15 4 2 2 6" xfId="8753"/>
    <cellStyle name="Normal 2 15 4 2 2 6 2" xfId="8754"/>
    <cellStyle name="Normal 2 15 4 2 2 7" xfId="8755"/>
    <cellStyle name="Normal 2 15 4 2 2 7 2" xfId="8756"/>
    <cellStyle name="Normal 2 15 4 2 2 8" xfId="8757"/>
    <cellStyle name="Normal 2 15 4 2 2 8 2" xfId="8758"/>
    <cellStyle name="Normal 2 15 4 2 2 9" xfId="8759"/>
    <cellStyle name="Normal 2 15 4 2 2 9 2" xfId="8760"/>
    <cellStyle name="Normal 2 15 4 2 3" xfId="8761"/>
    <cellStyle name="Normal 2 15 4 2 3 2" xfId="8762"/>
    <cellStyle name="Normal 2 15 4 2 4" xfId="8763"/>
    <cellStyle name="Normal 2 15 4 2 4 2" xfId="8764"/>
    <cellStyle name="Normal 2 15 4 2 5" xfId="8765"/>
    <cellStyle name="Normal 2 15 4 2 5 2" xfId="8766"/>
    <cellStyle name="Normal 2 15 4 2 6" xfId="8767"/>
    <cellStyle name="Normal 2 15 4 2 6 2" xfId="8768"/>
    <cellStyle name="Normal 2 15 4 2 7" xfId="8769"/>
    <cellStyle name="Normal 2 15 4 2 7 2" xfId="8770"/>
    <cellStyle name="Normal 2 15 4 2 8" xfId="8771"/>
    <cellStyle name="Normal 2 15 4 2 8 2" xfId="8772"/>
    <cellStyle name="Normal 2 15 4 2 9" xfId="8773"/>
    <cellStyle name="Normal 2 15 4 2 9 2" xfId="8774"/>
    <cellStyle name="Normal 2 15 4 3" xfId="8775"/>
    <cellStyle name="Normal 2 15 4 3 10" xfId="8776"/>
    <cellStyle name="Normal 2 15 4 3 10 2" xfId="8777"/>
    <cellStyle name="Normal 2 15 4 3 11" xfId="8778"/>
    <cellStyle name="Normal 2 15 4 3 2" xfId="8779"/>
    <cellStyle name="Normal 2 15 4 3 2 2" xfId="8780"/>
    <cellStyle name="Normal 2 15 4 3 3" xfId="8781"/>
    <cellStyle name="Normal 2 15 4 3 3 2" xfId="8782"/>
    <cellStyle name="Normal 2 15 4 3 4" xfId="8783"/>
    <cellStyle name="Normal 2 15 4 3 4 2" xfId="8784"/>
    <cellStyle name="Normal 2 15 4 3 5" xfId="8785"/>
    <cellStyle name="Normal 2 15 4 3 5 2" xfId="8786"/>
    <cellStyle name="Normal 2 15 4 3 6" xfId="8787"/>
    <cellStyle name="Normal 2 15 4 3 6 2" xfId="8788"/>
    <cellStyle name="Normal 2 15 4 3 7" xfId="8789"/>
    <cellStyle name="Normal 2 15 4 3 7 2" xfId="8790"/>
    <cellStyle name="Normal 2 15 4 3 8" xfId="8791"/>
    <cellStyle name="Normal 2 15 4 3 8 2" xfId="8792"/>
    <cellStyle name="Normal 2 15 4 3 9" xfId="8793"/>
    <cellStyle name="Normal 2 15 4 3 9 2" xfId="8794"/>
    <cellStyle name="Normal 2 15 4 4" xfId="8795"/>
    <cellStyle name="Normal 2 15 4 4 2" xfId="8796"/>
    <cellStyle name="Normal 2 15 4 5" xfId="8797"/>
    <cellStyle name="Normal 2 15 4 5 2" xfId="8798"/>
    <cellStyle name="Normal 2 15 4 6" xfId="8799"/>
    <cellStyle name="Normal 2 15 4 6 2" xfId="8800"/>
    <cellStyle name="Normal 2 15 4 7" xfId="8801"/>
    <cellStyle name="Normal 2 15 4 7 2" xfId="8802"/>
    <cellStyle name="Normal 2 15 4 8" xfId="8803"/>
    <cellStyle name="Normal 2 15 4 8 2" xfId="8804"/>
    <cellStyle name="Normal 2 15 4 9" xfId="8805"/>
    <cellStyle name="Normal 2 15 4 9 2" xfId="8806"/>
    <cellStyle name="Normal 2 15 5" xfId="77"/>
    <cellStyle name="Normal 2 15 5 10" xfId="8807"/>
    <cellStyle name="Normal 2 15 5 10 2" xfId="8808"/>
    <cellStyle name="Normal 2 15 5 11" xfId="8809"/>
    <cellStyle name="Normal 2 15 5 11 2" xfId="8810"/>
    <cellStyle name="Normal 2 15 5 12" xfId="8811"/>
    <cellStyle name="Normal 2 15 5 12 2" xfId="8812"/>
    <cellStyle name="Normal 2 15 5 13" xfId="8813"/>
    <cellStyle name="Normal 2 15 5 2" xfId="8814"/>
    <cellStyle name="Normal 2 15 5 2 10" xfId="8815"/>
    <cellStyle name="Normal 2 15 5 2 10 2" xfId="8816"/>
    <cellStyle name="Normal 2 15 5 2 11" xfId="8817"/>
    <cellStyle name="Normal 2 15 5 2 11 2" xfId="8818"/>
    <cellStyle name="Normal 2 15 5 2 12" xfId="8819"/>
    <cellStyle name="Normal 2 15 5 2 2" xfId="8820"/>
    <cellStyle name="Normal 2 15 5 2 2 10" xfId="8821"/>
    <cellStyle name="Normal 2 15 5 2 2 10 2" xfId="8822"/>
    <cellStyle name="Normal 2 15 5 2 2 11" xfId="8823"/>
    <cellStyle name="Normal 2 15 5 2 2 2" xfId="8824"/>
    <cellStyle name="Normal 2 15 5 2 2 2 2" xfId="8825"/>
    <cellStyle name="Normal 2 15 5 2 2 3" xfId="8826"/>
    <cellStyle name="Normal 2 15 5 2 2 3 2" xfId="8827"/>
    <cellStyle name="Normal 2 15 5 2 2 4" xfId="8828"/>
    <cellStyle name="Normal 2 15 5 2 2 4 2" xfId="8829"/>
    <cellStyle name="Normal 2 15 5 2 2 5" xfId="8830"/>
    <cellStyle name="Normal 2 15 5 2 2 5 2" xfId="8831"/>
    <cellStyle name="Normal 2 15 5 2 2 6" xfId="8832"/>
    <cellStyle name="Normal 2 15 5 2 2 6 2" xfId="8833"/>
    <cellStyle name="Normal 2 15 5 2 2 7" xfId="8834"/>
    <cellStyle name="Normal 2 15 5 2 2 7 2" xfId="8835"/>
    <cellStyle name="Normal 2 15 5 2 2 8" xfId="8836"/>
    <cellStyle name="Normal 2 15 5 2 2 8 2" xfId="8837"/>
    <cellStyle name="Normal 2 15 5 2 2 9" xfId="8838"/>
    <cellStyle name="Normal 2 15 5 2 2 9 2" xfId="8839"/>
    <cellStyle name="Normal 2 15 5 2 3" xfId="8840"/>
    <cellStyle name="Normal 2 15 5 2 3 2" xfId="8841"/>
    <cellStyle name="Normal 2 15 5 2 4" xfId="8842"/>
    <cellStyle name="Normal 2 15 5 2 4 2" xfId="8843"/>
    <cellStyle name="Normal 2 15 5 2 5" xfId="8844"/>
    <cellStyle name="Normal 2 15 5 2 5 2" xfId="8845"/>
    <cellStyle name="Normal 2 15 5 2 6" xfId="8846"/>
    <cellStyle name="Normal 2 15 5 2 6 2" xfId="8847"/>
    <cellStyle name="Normal 2 15 5 2 7" xfId="8848"/>
    <cellStyle name="Normal 2 15 5 2 7 2" xfId="8849"/>
    <cellStyle name="Normal 2 15 5 2 8" xfId="8850"/>
    <cellStyle name="Normal 2 15 5 2 8 2" xfId="8851"/>
    <cellStyle name="Normal 2 15 5 2 9" xfId="8852"/>
    <cellStyle name="Normal 2 15 5 2 9 2" xfId="8853"/>
    <cellStyle name="Normal 2 15 5 3" xfId="8854"/>
    <cellStyle name="Normal 2 15 5 3 10" xfId="8855"/>
    <cellStyle name="Normal 2 15 5 3 10 2" xfId="8856"/>
    <cellStyle name="Normal 2 15 5 3 11" xfId="8857"/>
    <cellStyle name="Normal 2 15 5 3 2" xfId="8858"/>
    <cellStyle name="Normal 2 15 5 3 2 2" xfId="8859"/>
    <cellStyle name="Normal 2 15 5 3 3" xfId="8860"/>
    <cellStyle name="Normal 2 15 5 3 3 2" xfId="8861"/>
    <cellStyle name="Normal 2 15 5 3 4" xfId="8862"/>
    <cellStyle name="Normal 2 15 5 3 4 2" xfId="8863"/>
    <cellStyle name="Normal 2 15 5 3 5" xfId="8864"/>
    <cellStyle name="Normal 2 15 5 3 5 2" xfId="8865"/>
    <cellStyle name="Normal 2 15 5 3 6" xfId="8866"/>
    <cellStyle name="Normal 2 15 5 3 6 2" xfId="8867"/>
    <cellStyle name="Normal 2 15 5 3 7" xfId="8868"/>
    <cellStyle name="Normal 2 15 5 3 7 2" xfId="8869"/>
    <cellStyle name="Normal 2 15 5 3 8" xfId="8870"/>
    <cellStyle name="Normal 2 15 5 3 8 2" xfId="8871"/>
    <cellStyle name="Normal 2 15 5 3 9" xfId="8872"/>
    <cellStyle name="Normal 2 15 5 3 9 2" xfId="8873"/>
    <cellStyle name="Normal 2 15 5 4" xfId="8874"/>
    <cellStyle name="Normal 2 15 5 4 2" xfId="8875"/>
    <cellStyle name="Normal 2 15 5 5" xfId="8876"/>
    <cellStyle name="Normal 2 15 5 5 2" xfId="8877"/>
    <cellStyle name="Normal 2 15 5 6" xfId="8878"/>
    <cellStyle name="Normal 2 15 5 6 2" xfId="8879"/>
    <cellStyle name="Normal 2 15 5 7" xfId="8880"/>
    <cellStyle name="Normal 2 15 5 7 2" xfId="8881"/>
    <cellStyle name="Normal 2 15 5 8" xfId="8882"/>
    <cellStyle name="Normal 2 15 5 8 2" xfId="8883"/>
    <cellStyle name="Normal 2 15 5 9" xfId="8884"/>
    <cellStyle name="Normal 2 15 5 9 2" xfId="8885"/>
    <cellStyle name="Normal 2 15 6" xfId="78"/>
    <cellStyle name="Normal 2 16" xfId="79"/>
    <cellStyle name="Normal 2 16 2" xfId="80"/>
    <cellStyle name="Normal 2 17" xfId="81"/>
    <cellStyle name="Normal 2 17 2" xfId="82"/>
    <cellStyle name="Normal 2 18" xfId="83"/>
    <cellStyle name="Normal 2 18 2" xfId="84"/>
    <cellStyle name="Normal 2 19" xfId="85"/>
    <cellStyle name="Normal 2 2" xfId="86"/>
    <cellStyle name="Normal 2 2 10" xfId="87"/>
    <cellStyle name="Normal 2 2 10 2" xfId="88"/>
    <cellStyle name="Normal 2 2 11" xfId="89"/>
    <cellStyle name="Normal 2 2 11 10" xfId="8886"/>
    <cellStyle name="Normal 2 2 11 10 2" xfId="8887"/>
    <cellStyle name="Normal 2 2 11 11" xfId="8888"/>
    <cellStyle name="Normal 2 2 11 11 2" xfId="8889"/>
    <cellStyle name="Normal 2 2 11 12" xfId="8890"/>
    <cellStyle name="Normal 2 2 11 12 2" xfId="8891"/>
    <cellStyle name="Normal 2 2 11 13" xfId="8892"/>
    <cellStyle name="Normal 2 2 11 13 2" xfId="8893"/>
    <cellStyle name="Normal 2 2 11 14" xfId="8894"/>
    <cellStyle name="Normal 2 2 11 14 2" xfId="8895"/>
    <cellStyle name="Normal 2 2 11 15" xfId="8896"/>
    <cellStyle name="Normal 2 2 11 15 2" xfId="8897"/>
    <cellStyle name="Normal 2 2 11 16" xfId="8898"/>
    <cellStyle name="Normal 2 2 11 16 2" xfId="8899"/>
    <cellStyle name="Normal 2 2 11 17" xfId="8900"/>
    <cellStyle name="Normal 2 2 11 17 2" xfId="8901"/>
    <cellStyle name="Normal 2 2 11 18" xfId="8902"/>
    <cellStyle name="Normal 2 2 11 2" xfId="90"/>
    <cellStyle name="Normal 2 2 11 2 2" xfId="91"/>
    <cellStyle name="Normal 2 2 11 2 2 10" xfId="8903"/>
    <cellStyle name="Normal 2 2 11 2 2 10 2" xfId="8904"/>
    <cellStyle name="Normal 2 2 11 2 2 11" xfId="8905"/>
    <cellStyle name="Normal 2 2 11 2 2 11 2" xfId="8906"/>
    <cellStyle name="Normal 2 2 11 2 2 12" xfId="8907"/>
    <cellStyle name="Normal 2 2 11 2 2 12 2" xfId="8908"/>
    <cellStyle name="Normal 2 2 11 2 2 13" xfId="8909"/>
    <cellStyle name="Normal 2 2 11 2 2 13 2" xfId="8910"/>
    <cellStyle name="Normal 2 2 11 2 2 14" xfId="8911"/>
    <cellStyle name="Normal 2 2 11 2 2 14 2" xfId="8912"/>
    <cellStyle name="Normal 2 2 11 2 2 15" xfId="8913"/>
    <cellStyle name="Normal 2 2 11 2 2 15 2" xfId="8914"/>
    <cellStyle name="Normal 2 2 11 2 2 16" xfId="8915"/>
    <cellStyle name="Normal 2 2 11 2 2 16 2" xfId="8916"/>
    <cellStyle name="Normal 2 2 11 2 2 17" xfId="8917"/>
    <cellStyle name="Normal 2 2 11 2 2 2" xfId="92"/>
    <cellStyle name="Normal 2 2 11 2 2 2 2" xfId="93"/>
    <cellStyle name="Normal 2 2 11 2 2 3" xfId="94"/>
    <cellStyle name="Normal 2 2 11 2 2 3 2" xfId="95"/>
    <cellStyle name="Normal 2 2 11 2 2 4" xfId="96"/>
    <cellStyle name="Normal 2 2 11 2 2 4 2" xfId="97"/>
    <cellStyle name="Normal 2 2 11 2 2 5" xfId="98"/>
    <cellStyle name="Normal 2 2 11 2 2 5 2" xfId="99"/>
    <cellStyle name="Normal 2 2 11 2 2 6" xfId="8918"/>
    <cellStyle name="Normal 2 2 11 2 2 6 10" xfId="8919"/>
    <cellStyle name="Normal 2 2 11 2 2 6 10 2" xfId="8920"/>
    <cellStyle name="Normal 2 2 11 2 2 6 11" xfId="8921"/>
    <cellStyle name="Normal 2 2 11 2 2 6 11 2" xfId="8922"/>
    <cellStyle name="Normal 2 2 11 2 2 6 12" xfId="8923"/>
    <cellStyle name="Normal 2 2 11 2 2 6 2" xfId="8924"/>
    <cellStyle name="Normal 2 2 11 2 2 6 2 10" xfId="8925"/>
    <cellStyle name="Normal 2 2 11 2 2 6 2 10 2" xfId="8926"/>
    <cellStyle name="Normal 2 2 11 2 2 6 2 11" xfId="8927"/>
    <cellStyle name="Normal 2 2 11 2 2 6 2 2" xfId="8928"/>
    <cellStyle name="Normal 2 2 11 2 2 6 2 2 2" xfId="8929"/>
    <cellStyle name="Normal 2 2 11 2 2 6 2 3" xfId="8930"/>
    <cellStyle name="Normal 2 2 11 2 2 6 2 3 2" xfId="8931"/>
    <cellStyle name="Normal 2 2 11 2 2 6 2 4" xfId="8932"/>
    <cellStyle name="Normal 2 2 11 2 2 6 2 4 2" xfId="8933"/>
    <cellStyle name="Normal 2 2 11 2 2 6 2 5" xfId="8934"/>
    <cellStyle name="Normal 2 2 11 2 2 6 2 5 2" xfId="8935"/>
    <cellStyle name="Normal 2 2 11 2 2 6 2 6" xfId="8936"/>
    <cellStyle name="Normal 2 2 11 2 2 6 2 6 2" xfId="8937"/>
    <cellStyle name="Normal 2 2 11 2 2 6 2 7" xfId="8938"/>
    <cellStyle name="Normal 2 2 11 2 2 6 2 7 2" xfId="8939"/>
    <cellStyle name="Normal 2 2 11 2 2 6 2 8" xfId="8940"/>
    <cellStyle name="Normal 2 2 11 2 2 6 2 8 2" xfId="8941"/>
    <cellStyle name="Normal 2 2 11 2 2 6 2 9" xfId="8942"/>
    <cellStyle name="Normal 2 2 11 2 2 6 2 9 2" xfId="8943"/>
    <cellStyle name="Normal 2 2 11 2 2 6 3" xfId="8944"/>
    <cellStyle name="Normal 2 2 11 2 2 6 3 2" xfId="8945"/>
    <cellStyle name="Normal 2 2 11 2 2 6 4" xfId="8946"/>
    <cellStyle name="Normal 2 2 11 2 2 6 4 2" xfId="8947"/>
    <cellStyle name="Normal 2 2 11 2 2 6 5" xfId="8948"/>
    <cellStyle name="Normal 2 2 11 2 2 6 5 2" xfId="8949"/>
    <cellStyle name="Normal 2 2 11 2 2 6 6" xfId="8950"/>
    <cellStyle name="Normal 2 2 11 2 2 6 6 2" xfId="8951"/>
    <cellStyle name="Normal 2 2 11 2 2 6 7" xfId="8952"/>
    <cellStyle name="Normal 2 2 11 2 2 6 7 2" xfId="8953"/>
    <cellStyle name="Normal 2 2 11 2 2 6 8" xfId="8954"/>
    <cellStyle name="Normal 2 2 11 2 2 6 8 2" xfId="8955"/>
    <cellStyle name="Normal 2 2 11 2 2 6 9" xfId="8956"/>
    <cellStyle name="Normal 2 2 11 2 2 6 9 2" xfId="8957"/>
    <cellStyle name="Normal 2 2 11 2 2 7" xfId="8958"/>
    <cellStyle name="Normal 2 2 11 2 2 7 10" xfId="8959"/>
    <cellStyle name="Normal 2 2 11 2 2 7 10 2" xfId="8960"/>
    <cellStyle name="Normal 2 2 11 2 2 7 11" xfId="8961"/>
    <cellStyle name="Normal 2 2 11 2 2 7 2" xfId="8962"/>
    <cellStyle name="Normal 2 2 11 2 2 7 2 2" xfId="8963"/>
    <cellStyle name="Normal 2 2 11 2 2 7 3" xfId="8964"/>
    <cellStyle name="Normal 2 2 11 2 2 7 3 2" xfId="8965"/>
    <cellStyle name="Normal 2 2 11 2 2 7 4" xfId="8966"/>
    <cellStyle name="Normal 2 2 11 2 2 7 4 2" xfId="8967"/>
    <cellStyle name="Normal 2 2 11 2 2 7 5" xfId="8968"/>
    <cellStyle name="Normal 2 2 11 2 2 7 5 2" xfId="8969"/>
    <cellStyle name="Normal 2 2 11 2 2 7 6" xfId="8970"/>
    <cellStyle name="Normal 2 2 11 2 2 7 6 2" xfId="8971"/>
    <cellStyle name="Normal 2 2 11 2 2 7 7" xfId="8972"/>
    <cellStyle name="Normal 2 2 11 2 2 7 7 2" xfId="8973"/>
    <cellStyle name="Normal 2 2 11 2 2 7 8" xfId="8974"/>
    <cellStyle name="Normal 2 2 11 2 2 7 8 2" xfId="8975"/>
    <cellStyle name="Normal 2 2 11 2 2 7 9" xfId="8976"/>
    <cellStyle name="Normal 2 2 11 2 2 7 9 2" xfId="8977"/>
    <cellStyle name="Normal 2 2 11 2 2 8" xfId="8978"/>
    <cellStyle name="Normal 2 2 11 2 2 8 2" xfId="8979"/>
    <cellStyle name="Normal 2 2 11 2 2 9" xfId="8980"/>
    <cellStyle name="Normal 2 2 11 2 2 9 2" xfId="8981"/>
    <cellStyle name="Normal 2 2 11 2 3" xfId="100"/>
    <cellStyle name="Normal 2 2 11 2 3 10" xfId="8982"/>
    <cellStyle name="Normal 2 2 11 2 3 10 2" xfId="8983"/>
    <cellStyle name="Normal 2 2 11 2 3 11" xfId="8984"/>
    <cellStyle name="Normal 2 2 11 2 3 11 2" xfId="8985"/>
    <cellStyle name="Normal 2 2 11 2 3 12" xfId="8986"/>
    <cellStyle name="Normal 2 2 11 2 3 12 2" xfId="8987"/>
    <cellStyle name="Normal 2 2 11 2 3 13" xfId="8988"/>
    <cellStyle name="Normal 2 2 11 2 3 2" xfId="8989"/>
    <cellStyle name="Normal 2 2 11 2 3 2 10" xfId="8990"/>
    <cellStyle name="Normal 2 2 11 2 3 2 10 2" xfId="8991"/>
    <cellStyle name="Normal 2 2 11 2 3 2 11" xfId="8992"/>
    <cellStyle name="Normal 2 2 11 2 3 2 11 2" xfId="8993"/>
    <cellStyle name="Normal 2 2 11 2 3 2 12" xfId="8994"/>
    <cellStyle name="Normal 2 2 11 2 3 2 2" xfId="8995"/>
    <cellStyle name="Normal 2 2 11 2 3 2 2 10" xfId="8996"/>
    <cellStyle name="Normal 2 2 11 2 3 2 2 10 2" xfId="8997"/>
    <cellStyle name="Normal 2 2 11 2 3 2 2 11" xfId="8998"/>
    <cellStyle name="Normal 2 2 11 2 3 2 2 2" xfId="8999"/>
    <cellStyle name="Normal 2 2 11 2 3 2 2 2 2" xfId="9000"/>
    <cellStyle name="Normal 2 2 11 2 3 2 2 3" xfId="9001"/>
    <cellStyle name="Normal 2 2 11 2 3 2 2 3 2" xfId="9002"/>
    <cellStyle name="Normal 2 2 11 2 3 2 2 4" xfId="9003"/>
    <cellStyle name="Normal 2 2 11 2 3 2 2 4 2" xfId="9004"/>
    <cellStyle name="Normal 2 2 11 2 3 2 2 5" xfId="9005"/>
    <cellStyle name="Normal 2 2 11 2 3 2 2 5 2" xfId="9006"/>
    <cellStyle name="Normal 2 2 11 2 3 2 2 6" xfId="9007"/>
    <cellStyle name="Normal 2 2 11 2 3 2 2 6 2" xfId="9008"/>
    <cellStyle name="Normal 2 2 11 2 3 2 2 7" xfId="9009"/>
    <cellStyle name="Normal 2 2 11 2 3 2 2 7 2" xfId="9010"/>
    <cellStyle name="Normal 2 2 11 2 3 2 2 8" xfId="9011"/>
    <cellStyle name="Normal 2 2 11 2 3 2 2 8 2" xfId="9012"/>
    <cellStyle name="Normal 2 2 11 2 3 2 2 9" xfId="9013"/>
    <cellStyle name="Normal 2 2 11 2 3 2 2 9 2" xfId="9014"/>
    <cellStyle name="Normal 2 2 11 2 3 2 3" xfId="9015"/>
    <cellStyle name="Normal 2 2 11 2 3 2 3 2" xfId="9016"/>
    <cellStyle name="Normal 2 2 11 2 3 2 4" xfId="9017"/>
    <cellStyle name="Normal 2 2 11 2 3 2 4 2" xfId="9018"/>
    <cellStyle name="Normal 2 2 11 2 3 2 5" xfId="9019"/>
    <cellStyle name="Normal 2 2 11 2 3 2 5 2" xfId="9020"/>
    <cellStyle name="Normal 2 2 11 2 3 2 6" xfId="9021"/>
    <cellStyle name="Normal 2 2 11 2 3 2 6 2" xfId="9022"/>
    <cellStyle name="Normal 2 2 11 2 3 2 7" xfId="9023"/>
    <cellStyle name="Normal 2 2 11 2 3 2 7 2" xfId="9024"/>
    <cellStyle name="Normal 2 2 11 2 3 2 8" xfId="9025"/>
    <cellStyle name="Normal 2 2 11 2 3 2 8 2" xfId="9026"/>
    <cellStyle name="Normal 2 2 11 2 3 2 9" xfId="9027"/>
    <cellStyle name="Normal 2 2 11 2 3 2 9 2" xfId="9028"/>
    <cellStyle name="Normal 2 2 11 2 3 3" xfId="9029"/>
    <cellStyle name="Normal 2 2 11 2 3 3 10" xfId="9030"/>
    <cellStyle name="Normal 2 2 11 2 3 3 10 2" xfId="9031"/>
    <cellStyle name="Normal 2 2 11 2 3 3 11" xfId="9032"/>
    <cellStyle name="Normal 2 2 11 2 3 3 2" xfId="9033"/>
    <cellStyle name="Normal 2 2 11 2 3 3 2 2" xfId="9034"/>
    <cellStyle name="Normal 2 2 11 2 3 3 3" xfId="9035"/>
    <cellStyle name="Normal 2 2 11 2 3 3 3 2" xfId="9036"/>
    <cellStyle name="Normal 2 2 11 2 3 3 4" xfId="9037"/>
    <cellStyle name="Normal 2 2 11 2 3 3 4 2" xfId="9038"/>
    <cellStyle name="Normal 2 2 11 2 3 3 5" xfId="9039"/>
    <cellStyle name="Normal 2 2 11 2 3 3 5 2" xfId="9040"/>
    <cellStyle name="Normal 2 2 11 2 3 3 6" xfId="9041"/>
    <cellStyle name="Normal 2 2 11 2 3 3 6 2" xfId="9042"/>
    <cellStyle name="Normal 2 2 11 2 3 3 7" xfId="9043"/>
    <cellStyle name="Normal 2 2 11 2 3 3 7 2" xfId="9044"/>
    <cellStyle name="Normal 2 2 11 2 3 3 8" xfId="9045"/>
    <cellStyle name="Normal 2 2 11 2 3 3 8 2" xfId="9046"/>
    <cellStyle name="Normal 2 2 11 2 3 3 9" xfId="9047"/>
    <cellStyle name="Normal 2 2 11 2 3 3 9 2" xfId="9048"/>
    <cellStyle name="Normal 2 2 11 2 3 4" xfId="9049"/>
    <cellStyle name="Normal 2 2 11 2 3 4 2" xfId="9050"/>
    <cellStyle name="Normal 2 2 11 2 3 5" xfId="9051"/>
    <cellStyle name="Normal 2 2 11 2 3 5 2" xfId="9052"/>
    <cellStyle name="Normal 2 2 11 2 3 6" xfId="9053"/>
    <cellStyle name="Normal 2 2 11 2 3 6 2" xfId="9054"/>
    <cellStyle name="Normal 2 2 11 2 3 7" xfId="9055"/>
    <cellStyle name="Normal 2 2 11 2 3 7 2" xfId="9056"/>
    <cellStyle name="Normal 2 2 11 2 3 8" xfId="9057"/>
    <cellStyle name="Normal 2 2 11 2 3 8 2" xfId="9058"/>
    <cellStyle name="Normal 2 2 11 2 3 9" xfId="9059"/>
    <cellStyle name="Normal 2 2 11 2 3 9 2" xfId="9060"/>
    <cellStyle name="Normal 2 2 11 2 4" xfId="101"/>
    <cellStyle name="Normal 2 2 11 2 4 10" xfId="9061"/>
    <cellStyle name="Normal 2 2 11 2 4 10 2" xfId="9062"/>
    <cellStyle name="Normal 2 2 11 2 4 11" xfId="9063"/>
    <cellStyle name="Normal 2 2 11 2 4 11 2" xfId="9064"/>
    <cellStyle name="Normal 2 2 11 2 4 12" xfId="9065"/>
    <cellStyle name="Normal 2 2 11 2 4 12 2" xfId="9066"/>
    <cellStyle name="Normal 2 2 11 2 4 13" xfId="9067"/>
    <cellStyle name="Normal 2 2 11 2 4 2" xfId="9068"/>
    <cellStyle name="Normal 2 2 11 2 4 2 10" xfId="9069"/>
    <cellStyle name="Normal 2 2 11 2 4 2 10 2" xfId="9070"/>
    <cellStyle name="Normal 2 2 11 2 4 2 11" xfId="9071"/>
    <cellStyle name="Normal 2 2 11 2 4 2 11 2" xfId="9072"/>
    <cellStyle name="Normal 2 2 11 2 4 2 12" xfId="9073"/>
    <cellStyle name="Normal 2 2 11 2 4 2 2" xfId="9074"/>
    <cellStyle name="Normal 2 2 11 2 4 2 2 10" xfId="9075"/>
    <cellStyle name="Normal 2 2 11 2 4 2 2 10 2" xfId="9076"/>
    <cellStyle name="Normal 2 2 11 2 4 2 2 11" xfId="9077"/>
    <cellStyle name="Normal 2 2 11 2 4 2 2 2" xfId="9078"/>
    <cellStyle name="Normal 2 2 11 2 4 2 2 2 2" xfId="9079"/>
    <cellStyle name="Normal 2 2 11 2 4 2 2 3" xfId="9080"/>
    <cellStyle name="Normal 2 2 11 2 4 2 2 3 2" xfId="9081"/>
    <cellStyle name="Normal 2 2 11 2 4 2 2 4" xfId="9082"/>
    <cellStyle name="Normal 2 2 11 2 4 2 2 4 2" xfId="9083"/>
    <cellStyle name="Normal 2 2 11 2 4 2 2 5" xfId="9084"/>
    <cellStyle name="Normal 2 2 11 2 4 2 2 5 2" xfId="9085"/>
    <cellStyle name="Normal 2 2 11 2 4 2 2 6" xfId="9086"/>
    <cellStyle name="Normal 2 2 11 2 4 2 2 6 2" xfId="9087"/>
    <cellStyle name="Normal 2 2 11 2 4 2 2 7" xfId="9088"/>
    <cellStyle name="Normal 2 2 11 2 4 2 2 7 2" xfId="9089"/>
    <cellStyle name="Normal 2 2 11 2 4 2 2 8" xfId="9090"/>
    <cellStyle name="Normal 2 2 11 2 4 2 2 8 2" xfId="9091"/>
    <cellStyle name="Normal 2 2 11 2 4 2 2 9" xfId="9092"/>
    <cellStyle name="Normal 2 2 11 2 4 2 2 9 2" xfId="9093"/>
    <cellStyle name="Normal 2 2 11 2 4 2 3" xfId="9094"/>
    <cellStyle name="Normal 2 2 11 2 4 2 3 2" xfId="9095"/>
    <cellStyle name="Normal 2 2 11 2 4 2 4" xfId="9096"/>
    <cellStyle name="Normal 2 2 11 2 4 2 4 2" xfId="9097"/>
    <cellStyle name="Normal 2 2 11 2 4 2 5" xfId="9098"/>
    <cellStyle name="Normal 2 2 11 2 4 2 5 2" xfId="9099"/>
    <cellStyle name="Normal 2 2 11 2 4 2 6" xfId="9100"/>
    <cellStyle name="Normal 2 2 11 2 4 2 6 2" xfId="9101"/>
    <cellStyle name="Normal 2 2 11 2 4 2 7" xfId="9102"/>
    <cellStyle name="Normal 2 2 11 2 4 2 7 2" xfId="9103"/>
    <cellStyle name="Normal 2 2 11 2 4 2 8" xfId="9104"/>
    <cellStyle name="Normal 2 2 11 2 4 2 8 2" xfId="9105"/>
    <cellStyle name="Normal 2 2 11 2 4 2 9" xfId="9106"/>
    <cellStyle name="Normal 2 2 11 2 4 2 9 2" xfId="9107"/>
    <cellStyle name="Normal 2 2 11 2 4 3" xfId="9108"/>
    <cellStyle name="Normal 2 2 11 2 4 3 10" xfId="9109"/>
    <cellStyle name="Normal 2 2 11 2 4 3 10 2" xfId="9110"/>
    <cellStyle name="Normal 2 2 11 2 4 3 11" xfId="9111"/>
    <cellStyle name="Normal 2 2 11 2 4 3 2" xfId="9112"/>
    <cellStyle name="Normal 2 2 11 2 4 3 2 2" xfId="9113"/>
    <cellStyle name="Normal 2 2 11 2 4 3 3" xfId="9114"/>
    <cellStyle name="Normal 2 2 11 2 4 3 3 2" xfId="9115"/>
    <cellStyle name="Normal 2 2 11 2 4 3 4" xfId="9116"/>
    <cellStyle name="Normal 2 2 11 2 4 3 4 2" xfId="9117"/>
    <cellStyle name="Normal 2 2 11 2 4 3 5" xfId="9118"/>
    <cellStyle name="Normal 2 2 11 2 4 3 5 2" xfId="9119"/>
    <cellStyle name="Normal 2 2 11 2 4 3 6" xfId="9120"/>
    <cellStyle name="Normal 2 2 11 2 4 3 6 2" xfId="9121"/>
    <cellStyle name="Normal 2 2 11 2 4 3 7" xfId="9122"/>
    <cellStyle name="Normal 2 2 11 2 4 3 7 2" xfId="9123"/>
    <cellStyle name="Normal 2 2 11 2 4 3 8" xfId="9124"/>
    <cellStyle name="Normal 2 2 11 2 4 3 8 2" xfId="9125"/>
    <cellStyle name="Normal 2 2 11 2 4 3 9" xfId="9126"/>
    <cellStyle name="Normal 2 2 11 2 4 3 9 2" xfId="9127"/>
    <cellStyle name="Normal 2 2 11 2 4 4" xfId="9128"/>
    <cellStyle name="Normal 2 2 11 2 4 4 2" xfId="9129"/>
    <cellStyle name="Normal 2 2 11 2 4 5" xfId="9130"/>
    <cellStyle name="Normal 2 2 11 2 4 5 2" xfId="9131"/>
    <cellStyle name="Normal 2 2 11 2 4 6" xfId="9132"/>
    <cellStyle name="Normal 2 2 11 2 4 6 2" xfId="9133"/>
    <cellStyle name="Normal 2 2 11 2 4 7" xfId="9134"/>
    <cellStyle name="Normal 2 2 11 2 4 7 2" xfId="9135"/>
    <cellStyle name="Normal 2 2 11 2 4 8" xfId="9136"/>
    <cellStyle name="Normal 2 2 11 2 4 8 2" xfId="9137"/>
    <cellStyle name="Normal 2 2 11 2 4 9" xfId="9138"/>
    <cellStyle name="Normal 2 2 11 2 4 9 2" xfId="9139"/>
    <cellStyle name="Normal 2 2 11 2 5" xfId="102"/>
    <cellStyle name="Normal 2 2 11 2 5 10" xfId="9140"/>
    <cellStyle name="Normal 2 2 11 2 5 10 2" xfId="9141"/>
    <cellStyle name="Normal 2 2 11 2 5 11" xfId="9142"/>
    <cellStyle name="Normal 2 2 11 2 5 11 2" xfId="9143"/>
    <cellStyle name="Normal 2 2 11 2 5 12" xfId="9144"/>
    <cellStyle name="Normal 2 2 11 2 5 12 2" xfId="9145"/>
    <cellStyle name="Normal 2 2 11 2 5 13" xfId="9146"/>
    <cellStyle name="Normal 2 2 11 2 5 2" xfId="9147"/>
    <cellStyle name="Normal 2 2 11 2 5 2 10" xfId="9148"/>
    <cellStyle name="Normal 2 2 11 2 5 2 10 2" xfId="9149"/>
    <cellStyle name="Normal 2 2 11 2 5 2 11" xfId="9150"/>
    <cellStyle name="Normal 2 2 11 2 5 2 11 2" xfId="9151"/>
    <cellStyle name="Normal 2 2 11 2 5 2 12" xfId="9152"/>
    <cellStyle name="Normal 2 2 11 2 5 2 2" xfId="9153"/>
    <cellStyle name="Normal 2 2 11 2 5 2 2 10" xfId="9154"/>
    <cellStyle name="Normal 2 2 11 2 5 2 2 10 2" xfId="9155"/>
    <cellStyle name="Normal 2 2 11 2 5 2 2 11" xfId="9156"/>
    <cellStyle name="Normal 2 2 11 2 5 2 2 2" xfId="9157"/>
    <cellStyle name="Normal 2 2 11 2 5 2 2 2 2" xfId="9158"/>
    <cellStyle name="Normal 2 2 11 2 5 2 2 3" xfId="9159"/>
    <cellStyle name="Normal 2 2 11 2 5 2 2 3 2" xfId="9160"/>
    <cellStyle name="Normal 2 2 11 2 5 2 2 4" xfId="9161"/>
    <cellStyle name="Normal 2 2 11 2 5 2 2 4 2" xfId="9162"/>
    <cellStyle name="Normal 2 2 11 2 5 2 2 5" xfId="9163"/>
    <cellStyle name="Normal 2 2 11 2 5 2 2 5 2" xfId="9164"/>
    <cellStyle name="Normal 2 2 11 2 5 2 2 6" xfId="9165"/>
    <cellStyle name="Normal 2 2 11 2 5 2 2 6 2" xfId="9166"/>
    <cellStyle name="Normal 2 2 11 2 5 2 2 7" xfId="9167"/>
    <cellStyle name="Normal 2 2 11 2 5 2 2 7 2" xfId="9168"/>
    <cellStyle name="Normal 2 2 11 2 5 2 2 8" xfId="9169"/>
    <cellStyle name="Normal 2 2 11 2 5 2 2 8 2" xfId="9170"/>
    <cellStyle name="Normal 2 2 11 2 5 2 2 9" xfId="9171"/>
    <cellStyle name="Normal 2 2 11 2 5 2 2 9 2" xfId="9172"/>
    <cellStyle name="Normal 2 2 11 2 5 2 3" xfId="9173"/>
    <cellStyle name="Normal 2 2 11 2 5 2 3 2" xfId="9174"/>
    <cellStyle name="Normal 2 2 11 2 5 2 4" xfId="9175"/>
    <cellStyle name="Normal 2 2 11 2 5 2 4 2" xfId="9176"/>
    <cellStyle name="Normal 2 2 11 2 5 2 5" xfId="9177"/>
    <cellStyle name="Normal 2 2 11 2 5 2 5 2" xfId="9178"/>
    <cellStyle name="Normal 2 2 11 2 5 2 6" xfId="9179"/>
    <cellStyle name="Normal 2 2 11 2 5 2 6 2" xfId="9180"/>
    <cellStyle name="Normal 2 2 11 2 5 2 7" xfId="9181"/>
    <cellStyle name="Normal 2 2 11 2 5 2 7 2" xfId="9182"/>
    <cellStyle name="Normal 2 2 11 2 5 2 8" xfId="9183"/>
    <cellStyle name="Normal 2 2 11 2 5 2 8 2" xfId="9184"/>
    <cellStyle name="Normal 2 2 11 2 5 2 9" xfId="9185"/>
    <cellStyle name="Normal 2 2 11 2 5 2 9 2" xfId="9186"/>
    <cellStyle name="Normal 2 2 11 2 5 3" xfId="9187"/>
    <cellStyle name="Normal 2 2 11 2 5 3 10" xfId="9188"/>
    <cellStyle name="Normal 2 2 11 2 5 3 10 2" xfId="9189"/>
    <cellStyle name="Normal 2 2 11 2 5 3 11" xfId="9190"/>
    <cellStyle name="Normal 2 2 11 2 5 3 2" xfId="9191"/>
    <cellStyle name="Normal 2 2 11 2 5 3 2 2" xfId="9192"/>
    <cellStyle name="Normal 2 2 11 2 5 3 3" xfId="9193"/>
    <cellStyle name="Normal 2 2 11 2 5 3 3 2" xfId="9194"/>
    <cellStyle name="Normal 2 2 11 2 5 3 4" xfId="9195"/>
    <cellStyle name="Normal 2 2 11 2 5 3 4 2" xfId="9196"/>
    <cellStyle name="Normal 2 2 11 2 5 3 5" xfId="9197"/>
    <cellStyle name="Normal 2 2 11 2 5 3 5 2" xfId="9198"/>
    <cellStyle name="Normal 2 2 11 2 5 3 6" xfId="9199"/>
    <cellStyle name="Normal 2 2 11 2 5 3 6 2" xfId="9200"/>
    <cellStyle name="Normal 2 2 11 2 5 3 7" xfId="9201"/>
    <cellStyle name="Normal 2 2 11 2 5 3 7 2" xfId="9202"/>
    <cellStyle name="Normal 2 2 11 2 5 3 8" xfId="9203"/>
    <cellStyle name="Normal 2 2 11 2 5 3 8 2" xfId="9204"/>
    <cellStyle name="Normal 2 2 11 2 5 3 9" xfId="9205"/>
    <cellStyle name="Normal 2 2 11 2 5 3 9 2" xfId="9206"/>
    <cellStyle name="Normal 2 2 11 2 5 4" xfId="9207"/>
    <cellStyle name="Normal 2 2 11 2 5 4 2" xfId="9208"/>
    <cellStyle name="Normal 2 2 11 2 5 5" xfId="9209"/>
    <cellStyle name="Normal 2 2 11 2 5 5 2" xfId="9210"/>
    <cellStyle name="Normal 2 2 11 2 5 6" xfId="9211"/>
    <cellStyle name="Normal 2 2 11 2 5 6 2" xfId="9212"/>
    <cellStyle name="Normal 2 2 11 2 5 7" xfId="9213"/>
    <cellStyle name="Normal 2 2 11 2 5 7 2" xfId="9214"/>
    <cellStyle name="Normal 2 2 11 2 5 8" xfId="9215"/>
    <cellStyle name="Normal 2 2 11 2 5 8 2" xfId="9216"/>
    <cellStyle name="Normal 2 2 11 2 5 9" xfId="9217"/>
    <cellStyle name="Normal 2 2 11 2 5 9 2" xfId="9218"/>
    <cellStyle name="Normal 2 2 11 2 6" xfId="103"/>
    <cellStyle name="Normal 2 2 11 3" xfId="104"/>
    <cellStyle name="Normal 2 2 11 3 2" xfId="105"/>
    <cellStyle name="Normal 2 2 11 4" xfId="106"/>
    <cellStyle name="Normal 2 2 11 4 2" xfId="107"/>
    <cellStyle name="Normal 2 2 11 5" xfId="108"/>
    <cellStyle name="Normal 2 2 11 5 2" xfId="109"/>
    <cellStyle name="Normal 2 2 11 6" xfId="110"/>
    <cellStyle name="Normal 2 2 11 6 2" xfId="111"/>
    <cellStyle name="Normal 2 2 11 7" xfId="9219"/>
    <cellStyle name="Normal 2 2 11 7 10" xfId="9220"/>
    <cellStyle name="Normal 2 2 11 7 10 2" xfId="9221"/>
    <cellStyle name="Normal 2 2 11 7 11" xfId="9222"/>
    <cellStyle name="Normal 2 2 11 7 11 2" xfId="9223"/>
    <cellStyle name="Normal 2 2 11 7 12" xfId="9224"/>
    <cellStyle name="Normal 2 2 11 7 2" xfId="9225"/>
    <cellStyle name="Normal 2 2 11 7 2 10" xfId="9226"/>
    <cellStyle name="Normal 2 2 11 7 2 10 2" xfId="9227"/>
    <cellStyle name="Normal 2 2 11 7 2 11" xfId="9228"/>
    <cellStyle name="Normal 2 2 11 7 2 2" xfId="9229"/>
    <cellStyle name="Normal 2 2 11 7 2 2 2" xfId="9230"/>
    <cellStyle name="Normal 2 2 11 7 2 3" xfId="9231"/>
    <cellStyle name="Normal 2 2 11 7 2 3 2" xfId="9232"/>
    <cellStyle name="Normal 2 2 11 7 2 4" xfId="9233"/>
    <cellStyle name="Normal 2 2 11 7 2 4 2" xfId="9234"/>
    <cellStyle name="Normal 2 2 11 7 2 5" xfId="9235"/>
    <cellStyle name="Normal 2 2 11 7 2 5 2" xfId="9236"/>
    <cellStyle name="Normal 2 2 11 7 2 6" xfId="9237"/>
    <cellStyle name="Normal 2 2 11 7 2 6 2" xfId="9238"/>
    <cellStyle name="Normal 2 2 11 7 2 7" xfId="9239"/>
    <cellStyle name="Normal 2 2 11 7 2 7 2" xfId="9240"/>
    <cellStyle name="Normal 2 2 11 7 2 8" xfId="9241"/>
    <cellStyle name="Normal 2 2 11 7 2 8 2" xfId="9242"/>
    <cellStyle name="Normal 2 2 11 7 2 9" xfId="9243"/>
    <cellStyle name="Normal 2 2 11 7 2 9 2" xfId="9244"/>
    <cellStyle name="Normal 2 2 11 7 3" xfId="9245"/>
    <cellStyle name="Normal 2 2 11 7 3 2" xfId="9246"/>
    <cellStyle name="Normal 2 2 11 7 4" xfId="9247"/>
    <cellStyle name="Normal 2 2 11 7 4 2" xfId="9248"/>
    <cellStyle name="Normal 2 2 11 7 5" xfId="9249"/>
    <cellStyle name="Normal 2 2 11 7 5 2" xfId="9250"/>
    <cellStyle name="Normal 2 2 11 7 6" xfId="9251"/>
    <cellStyle name="Normal 2 2 11 7 6 2" xfId="9252"/>
    <cellStyle name="Normal 2 2 11 7 7" xfId="9253"/>
    <cellStyle name="Normal 2 2 11 7 7 2" xfId="9254"/>
    <cellStyle name="Normal 2 2 11 7 8" xfId="9255"/>
    <cellStyle name="Normal 2 2 11 7 8 2" xfId="9256"/>
    <cellStyle name="Normal 2 2 11 7 9" xfId="9257"/>
    <cellStyle name="Normal 2 2 11 7 9 2" xfId="9258"/>
    <cellStyle name="Normal 2 2 11 8" xfId="9259"/>
    <cellStyle name="Normal 2 2 11 8 10" xfId="9260"/>
    <cellStyle name="Normal 2 2 11 8 10 2" xfId="9261"/>
    <cellStyle name="Normal 2 2 11 8 11" xfId="9262"/>
    <cellStyle name="Normal 2 2 11 8 2" xfId="9263"/>
    <cellStyle name="Normal 2 2 11 8 2 2" xfId="9264"/>
    <cellStyle name="Normal 2 2 11 8 3" xfId="9265"/>
    <cellStyle name="Normal 2 2 11 8 3 2" xfId="9266"/>
    <cellStyle name="Normal 2 2 11 8 4" xfId="9267"/>
    <cellStyle name="Normal 2 2 11 8 4 2" xfId="9268"/>
    <cellStyle name="Normal 2 2 11 8 5" xfId="9269"/>
    <cellStyle name="Normal 2 2 11 8 5 2" xfId="9270"/>
    <cellStyle name="Normal 2 2 11 8 6" xfId="9271"/>
    <cellStyle name="Normal 2 2 11 8 6 2" xfId="9272"/>
    <cellStyle name="Normal 2 2 11 8 7" xfId="9273"/>
    <cellStyle name="Normal 2 2 11 8 7 2" xfId="9274"/>
    <cellStyle name="Normal 2 2 11 8 8" xfId="9275"/>
    <cellStyle name="Normal 2 2 11 8 8 2" xfId="9276"/>
    <cellStyle name="Normal 2 2 11 8 9" xfId="9277"/>
    <cellStyle name="Normal 2 2 11 8 9 2" xfId="9278"/>
    <cellStyle name="Normal 2 2 11 9" xfId="9279"/>
    <cellStyle name="Normal 2 2 11 9 2" xfId="9280"/>
    <cellStyle name="Normal 2 2 12" xfId="112"/>
    <cellStyle name="Normal 2 2 12 2" xfId="113"/>
    <cellStyle name="Normal 2 2 13" xfId="114"/>
    <cellStyle name="Normal 2 2 13 2" xfId="115"/>
    <cellStyle name="Normal 2 2 14" xfId="116"/>
    <cellStyle name="Normal 2 2 14 2" xfId="117"/>
    <cellStyle name="Normal 2 2 15" xfId="118"/>
    <cellStyle name="Normal 2 2 15 10" xfId="9281"/>
    <cellStyle name="Normal 2 2 15 10 2" xfId="9282"/>
    <cellStyle name="Normal 2 2 15 11" xfId="9283"/>
    <cellStyle name="Normal 2 2 15 11 2" xfId="9284"/>
    <cellStyle name="Normal 2 2 15 12" xfId="9285"/>
    <cellStyle name="Normal 2 2 15 12 2" xfId="9286"/>
    <cellStyle name="Normal 2 2 15 13" xfId="9287"/>
    <cellStyle name="Normal 2 2 15 13 2" xfId="9288"/>
    <cellStyle name="Normal 2 2 15 14" xfId="9289"/>
    <cellStyle name="Normal 2 2 15 14 2" xfId="9290"/>
    <cellStyle name="Normal 2 2 15 15" xfId="9291"/>
    <cellStyle name="Normal 2 2 15 15 2" xfId="9292"/>
    <cellStyle name="Normal 2 2 15 16" xfId="9293"/>
    <cellStyle name="Normal 2 2 15 16 2" xfId="9294"/>
    <cellStyle name="Normal 2 2 15 17" xfId="9295"/>
    <cellStyle name="Normal 2 2 15 2" xfId="119"/>
    <cellStyle name="Normal 2 2 15 2 2" xfId="120"/>
    <cellStyle name="Normal 2 2 15 3" xfId="121"/>
    <cellStyle name="Normal 2 2 15 3 2" xfId="122"/>
    <cellStyle name="Normal 2 2 15 4" xfId="123"/>
    <cellStyle name="Normal 2 2 15 4 2" xfId="124"/>
    <cellStyle name="Normal 2 2 15 5" xfId="125"/>
    <cellStyle name="Normal 2 2 15 5 2" xfId="126"/>
    <cellStyle name="Normal 2 2 15 6" xfId="9296"/>
    <cellStyle name="Normal 2 2 15 6 10" xfId="9297"/>
    <cellStyle name="Normal 2 2 15 6 10 2" xfId="9298"/>
    <cellStyle name="Normal 2 2 15 6 11" xfId="9299"/>
    <cellStyle name="Normal 2 2 15 6 11 2" xfId="9300"/>
    <cellStyle name="Normal 2 2 15 6 12" xfId="9301"/>
    <cellStyle name="Normal 2 2 15 6 2" xfId="9302"/>
    <cellStyle name="Normal 2 2 15 6 2 10" xfId="9303"/>
    <cellStyle name="Normal 2 2 15 6 2 10 2" xfId="9304"/>
    <cellStyle name="Normal 2 2 15 6 2 11" xfId="9305"/>
    <cellStyle name="Normal 2 2 15 6 2 2" xfId="9306"/>
    <cellStyle name="Normal 2 2 15 6 2 2 2" xfId="9307"/>
    <cellStyle name="Normal 2 2 15 6 2 3" xfId="9308"/>
    <cellStyle name="Normal 2 2 15 6 2 3 2" xfId="9309"/>
    <cellStyle name="Normal 2 2 15 6 2 4" xfId="9310"/>
    <cellStyle name="Normal 2 2 15 6 2 4 2" xfId="9311"/>
    <cellStyle name="Normal 2 2 15 6 2 5" xfId="9312"/>
    <cellStyle name="Normal 2 2 15 6 2 5 2" xfId="9313"/>
    <cellStyle name="Normal 2 2 15 6 2 6" xfId="9314"/>
    <cellStyle name="Normal 2 2 15 6 2 6 2" xfId="9315"/>
    <cellStyle name="Normal 2 2 15 6 2 7" xfId="9316"/>
    <cellStyle name="Normal 2 2 15 6 2 7 2" xfId="9317"/>
    <cellStyle name="Normal 2 2 15 6 2 8" xfId="9318"/>
    <cellStyle name="Normal 2 2 15 6 2 8 2" xfId="9319"/>
    <cellStyle name="Normal 2 2 15 6 2 9" xfId="9320"/>
    <cellStyle name="Normal 2 2 15 6 2 9 2" xfId="9321"/>
    <cellStyle name="Normal 2 2 15 6 3" xfId="9322"/>
    <cellStyle name="Normal 2 2 15 6 3 2" xfId="9323"/>
    <cellStyle name="Normal 2 2 15 6 4" xfId="9324"/>
    <cellStyle name="Normal 2 2 15 6 4 2" xfId="9325"/>
    <cellStyle name="Normal 2 2 15 6 5" xfId="9326"/>
    <cellStyle name="Normal 2 2 15 6 5 2" xfId="9327"/>
    <cellStyle name="Normal 2 2 15 6 6" xfId="9328"/>
    <cellStyle name="Normal 2 2 15 6 6 2" xfId="9329"/>
    <cellStyle name="Normal 2 2 15 6 7" xfId="9330"/>
    <cellStyle name="Normal 2 2 15 6 7 2" xfId="9331"/>
    <cellStyle name="Normal 2 2 15 6 8" xfId="9332"/>
    <cellStyle name="Normal 2 2 15 6 8 2" xfId="9333"/>
    <cellStyle name="Normal 2 2 15 6 9" xfId="9334"/>
    <cellStyle name="Normal 2 2 15 6 9 2" xfId="9335"/>
    <cellStyle name="Normal 2 2 15 7" xfId="9336"/>
    <cellStyle name="Normal 2 2 15 7 10" xfId="9337"/>
    <cellStyle name="Normal 2 2 15 7 10 2" xfId="9338"/>
    <cellStyle name="Normal 2 2 15 7 11" xfId="9339"/>
    <cellStyle name="Normal 2 2 15 7 2" xfId="9340"/>
    <cellStyle name="Normal 2 2 15 7 2 2" xfId="9341"/>
    <cellStyle name="Normal 2 2 15 7 3" xfId="9342"/>
    <cellStyle name="Normal 2 2 15 7 3 2" xfId="9343"/>
    <cellStyle name="Normal 2 2 15 7 4" xfId="9344"/>
    <cellStyle name="Normal 2 2 15 7 4 2" xfId="9345"/>
    <cellStyle name="Normal 2 2 15 7 5" xfId="9346"/>
    <cellStyle name="Normal 2 2 15 7 5 2" xfId="9347"/>
    <cellStyle name="Normal 2 2 15 7 6" xfId="9348"/>
    <cellStyle name="Normal 2 2 15 7 6 2" xfId="9349"/>
    <cellStyle name="Normal 2 2 15 7 7" xfId="9350"/>
    <cellStyle name="Normal 2 2 15 7 7 2" xfId="9351"/>
    <cellStyle name="Normal 2 2 15 7 8" xfId="9352"/>
    <cellStyle name="Normal 2 2 15 7 8 2" xfId="9353"/>
    <cellStyle name="Normal 2 2 15 7 9" xfId="9354"/>
    <cellStyle name="Normal 2 2 15 7 9 2" xfId="9355"/>
    <cellStyle name="Normal 2 2 15 8" xfId="9356"/>
    <cellStyle name="Normal 2 2 15 8 2" xfId="9357"/>
    <cellStyle name="Normal 2 2 15 9" xfId="9358"/>
    <cellStyle name="Normal 2 2 15 9 2" xfId="9359"/>
    <cellStyle name="Normal 2 2 16" xfId="127"/>
    <cellStyle name="Normal 2 2 16 10" xfId="9360"/>
    <cellStyle name="Normal 2 2 16 10 2" xfId="9361"/>
    <cellStyle name="Normal 2 2 16 11" xfId="9362"/>
    <cellStyle name="Normal 2 2 16 11 2" xfId="9363"/>
    <cellStyle name="Normal 2 2 16 12" xfId="9364"/>
    <cellStyle name="Normal 2 2 16 12 2" xfId="9365"/>
    <cellStyle name="Normal 2 2 16 13" xfId="9366"/>
    <cellStyle name="Normal 2 2 16 2" xfId="9367"/>
    <cellStyle name="Normal 2 2 16 2 10" xfId="9368"/>
    <cellStyle name="Normal 2 2 16 2 10 2" xfId="9369"/>
    <cellStyle name="Normal 2 2 16 2 11" xfId="9370"/>
    <cellStyle name="Normal 2 2 16 2 11 2" xfId="9371"/>
    <cellStyle name="Normal 2 2 16 2 12" xfId="9372"/>
    <cellStyle name="Normal 2 2 16 2 2" xfId="9373"/>
    <cellStyle name="Normal 2 2 16 2 2 10" xfId="9374"/>
    <cellStyle name="Normal 2 2 16 2 2 10 2" xfId="9375"/>
    <cellStyle name="Normal 2 2 16 2 2 11" xfId="9376"/>
    <cellStyle name="Normal 2 2 16 2 2 2" xfId="9377"/>
    <cellStyle name="Normal 2 2 16 2 2 2 2" xfId="9378"/>
    <cellStyle name="Normal 2 2 16 2 2 3" xfId="9379"/>
    <cellStyle name="Normal 2 2 16 2 2 3 2" xfId="9380"/>
    <cellStyle name="Normal 2 2 16 2 2 4" xfId="9381"/>
    <cellStyle name="Normal 2 2 16 2 2 4 2" xfId="9382"/>
    <cellStyle name="Normal 2 2 16 2 2 5" xfId="9383"/>
    <cellStyle name="Normal 2 2 16 2 2 5 2" xfId="9384"/>
    <cellStyle name="Normal 2 2 16 2 2 6" xfId="9385"/>
    <cellStyle name="Normal 2 2 16 2 2 6 2" xfId="9386"/>
    <cellStyle name="Normal 2 2 16 2 2 7" xfId="9387"/>
    <cellStyle name="Normal 2 2 16 2 2 7 2" xfId="9388"/>
    <cellStyle name="Normal 2 2 16 2 2 8" xfId="9389"/>
    <cellStyle name="Normal 2 2 16 2 2 8 2" xfId="9390"/>
    <cellStyle name="Normal 2 2 16 2 2 9" xfId="9391"/>
    <cellStyle name="Normal 2 2 16 2 2 9 2" xfId="9392"/>
    <cellStyle name="Normal 2 2 16 2 3" xfId="9393"/>
    <cellStyle name="Normal 2 2 16 2 3 2" xfId="9394"/>
    <cellStyle name="Normal 2 2 16 2 4" xfId="9395"/>
    <cellStyle name="Normal 2 2 16 2 4 2" xfId="9396"/>
    <cellStyle name="Normal 2 2 16 2 5" xfId="9397"/>
    <cellStyle name="Normal 2 2 16 2 5 2" xfId="9398"/>
    <cellStyle name="Normal 2 2 16 2 6" xfId="9399"/>
    <cellStyle name="Normal 2 2 16 2 6 2" xfId="9400"/>
    <cellStyle name="Normal 2 2 16 2 7" xfId="9401"/>
    <cellStyle name="Normal 2 2 16 2 7 2" xfId="9402"/>
    <cellStyle name="Normal 2 2 16 2 8" xfId="9403"/>
    <cellStyle name="Normal 2 2 16 2 8 2" xfId="9404"/>
    <cellStyle name="Normal 2 2 16 2 9" xfId="9405"/>
    <cellStyle name="Normal 2 2 16 2 9 2" xfId="9406"/>
    <cellStyle name="Normal 2 2 16 3" xfId="9407"/>
    <cellStyle name="Normal 2 2 16 3 10" xfId="9408"/>
    <cellStyle name="Normal 2 2 16 3 10 2" xfId="9409"/>
    <cellStyle name="Normal 2 2 16 3 11" xfId="9410"/>
    <cellStyle name="Normal 2 2 16 3 2" xfId="9411"/>
    <cellStyle name="Normal 2 2 16 3 2 2" xfId="9412"/>
    <cellStyle name="Normal 2 2 16 3 3" xfId="9413"/>
    <cellStyle name="Normal 2 2 16 3 3 2" xfId="9414"/>
    <cellStyle name="Normal 2 2 16 3 4" xfId="9415"/>
    <cellStyle name="Normal 2 2 16 3 4 2" xfId="9416"/>
    <cellStyle name="Normal 2 2 16 3 5" xfId="9417"/>
    <cellStyle name="Normal 2 2 16 3 5 2" xfId="9418"/>
    <cellStyle name="Normal 2 2 16 3 6" xfId="9419"/>
    <cellStyle name="Normal 2 2 16 3 6 2" xfId="9420"/>
    <cellStyle name="Normal 2 2 16 3 7" xfId="9421"/>
    <cellStyle name="Normal 2 2 16 3 7 2" xfId="9422"/>
    <cellStyle name="Normal 2 2 16 3 8" xfId="9423"/>
    <cellStyle name="Normal 2 2 16 3 8 2" xfId="9424"/>
    <cellStyle name="Normal 2 2 16 3 9" xfId="9425"/>
    <cellStyle name="Normal 2 2 16 3 9 2" xfId="9426"/>
    <cellStyle name="Normal 2 2 16 4" xfId="9427"/>
    <cellStyle name="Normal 2 2 16 4 2" xfId="9428"/>
    <cellStyle name="Normal 2 2 16 5" xfId="9429"/>
    <cellStyle name="Normal 2 2 16 5 2" xfId="9430"/>
    <cellStyle name="Normal 2 2 16 6" xfId="9431"/>
    <cellStyle name="Normal 2 2 16 6 2" xfId="9432"/>
    <cellStyle name="Normal 2 2 16 7" xfId="9433"/>
    <cellStyle name="Normal 2 2 16 7 2" xfId="9434"/>
    <cellStyle name="Normal 2 2 16 8" xfId="9435"/>
    <cellStyle name="Normal 2 2 16 8 2" xfId="9436"/>
    <cellStyle name="Normal 2 2 16 9" xfId="9437"/>
    <cellStyle name="Normal 2 2 16 9 2" xfId="9438"/>
    <cellStyle name="Normal 2 2 17" xfId="128"/>
    <cellStyle name="Normal 2 2 17 10" xfId="9439"/>
    <cellStyle name="Normal 2 2 17 10 2" xfId="9440"/>
    <cellStyle name="Normal 2 2 17 11" xfId="9441"/>
    <cellStyle name="Normal 2 2 17 11 2" xfId="9442"/>
    <cellStyle name="Normal 2 2 17 12" xfId="9443"/>
    <cellStyle name="Normal 2 2 17 12 2" xfId="9444"/>
    <cellStyle name="Normal 2 2 17 13" xfId="9445"/>
    <cellStyle name="Normal 2 2 17 2" xfId="9446"/>
    <cellStyle name="Normal 2 2 17 2 10" xfId="9447"/>
    <cellStyle name="Normal 2 2 17 2 10 2" xfId="9448"/>
    <cellStyle name="Normal 2 2 17 2 11" xfId="9449"/>
    <cellStyle name="Normal 2 2 17 2 11 2" xfId="9450"/>
    <cellStyle name="Normal 2 2 17 2 12" xfId="9451"/>
    <cellStyle name="Normal 2 2 17 2 2" xfId="9452"/>
    <cellStyle name="Normal 2 2 17 2 2 10" xfId="9453"/>
    <cellStyle name="Normal 2 2 17 2 2 10 2" xfId="9454"/>
    <cellStyle name="Normal 2 2 17 2 2 11" xfId="9455"/>
    <cellStyle name="Normal 2 2 17 2 2 2" xfId="9456"/>
    <cellStyle name="Normal 2 2 17 2 2 2 2" xfId="9457"/>
    <cellStyle name="Normal 2 2 17 2 2 3" xfId="9458"/>
    <cellStyle name="Normal 2 2 17 2 2 3 2" xfId="9459"/>
    <cellStyle name="Normal 2 2 17 2 2 4" xfId="9460"/>
    <cellStyle name="Normal 2 2 17 2 2 4 2" xfId="9461"/>
    <cellStyle name="Normal 2 2 17 2 2 5" xfId="9462"/>
    <cellStyle name="Normal 2 2 17 2 2 5 2" xfId="9463"/>
    <cellStyle name="Normal 2 2 17 2 2 6" xfId="9464"/>
    <cellStyle name="Normal 2 2 17 2 2 6 2" xfId="9465"/>
    <cellStyle name="Normal 2 2 17 2 2 7" xfId="9466"/>
    <cellStyle name="Normal 2 2 17 2 2 7 2" xfId="9467"/>
    <cellStyle name="Normal 2 2 17 2 2 8" xfId="9468"/>
    <cellStyle name="Normal 2 2 17 2 2 8 2" xfId="9469"/>
    <cellStyle name="Normal 2 2 17 2 2 9" xfId="9470"/>
    <cellStyle name="Normal 2 2 17 2 2 9 2" xfId="9471"/>
    <cellStyle name="Normal 2 2 17 2 3" xfId="9472"/>
    <cellStyle name="Normal 2 2 17 2 3 2" xfId="9473"/>
    <cellStyle name="Normal 2 2 17 2 4" xfId="9474"/>
    <cellStyle name="Normal 2 2 17 2 4 2" xfId="9475"/>
    <cellStyle name="Normal 2 2 17 2 5" xfId="9476"/>
    <cellStyle name="Normal 2 2 17 2 5 2" xfId="9477"/>
    <cellStyle name="Normal 2 2 17 2 6" xfId="9478"/>
    <cellStyle name="Normal 2 2 17 2 6 2" xfId="9479"/>
    <cellStyle name="Normal 2 2 17 2 7" xfId="9480"/>
    <cellStyle name="Normal 2 2 17 2 7 2" xfId="9481"/>
    <cellStyle name="Normal 2 2 17 2 8" xfId="9482"/>
    <cellStyle name="Normal 2 2 17 2 8 2" xfId="9483"/>
    <cellStyle name="Normal 2 2 17 2 9" xfId="9484"/>
    <cellStyle name="Normal 2 2 17 2 9 2" xfId="9485"/>
    <cellStyle name="Normal 2 2 17 3" xfId="9486"/>
    <cellStyle name="Normal 2 2 17 3 10" xfId="9487"/>
    <cellStyle name="Normal 2 2 17 3 10 2" xfId="9488"/>
    <cellStyle name="Normal 2 2 17 3 11" xfId="9489"/>
    <cellStyle name="Normal 2 2 17 3 2" xfId="9490"/>
    <cellStyle name="Normal 2 2 17 3 2 2" xfId="9491"/>
    <cellStyle name="Normal 2 2 17 3 3" xfId="9492"/>
    <cellStyle name="Normal 2 2 17 3 3 2" xfId="9493"/>
    <cellStyle name="Normal 2 2 17 3 4" xfId="9494"/>
    <cellStyle name="Normal 2 2 17 3 4 2" xfId="9495"/>
    <cellStyle name="Normal 2 2 17 3 5" xfId="9496"/>
    <cellStyle name="Normal 2 2 17 3 5 2" xfId="9497"/>
    <cellStyle name="Normal 2 2 17 3 6" xfId="9498"/>
    <cellStyle name="Normal 2 2 17 3 6 2" xfId="9499"/>
    <cellStyle name="Normal 2 2 17 3 7" xfId="9500"/>
    <cellStyle name="Normal 2 2 17 3 7 2" xfId="9501"/>
    <cellStyle name="Normal 2 2 17 3 8" xfId="9502"/>
    <cellStyle name="Normal 2 2 17 3 8 2" xfId="9503"/>
    <cellStyle name="Normal 2 2 17 3 9" xfId="9504"/>
    <cellStyle name="Normal 2 2 17 3 9 2" xfId="9505"/>
    <cellStyle name="Normal 2 2 17 4" xfId="9506"/>
    <cellStyle name="Normal 2 2 17 4 2" xfId="9507"/>
    <cellStyle name="Normal 2 2 17 5" xfId="9508"/>
    <cellStyle name="Normal 2 2 17 5 2" xfId="9509"/>
    <cellStyle name="Normal 2 2 17 6" xfId="9510"/>
    <cellStyle name="Normal 2 2 17 6 2" xfId="9511"/>
    <cellStyle name="Normal 2 2 17 7" xfId="9512"/>
    <cellStyle name="Normal 2 2 17 7 2" xfId="9513"/>
    <cellStyle name="Normal 2 2 17 8" xfId="9514"/>
    <cellStyle name="Normal 2 2 17 8 2" xfId="9515"/>
    <cellStyle name="Normal 2 2 17 9" xfId="9516"/>
    <cellStyle name="Normal 2 2 17 9 2" xfId="9517"/>
    <cellStyle name="Normal 2 2 18" xfId="129"/>
    <cellStyle name="Normal 2 2 18 10" xfId="9518"/>
    <cellStyle name="Normal 2 2 18 10 2" xfId="9519"/>
    <cellStyle name="Normal 2 2 18 11" xfId="9520"/>
    <cellStyle name="Normal 2 2 18 11 2" xfId="9521"/>
    <cellStyle name="Normal 2 2 18 12" xfId="9522"/>
    <cellStyle name="Normal 2 2 18 12 2" xfId="9523"/>
    <cellStyle name="Normal 2 2 18 13" xfId="9524"/>
    <cellStyle name="Normal 2 2 18 2" xfId="9525"/>
    <cellStyle name="Normal 2 2 18 2 10" xfId="9526"/>
    <cellStyle name="Normal 2 2 18 2 10 2" xfId="9527"/>
    <cellStyle name="Normal 2 2 18 2 11" xfId="9528"/>
    <cellStyle name="Normal 2 2 18 2 11 2" xfId="9529"/>
    <cellStyle name="Normal 2 2 18 2 12" xfId="9530"/>
    <cellStyle name="Normal 2 2 18 2 2" xfId="9531"/>
    <cellStyle name="Normal 2 2 18 2 2 10" xfId="9532"/>
    <cellStyle name="Normal 2 2 18 2 2 10 2" xfId="9533"/>
    <cellStyle name="Normal 2 2 18 2 2 11" xfId="9534"/>
    <cellStyle name="Normal 2 2 18 2 2 2" xfId="9535"/>
    <cellStyle name="Normal 2 2 18 2 2 2 2" xfId="9536"/>
    <cellStyle name="Normal 2 2 18 2 2 3" xfId="9537"/>
    <cellStyle name="Normal 2 2 18 2 2 3 2" xfId="9538"/>
    <cellStyle name="Normal 2 2 18 2 2 4" xfId="9539"/>
    <cellStyle name="Normal 2 2 18 2 2 4 2" xfId="9540"/>
    <cellStyle name="Normal 2 2 18 2 2 5" xfId="9541"/>
    <cellStyle name="Normal 2 2 18 2 2 5 2" xfId="9542"/>
    <cellStyle name="Normal 2 2 18 2 2 6" xfId="9543"/>
    <cellStyle name="Normal 2 2 18 2 2 6 2" xfId="9544"/>
    <cellStyle name="Normal 2 2 18 2 2 7" xfId="9545"/>
    <cellStyle name="Normal 2 2 18 2 2 7 2" xfId="9546"/>
    <cellStyle name="Normal 2 2 18 2 2 8" xfId="9547"/>
    <cellStyle name="Normal 2 2 18 2 2 8 2" xfId="9548"/>
    <cellStyle name="Normal 2 2 18 2 2 9" xfId="9549"/>
    <cellStyle name="Normal 2 2 18 2 2 9 2" xfId="9550"/>
    <cellStyle name="Normal 2 2 18 2 3" xfId="9551"/>
    <cellStyle name="Normal 2 2 18 2 3 2" xfId="9552"/>
    <cellStyle name="Normal 2 2 18 2 4" xfId="9553"/>
    <cellStyle name="Normal 2 2 18 2 4 2" xfId="9554"/>
    <cellStyle name="Normal 2 2 18 2 5" xfId="9555"/>
    <cellStyle name="Normal 2 2 18 2 5 2" xfId="9556"/>
    <cellStyle name="Normal 2 2 18 2 6" xfId="9557"/>
    <cellStyle name="Normal 2 2 18 2 6 2" xfId="9558"/>
    <cellStyle name="Normal 2 2 18 2 7" xfId="9559"/>
    <cellStyle name="Normal 2 2 18 2 7 2" xfId="9560"/>
    <cellStyle name="Normal 2 2 18 2 8" xfId="9561"/>
    <cellStyle name="Normal 2 2 18 2 8 2" xfId="9562"/>
    <cellStyle name="Normal 2 2 18 2 9" xfId="9563"/>
    <cellStyle name="Normal 2 2 18 2 9 2" xfId="9564"/>
    <cellStyle name="Normal 2 2 18 3" xfId="9565"/>
    <cellStyle name="Normal 2 2 18 3 10" xfId="9566"/>
    <cellStyle name="Normal 2 2 18 3 10 2" xfId="9567"/>
    <cellStyle name="Normal 2 2 18 3 11" xfId="9568"/>
    <cellStyle name="Normal 2 2 18 3 2" xfId="9569"/>
    <cellStyle name="Normal 2 2 18 3 2 2" xfId="9570"/>
    <cellStyle name="Normal 2 2 18 3 3" xfId="9571"/>
    <cellStyle name="Normal 2 2 18 3 3 2" xfId="9572"/>
    <cellStyle name="Normal 2 2 18 3 4" xfId="9573"/>
    <cellStyle name="Normal 2 2 18 3 4 2" xfId="9574"/>
    <cellStyle name="Normal 2 2 18 3 5" xfId="9575"/>
    <cellStyle name="Normal 2 2 18 3 5 2" xfId="9576"/>
    <cellStyle name="Normal 2 2 18 3 6" xfId="9577"/>
    <cellStyle name="Normal 2 2 18 3 6 2" xfId="9578"/>
    <cellStyle name="Normal 2 2 18 3 7" xfId="9579"/>
    <cellStyle name="Normal 2 2 18 3 7 2" xfId="9580"/>
    <cellStyle name="Normal 2 2 18 3 8" xfId="9581"/>
    <cellStyle name="Normal 2 2 18 3 8 2" xfId="9582"/>
    <cellStyle name="Normal 2 2 18 3 9" xfId="9583"/>
    <cellStyle name="Normal 2 2 18 3 9 2" xfId="9584"/>
    <cellStyle name="Normal 2 2 18 4" xfId="9585"/>
    <cellStyle name="Normal 2 2 18 4 2" xfId="9586"/>
    <cellStyle name="Normal 2 2 18 5" xfId="9587"/>
    <cellStyle name="Normal 2 2 18 5 2" xfId="9588"/>
    <cellStyle name="Normal 2 2 18 6" xfId="9589"/>
    <cellStyle name="Normal 2 2 18 6 2" xfId="9590"/>
    <cellStyle name="Normal 2 2 18 7" xfId="9591"/>
    <cellStyle name="Normal 2 2 18 7 2" xfId="9592"/>
    <cellStyle name="Normal 2 2 18 8" xfId="9593"/>
    <cellStyle name="Normal 2 2 18 8 2" xfId="9594"/>
    <cellStyle name="Normal 2 2 18 9" xfId="9595"/>
    <cellStyle name="Normal 2 2 18 9 2" xfId="9596"/>
    <cellStyle name="Normal 2 2 19" xfId="130"/>
    <cellStyle name="Normal 2 2 2" xfId="131"/>
    <cellStyle name="Normal 2 2 2 10" xfId="132"/>
    <cellStyle name="Normal 2 2 2 10 10" xfId="9597"/>
    <cellStyle name="Normal 2 2 2 10 10 2" xfId="9598"/>
    <cellStyle name="Normal 2 2 2 10 11" xfId="9599"/>
    <cellStyle name="Normal 2 2 2 10 11 2" xfId="9600"/>
    <cellStyle name="Normal 2 2 2 10 12" xfId="9601"/>
    <cellStyle name="Normal 2 2 2 10 12 2" xfId="9602"/>
    <cellStyle name="Normal 2 2 2 10 13" xfId="9603"/>
    <cellStyle name="Normal 2 2 2 10 2" xfId="9604"/>
    <cellStyle name="Normal 2 2 2 10 2 10" xfId="9605"/>
    <cellStyle name="Normal 2 2 2 10 2 10 2" xfId="9606"/>
    <cellStyle name="Normal 2 2 2 10 2 11" xfId="9607"/>
    <cellStyle name="Normal 2 2 2 10 2 11 2" xfId="9608"/>
    <cellStyle name="Normal 2 2 2 10 2 12" xfId="9609"/>
    <cellStyle name="Normal 2 2 2 10 2 2" xfId="9610"/>
    <cellStyle name="Normal 2 2 2 10 2 2 10" xfId="9611"/>
    <cellStyle name="Normal 2 2 2 10 2 2 10 2" xfId="9612"/>
    <cellStyle name="Normal 2 2 2 10 2 2 11" xfId="9613"/>
    <cellStyle name="Normal 2 2 2 10 2 2 2" xfId="9614"/>
    <cellStyle name="Normal 2 2 2 10 2 2 2 2" xfId="9615"/>
    <cellStyle name="Normal 2 2 2 10 2 2 3" xfId="9616"/>
    <cellStyle name="Normal 2 2 2 10 2 2 3 2" xfId="9617"/>
    <cellStyle name="Normal 2 2 2 10 2 2 4" xfId="9618"/>
    <cellStyle name="Normal 2 2 2 10 2 2 4 2" xfId="9619"/>
    <cellStyle name="Normal 2 2 2 10 2 2 5" xfId="9620"/>
    <cellStyle name="Normal 2 2 2 10 2 2 5 2" xfId="9621"/>
    <cellStyle name="Normal 2 2 2 10 2 2 6" xfId="9622"/>
    <cellStyle name="Normal 2 2 2 10 2 2 6 2" xfId="9623"/>
    <cellStyle name="Normal 2 2 2 10 2 2 7" xfId="9624"/>
    <cellStyle name="Normal 2 2 2 10 2 2 7 2" xfId="9625"/>
    <cellStyle name="Normal 2 2 2 10 2 2 8" xfId="9626"/>
    <cellStyle name="Normal 2 2 2 10 2 2 8 2" xfId="9627"/>
    <cellStyle name="Normal 2 2 2 10 2 2 9" xfId="9628"/>
    <cellStyle name="Normal 2 2 2 10 2 2 9 2" xfId="9629"/>
    <cellStyle name="Normal 2 2 2 10 2 3" xfId="9630"/>
    <cellStyle name="Normal 2 2 2 10 2 3 2" xfId="9631"/>
    <cellStyle name="Normal 2 2 2 10 2 4" xfId="9632"/>
    <cellStyle name="Normal 2 2 2 10 2 4 2" xfId="9633"/>
    <cellStyle name="Normal 2 2 2 10 2 5" xfId="9634"/>
    <cellStyle name="Normal 2 2 2 10 2 5 2" xfId="9635"/>
    <cellStyle name="Normal 2 2 2 10 2 6" xfId="9636"/>
    <cellStyle name="Normal 2 2 2 10 2 6 2" xfId="9637"/>
    <cellStyle name="Normal 2 2 2 10 2 7" xfId="9638"/>
    <cellStyle name="Normal 2 2 2 10 2 7 2" xfId="9639"/>
    <cellStyle name="Normal 2 2 2 10 2 8" xfId="9640"/>
    <cellStyle name="Normal 2 2 2 10 2 8 2" xfId="9641"/>
    <cellStyle name="Normal 2 2 2 10 2 9" xfId="9642"/>
    <cellStyle name="Normal 2 2 2 10 2 9 2" xfId="9643"/>
    <cellStyle name="Normal 2 2 2 10 3" xfId="9644"/>
    <cellStyle name="Normal 2 2 2 10 3 10" xfId="9645"/>
    <cellStyle name="Normal 2 2 2 10 3 10 2" xfId="9646"/>
    <cellStyle name="Normal 2 2 2 10 3 11" xfId="9647"/>
    <cellStyle name="Normal 2 2 2 10 3 2" xfId="9648"/>
    <cellStyle name="Normal 2 2 2 10 3 2 2" xfId="9649"/>
    <cellStyle name="Normal 2 2 2 10 3 3" xfId="9650"/>
    <cellStyle name="Normal 2 2 2 10 3 3 2" xfId="9651"/>
    <cellStyle name="Normal 2 2 2 10 3 4" xfId="9652"/>
    <cellStyle name="Normal 2 2 2 10 3 4 2" xfId="9653"/>
    <cellStyle name="Normal 2 2 2 10 3 5" xfId="9654"/>
    <cellStyle name="Normal 2 2 2 10 3 5 2" xfId="9655"/>
    <cellStyle name="Normal 2 2 2 10 3 6" xfId="9656"/>
    <cellStyle name="Normal 2 2 2 10 3 6 2" xfId="9657"/>
    <cellStyle name="Normal 2 2 2 10 3 7" xfId="9658"/>
    <cellStyle name="Normal 2 2 2 10 3 7 2" xfId="9659"/>
    <cellStyle name="Normal 2 2 2 10 3 8" xfId="9660"/>
    <cellStyle name="Normal 2 2 2 10 3 8 2" xfId="9661"/>
    <cellStyle name="Normal 2 2 2 10 3 9" xfId="9662"/>
    <cellStyle name="Normal 2 2 2 10 3 9 2" xfId="9663"/>
    <cellStyle name="Normal 2 2 2 10 4" xfId="9664"/>
    <cellStyle name="Normal 2 2 2 10 4 2" xfId="9665"/>
    <cellStyle name="Normal 2 2 2 10 5" xfId="9666"/>
    <cellStyle name="Normal 2 2 2 10 5 2" xfId="9667"/>
    <cellStyle name="Normal 2 2 2 10 6" xfId="9668"/>
    <cellStyle name="Normal 2 2 2 10 6 2" xfId="9669"/>
    <cellStyle name="Normal 2 2 2 10 7" xfId="9670"/>
    <cellStyle name="Normal 2 2 2 10 7 2" xfId="9671"/>
    <cellStyle name="Normal 2 2 2 10 8" xfId="9672"/>
    <cellStyle name="Normal 2 2 2 10 8 2" xfId="9673"/>
    <cellStyle name="Normal 2 2 2 10 9" xfId="9674"/>
    <cellStyle name="Normal 2 2 2 10 9 2" xfId="9675"/>
    <cellStyle name="Normal 2 2 2 11" xfId="133"/>
    <cellStyle name="Normal 2 2 2 11 10" xfId="9676"/>
    <cellStyle name="Normal 2 2 2 11 10 2" xfId="9677"/>
    <cellStyle name="Normal 2 2 2 11 11" xfId="9678"/>
    <cellStyle name="Normal 2 2 2 11 11 2" xfId="9679"/>
    <cellStyle name="Normal 2 2 2 11 12" xfId="9680"/>
    <cellStyle name="Normal 2 2 2 11 12 2" xfId="9681"/>
    <cellStyle name="Normal 2 2 2 11 13" xfId="9682"/>
    <cellStyle name="Normal 2 2 2 11 2" xfId="9683"/>
    <cellStyle name="Normal 2 2 2 11 2 10" xfId="9684"/>
    <cellStyle name="Normal 2 2 2 11 2 10 2" xfId="9685"/>
    <cellStyle name="Normal 2 2 2 11 2 11" xfId="9686"/>
    <cellStyle name="Normal 2 2 2 11 2 11 2" xfId="9687"/>
    <cellStyle name="Normal 2 2 2 11 2 12" xfId="9688"/>
    <cellStyle name="Normal 2 2 2 11 2 2" xfId="9689"/>
    <cellStyle name="Normal 2 2 2 11 2 2 10" xfId="9690"/>
    <cellStyle name="Normal 2 2 2 11 2 2 10 2" xfId="9691"/>
    <cellStyle name="Normal 2 2 2 11 2 2 11" xfId="9692"/>
    <cellStyle name="Normal 2 2 2 11 2 2 2" xfId="9693"/>
    <cellStyle name="Normal 2 2 2 11 2 2 2 2" xfId="9694"/>
    <cellStyle name="Normal 2 2 2 11 2 2 3" xfId="9695"/>
    <cellStyle name="Normal 2 2 2 11 2 2 3 2" xfId="9696"/>
    <cellStyle name="Normal 2 2 2 11 2 2 4" xfId="9697"/>
    <cellStyle name="Normal 2 2 2 11 2 2 4 2" xfId="9698"/>
    <cellStyle name="Normal 2 2 2 11 2 2 5" xfId="9699"/>
    <cellStyle name="Normal 2 2 2 11 2 2 5 2" xfId="9700"/>
    <cellStyle name="Normal 2 2 2 11 2 2 6" xfId="9701"/>
    <cellStyle name="Normal 2 2 2 11 2 2 6 2" xfId="9702"/>
    <cellStyle name="Normal 2 2 2 11 2 2 7" xfId="9703"/>
    <cellStyle name="Normal 2 2 2 11 2 2 7 2" xfId="9704"/>
    <cellStyle name="Normal 2 2 2 11 2 2 8" xfId="9705"/>
    <cellStyle name="Normal 2 2 2 11 2 2 8 2" xfId="9706"/>
    <cellStyle name="Normal 2 2 2 11 2 2 9" xfId="9707"/>
    <cellStyle name="Normal 2 2 2 11 2 2 9 2" xfId="9708"/>
    <cellStyle name="Normal 2 2 2 11 2 3" xfId="9709"/>
    <cellStyle name="Normal 2 2 2 11 2 3 2" xfId="9710"/>
    <cellStyle name="Normal 2 2 2 11 2 4" xfId="9711"/>
    <cellStyle name="Normal 2 2 2 11 2 4 2" xfId="9712"/>
    <cellStyle name="Normal 2 2 2 11 2 5" xfId="9713"/>
    <cellStyle name="Normal 2 2 2 11 2 5 2" xfId="9714"/>
    <cellStyle name="Normal 2 2 2 11 2 6" xfId="9715"/>
    <cellStyle name="Normal 2 2 2 11 2 6 2" xfId="9716"/>
    <cellStyle name="Normal 2 2 2 11 2 7" xfId="9717"/>
    <cellStyle name="Normal 2 2 2 11 2 7 2" xfId="9718"/>
    <cellStyle name="Normal 2 2 2 11 2 8" xfId="9719"/>
    <cellStyle name="Normal 2 2 2 11 2 8 2" xfId="9720"/>
    <cellStyle name="Normal 2 2 2 11 2 9" xfId="9721"/>
    <cellStyle name="Normal 2 2 2 11 2 9 2" xfId="9722"/>
    <cellStyle name="Normal 2 2 2 11 3" xfId="9723"/>
    <cellStyle name="Normal 2 2 2 11 3 10" xfId="9724"/>
    <cellStyle name="Normal 2 2 2 11 3 10 2" xfId="9725"/>
    <cellStyle name="Normal 2 2 2 11 3 11" xfId="9726"/>
    <cellStyle name="Normal 2 2 2 11 3 2" xfId="9727"/>
    <cellStyle name="Normal 2 2 2 11 3 2 2" xfId="9728"/>
    <cellStyle name="Normal 2 2 2 11 3 3" xfId="9729"/>
    <cellStyle name="Normal 2 2 2 11 3 3 2" xfId="9730"/>
    <cellStyle name="Normal 2 2 2 11 3 4" xfId="9731"/>
    <cellStyle name="Normal 2 2 2 11 3 4 2" xfId="9732"/>
    <cellStyle name="Normal 2 2 2 11 3 5" xfId="9733"/>
    <cellStyle name="Normal 2 2 2 11 3 5 2" xfId="9734"/>
    <cellStyle name="Normal 2 2 2 11 3 6" xfId="9735"/>
    <cellStyle name="Normal 2 2 2 11 3 6 2" xfId="9736"/>
    <cellStyle name="Normal 2 2 2 11 3 7" xfId="9737"/>
    <cellStyle name="Normal 2 2 2 11 3 7 2" xfId="9738"/>
    <cellStyle name="Normal 2 2 2 11 3 8" xfId="9739"/>
    <cellStyle name="Normal 2 2 2 11 3 8 2" xfId="9740"/>
    <cellStyle name="Normal 2 2 2 11 3 9" xfId="9741"/>
    <cellStyle name="Normal 2 2 2 11 3 9 2" xfId="9742"/>
    <cellStyle name="Normal 2 2 2 11 4" xfId="9743"/>
    <cellStyle name="Normal 2 2 2 11 4 2" xfId="9744"/>
    <cellStyle name="Normal 2 2 2 11 5" xfId="9745"/>
    <cellStyle name="Normal 2 2 2 11 5 2" xfId="9746"/>
    <cellStyle name="Normal 2 2 2 11 6" xfId="9747"/>
    <cellStyle name="Normal 2 2 2 11 6 2" xfId="9748"/>
    <cellStyle name="Normal 2 2 2 11 7" xfId="9749"/>
    <cellStyle name="Normal 2 2 2 11 7 2" xfId="9750"/>
    <cellStyle name="Normal 2 2 2 11 8" xfId="9751"/>
    <cellStyle name="Normal 2 2 2 11 8 2" xfId="9752"/>
    <cellStyle name="Normal 2 2 2 11 9" xfId="9753"/>
    <cellStyle name="Normal 2 2 2 11 9 2" xfId="9754"/>
    <cellStyle name="Normal 2 2 2 12" xfId="134"/>
    <cellStyle name="Normal 2 2 2 12 10" xfId="9755"/>
    <cellStyle name="Normal 2 2 2 12 10 2" xfId="9756"/>
    <cellStyle name="Normal 2 2 2 12 11" xfId="9757"/>
    <cellStyle name="Normal 2 2 2 12 11 2" xfId="9758"/>
    <cellStyle name="Normal 2 2 2 12 12" xfId="9759"/>
    <cellStyle name="Normal 2 2 2 12 12 2" xfId="9760"/>
    <cellStyle name="Normal 2 2 2 12 13" xfId="9761"/>
    <cellStyle name="Normal 2 2 2 12 2" xfId="9762"/>
    <cellStyle name="Normal 2 2 2 12 2 10" xfId="9763"/>
    <cellStyle name="Normal 2 2 2 12 2 10 2" xfId="9764"/>
    <cellStyle name="Normal 2 2 2 12 2 11" xfId="9765"/>
    <cellStyle name="Normal 2 2 2 12 2 11 2" xfId="9766"/>
    <cellStyle name="Normal 2 2 2 12 2 12" xfId="9767"/>
    <cellStyle name="Normal 2 2 2 12 2 2" xfId="9768"/>
    <cellStyle name="Normal 2 2 2 12 2 2 10" xfId="9769"/>
    <cellStyle name="Normal 2 2 2 12 2 2 10 2" xfId="9770"/>
    <cellStyle name="Normal 2 2 2 12 2 2 11" xfId="9771"/>
    <cellStyle name="Normal 2 2 2 12 2 2 2" xfId="9772"/>
    <cellStyle name="Normal 2 2 2 12 2 2 2 2" xfId="9773"/>
    <cellStyle name="Normal 2 2 2 12 2 2 3" xfId="9774"/>
    <cellStyle name="Normal 2 2 2 12 2 2 3 2" xfId="9775"/>
    <cellStyle name="Normal 2 2 2 12 2 2 4" xfId="9776"/>
    <cellStyle name="Normal 2 2 2 12 2 2 4 2" xfId="9777"/>
    <cellStyle name="Normal 2 2 2 12 2 2 5" xfId="9778"/>
    <cellStyle name="Normal 2 2 2 12 2 2 5 2" xfId="9779"/>
    <cellStyle name="Normal 2 2 2 12 2 2 6" xfId="9780"/>
    <cellStyle name="Normal 2 2 2 12 2 2 6 2" xfId="9781"/>
    <cellStyle name="Normal 2 2 2 12 2 2 7" xfId="9782"/>
    <cellStyle name="Normal 2 2 2 12 2 2 7 2" xfId="9783"/>
    <cellStyle name="Normal 2 2 2 12 2 2 8" xfId="9784"/>
    <cellStyle name="Normal 2 2 2 12 2 2 8 2" xfId="9785"/>
    <cellStyle name="Normal 2 2 2 12 2 2 9" xfId="9786"/>
    <cellStyle name="Normal 2 2 2 12 2 2 9 2" xfId="9787"/>
    <cellStyle name="Normal 2 2 2 12 2 3" xfId="9788"/>
    <cellStyle name="Normal 2 2 2 12 2 3 2" xfId="9789"/>
    <cellStyle name="Normal 2 2 2 12 2 4" xfId="9790"/>
    <cellStyle name="Normal 2 2 2 12 2 4 2" xfId="9791"/>
    <cellStyle name="Normal 2 2 2 12 2 5" xfId="9792"/>
    <cellStyle name="Normal 2 2 2 12 2 5 2" xfId="9793"/>
    <cellStyle name="Normal 2 2 2 12 2 6" xfId="9794"/>
    <cellStyle name="Normal 2 2 2 12 2 6 2" xfId="9795"/>
    <cellStyle name="Normal 2 2 2 12 2 7" xfId="9796"/>
    <cellStyle name="Normal 2 2 2 12 2 7 2" xfId="9797"/>
    <cellStyle name="Normal 2 2 2 12 2 8" xfId="9798"/>
    <cellStyle name="Normal 2 2 2 12 2 8 2" xfId="9799"/>
    <cellStyle name="Normal 2 2 2 12 2 9" xfId="9800"/>
    <cellStyle name="Normal 2 2 2 12 2 9 2" xfId="9801"/>
    <cellStyle name="Normal 2 2 2 12 3" xfId="9802"/>
    <cellStyle name="Normal 2 2 2 12 3 10" xfId="9803"/>
    <cellStyle name="Normal 2 2 2 12 3 10 2" xfId="9804"/>
    <cellStyle name="Normal 2 2 2 12 3 11" xfId="9805"/>
    <cellStyle name="Normal 2 2 2 12 3 2" xfId="9806"/>
    <cellStyle name="Normal 2 2 2 12 3 2 2" xfId="9807"/>
    <cellStyle name="Normal 2 2 2 12 3 3" xfId="9808"/>
    <cellStyle name="Normal 2 2 2 12 3 3 2" xfId="9809"/>
    <cellStyle name="Normal 2 2 2 12 3 4" xfId="9810"/>
    <cellStyle name="Normal 2 2 2 12 3 4 2" xfId="9811"/>
    <cellStyle name="Normal 2 2 2 12 3 5" xfId="9812"/>
    <cellStyle name="Normal 2 2 2 12 3 5 2" xfId="9813"/>
    <cellStyle name="Normal 2 2 2 12 3 6" xfId="9814"/>
    <cellStyle name="Normal 2 2 2 12 3 6 2" xfId="9815"/>
    <cellStyle name="Normal 2 2 2 12 3 7" xfId="9816"/>
    <cellStyle name="Normal 2 2 2 12 3 7 2" xfId="9817"/>
    <cellStyle name="Normal 2 2 2 12 3 8" xfId="9818"/>
    <cellStyle name="Normal 2 2 2 12 3 8 2" xfId="9819"/>
    <cellStyle name="Normal 2 2 2 12 3 9" xfId="9820"/>
    <cellStyle name="Normal 2 2 2 12 3 9 2" xfId="9821"/>
    <cellStyle name="Normal 2 2 2 12 4" xfId="9822"/>
    <cellStyle name="Normal 2 2 2 12 4 2" xfId="9823"/>
    <cellStyle name="Normal 2 2 2 12 5" xfId="9824"/>
    <cellStyle name="Normal 2 2 2 12 5 2" xfId="9825"/>
    <cellStyle name="Normal 2 2 2 12 6" xfId="9826"/>
    <cellStyle name="Normal 2 2 2 12 6 2" xfId="9827"/>
    <cellStyle name="Normal 2 2 2 12 7" xfId="9828"/>
    <cellStyle name="Normal 2 2 2 12 7 2" xfId="9829"/>
    <cellStyle name="Normal 2 2 2 12 8" xfId="9830"/>
    <cellStyle name="Normal 2 2 2 12 8 2" xfId="9831"/>
    <cellStyle name="Normal 2 2 2 12 9" xfId="9832"/>
    <cellStyle name="Normal 2 2 2 12 9 2" xfId="9833"/>
    <cellStyle name="Normal 2 2 2 13" xfId="135"/>
    <cellStyle name="Normal 2 2 2 13 2" xfId="136"/>
    <cellStyle name="Normal 2 2 2 13 2 10" xfId="9834"/>
    <cellStyle name="Normal 2 2 2 13 2 10 2" xfId="9835"/>
    <cellStyle name="Normal 2 2 2 13 2 11" xfId="9836"/>
    <cellStyle name="Normal 2 2 2 13 2 11 2" xfId="9837"/>
    <cellStyle name="Normal 2 2 2 13 2 12" xfId="9838"/>
    <cellStyle name="Normal 2 2 2 13 2 12 2" xfId="9839"/>
    <cellStyle name="Normal 2 2 2 13 2 13" xfId="9840"/>
    <cellStyle name="Normal 2 2 2 13 2 2" xfId="9841"/>
    <cellStyle name="Normal 2 2 2 13 2 2 10" xfId="9842"/>
    <cellStyle name="Normal 2 2 2 13 2 2 10 2" xfId="9843"/>
    <cellStyle name="Normal 2 2 2 13 2 2 11" xfId="9844"/>
    <cellStyle name="Normal 2 2 2 13 2 2 11 2" xfId="9845"/>
    <cellStyle name="Normal 2 2 2 13 2 2 12" xfId="9846"/>
    <cellStyle name="Normal 2 2 2 13 2 2 2" xfId="9847"/>
    <cellStyle name="Normal 2 2 2 13 2 2 2 10" xfId="9848"/>
    <cellStyle name="Normal 2 2 2 13 2 2 2 10 2" xfId="9849"/>
    <cellStyle name="Normal 2 2 2 13 2 2 2 11" xfId="9850"/>
    <cellStyle name="Normal 2 2 2 13 2 2 2 2" xfId="9851"/>
    <cellStyle name="Normal 2 2 2 13 2 2 2 2 2" xfId="9852"/>
    <cellStyle name="Normal 2 2 2 13 2 2 2 3" xfId="9853"/>
    <cellStyle name="Normal 2 2 2 13 2 2 2 3 2" xfId="9854"/>
    <cellStyle name="Normal 2 2 2 13 2 2 2 4" xfId="9855"/>
    <cellStyle name="Normal 2 2 2 13 2 2 2 4 2" xfId="9856"/>
    <cellStyle name="Normal 2 2 2 13 2 2 2 5" xfId="9857"/>
    <cellStyle name="Normal 2 2 2 13 2 2 2 5 2" xfId="9858"/>
    <cellStyle name="Normal 2 2 2 13 2 2 2 6" xfId="9859"/>
    <cellStyle name="Normal 2 2 2 13 2 2 2 6 2" xfId="9860"/>
    <cellStyle name="Normal 2 2 2 13 2 2 2 7" xfId="9861"/>
    <cellStyle name="Normal 2 2 2 13 2 2 2 7 2" xfId="9862"/>
    <cellStyle name="Normal 2 2 2 13 2 2 2 8" xfId="9863"/>
    <cellStyle name="Normal 2 2 2 13 2 2 2 8 2" xfId="9864"/>
    <cellStyle name="Normal 2 2 2 13 2 2 2 9" xfId="9865"/>
    <cellStyle name="Normal 2 2 2 13 2 2 2 9 2" xfId="9866"/>
    <cellStyle name="Normal 2 2 2 13 2 2 3" xfId="9867"/>
    <cellStyle name="Normal 2 2 2 13 2 2 3 2" xfId="9868"/>
    <cellStyle name="Normal 2 2 2 13 2 2 4" xfId="9869"/>
    <cellStyle name="Normal 2 2 2 13 2 2 4 2" xfId="9870"/>
    <cellStyle name="Normal 2 2 2 13 2 2 5" xfId="9871"/>
    <cellStyle name="Normal 2 2 2 13 2 2 5 2" xfId="9872"/>
    <cellStyle name="Normal 2 2 2 13 2 2 6" xfId="9873"/>
    <cellStyle name="Normal 2 2 2 13 2 2 6 2" xfId="9874"/>
    <cellStyle name="Normal 2 2 2 13 2 2 7" xfId="9875"/>
    <cellStyle name="Normal 2 2 2 13 2 2 7 2" xfId="9876"/>
    <cellStyle name="Normal 2 2 2 13 2 2 8" xfId="9877"/>
    <cellStyle name="Normal 2 2 2 13 2 2 8 2" xfId="9878"/>
    <cellStyle name="Normal 2 2 2 13 2 2 9" xfId="9879"/>
    <cellStyle name="Normal 2 2 2 13 2 2 9 2" xfId="9880"/>
    <cellStyle name="Normal 2 2 2 13 2 3" xfId="9881"/>
    <cellStyle name="Normal 2 2 2 13 2 3 10" xfId="9882"/>
    <cellStyle name="Normal 2 2 2 13 2 3 10 2" xfId="9883"/>
    <cellStyle name="Normal 2 2 2 13 2 3 11" xfId="9884"/>
    <cellStyle name="Normal 2 2 2 13 2 3 2" xfId="9885"/>
    <cellStyle name="Normal 2 2 2 13 2 3 2 2" xfId="9886"/>
    <cellStyle name="Normal 2 2 2 13 2 3 3" xfId="9887"/>
    <cellStyle name="Normal 2 2 2 13 2 3 3 2" xfId="9888"/>
    <cellStyle name="Normal 2 2 2 13 2 3 4" xfId="9889"/>
    <cellStyle name="Normal 2 2 2 13 2 3 4 2" xfId="9890"/>
    <cellStyle name="Normal 2 2 2 13 2 3 5" xfId="9891"/>
    <cellStyle name="Normal 2 2 2 13 2 3 5 2" xfId="9892"/>
    <cellStyle name="Normal 2 2 2 13 2 3 6" xfId="9893"/>
    <cellStyle name="Normal 2 2 2 13 2 3 6 2" xfId="9894"/>
    <cellStyle name="Normal 2 2 2 13 2 3 7" xfId="9895"/>
    <cellStyle name="Normal 2 2 2 13 2 3 7 2" xfId="9896"/>
    <cellStyle name="Normal 2 2 2 13 2 3 8" xfId="9897"/>
    <cellStyle name="Normal 2 2 2 13 2 3 8 2" xfId="9898"/>
    <cellStyle name="Normal 2 2 2 13 2 3 9" xfId="9899"/>
    <cellStyle name="Normal 2 2 2 13 2 3 9 2" xfId="9900"/>
    <cellStyle name="Normal 2 2 2 13 2 4" xfId="9901"/>
    <cellStyle name="Normal 2 2 2 13 2 4 2" xfId="9902"/>
    <cellStyle name="Normal 2 2 2 13 2 5" xfId="9903"/>
    <cellStyle name="Normal 2 2 2 13 2 5 2" xfId="9904"/>
    <cellStyle name="Normal 2 2 2 13 2 6" xfId="9905"/>
    <cellStyle name="Normal 2 2 2 13 2 6 2" xfId="9906"/>
    <cellStyle name="Normal 2 2 2 13 2 7" xfId="9907"/>
    <cellStyle name="Normal 2 2 2 13 2 7 2" xfId="9908"/>
    <cellStyle name="Normal 2 2 2 13 2 8" xfId="9909"/>
    <cellStyle name="Normal 2 2 2 13 2 8 2" xfId="9910"/>
    <cellStyle name="Normal 2 2 2 13 2 9" xfId="9911"/>
    <cellStyle name="Normal 2 2 2 13 2 9 2" xfId="9912"/>
    <cellStyle name="Normal 2 2 2 13 3" xfId="137"/>
    <cellStyle name="Normal 2 2 2 13 3 10" xfId="9913"/>
    <cellStyle name="Normal 2 2 2 13 3 10 2" xfId="9914"/>
    <cellStyle name="Normal 2 2 2 13 3 11" xfId="9915"/>
    <cellStyle name="Normal 2 2 2 13 3 11 2" xfId="9916"/>
    <cellStyle name="Normal 2 2 2 13 3 12" xfId="9917"/>
    <cellStyle name="Normal 2 2 2 13 3 12 2" xfId="9918"/>
    <cellStyle name="Normal 2 2 2 13 3 13" xfId="9919"/>
    <cellStyle name="Normal 2 2 2 13 3 2" xfId="9920"/>
    <cellStyle name="Normal 2 2 2 13 3 2 10" xfId="9921"/>
    <cellStyle name="Normal 2 2 2 13 3 2 10 2" xfId="9922"/>
    <cellStyle name="Normal 2 2 2 13 3 2 11" xfId="9923"/>
    <cellStyle name="Normal 2 2 2 13 3 2 11 2" xfId="9924"/>
    <cellStyle name="Normal 2 2 2 13 3 2 12" xfId="9925"/>
    <cellStyle name="Normal 2 2 2 13 3 2 2" xfId="9926"/>
    <cellStyle name="Normal 2 2 2 13 3 2 2 10" xfId="9927"/>
    <cellStyle name="Normal 2 2 2 13 3 2 2 10 2" xfId="9928"/>
    <cellStyle name="Normal 2 2 2 13 3 2 2 11" xfId="9929"/>
    <cellStyle name="Normal 2 2 2 13 3 2 2 2" xfId="9930"/>
    <cellStyle name="Normal 2 2 2 13 3 2 2 2 2" xfId="9931"/>
    <cellStyle name="Normal 2 2 2 13 3 2 2 3" xfId="9932"/>
    <cellStyle name="Normal 2 2 2 13 3 2 2 3 2" xfId="9933"/>
    <cellStyle name="Normal 2 2 2 13 3 2 2 4" xfId="9934"/>
    <cellStyle name="Normal 2 2 2 13 3 2 2 4 2" xfId="9935"/>
    <cellStyle name="Normal 2 2 2 13 3 2 2 5" xfId="9936"/>
    <cellStyle name="Normal 2 2 2 13 3 2 2 5 2" xfId="9937"/>
    <cellStyle name="Normal 2 2 2 13 3 2 2 6" xfId="9938"/>
    <cellStyle name="Normal 2 2 2 13 3 2 2 6 2" xfId="9939"/>
    <cellStyle name="Normal 2 2 2 13 3 2 2 7" xfId="9940"/>
    <cellStyle name="Normal 2 2 2 13 3 2 2 7 2" xfId="9941"/>
    <cellStyle name="Normal 2 2 2 13 3 2 2 8" xfId="9942"/>
    <cellStyle name="Normal 2 2 2 13 3 2 2 8 2" xfId="9943"/>
    <cellStyle name="Normal 2 2 2 13 3 2 2 9" xfId="9944"/>
    <cellStyle name="Normal 2 2 2 13 3 2 2 9 2" xfId="9945"/>
    <cellStyle name="Normal 2 2 2 13 3 2 3" xfId="9946"/>
    <cellStyle name="Normal 2 2 2 13 3 2 3 2" xfId="9947"/>
    <cellStyle name="Normal 2 2 2 13 3 2 4" xfId="9948"/>
    <cellStyle name="Normal 2 2 2 13 3 2 4 2" xfId="9949"/>
    <cellStyle name="Normal 2 2 2 13 3 2 5" xfId="9950"/>
    <cellStyle name="Normal 2 2 2 13 3 2 5 2" xfId="9951"/>
    <cellStyle name="Normal 2 2 2 13 3 2 6" xfId="9952"/>
    <cellStyle name="Normal 2 2 2 13 3 2 6 2" xfId="9953"/>
    <cellStyle name="Normal 2 2 2 13 3 2 7" xfId="9954"/>
    <cellStyle name="Normal 2 2 2 13 3 2 7 2" xfId="9955"/>
    <cellStyle name="Normal 2 2 2 13 3 2 8" xfId="9956"/>
    <cellStyle name="Normal 2 2 2 13 3 2 8 2" xfId="9957"/>
    <cellStyle name="Normal 2 2 2 13 3 2 9" xfId="9958"/>
    <cellStyle name="Normal 2 2 2 13 3 2 9 2" xfId="9959"/>
    <cellStyle name="Normal 2 2 2 13 3 3" xfId="9960"/>
    <cellStyle name="Normal 2 2 2 13 3 3 10" xfId="9961"/>
    <cellStyle name="Normal 2 2 2 13 3 3 10 2" xfId="9962"/>
    <cellStyle name="Normal 2 2 2 13 3 3 11" xfId="9963"/>
    <cellStyle name="Normal 2 2 2 13 3 3 2" xfId="9964"/>
    <cellStyle name="Normal 2 2 2 13 3 3 2 2" xfId="9965"/>
    <cellStyle name="Normal 2 2 2 13 3 3 3" xfId="9966"/>
    <cellStyle name="Normal 2 2 2 13 3 3 3 2" xfId="9967"/>
    <cellStyle name="Normal 2 2 2 13 3 3 4" xfId="9968"/>
    <cellStyle name="Normal 2 2 2 13 3 3 4 2" xfId="9969"/>
    <cellStyle name="Normal 2 2 2 13 3 3 5" xfId="9970"/>
    <cellStyle name="Normal 2 2 2 13 3 3 5 2" xfId="9971"/>
    <cellStyle name="Normal 2 2 2 13 3 3 6" xfId="9972"/>
    <cellStyle name="Normal 2 2 2 13 3 3 6 2" xfId="9973"/>
    <cellStyle name="Normal 2 2 2 13 3 3 7" xfId="9974"/>
    <cellStyle name="Normal 2 2 2 13 3 3 7 2" xfId="9975"/>
    <cellStyle name="Normal 2 2 2 13 3 3 8" xfId="9976"/>
    <cellStyle name="Normal 2 2 2 13 3 3 8 2" xfId="9977"/>
    <cellStyle name="Normal 2 2 2 13 3 3 9" xfId="9978"/>
    <cellStyle name="Normal 2 2 2 13 3 3 9 2" xfId="9979"/>
    <cellStyle name="Normal 2 2 2 13 3 4" xfId="9980"/>
    <cellStyle name="Normal 2 2 2 13 3 4 2" xfId="9981"/>
    <cellStyle name="Normal 2 2 2 13 3 5" xfId="9982"/>
    <cellStyle name="Normal 2 2 2 13 3 5 2" xfId="9983"/>
    <cellStyle name="Normal 2 2 2 13 3 6" xfId="9984"/>
    <cellStyle name="Normal 2 2 2 13 3 6 2" xfId="9985"/>
    <cellStyle name="Normal 2 2 2 13 3 7" xfId="9986"/>
    <cellStyle name="Normal 2 2 2 13 3 7 2" xfId="9987"/>
    <cellStyle name="Normal 2 2 2 13 3 8" xfId="9988"/>
    <cellStyle name="Normal 2 2 2 13 3 8 2" xfId="9989"/>
    <cellStyle name="Normal 2 2 2 13 3 9" xfId="9990"/>
    <cellStyle name="Normal 2 2 2 13 3 9 2" xfId="9991"/>
    <cellStyle name="Normal 2 2 2 13 4" xfId="138"/>
    <cellStyle name="Normal 2 2 2 13 4 10" xfId="9992"/>
    <cellStyle name="Normal 2 2 2 13 4 10 2" xfId="9993"/>
    <cellStyle name="Normal 2 2 2 13 4 11" xfId="9994"/>
    <cellStyle name="Normal 2 2 2 13 4 11 2" xfId="9995"/>
    <cellStyle name="Normal 2 2 2 13 4 12" xfId="9996"/>
    <cellStyle name="Normal 2 2 2 13 4 12 2" xfId="9997"/>
    <cellStyle name="Normal 2 2 2 13 4 13" xfId="9998"/>
    <cellStyle name="Normal 2 2 2 13 4 2" xfId="9999"/>
    <cellStyle name="Normal 2 2 2 13 4 2 10" xfId="10000"/>
    <cellStyle name="Normal 2 2 2 13 4 2 10 2" xfId="10001"/>
    <cellStyle name="Normal 2 2 2 13 4 2 11" xfId="10002"/>
    <cellStyle name="Normal 2 2 2 13 4 2 11 2" xfId="10003"/>
    <cellStyle name="Normal 2 2 2 13 4 2 12" xfId="10004"/>
    <cellStyle name="Normal 2 2 2 13 4 2 2" xfId="10005"/>
    <cellStyle name="Normal 2 2 2 13 4 2 2 10" xfId="10006"/>
    <cellStyle name="Normal 2 2 2 13 4 2 2 10 2" xfId="10007"/>
    <cellStyle name="Normal 2 2 2 13 4 2 2 11" xfId="10008"/>
    <cellStyle name="Normal 2 2 2 13 4 2 2 2" xfId="10009"/>
    <cellStyle name="Normal 2 2 2 13 4 2 2 2 2" xfId="10010"/>
    <cellStyle name="Normal 2 2 2 13 4 2 2 3" xfId="10011"/>
    <cellStyle name="Normal 2 2 2 13 4 2 2 3 2" xfId="10012"/>
    <cellStyle name="Normal 2 2 2 13 4 2 2 4" xfId="10013"/>
    <cellStyle name="Normal 2 2 2 13 4 2 2 4 2" xfId="10014"/>
    <cellStyle name="Normal 2 2 2 13 4 2 2 5" xfId="10015"/>
    <cellStyle name="Normal 2 2 2 13 4 2 2 5 2" xfId="10016"/>
    <cellStyle name="Normal 2 2 2 13 4 2 2 6" xfId="10017"/>
    <cellStyle name="Normal 2 2 2 13 4 2 2 6 2" xfId="10018"/>
    <cellStyle name="Normal 2 2 2 13 4 2 2 7" xfId="10019"/>
    <cellStyle name="Normal 2 2 2 13 4 2 2 7 2" xfId="10020"/>
    <cellStyle name="Normal 2 2 2 13 4 2 2 8" xfId="10021"/>
    <cellStyle name="Normal 2 2 2 13 4 2 2 8 2" xfId="10022"/>
    <cellStyle name="Normal 2 2 2 13 4 2 2 9" xfId="10023"/>
    <cellStyle name="Normal 2 2 2 13 4 2 2 9 2" xfId="10024"/>
    <cellStyle name="Normal 2 2 2 13 4 2 3" xfId="10025"/>
    <cellStyle name="Normal 2 2 2 13 4 2 3 2" xfId="10026"/>
    <cellStyle name="Normal 2 2 2 13 4 2 4" xfId="10027"/>
    <cellStyle name="Normal 2 2 2 13 4 2 4 2" xfId="10028"/>
    <cellStyle name="Normal 2 2 2 13 4 2 5" xfId="10029"/>
    <cellStyle name="Normal 2 2 2 13 4 2 5 2" xfId="10030"/>
    <cellStyle name="Normal 2 2 2 13 4 2 6" xfId="10031"/>
    <cellStyle name="Normal 2 2 2 13 4 2 6 2" xfId="10032"/>
    <cellStyle name="Normal 2 2 2 13 4 2 7" xfId="10033"/>
    <cellStyle name="Normal 2 2 2 13 4 2 7 2" xfId="10034"/>
    <cellStyle name="Normal 2 2 2 13 4 2 8" xfId="10035"/>
    <cellStyle name="Normal 2 2 2 13 4 2 8 2" xfId="10036"/>
    <cellStyle name="Normal 2 2 2 13 4 2 9" xfId="10037"/>
    <cellStyle name="Normal 2 2 2 13 4 2 9 2" xfId="10038"/>
    <cellStyle name="Normal 2 2 2 13 4 3" xfId="10039"/>
    <cellStyle name="Normal 2 2 2 13 4 3 10" xfId="10040"/>
    <cellStyle name="Normal 2 2 2 13 4 3 10 2" xfId="10041"/>
    <cellStyle name="Normal 2 2 2 13 4 3 11" xfId="10042"/>
    <cellStyle name="Normal 2 2 2 13 4 3 2" xfId="10043"/>
    <cellStyle name="Normal 2 2 2 13 4 3 2 2" xfId="10044"/>
    <cellStyle name="Normal 2 2 2 13 4 3 3" xfId="10045"/>
    <cellStyle name="Normal 2 2 2 13 4 3 3 2" xfId="10046"/>
    <cellStyle name="Normal 2 2 2 13 4 3 4" xfId="10047"/>
    <cellStyle name="Normal 2 2 2 13 4 3 4 2" xfId="10048"/>
    <cellStyle name="Normal 2 2 2 13 4 3 5" xfId="10049"/>
    <cellStyle name="Normal 2 2 2 13 4 3 5 2" xfId="10050"/>
    <cellStyle name="Normal 2 2 2 13 4 3 6" xfId="10051"/>
    <cellStyle name="Normal 2 2 2 13 4 3 6 2" xfId="10052"/>
    <cellStyle name="Normal 2 2 2 13 4 3 7" xfId="10053"/>
    <cellStyle name="Normal 2 2 2 13 4 3 7 2" xfId="10054"/>
    <cellStyle name="Normal 2 2 2 13 4 3 8" xfId="10055"/>
    <cellStyle name="Normal 2 2 2 13 4 3 8 2" xfId="10056"/>
    <cellStyle name="Normal 2 2 2 13 4 3 9" xfId="10057"/>
    <cellStyle name="Normal 2 2 2 13 4 3 9 2" xfId="10058"/>
    <cellStyle name="Normal 2 2 2 13 4 4" xfId="10059"/>
    <cellStyle name="Normal 2 2 2 13 4 4 2" xfId="10060"/>
    <cellStyle name="Normal 2 2 2 13 4 5" xfId="10061"/>
    <cellStyle name="Normal 2 2 2 13 4 5 2" xfId="10062"/>
    <cellStyle name="Normal 2 2 2 13 4 6" xfId="10063"/>
    <cellStyle name="Normal 2 2 2 13 4 6 2" xfId="10064"/>
    <cellStyle name="Normal 2 2 2 13 4 7" xfId="10065"/>
    <cellStyle name="Normal 2 2 2 13 4 7 2" xfId="10066"/>
    <cellStyle name="Normal 2 2 2 13 4 8" xfId="10067"/>
    <cellStyle name="Normal 2 2 2 13 4 8 2" xfId="10068"/>
    <cellStyle name="Normal 2 2 2 13 4 9" xfId="10069"/>
    <cellStyle name="Normal 2 2 2 13 4 9 2" xfId="10070"/>
    <cellStyle name="Normal 2 2 2 13 5" xfId="139"/>
    <cellStyle name="Normal 2 2 2 13 5 10" xfId="10071"/>
    <cellStyle name="Normal 2 2 2 13 5 10 2" xfId="10072"/>
    <cellStyle name="Normal 2 2 2 13 5 11" xfId="10073"/>
    <cellStyle name="Normal 2 2 2 13 5 11 2" xfId="10074"/>
    <cellStyle name="Normal 2 2 2 13 5 12" xfId="10075"/>
    <cellStyle name="Normal 2 2 2 13 5 12 2" xfId="10076"/>
    <cellStyle name="Normal 2 2 2 13 5 13" xfId="10077"/>
    <cellStyle name="Normal 2 2 2 13 5 2" xfId="10078"/>
    <cellStyle name="Normal 2 2 2 13 5 2 10" xfId="10079"/>
    <cellStyle name="Normal 2 2 2 13 5 2 10 2" xfId="10080"/>
    <cellStyle name="Normal 2 2 2 13 5 2 11" xfId="10081"/>
    <cellStyle name="Normal 2 2 2 13 5 2 11 2" xfId="10082"/>
    <cellStyle name="Normal 2 2 2 13 5 2 12" xfId="10083"/>
    <cellStyle name="Normal 2 2 2 13 5 2 2" xfId="10084"/>
    <cellStyle name="Normal 2 2 2 13 5 2 2 10" xfId="10085"/>
    <cellStyle name="Normal 2 2 2 13 5 2 2 10 2" xfId="10086"/>
    <cellStyle name="Normal 2 2 2 13 5 2 2 11" xfId="10087"/>
    <cellStyle name="Normal 2 2 2 13 5 2 2 2" xfId="10088"/>
    <cellStyle name="Normal 2 2 2 13 5 2 2 2 2" xfId="10089"/>
    <cellStyle name="Normal 2 2 2 13 5 2 2 3" xfId="10090"/>
    <cellStyle name="Normal 2 2 2 13 5 2 2 3 2" xfId="10091"/>
    <cellStyle name="Normal 2 2 2 13 5 2 2 4" xfId="10092"/>
    <cellStyle name="Normal 2 2 2 13 5 2 2 4 2" xfId="10093"/>
    <cellStyle name="Normal 2 2 2 13 5 2 2 5" xfId="10094"/>
    <cellStyle name="Normal 2 2 2 13 5 2 2 5 2" xfId="10095"/>
    <cellStyle name="Normal 2 2 2 13 5 2 2 6" xfId="10096"/>
    <cellStyle name="Normal 2 2 2 13 5 2 2 6 2" xfId="10097"/>
    <cellStyle name="Normal 2 2 2 13 5 2 2 7" xfId="10098"/>
    <cellStyle name="Normal 2 2 2 13 5 2 2 7 2" xfId="10099"/>
    <cellStyle name="Normal 2 2 2 13 5 2 2 8" xfId="10100"/>
    <cellStyle name="Normal 2 2 2 13 5 2 2 8 2" xfId="10101"/>
    <cellStyle name="Normal 2 2 2 13 5 2 2 9" xfId="10102"/>
    <cellStyle name="Normal 2 2 2 13 5 2 2 9 2" xfId="10103"/>
    <cellStyle name="Normal 2 2 2 13 5 2 3" xfId="10104"/>
    <cellStyle name="Normal 2 2 2 13 5 2 3 2" xfId="10105"/>
    <cellStyle name="Normal 2 2 2 13 5 2 4" xfId="10106"/>
    <cellStyle name="Normal 2 2 2 13 5 2 4 2" xfId="10107"/>
    <cellStyle name="Normal 2 2 2 13 5 2 5" xfId="10108"/>
    <cellStyle name="Normal 2 2 2 13 5 2 5 2" xfId="10109"/>
    <cellStyle name="Normal 2 2 2 13 5 2 6" xfId="10110"/>
    <cellStyle name="Normal 2 2 2 13 5 2 6 2" xfId="10111"/>
    <cellStyle name="Normal 2 2 2 13 5 2 7" xfId="10112"/>
    <cellStyle name="Normal 2 2 2 13 5 2 7 2" xfId="10113"/>
    <cellStyle name="Normal 2 2 2 13 5 2 8" xfId="10114"/>
    <cellStyle name="Normal 2 2 2 13 5 2 8 2" xfId="10115"/>
    <cellStyle name="Normal 2 2 2 13 5 2 9" xfId="10116"/>
    <cellStyle name="Normal 2 2 2 13 5 2 9 2" xfId="10117"/>
    <cellStyle name="Normal 2 2 2 13 5 3" xfId="10118"/>
    <cellStyle name="Normal 2 2 2 13 5 3 10" xfId="10119"/>
    <cellStyle name="Normal 2 2 2 13 5 3 10 2" xfId="10120"/>
    <cellStyle name="Normal 2 2 2 13 5 3 11" xfId="10121"/>
    <cellStyle name="Normal 2 2 2 13 5 3 2" xfId="10122"/>
    <cellStyle name="Normal 2 2 2 13 5 3 2 2" xfId="10123"/>
    <cellStyle name="Normal 2 2 2 13 5 3 3" xfId="10124"/>
    <cellStyle name="Normal 2 2 2 13 5 3 3 2" xfId="10125"/>
    <cellStyle name="Normal 2 2 2 13 5 3 4" xfId="10126"/>
    <cellStyle name="Normal 2 2 2 13 5 3 4 2" xfId="10127"/>
    <cellStyle name="Normal 2 2 2 13 5 3 5" xfId="10128"/>
    <cellStyle name="Normal 2 2 2 13 5 3 5 2" xfId="10129"/>
    <cellStyle name="Normal 2 2 2 13 5 3 6" xfId="10130"/>
    <cellStyle name="Normal 2 2 2 13 5 3 6 2" xfId="10131"/>
    <cellStyle name="Normal 2 2 2 13 5 3 7" xfId="10132"/>
    <cellStyle name="Normal 2 2 2 13 5 3 7 2" xfId="10133"/>
    <cellStyle name="Normal 2 2 2 13 5 3 8" xfId="10134"/>
    <cellStyle name="Normal 2 2 2 13 5 3 8 2" xfId="10135"/>
    <cellStyle name="Normal 2 2 2 13 5 3 9" xfId="10136"/>
    <cellStyle name="Normal 2 2 2 13 5 3 9 2" xfId="10137"/>
    <cellStyle name="Normal 2 2 2 13 5 4" xfId="10138"/>
    <cellStyle name="Normal 2 2 2 13 5 4 2" xfId="10139"/>
    <cellStyle name="Normal 2 2 2 13 5 5" xfId="10140"/>
    <cellStyle name="Normal 2 2 2 13 5 5 2" xfId="10141"/>
    <cellStyle name="Normal 2 2 2 13 5 6" xfId="10142"/>
    <cellStyle name="Normal 2 2 2 13 5 6 2" xfId="10143"/>
    <cellStyle name="Normal 2 2 2 13 5 7" xfId="10144"/>
    <cellStyle name="Normal 2 2 2 13 5 7 2" xfId="10145"/>
    <cellStyle name="Normal 2 2 2 13 5 8" xfId="10146"/>
    <cellStyle name="Normal 2 2 2 13 5 8 2" xfId="10147"/>
    <cellStyle name="Normal 2 2 2 13 5 9" xfId="10148"/>
    <cellStyle name="Normal 2 2 2 13 5 9 2" xfId="10149"/>
    <cellStyle name="Normal 2 2 2 13 6" xfId="140"/>
    <cellStyle name="Normal 2 2 2 14" xfId="141"/>
    <cellStyle name="Normal 2 2 2 14 2" xfId="142"/>
    <cellStyle name="Normal 2 2 2 15" xfId="143"/>
    <cellStyle name="Normal 2 2 2 15 2" xfId="144"/>
    <cellStyle name="Normal 2 2 2 16" xfId="145"/>
    <cellStyle name="Normal 2 2 2 16 2" xfId="146"/>
    <cellStyle name="Normal 2 2 2 17" xfId="10150"/>
    <cellStyle name="Normal 2 2 2 17 10" xfId="10151"/>
    <cellStyle name="Normal 2 2 2 17 10 2" xfId="10152"/>
    <cellStyle name="Normal 2 2 2 17 11" xfId="10153"/>
    <cellStyle name="Normal 2 2 2 17 11 2" xfId="10154"/>
    <cellStyle name="Normal 2 2 2 17 12" xfId="10155"/>
    <cellStyle name="Normal 2 2 2 17 12 2" xfId="10156"/>
    <cellStyle name="Normal 2 2 2 17 13" xfId="10157"/>
    <cellStyle name="Normal 2 2 2 17 2" xfId="10158"/>
    <cellStyle name="Normal 2 2 2 17 2 10" xfId="10159"/>
    <cellStyle name="Normal 2 2 2 17 2 10 2" xfId="10160"/>
    <cellStyle name="Normal 2 2 2 17 2 11" xfId="10161"/>
    <cellStyle name="Normal 2 2 2 17 2 11 2" xfId="10162"/>
    <cellStyle name="Normal 2 2 2 17 2 12" xfId="10163"/>
    <cellStyle name="Normal 2 2 2 17 2 2" xfId="10164"/>
    <cellStyle name="Normal 2 2 2 17 2 2 10" xfId="10165"/>
    <cellStyle name="Normal 2 2 2 17 2 2 10 2" xfId="10166"/>
    <cellStyle name="Normal 2 2 2 17 2 2 11" xfId="10167"/>
    <cellStyle name="Normal 2 2 2 17 2 2 2" xfId="10168"/>
    <cellStyle name="Normal 2 2 2 17 2 2 2 2" xfId="10169"/>
    <cellStyle name="Normal 2 2 2 17 2 2 3" xfId="10170"/>
    <cellStyle name="Normal 2 2 2 17 2 2 3 2" xfId="10171"/>
    <cellStyle name="Normal 2 2 2 17 2 2 4" xfId="10172"/>
    <cellStyle name="Normal 2 2 2 17 2 2 4 2" xfId="10173"/>
    <cellStyle name="Normal 2 2 2 17 2 2 5" xfId="10174"/>
    <cellStyle name="Normal 2 2 2 17 2 2 5 2" xfId="10175"/>
    <cellStyle name="Normal 2 2 2 17 2 2 6" xfId="10176"/>
    <cellStyle name="Normal 2 2 2 17 2 2 6 2" xfId="10177"/>
    <cellStyle name="Normal 2 2 2 17 2 2 7" xfId="10178"/>
    <cellStyle name="Normal 2 2 2 17 2 2 7 2" xfId="10179"/>
    <cellStyle name="Normal 2 2 2 17 2 2 8" xfId="10180"/>
    <cellStyle name="Normal 2 2 2 17 2 2 8 2" xfId="10181"/>
    <cellStyle name="Normal 2 2 2 17 2 2 9" xfId="10182"/>
    <cellStyle name="Normal 2 2 2 17 2 2 9 2" xfId="10183"/>
    <cellStyle name="Normal 2 2 2 17 2 3" xfId="10184"/>
    <cellStyle name="Normal 2 2 2 17 2 3 2" xfId="10185"/>
    <cellStyle name="Normal 2 2 2 17 2 4" xfId="10186"/>
    <cellStyle name="Normal 2 2 2 17 2 4 2" xfId="10187"/>
    <cellStyle name="Normal 2 2 2 17 2 5" xfId="10188"/>
    <cellStyle name="Normal 2 2 2 17 2 5 2" xfId="10189"/>
    <cellStyle name="Normal 2 2 2 17 2 6" xfId="10190"/>
    <cellStyle name="Normal 2 2 2 17 2 6 2" xfId="10191"/>
    <cellStyle name="Normal 2 2 2 17 2 7" xfId="10192"/>
    <cellStyle name="Normal 2 2 2 17 2 7 2" xfId="10193"/>
    <cellStyle name="Normal 2 2 2 17 2 8" xfId="10194"/>
    <cellStyle name="Normal 2 2 2 17 2 8 2" xfId="10195"/>
    <cellStyle name="Normal 2 2 2 17 2 9" xfId="10196"/>
    <cellStyle name="Normal 2 2 2 17 2 9 2" xfId="10197"/>
    <cellStyle name="Normal 2 2 2 17 3" xfId="10198"/>
    <cellStyle name="Normal 2 2 2 17 3 10" xfId="10199"/>
    <cellStyle name="Normal 2 2 2 17 3 10 2" xfId="10200"/>
    <cellStyle name="Normal 2 2 2 17 3 11" xfId="10201"/>
    <cellStyle name="Normal 2 2 2 17 3 2" xfId="10202"/>
    <cellStyle name="Normal 2 2 2 17 3 2 2" xfId="10203"/>
    <cellStyle name="Normal 2 2 2 17 3 3" xfId="10204"/>
    <cellStyle name="Normal 2 2 2 17 3 3 2" xfId="10205"/>
    <cellStyle name="Normal 2 2 2 17 3 4" xfId="10206"/>
    <cellStyle name="Normal 2 2 2 17 3 4 2" xfId="10207"/>
    <cellStyle name="Normal 2 2 2 17 3 5" xfId="10208"/>
    <cellStyle name="Normal 2 2 2 17 3 5 2" xfId="10209"/>
    <cellStyle name="Normal 2 2 2 17 3 6" xfId="10210"/>
    <cellStyle name="Normal 2 2 2 17 3 6 2" xfId="10211"/>
    <cellStyle name="Normal 2 2 2 17 3 7" xfId="10212"/>
    <cellStyle name="Normal 2 2 2 17 3 7 2" xfId="10213"/>
    <cellStyle name="Normal 2 2 2 17 3 8" xfId="10214"/>
    <cellStyle name="Normal 2 2 2 17 3 8 2" xfId="10215"/>
    <cellStyle name="Normal 2 2 2 17 3 9" xfId="10216"/>
    <cellStyle name="Normal 2 2 2 17 3 9 2" xfId="10217"/>
    <cellStyle name="Normal 2 2 2 17 4" xfId="10218"/>
    <cellStyle name="Normal 2 2 2 17 4 2" xfId="10219"/>
    <cellStyle name="Normal 2 2 2 17 5" xfId="10220"/>
    <cellStyle name="Normal 2 2 2 17 5 2" xfId="10221"/>
    <cellStyle name="Normal 2 2 2 17 6" xfId="10222"/>
    <cellStyle name="Normal 2 2 2 17 6 2" xfId="10223"/>
    <cellStyle name="Normal 2 2 2 17 7" xfId="10224"/>
    <cellStyle name="Normal 2 2 2 17 7 2" xfId="10225"/>
    <cellStyle name="Normal 2 2 2 17 8" xfId="10226"/>
    <cellStyle name="Normal 2 2 2 17 8 2" xfId="10227"/>
    <cellStyle name="Normal 2 2 2 17 9" xfId="10228"/>
    <cellStyle name="Normal 2 2 2 17 9 2" xfId="10229"/>
    <cellStyle name="Normal 2 2 2 2" xfId="147"/>
    <cellStyle name="Normal 2 2 2 2 10" xfId="148"/>
    <cellStyle name="Normal 2 2 2 2 10 2" xfId="149"/>
    <cellStyle name="Normal 2 2 2 2 11" xfId="150"/>
    <cellStyle name="Normal 2 2 2 2 11 2" xfId="151"/>
    <cellStyle name="Normal 2 2 2 2 12" xfId="152"/>
    <cellStyle name="Normal 2 2 2 2 12 2" xfId="153"/>
    <cellStyle name="Normal 2 2 2 2 13" xfId="154"/>
    <cellStyle name="Normal 2 2 2 2 13 10" xfId="10230"/>
    <cellStyle name="Normal 2 2 2 2 13 10 2" xfId="10231"/>
    <cellStyle name="Normal 2 2 2 2 13 11" xfId="10232"/>
    <cellStyle name="Normal 2 2 2 2 13 11 2" xfId="10233"/>
    <cellStyle name="Normal 2 2 2 2 13 12" xfId="10234"/>
    <cellStyle name="Normal 2 2 2 2 13 12 2" xfId="10235"/>
    <cellStyle name="Normal 2 2 2 2 13 13" xfId="10236"/>
    <cellStyle name="Normal 2 2 2 2 13 13 2" xfId="10237"/>
    <cellStyle name="Normal 2 2 2 2 13 14" xfId="10238"/>
    <cellStyle name="Normal 2 2 2 2 13 14 2" xfId="10239"/>
    <cellStyle name="Normal 2 2 2 2 13 15" xfId="10240"/>
    <cellStyle name="Normal 2 2 2 2 13 15 2" xfId="10241"/>
    <cellStyle name="Normal 2 2 2 2 13 16" xfId="10242"/>
    <cellStyle name="Normal 2 2 2 2 13 16 2" xfId="10243"/>
    <cellStyle name="Normal 2 2 2 2 13 17" xfId="10244"/>
    <cellStyle name="Normal 2 2 2 2 13 2" xfId="155"/>
    <cellStyle name="Normal 2 2 2 2 13 2 2" xfId="156"/>
    <cellStyle name="Normal 2 2 2 2 13 3" xfId="157"/>
    <cellStyle name="Normal 2 2 2 2 13 3 2" xfId="158"/>
    <cellStyle name="Normal 2 2 2 2 13 4" xfId="159"/>
    <cellStyle name="Normal 2 2 2 2 13 4 2" xfId="160"/>
    <cellStyle name="Normal 2 2 2 2 13 5" xfId="161"/>
    <cellStyle name="Normal 2 2 2 2 13 5 2" xfId="162"/>
    <cellStyle name="Normal 2 2 2 2 13 6" xfId="10245"/>
    <cellStyle name="Normal 2 2 2 2 13 6 10" xfId="10246"/>
    <cellStyle name="Normal 2 2 2 2 13 6 10 2" xfId="10247"/>
    <cellStyle name="Normal 2 2 2 2 13 6 11" xfId="10248"/>
    <cellStyle name="Normal 2 2 2 2 13 6 11 2" xfId="10249"/>
    <cellStyle name="Normal 2 2 2 2 13 6 12" xfId="10250"/>
    <cellStyle name="Normal 2 2 2 2 13 6 2" xfId="10251"/>
    <cellStyle name="Normal 2 2 2 2 13 6 2 10" xfId="10252"/>
    <cellStyle name="Normal 2 2 2 2 13 6 2 10 2" xfId="10253"/>
    <cellStyle name="Normal 2 2 2 2 13 6 2 11" xfId="10254"/>
    <cellStyle name="Normal 2 2 2 2 13 6 2 2" xfId="10255"/>
    <cellStyle name="Normal 2 2 2 2 13 6 2 2 2" xfId="10256"/>
    <cellStyle name="Normal 2 2 2 2 13 6 2 3" xfId="10257"/>
    <cellStyle name="Normal 2 2 2 2 13 6 2 3 2" xfId="10258"/>
    <cellStyle name="Normal 2 2 2 2 13 6 2 4" xfId="10259"/>
    <cellStyle name="Normal 2 2 2 2 13 6 2 4 2" xfId="10260"/>
    <cellStyle name="Normal 2 2 2 2 13 6 2 5" xfId="10261"/>
    <cellStyle name="Normal 2 2 2 2 13 6 2 5 2" xfId="10262"/>
    <cellStyle name="Normal 2 2 2 2 13 6 2 6" xfId="10263"/>
    <cellStyle name="Normal 2 2 2 2 13 6 2 6 2" xfId="10264"/>
    <cellStyle name="Normal 2 2 2 2 13 6 2 7" xfId="10265"/>
    <cellStyle name="Normal 2 2 2 2 13 6 2 7 2" xfId="10266"/>
    <cellStyle name="Normal 2 2 2 2 13 6 2 8" xfId="10267"/>
    <cellStyle name="Normal 2 2 2 2 13 6 2 8 2" xfId="10268"/>
    <cellStyle name="Normal 2 2 2 2 13 6 2 9" xfId="10269"/>
    <cellStyle name="Normal 2 2 2 2 13 6 2 9 2" xfId="10270"/>
    <cellStyle name="Normal 2 2 2 2 13 6 3" xfId="10271"/>
    <cellStyle name="Normal 2 2 2 2 13 6 3 2" xfId="10272"/>
    <cellStyle name="Normal 2 2 2 2 13 6 4" xfId="10273"/>
    <cellStyle name="Normal 2 2 2 2 13 6 4 2" xfId="10274"/>
    <cellStyle name="Normal 2 2 2 2 13 6 5" xfId="10275"/>
    <cellStyle name="Normal 2 2 2 2 13 6 5 2" xfId="10276"/>
    <cellStyle name="Normal 2 2 2 2 13 6 6" xfId="10277"/>
    <cellStyle name="Normal 2 2 2 2 13 6 6 2" xfId="10278"/>
    <cellStyle name="Normal 2 2 2 2 13 6 7" xfId="10279"/>
    <cellStyle name="Normal 2 2 2 2 13 6 7 2" xfId="10280"/>
    <cellStyle name="Normal 2 2 2 2 13 6 8" xfId="10281"/>
    <cellStyle name="Normal 2 2 2 2 13 6 8 2" xfId="10282"/>
    <cellStyle name="Normal 2 2 2 2 13 6 9" xfId="10283"/>
    <cellStyle name="Normal 2 2 2 2 13 6 9 2" xfId="10284"/>
    <cellStyle name="Normal 2 2 2 2 13 7" xfId="10285"/>
    <cellStyle name="Normal 2 2 2 2 13 7 10" xfId="10286"/>
    <cellStyle name="Normal 2 2 2 2 13 7 10 2" xfId="10287"/>
    <cellStyle name="Normal 2 2 2 2 13 7 11" xfId="10288"/>
    <cellStyle name="Normal 2 2 2 2 13 7 2" xfId="10289"/>
    <cellStyle name="Normal 2 2 2 2 13 7 2 2" xfId="10290"/>
    <cellStyle name="Normal 2 2 2 2 13 7 3" xfId="10291"/>
    <cellStyle name="Normal 2 2 2 2 13 7 3 2" xfId="10292"/>
    <cellStyle name="Normal 2 2 2 2 13 7 4" xfId="10293"/>
    <cellStyle name="Normal 2 2 2 2 13 7 4 2" xfId="10294"/>
    <cellStyle name="Normal 2 2 2 2 13 7 5" xfId="10295"/>
    <cellStyle name="Normal 2 2 2 2 13 7 5 2" xfId="10296"/>
    <cellStyle name="Normal 2 2 2 2 13 7 6" xfId="10297"/>
    <cellStyle name="Normal 2 2 2 2 13 7 6 2" xfId="10298"/>
    <cellStyle name="Normal 2 2 2 2 13 7 7" xfId="10299"/>
    <cellStyle name="Normal 2 2 2 2 13 7 7 2" xfId="10300"/>
    <cellStyle name="Normal 2 2 2 2 13 7 8" xfId="10301"/>
    <cellStyle name="Normal 2 2 2 2 13 7 8 2" xfId="10302"/>
    <cellStyle name="Normal 2 2 2 2 13 7 9" xfId="10303"/>
    <cellStyle name="Normal 2 2 2 2 13 7 9 2" xfId="10304"/>
    <cellStyle name="Normal 2 2 2 2 13 8" xfId="10305"/>
    <cellStyle name="Normal 2 2 2 2 13 8 2" xfId="10306"/>
    <cellStyle name="Normal 2 2 2 2 13 9" xfId="10307"/>
    <cellStyle name="Normal 2 2 2 2 13 9 2" xfId="10308"/>
    <cellStyle name="Normal 2 2 2 2 14" xfId="163"/>
    <cellStyle name="Normal 2 2 2 2 14 10" xfId="10309"/>
    <cellStyle name="Normal 2 2 2 2 14 10 2" xfId="10310"/>
    <cellStyle name="Normal 2 2 2 2 14 11" xfId="10311"/>
    <cellStyle name="Normal 2 2 2 2 14 11 2" xfId="10312"/>
    <cellStyle name="Normal 2 2 2 2 14 12" xfId="10313"/>
    <cellStyle name="Normal 2 2 2 2 14 12 2" xfId="10314"/>
    <cellStyle name="Normal 2 2 2 2 14 13" xfId="10315"/>
    <cellStyle name="Normal 2 2 2 2 14 2" xfId="10316"/>
    <cellStyle name="Normal 2 2 2 2 14 2 10" xfId="10317"/>
    <cellStyle name="Normal 2 2 2 2 14 2 10 2" xfId="10318"/>
    <cellStyle name="Normal 2 2 2 2 14 2 11" xfId="10319"/>
    <cellStyle name="Normal 2 2 2 2 14 2 11 2" xfId="10320"/>
    <cellStyle name="Normal 2 2 2 2 14 2 12" xfId="10321"/>
    <cellStyle name="Normal 2 2 2 2 14 2 2" xfId="10322"/>
    <cellStyle name="Normal 2 2 2 2 14 2 2 10" xfId="10323"/>
    <cellStyle name="Normal 2 2 2 2 14 2 2 10 2" xfId="10324"/>
    <cellStyle name="Normal 2 2 2 2 14 2 2 11" xfId="10325"/>
    <cellStyle name="Normal 2 2 2 2 14 2 2 2" xfId="10326"/>
    <cellStyle name="Normal 2 2 2 2 14 2 2 2 2" xfId="10327"/>
    <cellStyle name="Normal 2 2 2 2 14 2 2 3" xfId="10328"/>
    <cellStyle name="Normal 2 2 2 2 14 2 2 3 2" xfId="10329"/>
    <cellStyle name="Normal 2 2 2 2 14 2 2 4" xfId="10330"/>
    <cellStyle name="Normal 2 2 2 2 14 2 2 4 2" xfId="10331"/>
    <cellStyle name="Normal 2 2 2 2 14 2 2 5" xfId="10332"/>
    <cellStyle name="Normal 2 2 2 2 14 2 2 5 2" xfId="10333"/>
    <cellStyle name="Normal 2 2 2 2 14 2 2 6" xfId="10334"/>
    <cellStyle name="Normal 2 2 2 2 14 2 2 6 2" xfId="10335"/>
    <cellStyle name="Normal 2 2 2 2 14 2 2 7" xfId="10336"/>
    <cellStyle name="Normal 2 2 2 2 14 2 2 7 2" xfId="10337"/>
    <cellStyle name="Normal 2 2 2 2 14 2 2 8" xfId="10338"/>
    <cellStyle name="Normal 2 2 2 2 14 2 2 8 2" xfId="10339"/>
    <cellStyle name="Normal 2 2 2 2 14 2 2 9" xfId="10340"/>
    <cellStyle name="Normal 2 2 2 2 14 2 2 9 2" xfId="10341"/>
    <cellStyle name="Normal 2 2 2 2 14 2 3" xfId="10342"/>
    <cellStyle name="Normal 2 2 2 2 14 2 3 2" xfId="10343"/>
    <cellStyle name="Normal 2 2 2 2 14 2 4" xfId="10344"/>
    <cellStyle name="Normal 2 2 2 2 14 2 4 2" xfId="10345"/>
    <cellStyle name="Normal 2 2 2 2 14 2 5" xfId="10346"/>
    <cellStyle name="Normal 2 2 2 2 14 2 5 2" xfId="10347"/>
    <cellStyle name="Normal 2 2 2 2 14 2 6" xfId="10348"/>
    <cellStyle name="Normal 2 2 2 2 14 2 6 2" xfId="10349"/>
    <cellStyle name="Normal 2 2 2 2 14 2 7" xfId="10350"/>
    <cellStyle name="Normal 2 2 2 2 14 2 7 2" xfId="10351"/>
    <cellStyle name="Normal 2 2 2 2 14 2 8" xfId="10352"/>
    <cellStyle name="Normal 2 2 2 2 14 2 8 2" xfId="10353"/>
    <cellStyle name="Normal 2 2 2 2 14 2 9" xfId="10354"/>
    <cellStyle name="Normal 2 2 2 2 14 2 9 2" xfId="10355"/>
    <cellStyle name="Normal 2 2 2 2 14 3" xfId="10356"/>
    <cellStyle name="Normal 2 2 2 2 14 3 10" xfId="10357"/>
    <cellStyle name="Normal 2 2 2 2 14 3 10 2" xfId="10358"/>
    <cellStyle name="Normal 2 2 2 2 14 3 11" xfId="10359"/>
    <cellStyle name="Normal 2 2 2 2 14 3 2" xfId="10360"/>
    <cellStyle name="Normal 2 2 2 2 14 3 2 2" xfId="10361"/>
    <cellStyle name="Normal 2 2 2 2 14 3 3" xfId="10362"/>
    <cellStyle name="Normal 2 2 2 2 14 3 3 2" xfId="10363"/>
    <cellStyle name="Normal 2 2 2 2 14 3 4" xfId="10364"/>
    <cellStyle name="Normal 2 2 2 2 14 3 4 2" xfId="10365"/>
    <cellStyle name="Normal 2 2 2 2 14 3 5" xfId="10366"/>
    <cellStyle name="Normal 2 2 2 2 14 3 5 2" xfId="10367"/>
    <cellStyle name="Normal 2 2 2 2 14 3 6" xfId="10368"/>
    <cellStyle name="Normal 2 2 2 2 14 3 6 2" xfId="10369"/>
    <cellStyle name="Normal 2 2 2 2 14 3 7" xfId="10370"/>
    <cellStyle name="Normal 2 2 2 2 14 3 7 2" xfId="10371"/>
    <cellStyle name="Normal 2 2 2 2 14 3 8" xfId="10372"/>
    <cellStyle name="Normal 2 2 2 2 14 3 8 2" xfId="10373"/>
    <cellStyle name="Normal 2 2 2 2 14 3 9" xfId="10374"/>
    <cellStyle name="Normal 2 2 2 2 14 3 9 2" xfId="10375"/>
    <cellStyle name="Normal 2 2 2 2 14 4" xfId="10376"/>
    <cellStyle name="Normal 2 2 2 2 14 4 2" xfId="10377"/>
    <cellStyle name="Normal 2 2 2 2 14 5" xfId="10378"/>
    <cellStyle name="Normal 2 2 2 2 14 5 2" xfId="10379"/>
    <cellStyle name="Normal 2 2 2 2 14 6" xfId="10380"/>
    <cellStyle name="Normal 2 2 2 2 14 6 2" xfId="10381"/>
    <cellStyle name="Normal 2 2 2 2 14 7" xfId="10382"/>
    <cellStyle name="Normal 2 2 2 2 14 7 2" xfId="10383"/>
    <cellStyle name="Normal 2 2 2 2 14 8" xfId="10384"/>
    <cellStyle name="Normal 2 2 2 2 14 8 2" xfId="10385"/>
    <cellStyle name="Normal 2 2 2 2 14 9" xfId="10386"/>
    <cellStyle name="Normal 2 2 2 2 14 9 2" xfId="10387"/>
    <cellStyle name="Normal 2 2 2 2 15" xfId="164"/>
    <cellStyle name="Normal 2 2 2 2 15 10" xfId="10388"/>
    <cellStyle name="Normal 2 2 2 2 15 10 2" xfId="10389"/>
    <cellStyle name="Normal 2 2 2 2 15 11" xfId="10390"/>
    <cellStyle name="Normal 2 2 2 2 15 11 2" xfId="10391"/>
    <cellStyle name="Normal 2 2 2 2 15 12" xfId="10392"/>
    <cellStyle name="Normal 2 2 2 2 15 12 2" xfId="10393"/>
    <cellStyle name="Normal 2 2 2 2 15 13" xfId="10394"/>
    <cellStyle name="Normal 2 2 2 2 15 2" xfId="10395"/>
    <cellStyle name="Normal 2 2 2 2 15 2 10" xfId="10396"/>
    <cellStyle name="Normal 2 2 2 2 15 2 10 2" xfId="10397"/>
    <cellStyle name="Normal 2 2 2 2 15 2 11" xfId="10398"/>
    <cellStyle name="Normal 2 2 2 2 15 2 11 2" xfId="10399"/>
    <cellStyle name="Normal 2 2 2 2 15 2 12" xfId="10400"/>
    <cellStyle name="Normal 2 2 2 2 15 2 2" xfId="10401"/>
    <cellStyle name="Normal 2 2 2 2 15 2 2 10" xfId="10402"/>
    <cellStyle name="Normal 2 2 2 2 15 2 2 10 2" xfId="10403"/>
    <cellStyle name="Normal 2 2 2 2 15 2 2 11" xfId="10404"/>
    <cellStyle name="Normal 2 2 2 2 15 2 2 2" xfId="10405"/>
    <cellStyle name="Normal 2 2 2 2 15 2 2 2 2" xfId="10406"/>
    <cellStyle name="Normal 2 2 2 2 15 2 2 3" xfId="10407"/>
    <cellStyle name="Normal 2 2 2 2 15 2 2 3 2" xfId="10408"/>
    <cellStyle name="Normal 2 2 2 2 15 2 2 4" xfId="10409"/>
    <cellStyle name="Normal 2 2 2 2 15 2 2 4 2" xfId="10410"/>
    <cellStyle name="Normal 2 2 2 2 15 2 2 5" xfId="10411"/>
    <cellStyle name="Normal 2 2 2 2 15 2 2 5 2" xfId="10412"/>
    <cellStyle name="Normal 2 2 2 2 15 2 2 6" xfId="10413"/>
    <cellStyle name="Normal 2 2 2 2 15 2 2 6 2" xfId="10414"/>
    <cellStyle name="Normal 2 2 2 2 15 2 2 7" xfId="10415"/>
    <cellStyle name="Normal 2 2 2 2 15 2 2 7 2" xfId="10416"/>
    <cellStyle name="Normal 2 2 2 2 15 2 2 8" xfId="10417"/>
    <cellStyle name="Normal 2 2 2 2 15 2 2 8 2" xfId="10418"/>
    <cellStyle name="Normal 2 2 2 2 15 2 2 9" xfId="10419"/>
    <cellStyle name="Normal 2 2 2 2 15 2 2 9 2" xfId="10420"/>
    <cellStyle name="Normal 2 2 2 2 15 2 3" xfId="10421"/>
    <cellStyle name="Normal 2 2 2 2 15 2 3 2" xfId="10422"/>
    <cellStyle name="Normal 2 2 2 2 15 2 4" xfId="10423"/>
    <cellStyle name="Normal 2 2 2 2 15 2 4 2" xfId="10424"/>
    <cellStyle name="Normal 2 2 2 2 15 2 5" xfId="10425"/>
    <cellStyle name="Normal 2 2 2 2 15 2 5 2" xfId="10426"/>
    <cellStyle name="Normal 2 2 2 2 15 2 6" xfId="10427"/>
    <cellStyle name="Normal 2 2 2 2 15 2 6 2" xfId="10428"/>
    <cellStyle name="Normal 2 2 2 2 15 2 7" xfId="10429"/>
    <cellStyle name="Normal 2 2 2 2 15 2 7 2" xfId="10430"/>
    <cellStyle name="Normal 2 2 2 2 15 2 8" xfId="10431"/>
    <cellStyle name="Normal 2 2 2 2 15 2 8 2" xfId="10432"/>
    <cellStyle name="Normal 2 2 2 2 15 2 9" xfId="10433"/>
    <cellStyle name="Normal 2 2 2 2 15 2 9 2" xfId="10434"/>
    <cellStyle name="Normal 2 2 2 2 15 3" xfId="10435"/>
    <cellStyle name="Normal 2 2 2 2 15 3 10" xfId="10436"/>
    <cellStyle name="Normal 2 2 2 2 15 3 10 2" xfId="10437"/>
    <cellStyle name="Normal 2 2 2 2 15 3 11" xfId="10438"/>
    <cellStyle name="Normal 2 2 2 2 15 3 2" xfId="10439"/>
    <cellStyle name="Normal 2 2 2 2 15 3 2 2" xfId="10440"/>
    <cellStyle name="Normal 2 2 2 2 15 3 3" xfId="10441"/>
    <cellStyle name="Normal 2 2 2 2 15 3 3 2" xfId="10442"/>
    <cellStyle name="Normal 2 2 2 2 15 3 4" xfId="10443"/>
    <cellStyle name="Normal 2 2 2 2 15 3 4 2" xfId="10444"/>
    <cellStyle name="Normal 2 2 2 2 15 3 5" xfId="10445"/>
    <cellStyle name="Normal 2 2 2 2 15 3 5 2" xfId="10446"/>
    <cellStyle name="Normal 2 2 2 2 15 3 6" xfId="10447"/>
    <cellStyle name="Normal 2 2 2 2 15 3 6 2" xfId="10448"/>
    <cellStyle name="Normal 2 2 2 2 15 3 7" xfId="10449"/>
    <cellStyle name="Normal 2 2 2 2 15 3 7 2" xfId="10450"/>
    <cellStyle name="Normal 2 2 2 2 15 3 8" xfId="10451"/>
    <cellStyle name="Normal 2 2 2 2 15 3 8 2" xfId="10452"/>
    <cellStyle name="Normal 2 2 2 2 15 3 9" xfId="10453"/>
    <cellStyle name="Normal 2 2 2 2 15 3 9 2" xfId="10454"/>
    <cellStyle name="Normal 2 2 2 2 15 4" xfId="10455"/>
    <cellStyle name="Normal 2 2 2 2 15 4 2" xfId="10456"/>
    <cellStyle name="Normal 2 2 2 2 15 5" xfId="10457"/>
    <cellStyle name="Normal 2 2 2 2 15 5 2" xfId="10458"/>
    <cellStyle name="Normal 2 2 2 2 15 6" xfId="10459"/>
    <cellStyle name="Normal 2 2 2 2 15 6 2" xfId="10460"/>
    <cellStyle name="Normal 2 2 2 2 15 7" xfId="10461"/>
    <cellStyle name="Normal 2 2 2 2 15 7 2" xfId="10462"/>
    <cellStyle name="Normal 2 2 2 2 15 8" xfId="10463"/>
    <cellStyle name="Normal 2 2 2 2 15 8 2" xfId="10464"/>
    <cellStyle name="Normal 2 2 2 2 15 9" xfId="10465"/>
    <cellStyle name="Normal 2 2 2 2 15 9 2" xfId="10466"/>
    <cellStyle name="Normal 2 2 2 2 16" xfId="165"/>
    <cellStyle name="Normal 2 2 2 2 16 10" xfId="10467"/>
    <cellStyle name="Normal 2 2 2 2 16 10 2" xfId="10468"/>
    <cellStyle name="Normal 2 2 2 2 16 11" xfId="10469"/>
    <cellStyle name="Normal 2 2 2 2 16 11 2" xfId="10470"/>
    <cellStyle name="Normal 2 2 2 2 16 12" xfId="10471"/>
    <cellStyle name="Normal 2 2 2 2 16 12 2" xfId="10472"/>
    <cellStyle name="Normal 2 2 2 2 16 13" xfId="10473"/>
    <cellStyle name="Normal 2 2 2 2 16 2" xfId="10474"/>
    <cellStyle name="Normal 2 2 2 2 16 2 10" xfId="10475"/>
    <cellStyle name="Normal 2 2 2 2 16 2 10 2" xfId="10476"/>
    <cellStyle name="Normal 2 2 2 2 16 2 11" xfId="10477"/>
    <cellStyle name="Normal 2 2 2 2 16 2 11 2" xfId="10478"/>
    <cellStyle name="Normal 2 2 2 2 16 2 12" xfId="10479"/>
    <cellStyle name="Normal 2 2 2 2 16 2 2" xfId="10480"/>
    <cellStyle name="Normal 2 2 2 2 16 2 2 10" xfId="10481"/>
    <cellStyle name="Normal 2 2 2 2 16 2 2 10 2" xfId="10482"/>
    <cellStyle name="Normal 2 2 2 2 16 2 2 11" xfId="10483"/>
    <cellStyle name="Normal 2 2 2 2 16 2 2 2" xfId="10484"/>
    <cellStyle name="Normal 2 2 2 2 16 2 2 2 2" xfId="10485"/>
    <cellStyle name="Normal 2 2 2 2 16 2 2 3" xfId="10486"/>
    <cellStyle name="Normal 2 2 2 2 16 2 2 3 2" xfId="10487"/>
    <cellStyle name="Normal 2 2 2 2 16 2 2 4" xfId="10488"/>
    <cellStyle name="Normal 2 2 2 2 16 2 2 4 2" xfId="10489"/>
    <cellStyle name="Normal 2 2 2 2 16 2 2 5" xfId="10490"/>
    <cellStyle name="Normal 2 2 2 2 16 2 2 5 2" xfId="10491"/>
    <cellStyle name="Normal 2 2 2 2 16 2 2 6" xfId="10492"/>
    <cellStyle name="Normal 2 2 2 2 16 2 2 6 2" xfId="10493"/>
    <cellStyle name="Normal 2 2 2 2 16 2 2 7" xfId="10494"/>
    <cellStyle name="Normal 2 2 2 2 16 2 2 7 2" xfId="10495"/>
    <cellStyle name="Normal 2 2 2 2 16 2 2 8" xfId="10496"/>
    <cellStyle name="Normal 2 2 2 2 16 2 2 8 2" xfId="10497"/>
    <cellStyle name="Normal 2 2 2 2 16 2 2 9" xfId="10498"/>
    <cellStyle name="Normal 2 2 2 2 16 2 2 9 2" xfId="10499"/>
    <cellStyle name="Normal 2 2 2 2 16 2 3" xfId="10500"/>
    <cellStyle name="Normal 2 2 2 2 16 2 3 2" xfId="10501"/>
    <cellStyle name="Normal 2 2 2 2 16 2 4" xfId="10502"/>
    <cellStyle name="Normal 2 2 2 2 16 2 4 2" xfId="10503"/>
    <cellStyle name="Normal 2 2 2 2 16 2 5" xfId="10504"/>
    <cellStyle name="Normal 2 2 2 2 16 2 5 2" xfId="10505"/>
    <cellStyle name="Normal 2 2 2 2 16 2 6" xfId="10506"/>
    <cellStyle name="Normal 2 2 2 2 16 2 6 2" xfId="10507"/>
    <cellStyle name="Normal 2 2 2 2 16 2 7" xfId="10508"/>
    <cellStyle name="Normal 2 2 2 2 16 2 7 2" xfId="10509"/>
    <cellStyle name="Normal 2 2 2 2 16 2 8" xfId="10510"/>
    <cellStyle name="Normal 2 2 2 2 16 2 8 2" xfId="10511"/>
    <cellStyle name="Normal 2 2 2 2 16 2 9" xfId="10512"/>
    <cellStyle name="Normal 2 2 2 2 16 2 9 2" xfId="10513"/>
    <cellStyle name="Normal 2 2 2 2 16 3" xfId="10514"/>
    <cellStyle name="Normal 2 2 2 2 16 3 10" xfId="10515"/>
    <cellStyle name="Normal 2 2 2 2 16 3 10 2" xfId="10516"/>
    <cellStyle name="Normal 2 2 2 2 16 3 11" xfId="10517"/>
    <cellStyle name="Normal 2 2 2 2 16 3 2" xfId="10518"/>
    <cellStyle name="Normal 2 2 2 2 16 3 2 2" xfId="10519"/>
    <cellStyle name="Normal 2 2 2 2 16 3 3" xfId="10520"/>
    <cellStyle name="Normal 2 2 2 2 16 3 3 2" xfId="10521"/>
    <cellStyle name="Normal 2 2 2 2 16 3 4" xfId="10522"/>
    <cellStyle name="Normal 2 2 2 2 16 3 4 2" xfId="10523"/>
    <cellStyle name="Normal 2 2 2 2 16 3 5" xfId="10524"/>
    <cellStyle name="Normal 2 2 2 2 16 3 5 2" xfId="10525"/>
    <cellStyle name="Normal 2 2 2 2 16 3 6" xfId="10526"/>
    <cellStyle name="Normal 2 2 2 2 16 3 6 2" xfId="10527"/>
    <cellStyle name="Normal 2 2 2 2 16 3 7" xfId="10528"/>
    <cellStyle name="Normal 2 2 2 2 16 3 7 2" xfId="10529"/>
    <cellStyle name="Normal 2 2 2 2 16 3 8" xfId="10530"/>
    <cellStyle name="Normal 2 2 2 2 16 3 8 2" xfId="10531"/>
    <cellStyle name="Normal 2 2 2 2 16 3 9" xfId="10532"/>
    <cellStyle name="Normal 2 2 2 2 16 3 9 2" xfId="10533"/>
    <cellStyle name="Normal 2 2 2 2 16 4" xfId="10534"/>
    <cellStyle name="Normal 2 2 2 2 16 4 2" xfId="10535"/>
    <cellStyle name="Normal 2 2 2 2 16 5" xfId="10536"/>
    <cellStyle name="Normal 2 2 2 2 16 5 2" xfId="10537"/>
    <cellStyle name="Normal 2 2 2 2 16 6" xfId="10538"/>
    <cellStyle name="Normal 2 2 2 2 16 6 2" xfId="10539"/>
    <cellStyle name="Normal 2 2 2 2 16 7" xfId="10540"/>
    <cellStyle name="Normal 2 2 2 2 16 7 2" xfId="10541"/>
    <cellStyle name="Normal 2 2 2 2 16 8" xfId="10542"/>
    <cellStyle name="Normal 2 2 2 2 16 8 2" xfId="10543"/>
    <cellStyle name="Normal 2 2 2 2 16 9" xfId="10544"/>
    <cellStyle name="Normal 2 2 2 2 16 9 2" xfId="10545"/>
    <cellStyle name="Normal 2 2 2 2 17" xfId="166"/>
    <cellStyle name="Normal 2 2 2 2 2" xfId="167"/>
    <cellStyle name="Normal 2 2 2 2 2 10" xfId="10546"/>
    <cellStyle name="Normal 2 2 2 2 2 10 10" xfId="10547"/>
    <cellStyle name="Normal 2 2 2 2 2 10 10 2" xfId="10548"/>
    <cellStyle name="Normal 2 2 2 2 2 10 11" xfId="10549"/>
    <cellStyle name="Normal 2 2 2 2 2 10 11 2" xfId="10550"/>
    <cellStyle name="Normal 2 2 2 2 2 10 12" xfId="10551"/>
    <cellStyle name="Normal 2 2 2 2 2 10 2" xfId="10552"/>
    <cellStyle name="Normal 2 2 2 2 2 10 2 10" xfId="10553"/>
    <cellStyle name="Normal 2 2 2 2 2 10 2 10 2" xfId="10554"/>
    <cellStyle name="Normal 2 2 2 2 2 10 2 11" xfId="10555"/>
    <cellStyle name="Normal 2 2 2 2 2 10 2 2" xfId="10556"/>
    <cellStyle name="Normal 2 2 2 2 2 10 2 2 2" xfId="10557"/>
    <cellStyle name="Normal 2 2 2 2 2 10 2 3" xfId="10558"/>
    <cellStyle name="Normal 2 2 2 2 2 10 2 3 2" xfId="10559"/>
    <cellStyle name="Normal 2 2 2 2 2 10 2 4" xfId="10560"/>
    <cellStyle name="Normal 2 2 2 2 2 10 2 4 2" xfId="10561"/>
    <cellStyle name="Normal 2 2 2 2 2 10 2 5" xfId="10562"/>
    <cellStyle name="Normal 2 2 2 2 2 10 2 5 2" xfId="10563"/>
    <cellStyle name="Normal 2 2 2 2 2 10 2 6" xfId="10564"/>
    <cellStyle name="Normal 2 2 2 2 2 10 2 6 2" xfId="10565"/>
    <cellStyle name="Normal 2 2 2 2 2 10 2 7" xfId="10566"/>
    <cellStyle name="Normal 2 2 2 2 2 10 2 7 2" xfId="10567"/>
    <cellStyle name="Normal 2 2 2 2 2 10 2 8" xfId="10568"/>
    <cellStyle name="Normal 2 2 2 2 2 10 2 8 2" xfId="10569"/>
    <cellStyle name="Normal 2 2 2 2 2 10 2 9" xfId="10570"/>
    <cellStyle name="Normal 2 2 2 2 2 10 2 9 2" xfId="10571"/>
    <cellStyle name="Normal 2 2 2 2 2 10 3" xfId="10572"/>
    <cellStyle name="Normal 2 2 2 2 2 10 3 2" xfId="10573"/>
    <cellStyle name="Normal 2 2 2 2 2 10 4" xfId="10574"/>
    <cellStyle name="Normal 2 2 2 2 2 10 4 2" xfId="10575"/>
    <cellStyle name="Normal 2 2 2 2 2 10 5" xfId="10576"/>
    <cellStyle name="Normal 2 2 2 2 2 10 5 2" xfId="10577"/>
    <cellStyle name="Normal 2 2 2 2 2 10 6" xfId="10578"/>
    <cellStyle name="Normal 2 2 2 2 2 10 6 2" xfId="10579"/>
    <cellStyle name="Normal 2 2 2 2 2 10 7" xfId="10580"/>
    <cellStyle name="Normal 2 2 2 2 2 10 7 2" xfId="10581"/>
    <cellStyle name="Normal 2 2 2 2 2 10 8" xfId="10582"/>
    <cellStyle name="Normal 2 2 2 2 2 10 8 2" xfId="10583"/>
    <cellStyle name="Normal 2 2 2 2 2 10 9" xfId="10584"/>
    <cellStyle name="Normal 2 2 2 2 2 10 9 2" xfId="10585"/>
    <cellStyle name="Normal 2 2 2 2 2 11" xfId="10586"/>
    <cellStyle name="Normal 2 2 2 2 2 11 10" xfId="10587"/>
    <cellStyle name="Normal 2 2 2 2 2 11 10 2" xfId="10588"/>
    <cellStyle name="Normal 2 2 2 2 2 11 11" xfId="10589"/>
    <cellStyle name="Normal 2 2 2 2 2 11 2" xfId="10590"/>
    <cellStyle name="Normal 2 2 2 2 2 11 2 2" xfId="10591"/>
    <cellStyle name="Normal 2 2 2 2 2 11 3" xfId="10592"/>
    <cellStyle name="Normal 2 2 2 2 2 11 3 2" xfId="10593"/>
    <cellStyle name="Normal 2 2 2 2 2 11 4" xfId="10594"/>
    <cellStyle name="Normal 2 2 2 2 2 11 4 2" xfId="10595"/>
    <cellStyle name="Normal 2 2 2 2 2 11 5" xfId="10596"/>
    <cellStyle name="Normal 2 2 2 2 2 11 5 2" xfId="10597"/>
    <cellStyle name="Normal 2 2 2 2 2 11 6" xfId="10598"/>
    <cellStyle name="Normal 2 2 2 2 2 11 6 2" xfId="10599"/>
    <cellStyle name="Normal 2 2 2 2 2 11 7" xfId="10600"/>
    <cellStyle name="Normal 2 2 2 2 2 11 7 2" xfId="10601"/>
    <cellStyle name="Normal 2 2 2 2 2 11 8" xfId="10602"/>
    <cellStyle name="Normal 2 2 2 2 2 11 8 2" xfId="10603"/>
    <cellStyle name="Normal 2 2 2 2 2 11 9" xfId="10604"/>
    <cellStyle name="Normal 2 2 2 2 2 11 9 2" xfId="10605"/>
    <cellStyle name="Normal 2 2 2 2 2 12" xfId="10606"/>
    <cellStyle name="Normal 2 2 2 2 2 12 2" xfId="10607"/>
    <cellStyle name="Normal 2 2 2 2 2 13" xfId="10608"/>
    <cellStyle name="Normal 2 2 2 2 2 13 2" xfId="10609"/>
    <cellStyle name="Normal 2 2 2 2 2 14" xfId="10610"/>
    <cellStyle name="Normal 2 2 2 2 2 14 2" xfId="10611"/>
    <cellStyle name="Normal 2 2 2 2 2 15" xfId="10612"/>
    <cellStyle name="Normal 2 2 2 2 2 15 2" xfId="10613"/>
    <cellStyle name="Normal 2 2 2 2 2 16" xfId="10614"/>
    <cellStyle name="Normal 2 2 2 2 2 16 2" xfId="10615"/>
    <cellStyle name="Normal 2 2 2 2 2 17" xfId="10616"/>
    <cellStyle name="Normal 2 2 2 2 2 17 2" xfId="10617"/>
    <cellStyle name="Normal 2 2 2 2 2 18" xfId="10618"/>
    <cellStyle name="Normal 2 2 2 2 2 18 2" xfId="10619"/>
    <cellStyle name="Normal 2 2 2 2 2 19" xfId="10620"/>
    <cellStyle name="Normal 2 2 2 2 2 19 2" xfId="10621"/>
    <cellStyle name="Normal 2 2 2 2 2 2" xfId="168"/>
    <cellStyle name="Normal 2 2 2 2 2 2 10" xfId="169"/>
    <cellStyle name="Normal 2 2 2 2 2 2 2" xfId="170"/>
    <cellStyle name="Normal 2 2 2 2 2 2 2 10" xfId="10622"/>
    <cellStyle name="Normal 2 2 2 2 2 2 2 10 2" xfId="10623"/>
    <cellStyle name="Normal 2 2 2 2 2 2 2 11" xfId="10624"/>
    <cellStyle name="Normal 2 2 2 2 2 2 2 11 2" xfId="10625"/>
    <cellStyle name="Normal 2 2 2 2 2 2 2 12" xfId="10626"/>
    <cellStyle name="Normal 2 2 2 2 2 2 2 12 2" xfId="10627"/>
    <cellStyle name="Normal 2 2 2 2 2 2 2 13" xfId="10628"/>
    <cellStyle name="Normal 2 2 2 2 2 2 2 13 2" xfId="10629"/>
    <cellStyle name="Normal 2 2 2 2 2 2 2 14" xfId="10630"/>
    <cellStyle name="Normal 2 2 2 2 2 2 2 14 2" xfId="10631"/>
    <cellStyle name="Normal 2 2 2 2 2 2 2 15" xfId="10632"/>
    <cellStyle name="Normal 2 2 2 2 2 2 2 15 2" xfId="10633"/>
    <cellStyle name="Normal 2 2 2 2 2 2 2 16" xfId="10634"/>
    <cellStyle name="Normal 2 2 2 2 2 2 2 16 2" xfId="10635"/>
    <cellStyle name="Normal 2 2 2 2 2 2 2 17" xfId="10636"/>
    <cellStyle name="Normal 2 2 2 2 2 2 2 17 2" xfId="10637"/>
    <cellStyle name="Normal 2 2 2 2 2 2 2 18" xfId="10638"/>
    <cellStyle name="Normal 2 2 2 2 2 2 2 2" xfId="171"/>
    <cellStyle name="Normal 2 2 2 2 2 2 2 2 2" xfId="172"/>
    <cellStyle name="Normal 2 2 2 2 2 2 2 2 2 10" xfId="10639"/>
    <cellStyle name="Normal 2 2 2 2 2 2 2 2 2 10 2" xfId="10640"/>
    <cellStyle name="Normal 2 2 2 2 2 2 2 2 2 11" xfId="10641"/>
    <cellStyle name="Normal 2 2 2 2 2 2 2 2 2 11 2" xfId="10642"/>
    <cellStyle name="Normal 2 2 2 2 2 2 2 2 2 12" xfId="10643"/>
    <cellStyle name="Normal 2 2 2 2 2 2 2 2 2 12 2" xfId="10644"/>
    <cellStyle name="Normal 2 2 2 2 2 2 2 2 2 13" xfId="10645"/>
    <cellStyle name="Normal 2 2 2 2 2 2 2 2 2 13 2" xfId="10646"/>
    <cellStyle name="Normal 2 2 2 2 2 2 2 2 2 14" xfId="10647"/>
    <cellStyle name="Normal 2 2 2 2 2 2 2 2 2 14 2" xfId="10648"/>
    <cellStyle name="Normal 2 2 2 2 2 2 2 2 2 15" xfId="10649"/>
    <cellStyle name="Normal 2 2 2 2 2 2 2 2 2 15 2" xfId="10650"/>
    <cellStyle name="Normal 2 2 2 2 2 2 2 2 2 16" xfId="10651"/>
    <cellStyle name="Normal 2 2 2 2 2 2 2 2 2 16 2" xfId="10652"/>
    <cellStyle name="Normal 2 2 2 2 2 2 2 2 2 17" xfId="10653"/>
    <cellStyle name="Normal 2 2 2 2 2 2 2 2 2 2" xfId="173"/>
    <cellStyle name="Normal 2 2 2 2 2 2 2 2 2 2 2" xfId="174"/>
    <cellStyle name="Normal 2 2 2 2 2 2 2 2 2 3" xfId="175"/>
    <cellStyle name="Normal 2 2 2 2 2 2 2 2 2 3 2" xfId="176"/>
    <cellStyle name="Normal 2 2 2 2 2 2 2 2 2 4" xfId="177"/>
    <cellStyle name="Normal 2 2 2 2 2 2 2 2 2 4 2" xfId="178"/>
    <cellStyle name="Normal 2 2 2 2 2 2 2 2 2 5" xfId="179"/>
    <cellStyle name="Normal 2 2 2 2 2 2 2 2 2 5 2" xfId="180"/>
    <cellStyle name="Normal 2 2 2 2 2 2 2 2 2 6" xfId="10654"/>
    <cellStyle name="Normal 2 2 2 2 2 2 2 2 2 6 10" xfId="10655"/>
    <cellStyle name="Normal 2 2 2 2 2 2 2 2 2 6 10 2" xfId="10656"/>
    <cellStyle name="Normal 2 2 2 2 2 2 2 2 2 6 11" xfId="10657"/>
    <cellStyle name="Normal 2 2 2 2 2 2 2 2 2 6 11 2" xfId="10658"/>
    <cellStyle name="Normal 2 2 2 2 2 2 2 2 2 6 12" xfId="10659"/>
    <cellStyle name="Normal 2 2 2 2 2 2 2 2 2 6 2" xfId="10660"/>
    <cellStyle name="Normal 2 2 2 2 2 2 2 2 2 6 2 10" xfId="10661"/>
    <cellStyle name="Normal 2 2 2 2 2 2 2 2 2 6 2 10 2" xfId="10662"/>
    <cellStyle name="Normal 2 2 2 2 2 2 2 2 2 6 2 11" xfId="10663"/>
    <cellStyle name="Normal 2 2 2 2 2 2 2 2 2 6 2 2" xfId="10664"/>
    <cellStyle name="Normal 2 2 2 2 2 2 2 2 2 6 2 2 2" xfId="10665"/>
    <cellStyle name="Normal 2 2 2 2 2 2 2 2 2 6 2 3" xfId="10666"/>
    <cellStyle name="Normal 2 2 2 2 2 2 2 2 2 6 2 3 2" xfId="10667"/>
    <cellStyle name="Normal 2 2 2 2 2 2 2 2 2 6 2 4" xfId="10668"/>
    <cellStyle name="Normal 2 2 2 2 2 2 2 2 2 6 2 4 2" xfId="10669"/>
    <cellStyle name="Normal 2 2 2 2 2 2 2 2 2 6 2 5" xfId="10670"/>
    <cellStyle name="Normal 2 2 2 2 2 2 2 2 2 6 2 5 2" xfId="10671"/>
    <cellStyle name="Normal 2 2 2 2 2 2 2 2 2 6 2 6" xfId="10672"/>
    <cellStyle name="Normal 2 2 2 2 2 2 2 2 2 6 2 6 2" xfId="10673"/>
    <cellStyle name="Normal 2 2 2 2 2 2 2 2 2 6 2 7" xfId="10674"/>
    <cellStyle name="Normal 2 2 2 2 2 2 2 2 2 6 2 7 2" xfId="10675"/>
    <cellStyle name="Normal 2 2 2 2 2 2 2 2 2 6 2 8" xfId="10676"/>
    <cellStyle name="Normal 2 2 2 2 2 2 2 2 2 6 2 8 2" xfId="10677"/>
    <cellStyle name="Normal 2 2 2 2 2 2 2 2 2 6 2 9" xfId="10678"/>
    <cellStyle name="Normal 2 2 2 2 2 2 2 2 2 6 2 9 2" xfId="10679"/>
    <cellStyle name="Normal 2 2 2 2 2 2 2 2 2 6 3" xfId="10680"/>
    <cellStyle name="Normal 2 2 2 2 2 2 2 2 2 6 3 2" xfId="10681"/>
    <cellStyle name="Normal 2 2 2 2 2 2 2 2 2 6 4" xfId="10682"/>
    <cellStyle name="Normal 2 2 2 2 2 2 2 2 2 6 4 2" xfId="10683"/>
    <cellStyle name="Normal 2 2 2 2 2 2 2 2 2 6 5" xfId="10684"/>
    <cellStyle name="Normal 2 2 2 2 2 2 2 2 2 6 5 2" xfId="10685"/>
    <cellStyle name="Normal 2 2 2 2 2 2 2 2 2 6 6" xfId="10686"/>
    <cellStyle name="Normal 2 2 2 2 2 2 2 2 2 6 6 2" xfId="10687"/>
    <cellStyle name="Normal 2 2 2 2 2 2 2 2 2 6 7" xfId="10688"/>
    <cellStyle name="Normal 2 2 2 2 2 2 2 2 2 6 7 2" xfId="10689"/>
    <cellStyle name="Normal 2 2 2 2 2 2 2 2 2 6 8" xfId="10690"/>
    <cellStyle name="Normal 2 2 2 2 2 2 2 2 2 6 8 2" xfId="10691"/>
    <cellStyle name="Normal 2 2 2 2 2 2 2 2 2 6 9" xfId="10692"/>
    <cellStyle name="Normal 2 2 2 2 2 2 2 2 2 6 9 2" xfId="10693"/>
    <cellStyle name="Normal 2 2 2 2 2 2 2 2 2 7" xfId="10694"/>
    <cellStyle name="Normal 2 2 2 2 2 2 2 2 2 7 10" xfId="10695"/>
    <cellStyle name="Normal 2 2 2 2 2 2 2 2 2 7 10 2" xfId="10696"/>
    <cellStyle name="Normal 2 2 2 2 2 2 2 2 2 7 11" xfId="10697"/>
    <cellStyle name="Normal 2 2 2 2 2 2 2 2 2 7 2" xfId="10698"/>
    <cellStyle name="Normal 2 2 2 2 2 2 2 2 2 7 2 2" xfId="10699"/>
    <cellStyle name="Normal 2 2 2 2 2 2 2 2 2 7 3" xfId="10700"/>
    <cellStyle name="Normal 2 2 2 2 2 2 2 2 2 7 3 2" xfId="10701"/>
    <cellStyle name="Normal 2 2 2 2 2 2 2 2 2 7 4" xfId="10702"/>
    <cellStyle name="Normal 2 2 2 2 2 2 2 2 2 7 4 2" xfId="10703"/>
    <cellStyle name="Normal 2 2 2 2 2 2 2 2 2 7 5" xfId="10704"/>
    <cellStyle name="Normal 2 2 2 2 2 2 2 2 2 7 5 2" xfId="10705"/>
    <cellStyle name="Normal 2 2 2 2 2 2 2 2 2 7 6" xfId="10706"/>
    <cellStyle name="Normal 2 2 2 2 2 2 2 2 2 7 6 2" xfId="10707"/>
    <cellStyle name="Normal 2 2 2 2 2 2 2 2 2 7 7" xfId="10708"/>
    <cellStyle name="Normal 2 2 2 2 2 2 2 2 2 7 7 2" xfId="10709"/>
    <cellStyle name="Normal 2 2 2 2 2 2 2 2 2 7 8" xfId="10710"/>
    <cellStyle name="Normal 2 2 2 2 2 2 2 2 2 7 8 2" xfId="10711"/>
    <cellStyle name="Normal 2 2 2 2 2 2 2 2 2 7 9" xfId="10712"/>
    <cellStyle name="Normal 2 2 2 2 2 2 2 2 2 7 9 2" xfId="10713"/>
    <cellStyle name="Normal 2 2 2 2 2 2 2 2 2 8" xfId="10714"/>
    <cellStyle name="Normal 2 2 2 2 2 2 2 2 2 8 2" xfId="10715"/>
    <cellStyle name="Normal 2 2 2 2 2 2 2 2 2 9" xfId="10716"/>
    <cellStyle name="Normal 2 2 2 2 2 2 2 2 2 9 2" xfId="10717"/>
    <cellStyle name="Normal 2 2 2 2 2 2 2 2 3" xfId="181"/>
    <cellStyle name="Normal 2 2 2 2 2 2 2 2 3 10" xfId="10718"/>
    <cellStyle name="Normal 2 2 2 2 2 2 2 2 3 10 2" xfId="10719"/>
    <cellStyle name="Normal 2 2 2 2 2 2 2 2 3 11" xfId="10720"/>
    <cellStyle name="Normal 2 2 2 2 2 2 2 2 3 11 2" xfId="10721"/>
    <cellStyle name="Normal 2 2 2 2 2 2 2 2 3 12" xfId="10722"/>
    <cellStyle name="Normal 2 2 2 2 2 2 2 2 3 12 2" xfId="10723"/>
    <cellStyle name="Normal 2 2 2 2 2 2 2 2 3 13" xfId="10724"/>
    <cellStyle name="Normal 2 2 2 2 2 2 2 2 3 2" xfId="10725"/>
    <cellStyle name="Normal 2 2 2 2 2 2 2 2 3 2 10" xfId="10726"/>
    <cellStyle name="Normal 2 2 2 2 2 2 2 2 3 2 10 2" xfId="10727"/>
    <cellStyle name="Normal 2 2 2 2 2 2 2 2 3 2 11" xfId="10728"/>
    <cellStyle name="Normal 2 2 2 2 2 2 2 2 3 2 11 2" xfId="10729"/>
    <cellStyle name="Normal 2 2 2 2 2 2 2 2 3 2 12" xfId="10730"/>
    <cellStyle name="Normal 2 2 2 2 2 2 2 2 3 2 2" xfId="10731"/>
    <cellStyle name="Normal 2 2 2 2 2 2 2 2 3 2 2 10" xfId="10732"/>
    <cellStyle name="Normal 2 2 2 2 2 2 2 2 3 2 2 10 2" xfId="10733"/>
    <cellStyle name="Normal 2 2 2 2 2 2 2 2 3 2 2 11" xfId="10734"/>
    <cellStyle name="Normal 2 2 2 2 2 2 2 2 3 2 2 2" xfId="10735"/>
    <cellStyle name="Normal 2 2 2 2 2 2 2 2 3 2 2 2 2" xfId="10736"/>
    <cellStyle name="Normal 2 2 2 2 2 2 2 2 3 2 2 3" xfId="10737"/>
    <cellStyle name="Normal 2 2 2 2 2 2 2 2 3 2 2 3 2" xfId="10738"/>
    <cellStyle name="Normal 2 2 2 2 2 2 2 2 3 2 2 4" xfId="10739"/>
    <cellStyle name="Normal 2 2 2 2 2 2 2 2 3 2 2 4 2" xfId="10740"/>
    <cellStyle name="Normal 2 2 2 2 2 2 2 2 3 2 2 5" xfId="10741"/>
    <cellStyle name="Normal 2 2 2 2 2 2 2 2 3 2 2 5 2" xfId="10742"/>
    <cellStyle name="Normal 2 2 2 2 2 2 2 2 3 2 2 6" xfId="10743"/>
    <cellStyle name="Normal 2 2 2 2 2 2 2 2 3 2 2 6 2" xfId="10744"/>
    <cellStyle name="Normal 2 2 2 2 2 2 2 2 3 2 2 7" xfId="10745"/>
    <cellStyle name="Normal 2 2 2 2 2 2 2 2 3 2 2 7 2" xfId="10746"/>
    <cellStyle name="Normal 2 2 2 2 2 2 2 2 3 2 2 8" xfId="10747"/>
    <cellStyle name="Normal 2 2 2 2 2 2 2 2 3 2 2 8 2" xfId="10748"/>
    <cellStyle name="Normal 2 2 2 2 2 2 2 2 3 2 2 9" xfId="10749"/>
    <cellStyle name="Normal 2 2 2 2 2 2 2 2 3 2 2 9 2" xfId="10750"/>
    <cellStyle name="Normal 2 2 2 2 2 2 2 2 3 2 3" xfId="10751"/>
    <cellStyle name="Normal 2 2 2 2 2 2 2 2 3 2 3 2" xfId="10752"/>
    <cellStyle name="Normal 2 2 2 2 2 2 2 2 3 2 4" xfId="10753"/>
    <cellStyle name="Normal 2 2 2 2 2 2 2 2 3 2 4 2" xfId="10754"/>
    <cellStyle name="Normal 2 2 2 2 2 2 2 2 3 2 5" xfId="10755"/>
    <cellStyle name="Normal 2 2 2 2 2 2 2 2 3 2 5 2" xfId="10756"/>
    <cellStyle name="Normal 2 2 2 2 2 2 2 2 3 2 6" xfId="10757"/>
    <cellStyle name="Normal 2 2 2 2 2 2 2 2 3 2 6 2" xfId="10758"/>
    <cellStyle name="Normal 2 2 2 2 2 2 2 2 3 2 7" xfId="10759"/>
    <cellStyle name="Normal 2 2 2 2 2 2 2 2 3 2 7 2" xfId="10760"/>
    <cellStyle name="Normal 2 2 2 2 2 2 2 2 3 2 8" xfId="10761"/>
    <cellStyle name="Normal 2 2 2 2 2 2 2 2 3 2 8 2" xfId="10762"/>
    <cellStyle name="Normal 2 2 2 2 2 2 2 2 3 2 9" xfId="10763"/>
    <cellStyle name="Normal 2 2 2 2 2 2 2 2 3 2 9 2" xfId="10764"/>
    <cellStyle name="Normal 2 2 2 2 2 2 2 2 3 3" xfId="10765"/>
    <cellStyle name="Normal 2 2 2 2 2 2 2 2 3 3 10" xfId="10766"/>
    <cellStyle name="Normal 2 2 2 2 2 2 2 2 3 3 10 2" xfId="10767"/>
    <cellStyle name="Normal 2 2 2 2 2 2 2 2 3 3 11" xfId="10768"/>
    <cellStyle name="Normal 2 2 2 2 2 2 2 2 3 3 2" xfId="10769"/>
    <cellStyle name="Normal 2 2 2 2 2 2 2 2 3 3 2 2" xfId="10770"/>
    <cellStyle name="Normal 2 2 2 2 2 2 2 2 3 3 3" xfId="10771"/>
    <cellStyle name="Normal 2 2 2 2 2 2 2 2 3 3 3 2" xfId="10772"/>
    <cellStyle name="Normal 2 2 2 2 2 2 2 2 3 3 4" xfId="10773"/>
    <cellStyle name="Normal 2 2 2 2 2 2 2 2 3 3 4 2" xfId="10774"/>
    <cellStyle name="Normal 2 2 2 2 2 2 2 2 3 3 5" xfId="10775"/>
    <cellStyle name="Normal 2 2 2 2 2 2 2 2 3 3 5 2" xfId="10776"/>
    <cellStyle name="Normal 2 2 2 2 2 2 2 2 3 3 6" xfId="10777"/>
    <cellStyle name="Normal 2 2 2 2 2 2 2 2 3 3 6 2" xfId="10778"/>
    <cellStyle name="Normal 2 2 2 2 2 2 2 2 3 3 7" xfId="10779"/>
    <cellStyle name="Normal 2 2 2 2 2 2 2 2 3 3 7 2" xfId="10780"/>
    <cellStyle name="Normal 2 2 2 2 2 2 2 2 3 3 8" xfId="10781"/>
    <cellStyle name="Normal 2 2 2 2 2 2 2 2 3 3 8 2" xfId="10782"/>
    <cellStyle name="Normal 2 2 2 2 2 2 2 2 3 3 9" xfId="10783"/>
    <cellStyle name="Normal 2 2 2 2 2 2 2 2 3 3 9 2" xfId="10784"/>
    <cellStyle name="Normal 2 2 2 2 2 2 2 2 3 4" xfId="10785"/>
    <cellStyle name="Normal 2 2 2 2 2 2 2 2 3 4 2" xfId="10786"/>
    <cellStyle name="Normal 2 2 2 2 2 2 2 2 3 5" xfId="10787"/>
    <cellStyle name="Normal 2 2 2 2 2 2 2 2 3 5 2" xfId="10788"/>
    <cellStyle name="Normal 2 2 2 2 2 2 2 2 3 6" xfId="10789"/>
    <cellStyle name="Normal 2 2 2 2 2 2 2 2 3 6 2" xfId="10790"/>
    <cellStyle name="Normal 2 2 2 2 2 2 2 2 3 7" xfId="10791"/>
    <cellStyle name="Normal 2 2 2 2 2 2 2 2 3 7 2" xfId="10792"/>
    <cellStyle name="Normal 2 2 2 2 2 2 2 2 3 8" xfId="10793"/>
    <cellStyle name="Normal 2 2 2 2 2 2 2 2 3 8 2" xfId="10794"/>
    <cellStyle name="Normal 2 2 2 2 2 2 2 2 3 9" xfId="10795"/>
    <cellStyle name="Normal 2 2 2 2 2 2 2 2 3 9 2" xfId="10796"/>
    <cellStyle name="Normal 2 2 2 2 2 2 2 2 4" xfId="182"/>
    <cellStyle name="Normal 2 2 2 2 2 2 2 2 4 10" xfId="10797"/>
    <cellStyle name="Normal 2 2 2 2 2 2 2 2 4 10 2" xfId="10798"/>
    <cellStyle name="Normal 2 2 2 2 2 2 2 2 4 11" xfId="10799"/>
    <cellStyle name="Normal 2 2 2 2 2 2 2 2 4 11 2" xfId="10800"/>
    <cellStyle name="Normal 2 2 2 2 2 2 2 2 4 12" xfId="10801"/>
    <cellStyle name="Normal 2 2 2 2 2 2 2 2 4 12 2" xfId="10802"/>
    <cellStyle name="Normal 2 2 2 2 2 2 2 2 4 13" xfId="10803"/>
    <cellStyle name="Normal 2 2 2 2 2 2 2 2 4 2" xfId="10804"/>
    <cellStyle name="Normal 2 2 2 2 2 2 2 2 4 2 10" xfId="10805"/>
    <cellStyle name="Normal 2 2 2 2 2 2 2 2 4 2 10 2" xfId="10806"/>
    <cellStyle name="Normal 2 2 2 2 2 2 2 2 4 2 11" xfId="10807"/>
    <cellStyle name="Normal 2 2 2 2 2 2 2 2 4 2 11 2" xfId="10808"/>
    <cellStyle name="Normal 2 2 2 2 2 2 2 2 4 2 12" xfId="10809"/>
    <cellStyle name="Normal 2 2 2 2 2 2 2 2 4 2 2" xfId="10810"/>
    <cellStyle name="Normal 2 2 2 2 2 2 2 2 4 2 2 10" xfId="10811"/>
    <cellStyle name="Normal 2 2 2 2 2 2 2 2 4 2 2 10 2" xfId="10812"/>
    <cellStyle name="Normal 2 2 2 2 2 2 2 2 4 2 2 11" xfId="10813"/>
    <cellStyle name="Normal 2 2 2 2 2 2 2 2 4 2 2 2" xfId="10814"/>
    <cellStyle name="Normal 2 2 2 2 2 2 2 2 4 2 2 2 2" xfId="10815"/>
    <cellStyle name="Normal 2 2 2 2 2 2 2 2 4 2 2 3" xfId="10816"/>
    <cellStyle name="Normal 2 2 2 2 2 2 2 2 4 2 2 3 2" xfId="10817"/>
    <cellStyle name="Normal 2 2 2 2 2 2 2 2 4 2 2 4" xfId="10818"/>
    <cellStyle name="Normal 2 2 2 2 2 2 2 2 4 2 2 4 2" xfId="10819"/>
    <cellStyle name="Normal 2 2 2 2 2 2 2 2 4 2 2 5" xfId="10820"/>
    <cellStyle name="Normal 2 2 2 2 2 2 2 2 4 2 2 5 2" xfId="10821"/>
    <cellStyle name="Normal 2 2 2 2 2 2 2 2 4 2 2 6" xfId="10822"/>
    <cellStyle name="Normal 2 2 2 2 2 2 2 2 4 2 2 6 2" xfId="10823"/>
    <cellStyle name="Normal 2 2 2 2 2 2 2 2 4 2 2 7" xfId="10824"/>
    <cellStyle name="Normal 2 2 2 2 2 2 2 2 4 2 2 7 2" xfId="10825"/>
    <cellStyle name="Normal 2 2 2 2 2 2 2 2 4 2 2 8" xfId="10826"/>
    <cellStyle name="Normal 2 2 2 2 2 2 2 2 4 2 2 8 2" xfId="10827"/>
    <cellStyle name="Normal 2 2 2 2 2 2 2 2 4 2 2 9" xfId="10828"/>
    <cellStyle name="Normal 2 2 2 2 2 2 2 2 4 2 2 9 2" xfId="10829"/>
    <cellStyle name="Normal 2 2 2 2 2 2 2 2 4 2 3" xfId="10830"/>
    <cellStyle name="Normal 2 2 2 2 2 2 2 2 4 2 3 2" xfId="10831"/>
    <cellStyle name="Normal 2 2 2 2 2 2 2 2 4 2 4" xfId="10832"/>
    <cellStyle name="Normal 2 2 2 2 2 2 2 2 4 2 4 2" xfId="10833"/>
    <cellStyle name="Normal 2 2 2 2 2 2 2 2 4 2 5" xfId="10834"/>
    <cellStyle name="Normal 2 2 2 2 2 2 2 2 4 2 5 2" xfId="10835"/>
    <cellStyle name="Normal 2 2 2 2 2 2 2 2 4 2 6" xfId="10836"/>
    <cellStyle name="Normal 2 2 2 2 2 2 2 2 4 2 6 2" xfId="10837"/>
    <cellStyle name="Normal 2 2 2 2 2 2 2 2 4 2 7" xfId="10838"/>
    <cellStyle name="Normal 2 2 2 2 2 2 2 2 4 2 7 2" xfId="10839"/>
    <cellStyle name="Normal 2 2 2 2 2 2 2 2 4 2 8" xfId="10840"/>
    <cellStyle name="Normal 2 2 2 2 2 2 2 2 4 2 8 2" xfId="10841"/>
    <cellStyle name="Normal 2 2 2 2 2 2 2 2 4 2 9" xfId="10842"/>
    <cellStyle name="Normal 2 2 2 2 2 2 2 2 4 2 9 2" xfId="10843"/>
    <cellStyle name="Normal 2 2 2 2 2 2 2 2 4 3" xfId="10844"/>
    <cellStyle name="Normal 2 2 2 2 2 2 2 2 4 3 10" xfId="10845"/>
    <cellStyle name="Normal 2 2 2 2 2 2 2 2 4 3 10 2" xfId="10846"/>
    <cellStyle name="Normal 2 2 2 2 2 2 2 2 4 3 11" xfId="10847"/>
    <cellStyle name="Normal 2 2 2 2 2 2 2 2 4 3 2" xfId="10848"/>
    <cellStyle name="Normal 2 2 2 2 2 2 2 2 4 3 2 2" xfId="10849"/>
    <cellStyle name="Normal 2 2 2 2 2 2 2 2 4 3 3" xfId="10850"/>
    <cellStyle name="Normal 2 2 2 2 2 2 2 2 4 3 3 2" xfId="10851"/>
    <cellStyle name="Normal 2 2 2 2 2 2 2 2 4 3 4" xfId="10852"/>
    <cellStyle name="Normal 2 2 2 2 2 2 2 2 4 3 4 2" xfId="10853"/>
    <cellStyle name="Normal 2 2 2 2 2 2 2 2 4 3 5" xfId="10854"/>
    <cellStyle name="Normal 2 2 2 2 2 2 2 2 4 3 5 2" xfId="10855"/>
    <cellStyle name="Normal 2 2 2 2 2 2 2 2 4 3 6" xfId="10856"/>
    <cellStyle name="Normal 2 2 2 2 2 2 2 2 4 3 6 2" xfId="10857"/>
    <cellStyle name="Normal 2 2 2 2 2 2 2 2 4 3 7" xfId="10858"/>
    <cellStyle name="Normal 2 2 2 2 2 2 2 2 4 3 7 2" xfId="10859"/>
    <cellStyle name="Normal 2 2 2 2 2 2 2 2 4 3 8" xfId="10860"/>
    <cellStyle name="Normal 2 2 2 2 2 2 2 2 4 3 8 2" xfId="10861"/>
    <cellStyle name="Normal 2 2 2 2 2 2 2 2 4 3 9" xfId="10862"/>
    <cellStyle name="Normal 2 2 2 2 2 2 2 2 4 3 9 2" xfId="10863"/>
    <cellStyle name="Normal 2 2 2 2 2 2 2 2 4 4" xfId="10864"/>
    <cellStyle name="Normal 2 2 2 2 2 2 2 2 4 4 2" xfId="10865"/>
    <cellStyle name="Normal 2 2 2 2 2 2 2 2 4 5" xfId="10866"/>
    <cellStyle name="Normal 2 2 2 2 2 2 2 2 4 5 2" xfId="10867"/>
    <cellStyle name="Normal 2 2 2 2 2 2 2 2 4 6" xfId="10868"/>
    <cellStyle name="Normal 2 2 2 2 2 2 2 2 4 6 2" xfId="10869"/>
    <cellStyle name="Normal 2 2 2 2 2 2 2 2 4 7" xfId="10870"/>
    <cellStyle name="Normal 2 2 2 2 2 2 2 2 4 7 2" xfId="10871"/>
    <cellStyle name="Normal 2 2 2 2 2 2 2 2 4 8" xfId="10872"/>
    <cellStyle name="Normal 2 2 2 2 2 2 2 2 4 8 2" xfId="10873"/>
    <cellStyle name="Normal 2 2 2 2 2 2 2 2 4 9" xfId="10874"/>
    <cellStyle name="Normal 2 2 2 2 2 2 2 2 4 9 2" xfId="10875"/>
    <cellStyle name="Normal 2 2 2 2 2 2 2 2 5" xfId="183"/>
    <cellStyle name="Normal 2 2 2 2 2 2 2 2 5 10" xfId="10876"/>
    <cellStyle name="Normal 2 2 2 2 2 2 2 2 5 10 2" xfId="10877"/>
    <cellStyle name="Normal 2 2 2 2 2 2 2 2 5 11" xfId="10878"/>
    <cellStyle name="Normal 2 2 2 2 2 2 2 2 5 11 2" xfId="10879"/>
    <cellStyle name="Normal 2 2 2 2 2 2 2 2 5 12" xfId="10880"/>
    <cellStyle name="Normal 2 2 2 2 2 2 2 2 5 12 2" xfId="10881"/>
    <cellStyle name="Normal 2 2 2 2 2 2 2 2 5 13" xfId="10882"/>
    <cellStyle name="Normal 2 2 2 2 2 2 2 2 5 2" xfId="10883"/>
    <cellStyle name="Normal 2 2 2 2 2 2 2 2 5 2 10" xfId="10884"/>
    <cellStyle name="Normal 2 2 2 2 2 2 2 2 5 2 10 2" xfId="10885"/>
    <cellStyle name="Normal 2 2 2 2 2 2 2 2 5 2 11" xfId="10886"/>
    <cellStyle name="Normal 2 2 2 2 2 2 2 2 5 2 11 2" xfId="10887"/>
    <cellStyle name="Normal 2 2 2 2 2 2 2 2 5 2 12" xfId="10888"/>
    <cellStyle name="Normal 2 2 2 2 2 2 2 2 5 2 2" xfId="10889"/>
    <cellStyle name="Normal 2 2 2 2 2 2 2 2 5 2 2 10" xfId="10890"/>
    <cellStyle name="Normal 2 2 2 2 2 2 2 2 5 2 2 10 2" xfId="10891"/>
    <cellStyle name="Normal 2 2 2 2 2 2 2 2 5 2 2 11" xfId="10892"/>
    <cellStyle name="Normal 2 2 2 2 2 2 2 2 5 2 2 2" xfId="10893"/>
    <cellStyle name="Normal 2 2 2 2 2 2 2 2 5 2 2 2 2" xfId="10894"/>
    <cellStyle name="Normal 2 2 2 2 2 2 2 2 5 2 2 3" xfId="10895"/>
    <cellStyle name="Normal 2 2 2 2 2 2 2 2 5 2 2 3 2" xfId="10896"/>
    <cellStyle name="Normal 2 2 2 2 2 2 2 2 5 2 2 4" xfId="10897"/>
    <cellStyle name="Normal 2 2 2 2 2 2 2 2 5 2 2 4 2" xfId="10898"/>
    <cellStyle name="Normal 2 2 2 2 2 2 2 2 5 2 2 5" xfId="10899"/>
    <cellStyle name="Normal 2 2 2 2 2 2 2 2 5 2 2 5 2" xfId="10900"/>
    <cellStyle name="Normal 2 2 2 2 2 2 2 2 5 2 2 6" xfId="10901"/>
    <cellStyle name="Normal 2 2 2 2 2 2 2 2 5 2 2 6 2" xfId="10902"/>
    <cellStyle name="Normal 2 2 2 2 2 2 2 2 5 2 2 7" xfId="10903"/>
    <cellStyle name="Normal 2 2 2 2 2 2 2 2 5 2 2 7 2" xfId="10904"/>
    <cellStyle name="Normal 2 2 2 2 2 2 2 2 5 2 2 8" xfId="10905"/>
    <cellStyle name="Normal 2 2 2 2 2 2 2 2 5 2 2 8 2" xfId="10906"/>
    <cellStyle name="Normal 2 2 2 2 2 2 2 2 5 2 2 9" xfId="10907"/>
    <cellStyle name="Normal 2 2 2 2 2 2 2 2 5 2 2 9 2" xfId="10908"/>
    <cellStyle name="Normal 2 2 2 2 2 2 2 2 5 2 3" xfId="10909"/>
    <cellStyle name="Normal 2 2 2 2 2 2 2 2 5 2 3 2" xfId="10910"/>
    <cellStyle name="Normal 2 2 2 2 2 2 2 2 5 2 4" xfId="10911"/>
    <cellStyle name="Normal 2 2 2 2 2 2 2 2 5 2 4 2" xfId="10912"/>
    <cellStyle name="Normal 2 2 2 2 2 2 2 2 5 2 5" xfId="10913"/>
    <cellStyle name="Normal 2 2 2 2 2 2 2 2 5 2 5 2" xfId="10914"/>
    <cellStyle name="Normal 2 2 2 2 2 2 2 2 5 2 6" xfId="10915"/>
    <cellStyle name="Normal 2 2 2 2 2 2 2 2 5 2 6 2" xfId="10916"/>
    <cellStyle name="Normal 2 2 2 2 2 2 2 2 5 2 7" xfId="10917"/>
    <cellStyle name="Normal 2 2 2 2 2 2 2 2 5 2 7 2" xfId="10918"/>
    <cellStyle name="Normal 2 2 2 2 2 2 2 2 5 2 8" xfId="10919"/>
    <cellStyle name="Normal 2 2 2 2 2 2 2 2 5 2 8 2" xfId="10920"/>
    <cellStyle name="Normal 2 2 2 2 2 2 2 2 5 2 9" xfId="10921"/>
    <cellStyle name="Normal 2 2 2 2 2 2 2 2 5 2 9 2" xfId="10922"/>
    <cellStyle name="Normal 2 2 2 2 2 2 2 2 5 3" xfId="10923"/>
    <cellStyle name="Normal 2 2 2 2 2 2 2 2 5 3 10" xfId="10924"/>
    <cellStyle name="Normal 2 2 2 2 2 2 2 2 5 3 10 2" xfId="10925"/>
    <cellStyle name="Normal 2 2 2 2 2 2 2 2 5 3 11" xfId="10926"/>
    <cellStyle name="Normal 2 2 2 2 2 2 2 2 5 3 2" xfId="10927"/>
    <cellStyle name="Normal 2 2 2 2 2 2 2 2 5 3 2 2" xfId="10928"/>
    <cellStyle name="Normal 2 2 2 2 2 2 2 2 5 3 3" xfId="10929"/>
    <cellStyle name="Normal 2 2 2 2 2 2 2 2 5 3 3 2" xfId="10930"/>
    <cellStyle name="Normal 2 2 2 2 2 2 2 2 5 3 4" xfId="10931"/>
    <cellStyle name="Normal 2 2 2 2 2 2 2 2 5 3 4 2" xfId="10932"/>
    <cellStyle name="Normal 2 2 2 2 2 2 2 2 5 3 5" xfId="10933"/>
    <cellStyle name="Normal 2 2 2 2 2 2 2 2 5 3 5 2" xfId="10934"/>
    <cellStyle name="Normal 2 2 2 2 2 2 2 2 5 3 6" xfId="10935"/>
    <cellStyle name="Normal 2 2 2 2 2 2 2 2 5 3 6 2" xfId="10936"/>
    <cellStyle name="Normal 2 2 2 2 2 2 2 2 5 3 7" xfId="10937"/>
    <cellStyle name="Normal 2 2 2 2 2 2 2 2 5 3 7 2" xfId="10938"/>
    <cellStyle name="Normal 2 2 2 2 2 2 2 2 5 3 8" xfId="10939"/>
    <cellStyle name="Normal 2 2 2 2 2 2 2 2 5 3 8 2" xfId="10940"/>
    <cellStyle name="Normal 2 2 2 2 2 2 2 2 5 3 9" xfId="10941"/>
    <cellStyle name="Normal 2 2 2 2 2 2 2 2 5 3 9 2" xfId="10942"/>
    <cellStyle name="Normal 2 2 2 2 2 2 2 2 5 4" xfId="10943"/>
    <cellStyle name="Normal 2 2 2 2 2 2 2 2 5 4 2" xfId="10944"/>
    <cellStyle name="Normal 2 2 2 2 2 2 2 2 5 5" xfId="10945"/>
    <cellStyle name="Normal 2 2 2 2 2 2 2 2 5 5 2" xfId="10946"/>
    <cellStyle name="Normal 2 2 2 2 2 2 2 2 5 6" xfId="10947"/>
    <cellStyle name="Normal 2 2 2 2 2 2 2 2 5 6 2" xfId="10948"/>
    <cellStyle name="Normal 2 2 2 2 2 2 2 2 5 7" xfId="10949"/>
    <cellStyle name="Normal 2 2 2 2 2 2 2 2 5 7 2" xfId="10950"/>
    <cellStyle name="Normal 2 2 2 2 2 2 2 2 5 8" xfId="10951"/>
    <cellStyle name="Normal 2 2 2 2 2 2 2 2 5 8 2" xfId="10952"/>
    <cellStyle name="Normal 2 2 2 2 2 2 2 2 5 9" xfId="10953"/>
    <cellStyle name="Normal 2 2 2 2 2 2 2 2 5 9 2" xfId="10954"/>
    <cellStyle name="Normal 2 2 2 2 2 2 2 2 6" xfId="184"/>
    <cellStyle name="Normal 2 2 2 2 2 2 2 3" xfId="185"/>
    <cellStyle name="Normal 2 2 2 2 2 2 2 3 2" xfId="186"/>
    <cellStyle name="Normal 2 2 2 2 2 2 2 4" xfId="187"/>
    <cellStyle name="Normal 2 2 2 2 2 2 2 4 2" xfId="188"/>
    <cellStyle name="Normal 2 2 2 2 2 2 2 5" xfId="189"/>
    <cellStyle name="Normal 2 2 2 2 2 2 2 5 2" xfId="190"/>
    <cellStyle name="Normal 2 2 2 2 2 2 2 6" xfId="191"/>
    <cellStyle name="Normal 2 2 2 2 2 2 2 6 2" xfId="192"/>
    <cellStyle name="Normal 2 2 2 2 2 2 2 7" xfId="10955"/>
    <cellStyle name="Normal 2 2 2 2 2 2 2 7 10" xfId="10956"/>
    <cellStyle name="Normal 2 2 2 2 2 2 2 7 10 2" xfId="10957"/>
    <cellStyle name="Normal 2 2 2 2 2 2 2 7 11" xfId="10958"/>
    <cellStyle name="Normal 2 2 2 2 2 2 2 7 11 2" xfId="10959"/>
    <cellStyle name="Normal 2 2 2 2 2 2 2 7 12" xfId="10960"/>
    <cellStyle name="Normal 2 2 2 2 2 2 2 7 2" xfId="10961"/>
    <cellStyle name="Normal 2 2 2 2 2 2 2 7 2 10" xfId="10962"/>
    <cellStyle name="Normal 2 2 2 2 2 2 2 7 2 10 2" xfId="10963"/>
    <cellStyle name="Normal 2 2 2 2 2 2 2 7 2 11" xfId="10964"/>
    <cellStyle name="Normal 2 2 2 2 2 2 2 7 2 2" xfId="10965"/>
    <cellStyle name="Normal 2 2 2 2 2 2 2 7 2 2 2" xfId="10966"/>
    <cellStyle name="Normal 2 2 2 2 2 2 2 7 2 3" xfId="10967"/>
    <cellStyle name="Normal 2 2 2 2 2 2 2 7 2 3 2" xfId="10968"/>
    <cellStyle name="Normal 2 2 2 2 2 2 2 7 2 4" xfId="10969"/>
    <cellStyle name="Normal 2 2 2 2 2 2 2 7 2 4 2" xfId="10970"/>
    <cellStyle name="Normal 2 2 2 2 2 2 2 7 2 5" xfId="10971"/>
    <cellStyle name="Normal 2 2 2 2 2 2 2 7 2 5 2" xfId="10972"/>
    <cellStyle name="Normal 2 2 2 2 2 2 2 7 2 6" xfId="10973"/>
    <cellStyle name="Normal 2 2 2 2 2 2 2 7 2 6 2" xfId="10974"/>
    <cellStyle name="Normal 2 2 2 2 2 2 2 7 2 7" xfId="10975"/>
    <cellStyle name="Normal 2 2 2 2 2 2 2 7 2 7 2" xfId="10976"/>
    <cellStyle name="Normal 2 2 2 2 2 2 2 7 2 8" xfId="10977"/>
    <cellStyle name="Normal 2 2 2 2 2 2 2 7 2 8 2" xfId="10978"/>
    <cellStyle name="Normal 2 2 2 2 2 2 2 7 2 9" xfId="10979"/>
    <cellStyle name="Normal 2 2 2 2 2 2 2 7 2 9 2" xfId="10980"/>
    <cellStyle name="Normal 2 2 2 2 2 2 2 7 3" xfId="10981"/>
    <cellStyle name="Normal 2 2 2 2 2 2 2 7 3 2" xfId="10982"/>
    <cellStyle name="Normal 2 2 2 2 2 2 2 7 4" xfId="10983"/>
    <cellStyle name="Normal 2 2 2 2 2 2 2 7 4 2" xfId="10984"/>
    <cellStyle name="Normal 2 2 2 2 2 2 2 7 5" xfId="10985"/>
    <cellStyle name="Normal 2 2 2 2 2 2 2 7 5 2" xfId="10986"/>
    <cellStyle name="Normal 2 2 2 2 2 2 2 7 6" xfId="10987"/>
    <cellStyle name="Normal 2 2 2 2 2 2 2 7 6 2" xfId="10988"/>
    <cellStyle name="Normal 2 2 2 2 2 2 2 7 7" xfId="10989"/>
    <cellStyle name="Normal 2 2 2 2 2 2 2 7 7 2" xfId="10990"/>
    <cellStyle name="Normal 2 2 2 2 2 2 2 7 8" xfId="10991"/>
    <cellStyle name="Normal 2 2 2 2 2 2 2 7 8 2" xfId="10992"/>
    <cellStyle name="Normal 2 2 2 2 2 2 2 7 9" xfId="10993"/>
    <cellStyle name="Normal 2 2 2 2 2 2 2 7 9 2" xfId="10994"/>
    <cellStyle name="Normal 2 2 2 2 2 2 2 8" xfId="10995"/>
    <cellStyle name="Normal 2 2 2 2 2 2 2 8 10" xfId="10996"/>
    <cellStyle name="Normal 2 2 2 2 2 2 2 8 10 2" xfId="10997"/>
    <cellStyle name="Normal 2 2 2 2 2 2 2 8 11" xfId="10998"/>
    <cellStyle name="Normal 2 2 2 2 2 2 2 8 2" xfId="10999"/>
    <cellStyle name="Normal 2 2 2 2 2 2 2 8 2 2" xfId="11000"/>
    <cellStyle name="Normal 2 2 2 2 2 2 2 8 3" xfId="11001"/>
    <cellStyle name="Normal 2 2 2 2 2 2 2 8 3 2" xfId="11002"/>
    <cellStyle name="Normal 2 2 2 2 2 2 2 8 4" xfId="11003"/>
    <cellStyle name="Normal 2 2 2 2 2 2 2 8 4 2" xfId="11004"/>
    <cellStyle name="Normal 2 2 2 2 2 2 2 8 5" xfId="11005"/>
    <cellStyle name="Normal 2 2 2 2 2 2 2 8 5 2" xfId="11006"/>
    <cellStyle name="Normal 2 2 2 2 2 2 2 8 6" xfId="11007"/>
    <cellStyle name="Normal 2 2 2 2 2 2 2 8 6 2" xfId="11008"/>
    <cellStyle name="Normal 2 2 2 2 2 2 2 8 7" xfId="11009"/>
    <cellStyle name="Normal 2 2 2 2 2 2 2 8 7 2" xfId="11010"/>
    <cellStyle name="Normal 2 2 2 2 2 2 2 8 8" xfId="11011"/>
    <cellStyle name="Normal 2 2 2 2 2 2 2 8 8 2" xfId="11012"/>
    <cellStyle name="Normal 2 2 2 2 2 2 2 8 9" xfId="11013"/>
    <cellStyle name="Normal 2 2 2 2 2 2 2 8 9 2" xfId="11014"/>
    <cellStyle name="Normal 2 2 2 2 2 2 2 9" xfId="11015"/>
    <cellStyle name="Normal 2 2 2 2 2 2 2 9 2" xfId="11016"/>
    <cellStyle name="Normal 2 2 2 2 2 2 3" xfId="193"/>
    <cellStyle name="Normal 2 2 2 2 2 2 3 2" xfId="194"/>
    <cellStyle name="Normal 2 2 2 2 2 2 4" xfId="195"/>
    <cellStyle name="Normal 2 2 2 2 2 2 4 2" xfId="196"/>
    <cellStyle name="Normal 2 2 2 2 2 2 5" xfId="197"/>
    <cellStyle name="Normal 2 2 2 2 2 2 5 2" xfId="198"/>
    <cellStyle name="Normal 2 2 2 2 2 2 6" xfId="199"/>
    <cellStyle name="Normal 2 2 2 2 2 2 6 10" xfId="11017"/>
    <cellStyle name="Normal 2 2 2 2 2 2 6 10 2" xfId="11018"/>
    <cellStyle name="Normal 2 2 2 2 2 2 6 11" xfId="11019"/>
    <cellStyle name="Normal 2 2 2 2 2 2 6 11 2" xfId="11020"/>
    <cellStyle name="Normal 2 2 2 2 2 2 6 12" xfId="11021"/>
    <cellStyle name="Normal 2 2 2 2 2 2 6 12 2" xfId="11022"/>
    <cellStyle name="Normal 2 2 2 2 2 2 6 13" xfId="11023"/>
    <cellStyle name="Normal 2 2 2 2 2 2 6 13 2" xfId="11024"/>
    <cellStyle name="Normal 2 2 2 2 2 2 6 14" xfId="11025"/>
    <cellStyle name="Normal 2 2 2 2 2 2 6 14 2" xfId="11026"/>
    <cellStyle name="Normal 2 2 2 2 2 2 6 15" xfId="11027"/>
    <cellStyle name="Normal 2 2 2 2 2 2 6 15 2" xfId="11028"/>
    <cellStyle name="Normal 2 2 2 2 2 2 6 16" xfId="11029"/>
    <cellStyle name="Normal 2 2 2 2 2 2 6 16 2" xfId="11030"/>
    <cellStyle name="Normal 2 2 2 2 2 2 6 17" xfId="11031"/>
    <cellStyle name="Normal 2 2 2 2 2 2 6 2" xfId="200"/>
    <cellStyle name="Normal 2 2 2 2 2 2 6 2 2" xfId="201"/>
    <cellStyle name="Normal 2 2 2 2 2 2 6 3" xfId="202"/>
    <cellStyle name="Normal 2 2 2 2 2 2 6 3 2" xfId="203"/>
    <cellStyle name="Normal 2 2 2 2 2 2 6 4" xfId="204"/>
    <cellStyle name="Normal 2 2 2 2 2 2 6 4 2" xfId="205"/>
    <cellStyle name="Normal 2 2 2 2 2 2 6 5" xfId="206"/>
    <cellStyle name="Normal 2 2 2 2 2 2 6 5 2" xfId="207"/>
    <cellStyle name="Normal 2 2 2 2 2 2 6 6" xfId="11032"/>
    <cellStyle name="Normal 2 2 2 2 2 2 6 6 10" xfId="11033"/>
    <cellStyle name="Normal 2 2 2 2 2 2 6 6 10 2" xfId="11034"/>
    <cellStyle name="Normal 2 2 2 2 2 2 6 6 11" xfId="11035"/>
    <cellStyle name="Normal 2 2 2 2 2 2 6 6 11 2" xfId="11036"/>
    <cellStyle name="Normal 2 2 2 2 2 2 6 6 12" xfId="11037"/>
    <cellStyle name="Normal 2 2 2 2 2 2 6 6 2" xfId="11038"/>
    <cellStyle name="Normal 2 2 2 2 2 2 6 6 2 10" xfId="11039"/>
    <cellStyle name="Normal 2 2 2 2 2 2 6 6 2 10 2" xfId="11040"/>
    <cellStyle name="Normal 2 2 2 2 2 2 6 6 2 11" xfId="11041"/>
    <cellStyle name="Normal 2 2 2 2 2 2 6 6 2 2" xfId="11042"/>
    <cellStyle name="Normal 2 2 2 2 2 2 6 6 2 2 2" xfId="11043"/>
    <cellStyle name="Normal 2 2 2 2 2 2 6 6 2 3" xfId="11044"/>
    <cellStyle name="Normal 2 2 2 2 2 2 6 6 2 3 2" xfId="11045"/>
    <cellStyle name="Normal 2 2 2 2 2 2 6 6 2 4" xfId="11046"/>
    <cellStyle name="Normal 2 2 2 2 2 2 6 6 2 4 2" xfId="11047"/>
    <cellStyle name="Normal 2 2 2 2 2 2 6 6 2 5" xfId="11048"/>
    <cellStyle name="Normal 2 2 2 2 2 2 6 6 2 5 2" xfId="11049"/>
    <cellStyle name="Normal 2 2 2 2 2 2 6 6 2 6" xfId="11050"/>
    <cellStyle name="Normal 2 2 2 2 2 2 6 6 2 6 2" xfId="11051"/>
    <cellStyle name="Normal 2 2 2 2 2 2 6 6 2 7" xfId="11052"/>
    <cellStyle name="Normal 2 2 2 2 2 2 6 6 2 7 2" xfId="11053"/>
    <cellStyle name="Normal 2 2 2 2 2 2 6 6 2 8" xfId="11054"/>
    <cellStyle name="Normal 2 2 2 2 2 2 6 6 2 8 2" xfId="11055"/>
    <cellStyle name="Normal 2 2 2 2 2 2 6 6 2 9" xfId="11056"/>
    <cellStyle name="Normal 2 2 2 2 2 2 6 6 2 9 2" xfId="11057"/>
    <cellStyle name="Normal 2 2 2 2 2 2 6 6 3" xfId="11058"/>
    <cellStyle name="Normal 2 2 2 2 2 2 6 6 3 2" xfId="11059"/>
    <cellStyle name="Normal 2 2 2 2 2 2 6 6 4" xfId="11060"/>
    <cellStyle name="Normal 2 2 2 2 2 2 6 6 4 2" xfId="11061"/>
    <cellStyle name="Normal 2 2 2 2 2 2 6 6 5" xfId="11062"/>
    <cellStyle name="Normal 2 2 2 2 2 2 6 6 5 2" xfId="11063"/>
    <cellStyle name="Normal 2 2 2 2 2 2 6 6 6" xfId="11064"/>
    <cellStyle name="Normal 2 2 2 2 2 2 6 6 6 2" xfId="11065"/>
    <cellStyle name="Normal 2 2 2 2 2 2 6 6 7" xfId="11066"/>
    <cellStyle name="Normal 2 2 2 2 2 2 6 6 7 2" xfId="11067"/>
    <cellStyle name="Normal 2 2 2 2 2 2 6 6 8" xfId="11068"/>
    <cellStyle name="Normal 2 2 2 2 2 2 6 6 8 2" xfId="11069"/>
    <cellStyle name="Normal 2 2 2 2 2 2 6 6 9" xfId="11070"/>
    <cellStyle name="Normal 2 2 2 2 2 2 6 6 9 2" xfId="11071"/>
    <cellStyle name="Normal 2 2 2 2 2 2 6 7" xfId="11072"/>
    <cellStyle name="Normal 2 2 2 2 2 2 6 7 10" xfId="11073"/>
    <cellStyle name="Normal 2 2 2 2 2 2 6 7 10 2" xfId="11074"/>
    <cellStyle name="Normal 2 2 2 2 2 2 6 7 11" xfId="11075"/>
    <cellStyle name="Normal 2 2 2 2 2 2 6 7 2" xfId="11076"/>
    <cellStyle name="Normal 2 2 2 2 2 2 6 7 2 2" xfId="11077"/>
    <cellStyle name="Normal 2 2 2 2 2 2 6 7 3" xfId="11078"/>
    <cellStyle name="Normal 2 2 2 2 2 2 6 7 3 2" xfId="11079"/>
    <cellStyle name="Normal 2 2 2 2 2 2 6 7 4" xfId="11080"/>
    <cellStyle name="Normal 2 2 2 2 2 2 6 7 4 2" xfId="11081"/>
    <cellStyle name="Normal 2 2 2 2 2 2 6 7 5" xfId="11082"/>
    <cellStyle name="Normal 2 2 2 2 2 2 6 7 5 2" xfId="11083"/>
    <cellStyle name="Normal 2 2 2 2 2 2 6 7 6" xfId="11084"/>
    <cellStyle name="Normal 2 2 2 2 2 2 6 7 6 2" xfId="11085"/>
    <cellStyle name="Normal 2 2 2 2 2 2 6 7 7" xfId="11086"/>
    <cellStyle name="Normal 2 2 2 2 2 2 6 7 7 2" xfId="11087"/>
    <cellStyle name="Normal 2 2 2 2 2 2 6 7 8" xfId="11088"/>
    <cellStyle name="Normal 2 2 2 2 2 2 6 7 8 2" xfId="11089"/>
    <cellStyle name="Normal 2 2 2 2 2 2 6 7 9" xfId="11090"/>
    <cellStyle name="Normal 2 2 2 2 2 2 6 7 9 2" xfId="11091"/>
    <cellStyle name="Normal 2 2 2 2 2 2 6 8" xfId="11092"/>
    <cellStyle name="Normal 2 2 2 2 2 2 6 8 2" xfId="11093"/>
    <cellStyle name="Normal 2 2 2 2 2 2 6 9" xfId="11094"/>
    <cellStyle name="Normal 2 2 2 2 2 2 6 9 2" xfId="11095"/>
    <cellStyle name="Normal 2 2 2 2 2 2 7" xfId="208"/>
    <cellStyle name="Normal 2 2 2 2 2 2 7 10" xfId="11096"/>
    <cellStyle name="Normal 2 2 2 2 2 2 7 10 2" xfId="11097"/>
    <cellStyle name="Normal 2 2 2 2 2 2 7 11" xfId="11098"/>
    <cellStyle name="Normal 2 2 2 2 2 2 7 11 2" xfId="11099"/>
    <cellStyle name="Normal 2 2 2 2 2 2 7 12" xfId="11100"/>
    <cellStyle name="Normal 2 2 2 2 2 2 7 12 2" xfId="11101"/>
    <cellStyle name="Normal 2 2 2 2 2 2 7 13" xfId="11102"/>
    <cellStyle name="Normal 2 2 2 2 2 2 7 2" xfId="11103"/>
    <cellStyle name="Normal 2 2 2 2 2 2 7 2 10" xfId="11104"/>
    <cellStyle name="Normal 2 2 2 2 2 2 7 2 10 2" xfId="11105"/>
    <cellStyle name="Normal 2 2 2 2 2 2 7 2 11" xfId="11106"/>
    <cellStyle name="Normal 2 2 2 2 2 2 7 2 11 2" xfId="11107"/>
    <cellStyle name="Normal 2 2 2 2 2 2 7 2 12" xfId="11108"/>
    <cellStyle name="Normal 2 2 2 2 2 2 7 2 2" xfId="11109"/>
    <cellStyle name="Normal 2 2 2 2 2 2 7 2 2 10" xfId="11110"/>
    <cellStyle name="Normal 2 2 2 2 2 2 7 2 2 10 2" xfId="11111"/>
    <cellStyle name="Normal 2 2 2 2 2 2 7 2 2 11" xfId="11112"/>
    <cellStyle name="Normal 2 2 2 2 2 2 7 2 2 2" xfId="11113"/>
    <cellStyle name="Normal 2 2 2 2 2 2 7 2 2 2 2" xfId="11114"/>
    <cellStyle name="Normal 2 2 2 2 2 2 7 2 2 3" xfId="11115"/>
    <cellStyle name="Normal 2 2 2 2 2 2 7 2 2 3 2" xfId="11116"/>
    <cellStyle name="Normal 2 2 2 2 2 2 7 2 2 4" xfId="11117"/>
    <cellStyle name="Normal 2 2 2 2 2 2 7 2 2 4 2" xfId="11118"/>
    <cellStyle name="Normal 2 2 2 2 2 2 7 2 2 5" xfId="11119"/>
    <cellStyle name="Normal 2 2 2 2 2 2 7 2 2 5 2" xfId="11120"/>
    <cellStyle name="Normal 2 2 2 2 2 2 7 2 2 6" xfId="11121"/>
    <cellStyle name="Normal 2 2 2 2 2 2 7 2 2 6 2" xfId="11122"/>
    <cellStyle name="Normal 2 2 2 2 2 2 7 2 2 7" xfId="11123"/>
    <cellStyle name="Normal 2 2 2 2 2 2 7 2 2 7 2" xfId="11124"/>
    <cellStyle name="Normal 2 2 2 2 2 2 7 2 2 8" xfId="11125"/>
    <cellStyle name="Normal 2 2 2 2 2 2 7 2 2 8 2" xfId="11126"/>
    <cellStyle name="Normal 2 2 2 2 2 2 7 2 2 9" xfId="11127"/>
    <cellStyle name="Normal 2 2 2 2 2 2 7 2 2 9 2" xfId="11128"/>
    <cellStyle name="Normal 2 2 2 2 2 2 7 2 3" xfId="11129"/>
    <cellStyle name="Normal 2 2 2 2 2 2 7 2 3 2" xfId="11130"/>
    <cellStyle name="Normal 2 2 2 2 2 2 7 2 4" xfId="11131"/>
    <cellStyle name="Normal 2 2 2 2 2 2 7 2 4 2" xfId="11132"/>
    <cellStyle name="Normal 2 2 2 2 2 2 7 2 5" xfId="11133"/>
    <cellStyle name="Normal 2 2 2 2 2 2 7 2 5 2" xfId="11134"/>
    <cellStyle name="Normal 2 2 2 2 2 2 7 2 6" xfId="11135"/>
    <cellStyle name="Normal 2 2 2 2 2 2 7 2 6 2" xfId="11136"/>
    <cellStyle name="Normal 2 2 2 2 2 2 7 2 7" xfId="11137"/>
    <cellStyle name="Normal 2 2 2 2 2 2 7 2 7 2" xfId="11138"/>
    <cellStyle name="Normal 2 2 2 2 2 2 7 2 8" xfId="11139"/>
    <cellStyle name="Normal 2 2 2 2 2 2 7 2 8 2" xfId="11140"/>
    <cellStyle name="Normal 2 2 2 2 2 2 7 2 9" xfId="11141"/>
    <cellStyle name="Normal 2 2 2 2 2 2 7 2 9 2" xfId="11142"/>
    <cellStyle name="Normal 2 2 2 2 2 2 7 3" xfId="11143"/>
    <cellStyle name="Normal 2 2 2 2 2 2 7 3 10" xfId="11144"/>
    <cellStyle name="Normal 2 2 2 2 2 2 7 3 10 2" xfId="11145"/>
    <cellStyle name="Normal 2 2 2 2 2 2 7 3 11" xfId="11146"/>
    <cellStyle name="Normal 2 2 2 2 2 2 7 3 2" xfId="11147"/>
    <cellStyle name="Normal 2 2 2 2 2 2 7 3 2 2" xfId="11148"/>
    <cellStyle name="Normal 2 2 2 2 2 2 7 3 3" xfId="11149"/>
    <cellStyle name="Normal 2 2 2 2 2 2 7 3 3 2" xfId="11150"/>
    <cellStyle name="Normal 2 2 2 2 2 2 7 3 4" xfId="11151"/>
    <cellStyle name="Normal 2 2 2 2 2 2 7 3 4 2" xfId="11152"/>
    <cellStyle name="Normal 2 2 2 2 2 2 7 3 5" xfId="11153"/>
    <cellStyle name="Normal 2 2 2 2 2 2 7 3 5 2" xfId="11154"/>
    <cellStyle name="Normal 2 2 2 2 2 2 7 3 6" xfId="11155"/>
    <cellStyle name="Normal 2 2 2 2 2 2 7 3 6 2" xfId="11156"/>
    <cellStyle name="Normal 2 2 2 2 2 2 7 3 7" xfId="11157"/>
    <cellStyle name="Normal 2 2 2 2 2 2 7 3 7 2" xfId="11158"/>
    <cellStyle name="Normal 2 2 2 2 2 2 7 3 8" xfId="11159"/>
    <cellStyle name="Normal 2 2 2 2 2 2 7 3 8 2" xfId="11160"/>
    <cellStyle name="Normal 2 2 2 2 2 2 7 3 9" xfId="11161"/>
    <cellStyle name="Normal 2 2 2 2 2 2 7 3 9 2" xfId="11162"/>
    <cellStyle name="Normal 2 2 2 2 2 2 7 4" xfId="11163"/>
    <cellStyle name="Normal 2 2 2 2 2 2 7 4 2" xfId="11164"/>
    <cellStyle name="Normal 2 2 2 2 2 2 7 5" xfId="11165"/>
    <cellStyle name="Normal 2 2 2 2 2 2 7 5 2" xfId="11166"/>
    <cellStyle name="Normal 2 2 2 2 2 2 7 6" xfId="11167"/>
    <cellStyle name="Normal 2 2 2 2 2 2 7 6 2" xfId="11168"/>
    <cellStyle name="Normal 2 2 2 2 2 2 7 7" xfId="11169"/>
    <cellStyle name="Normal 2 2 2 2 2 2 7 7 2" xfId="11170"/>
    <cellStyle name="Normal 2 2 2 2 2 2 7 8" xfId="11171"/>
    <cellStyle name="Normal 2 2 2 2 2 2 7 8 2" xfId="11172"/>
    <cellStyle name="Normal 2 2 2 2 2 2 7 9" xfId="11173"/>
    <cellStyle name="Normal 2 2 2 2 2 2 7 9 2" xfId="11174"/>
    <cellStyle name="Normal 2 2 2 2 2 2 8" xfId="209"/>
    <cellStyle name="Normal 2 2 2 2 2 2 8 10" xfId="11175"/>
    <cellStyle name="Normal 2 2 2 2 2 2 8 10 2" xfId="11176"/>
    <cellStyle name="Normal 2 2 2 2 2 2 8 11" xfId="11177"/>
    <cellStyle name="Normal 2 2 2 2 2 2 8 11 2" xfId="11178"/>
    <cellStyle name="Normal 2 2 2 2 2 2 8 12" xfId="11179"/>
    <cellStyle name="Normal 2 2 2 2 2 2 8 12 2" xfId="11180"/>
    <cellStyle name="Normal 2 2 2 2 2 2 8 13" xfId="11181"/>
    <cellStyle name="Normal 2 2 2 2 2 2 8 2" xfId="11182"/>
    <cellStyle name="Normal 2 2 2 2 2 2 8 2 10" xfId="11183"/>
    <cellStyle name="Normal 2 2 2 2 2 2 8 2 10 2" xfId="11184"/>
    <cellStyle name="Normal 2 2 2 2 2 2 8 2 11" xfId="11185"/>
    <cellStyle name="Normal 2 2 2 2 2 2 8 2 11 2" xfId="11186"/>
    <cellStyle name="Normal 2 2 2 2 2 2 8 2 12" xfId="11187"/>
    <cellStyle name="Normal 2 2 2 2 2 2 8 2 2" xfId="11188"/>
    <cellStyle name="Normal 2 2 2 2 2 2 8 2 2 10" xfId="11189"/>
    <cellStyle name="Normal 2 2 2 2 2 2 8 2 2 10 2" xfId="11190"/>
    <cellStyle name="Normal 2 2 2 2 2 2 8 2 2 11" xfId="11191"/>
    <cellStyle name="Normal 2 2 2 2 2 2 8 2 2 2" xfId="11192"/>
    <cellStyle name="Normal 2 2 2 2 2 2 8 2 2 2 2" xfId="11193"/>
    <cellStyle name="Normal 2 2 2 2 2 2 8 2 2 3" xfId="11194"/>
    <cellStyle name="Normal 2 2 2 2 2 2 8 2 2 3 2" xfId="11195"/>
    <cellStyle name="Normal 2 2 2 2 2 2 8 2 2 4" xfId="11196"/>
    <cellStyle name="Normal 2 2 2 2 2 2 8 2 2 4 2" xfId="11197"/>
    <cellStyle name="Normal 2 2 2 2 2 2 8 2 2 5" xfId="11198"/>
    <cellStyle name="Normal 2 2 2 2 2 2 8 2 2 5 2" xfId="11199"/>
    <cellStyle name="Normal 2 2 2 2 2 2 8 2 2 6" xfId="11200"/>
    <cellStyle name="Normal 2 2 2 2 2 2 8 2 2 6 2" xfId="11201"/>
    <cellStyle name="Normal 2 2 2 2 2 2 8 2 2 7" xfId="11202"/>
    <cellStyle name="Normal 2 2 2 2 2 2 8 2 2 7 2" xfId="11203"/>
    <cellStyle name="Normal 2 2 2 2 2 2 8 2 2 8" xfId="11204"/>
    <cellStyle name="Normal 2 2 2 2 2 2 8 2 2 8 2" xfId="11205"/>
    <cellStyle name="Normal 2 2 2 2 2 2 8 2 2 9" xfId="11206"/>
    <cellStyle name="Normal 2 2 2 2 2 2 8 2 2 9 2" xfId="11207"/>
    <cellStyle name="Normal 2 2 2 2 2 2 8 2 3" xfId="11208"/>
    <cellStyle name="Normal 2 2 2 2 2 2 8 2 3 2" xfId="11209"/>
    <cellStyle name="Normal 2 2 2 2 2 2 8 2 4" xfId="11210"/>
    <cellStyle name="Normal 2 2 2 2 2 2 8 2 4 2" xfId="11211"/>
    <cellStyle name="Normal 2 2 2 2 2 2 8 2 5" xfId="11212"/>
    <cellStyle name="Normal 2 2 2 2 2 2 8 2 5 2" xfId="11213"/>
    <cellStyle name="Normal 2 2 2 2 2 2 8 2 6" xfId="11214"/>
    <cellStyle name="Normal 2 2 2 2 2 2 8 2 6 2" xfId="11215"/>
    <cellStyle name="Normal 2 2 2 2 2 2 8 2 7" xfId="11216"/>
    <cellStyle name="Normal 2 2 2 2 2 2 8 2 7 2" xfId="11217"/>
    <cellStyle name="Normal 2 2 2 2 2 2 8 2 8" xfId="11218"/>
    <cellStyle name="Normal 2 2 2 2 2 2 8 2 8 2" xfId="11219"/>
    <cellStyle name="Normal 2 2 2 2 2 2 8 2 9" xfId="11220"/>
    <cellStyle name="Normal 2 2 2 2 2 2 8 2 9 2" xfId="11221"/>
    <cellStyle name="Normal 2 2 2 2 2 2 8 3" xfId="11222"/>
    <cellStyle name="Normal 2 2 2 2 2 2 8 3 10" xfId="11223"/>
    <cellStyle name="Normal 2 2 2 2 2 2 8 3 10 2" xfId="11224"/>
    <cellStyle name="Normal 2 2 2 2 2 2 8 3 11" xfId="11225"/>
    <cellStyle name="Normal 2 2 2 2 2 2 8 3 2" xfId="11226"/>
    <cellStyle name="Normal 2 2 2 2 2 2 8 3 2 2" xfId="11227"/>
    <cellStyle name="Normal 2 2 2 2 2 2 8 3 3" xfId="11228"/>
    <cellStyle name="Normal 2 2 2 2 2 2 8 3 3 2" xfId="11229"/>
    <cellStyle name="Normal 2 2 2 2 2 2 8 3 4" xfId="11230"/>
    <cellStyle name="Normal 2 2 2 2 2 2 8 3 4 2" xfId="11231"/>
    <cellStyle name="Normal 2 2 2 2 2 2 8 3 5" xfId="11232"/>
    <cellStyle name="Normal 2 2 2 2 2 2 8 3 5 2" xfId="11233"/>
    <cellStyle name="Normal 2 2 2 2 2 2 8 3 6" xfId="11234"/>
    <cellStyle name="Normal 2 2 2 2 2 2 8 3 6 2" xfId="11235"/>
    <cellStyle name="Normal 2 2 2 2 2 2 8 3 7" xfId="11236"/>
    <cellStyle name="Normal 2 2 2 2 2 2 8 3 7 2" xfId="11237"/>
    <cellStyle name="Normal 2 2 2 2 2 2 8 3 8" xfId="11238"/>
    <cellStyle name="Normal 2 2 2 2 2 2 8 3 8 2" xfId="11239"/>
    <cellStyle name="Normal 2 2 2 2 2 2 8 3 9" xfId="11240"/>
    <cellStyle name="Normal 2 2 2 2 2 2 8 3 9 2" xfId="11241"/>
    <cellStyle name="Normal 2 2 2 2 2 2 8 4" xfId="11242"/>
    <cellStyle name="Normal 2 2 2 2 2 2 8 4 2" xfId="11243"/>
    <cellStyle name="Normal 2 2 2 2 2 2 8 5" xfId="11244"/>
    <cellStyle name="Normal 2 2 2 2 2 2 8 5 2" xfId="11245"/>
    <cellStyle name="Normal 2 2 2 2 2 2 8 6" xfId="11246"/>
    <cellStyle name="Normal 2 2 2 2 2 2 8 6 2" xfId="11247"/>
    <cellStyle name="Normal 2 2 2 2 2 2 8 7" xfId="11248"/>
    <cellStyle name="Normal 2 2 2 2 2 2 8 7 2" xfId="11249"/>
    <cellStyle name="Normal 2 2 2 2 2 2 8 8" xfId="11250"/>
    <cellStyle name="Normal 2 2 2 2 2 2 8 8 2" xfId="11251"/>
    <cellStyle name="Normal 2 2 2 2 2 2 8 9" xfId="11252"/>
    <cellStyle name="Normal 2 2 2 2 2 2 8 9 2" xfId="11253"/>
    <cellStyle name="Normal 2 2 2 2 2 2 9" xfId="210"/>
    <cellStyle name="Normal 2 2 2 2 2 2 9 10" xfId="11254"/>
    <cellStyle name="Normal 2 2 2 2 2 2 9 10 2" xfId="11255"/>
    <cellStyle name="Normal 2 2 2 2 2 2 9 11" xfId="11256"/>
    <cellStyle name="Normal 2 2 2 2 2 2 9 11 2" xfId="11257"/>
    <cellStyle name="Normal 2 2 2 2 2 2 9 12" xfId="11258"/>
    <cellStyle name="Normal 2 2 2 2 2 2 9 12 2" xfId="11259"/>
    <cellStyle name="Normal 2 2 2 2 2 2 9 13" xfId="11260"/>
    <cellStyle name="Normal 2 2 2 2 2 2 9 2" xfId="11261"/>
    <cellStyle name="Normal 2 2 2 2 2 2 9 2 10" xfId="11262"/>
    <cellStyle name="Normal 2 2 2 2 2 2 9 2 10 2" xfId="11263"/>
    <cellStyle name="Normal 2 2 2 2 2 2 9 2 11" xfId="11264"/>
    <cellStyle name="Normal 2 2 2 2 2 2 9 2 11 2" xfId="11265"/>
    <cellStyle name="Normal 2 2 2 2 2 2 9 2 12" xfId="11266"/>
    <cellStyle name="Normal 2 2 2 2 2 2 9 2 2" xfId="11267"/>
    <cellStyle name="Normal 2 2 2 2 2 2 9 2 2 10" xfId="11268"/>
    <cellStyle name="Normal 2 2 2 2 2 2 9 2 2 10 2" xfId="11269"/>
    <cellStyle name="Normal 2 2 2 2 2 2 9 2 2 11" xfId="11270"/>
    <cellStyle name="Normal 2 2 2 2 2 2 9 2 2 2" xfId="11271"/>
    <cellStyle name="Normal 2 2 2 2 2 2 9 2 2 2 2" xfId="11272"/>
    <cellStyle name="Normal 2 2 2 2 2 2 9 2 2 3" xfId="11273"/>
    <cellStyle name="Normal 2 2 2 2 2 2 9 2 2 3 2" xfId="11274"/>
    <cellStyle name="Normal 2 2 2 2 2 2 9 2 2 4" xfId="11275"/>
    <cellStyle name="Normal 2 2 2 2 2 2 9 2 2 4 2" xfId="11276"/>
    <cellStyle name="Normal 2 2 2 2 2 2 9 2 2 5" xfId="11277"/>
    <cellStyle name="Normal 2 2 2 2 2 2 9 2 2 5 2" xfId="11278"/>
    <cellStyle name="Normal 2 2 2 2 2 2 9 2 2 6" xfId="11279"/>
    <cellStyle name="Normal 2 2 2 2 2 2 9 2 2 6 2" xfId="11280"/>
    <cellStyle name="Normal 2 2 2 2 2 2 9 2 2 7" xfId="11281"/>
    <cellStyle name="Normal 2 2 2 2 2 2 9 2 2 7 2" xfId="11282"/>
    <cellStyle name="Normal 2 2 2 2 2 2 9 2 2 8" xfId="11283"/>
    <cellStyle name="Normal 2 2 2 2 2 2 9 2 2 8 2" xfId="11284"/>
    <cellStyle name="Normal 2 2 2 2 2 2 9 2 2 9" xfId="11285"/>
    <cellStyle name="Normal 2 2 2 2 2 2 9 2 2 9 2" xfId="11286"/>
    <cellStyle name="Normal 2 2 2 2 2 2 9 2 3" xfId="11287"/>
    <cellStyle name="Normal 2 2 2 2 2 2 9 2 3 2" xfId="11288"/>
    <cellStyle name="Normal 2 2 2 2 2 2 9 2 4" xfId="11289"/>
    <cellStyle name="Normal 2 2 2 2 2 2 9 2 4 2" xfId="11290"/>
    <cellStyle name="Normal 2 2 2 2 2 2 9 2 5" xfId="11291"/>
    <cellStyle name="Normal 2 2 2 2 2 2 9 2 5 2" xfId="11292"/>
    <cellStyle name="Normal 2 2 2 2 2 2 9 2 6" xfId="11293"/>
    <cellStyle name="Normal 2 2 2 2 2 2 9 2 6 2" xfId="11294"/>
    <cellStyle name="Normal 2 2 2 2 2 2 9 2 7" xfId="11295"/>
    <cellStyle name="Normal 2 2 2 2 2 2 9 2 7 2" xfId="11296"/>
    <cellStyle name="Normal 2 2 2 2 2 2 9 2 8" xfId="11297"/>
    <cellStyle name="Normal 2 2 2 2 2 2 9 2 8 2" xfId="11298"/>
    <cellStyle name="Normal 2 2 2 2 2 2 9 2 9" xfId="11299"/>
    <cellStyle name="Normal 2 2 2 2 2 2 9 2 9 2" xfId="11300"/>
    <cellStyle name="Normal 2 2 2 2 2 2 9 3" xfId="11301"/>
    <cellStyle name="Normal 2 2 2 2 2 2 9 3 10" xfId="11302"/>
    <cellStyle name="Normal 2 2 2 2 2 2 9 3 10 2" xfId="11303"/>
    <cellStyle name="Normal 2 2 2 2 2 2 9 3 11" xfId="11304"/>
    <cellStyle name="Normal 2 2 2 2 2 2 9 3 2" xfId="11305"/>
    <cellStyle name="Normal 2 2 2 2 2 2 9 3 2 2" xfId="11306"/>
    <cellStyle name="Normal 2 2 2 2 2 2 9 3 3" xfId="11307"/>
    <cellStyle name="Normal 2 2 2 2 2 2 9 3 3 2" xfId="11308"/>
    <cellStyle name="Normal 2 2 2 2 2 2 9 3 4" xfId="11309"/>
    <cellStyle name="Normal 2 2 2 2 2 2 9 3 4 2" xfId="11310"/>
    <cellStyle name="Normal 2 2 2 2 2 2 9 3 5" xfId="11311"/>
    <cellStyle name="Normal 2 2 2 2 2 2 9 3 5 2" xfId="11312"/>
    <cellStyle name="Normal 2 2 2 2 2 2 9 3 6" xfId="11313"/>
    <cellStyle name="Normal 2 2 2 2 2 2 9 3 6 2" xfId="11314"/>
    <cellStyle name="Normal 2 2 2 2 2 2 9 3 7" xfId="11315"/>
    <cellStyle name="Normal 2 2 2 2 2 2 9 3 7 2" xfId="11316"/>
    <cellStyle name="Normal 2 2 2 2 2 2 9 3 8" xfId="11317"/>
    <cellStyle name="Normal 2 2 2 2 2 2 9 3 8 2" xfId="11318"/>
    <cellStyle name="Normal 2 2 2 2 2 2 9 3 9" xfId="11319"/>
    <cellStyle name="Normal 2 2 2 2 2 2 9 3 9 2" xfId="11320"/>
    <cellStyle name="Normal 2 2 2 2 2 2 9 4" xfId="11321"/>
    <cellStyle name="Normal 2 2 2 2 2 2 9 4 2" xfId="11322"/>
    <cellStyle name="Normal 2 2 2 2 2 2 9 5" xfId="11323"/>
    <cellStyle name="Normal 2 2 2 2 2 2 9 5 2" xfId="11324"/>
    <cellStyle name="Normal 2 2 2 2 2 2 9 6" xfId="11325"/>
    <cellStyle name="Normal 2 2 2 2 2 2 9 6 2" xfId="11326"/>
    <cellStyle name="Normal 2 2 2 2 2 2 9 7" xfId="11327"/>
    <cellStyle name="Normal 2 2 2 2 2 2 9 7 2" xfId="11328"/>
    <cellStyle name="Normal 2 2 2 2 2 2 9 8" xfId="11329"/>
    <cellStyle name="Normal 2 2 2 2 2 2 9 8 2" xfId="11330"/>
    <cellStyle name="Normal 2 2 2 2 2 2 9 9" xfId="11331"/>
    <cellStyle name="Normal 2 2 2 2 2 2 9 9 2" xfId="11332"/>
    <cellStyle name="Normal 2 2 2 2 2 20" xfId="11333"/>
    <cellStyle name="Normal 2 2 2 2 2 20 2" xfId="11334"/>
    <cellStyle name="Normal 2 2 2 2 2 21" xfId="11335"/>
    <cellStyle name="Normal 2 2 2 2 2 3" xfId="211"/>
    <cellStyle name="Normal 2 2 2 2 2 3 2" xfId="212"/>
    <cellStyle name="Normal 2 2 2 2 2 3 2 10" xfId="11336"/>
    <cellStyle name="Normal 2 2 2 2 2 3 2 10 2" xfId="11337"/>
    <cellStyle name="Normal 2 2 2 2 2 3 2 11" xfId="11338"/>
    <cellStyle name="Normal 2 2 2 2 2 3 2 11 2" xfId="11339"/>
    <cellStyle name="Normal 2 2 2 2 2 3 2 12" xfId="11340"/>
    <cellStyle name="Normal 2 2 2 2 2 3 2 12 2" xfId="11341"/>
    <cellStyle name="Normal 2 2 2 2 2 3 2 13" xfId="11342"/>
    <cellStyle name="Normal 2 2 2 2 2 3 2 13 2" xfId="11343"/>
    <cellStyle name="Normal 2 2 2 2 2 3 2 14" xfId="11344"/>
    <cellStyle name="Normal 2 2 2 2 2 3 2 14 2" xfId="11345"/>
    <cellStyle name="Normal 2 2 2 2 2 3 2 15" xfId="11346"/>
    <cellStyle name="Normal 2 2 2 2 2 3 2 15 2" xfId="11347"/>
    <cellStyle name="Normal 2 2 2 2 2 3 2 16" xfId="11348"/>
    <cellStyle name="Normal 2 2 2 2 2 3 2 16 2" xfId="11349"/>
    <cellStyle name="Normal 2 2 2 2 2 3 2 17" xfId="11350"/>
    <cellStyle name="Normal 2 2 2 2 2 3 2 2" xfId="213"/>
    <cellStyle name="Normal 2 2 2 2 2 3 2 2 2" xfId="214"/>
    <cellStyle name="Normal 2 2 2 2 2 3 2 2 2 10" xfId="11351"/>
    <cellStyle name="Normal 2 2 2 2 2 3 2 2 2 10 2" xfId="11352"/>
    <cellStyle name="Normal 2 2 2 2 2 3 2 2 2 11" xfId="11353"/>
    <cellStyle name="Normal 2 2 2 2 2 3 2 2 2 11 2" xfId="11354"/>
    <cellStyle name="Normal 2 2 2 2 2 3 2 2 2 12" xfId="11355"/>
    <cellStyle name="Normal 2 2 2 2 2 3 2 2 2 12 2" xfId="11356"/>
    <cellStyle name="Normal 2 2 2 2 2 3 2 2 2 13" xfId="11357"/>
    <cellStyle name="Normal 2 2 2 2 2 3 2 2 2 2" xfId="11358"/>
    <cellStyle name="Normal 2 2 2 2 2 3 2 2 2 2 10" xfId="11359"/>
    <cellStyle name="Normal 2 2 2 2 2 3 2 2 2 2 10 2" xfId="11360"/>
    <cellStyle name="Normal 2 2 2 2 2 3 2 2 2 2 11" xfId="11361"/>
    <cellStyle name="Normal 2 2 2 2 2 3 2 2 2 2 11 2" xfId="11362"/>
    <cellStyle name="Normal 2 2 2 2 2 3 2 2 2 2 12" xfId="11363"/>
    <cellStyle name="Normal 2 2 2 2 2 3 2 2 2 2 2" xfId="11364"/>
    <cellStyle name="Normal 2 2 2 2 2 3 2 2 2 2 2 10" xfId="11365"/>
    <cellStyle name="Normal 2 2 2 2 2 3 2 2 2 2 2 10 2" xfId="11366"/>
    <cellStyle name="Normal 2 2 2 2 2 3 2 2 2 2 2 11" xfId="11367"/>
    <cellStyle name="Normal 2 2 2 2 2 3 2 2 2 2 2 2" xfId="11368"/>
    <cellStyle name="Normal 2 2 2 2 2 3 2 2 2 2 2 2 2" xfId="11369"/>
    <cellStyle name="Normal 2 2 2 2 2 3 2 2 2 2 2 3" xfId="11370"/>
    <cellStyle name="Normal 2 2 2 2 2 3 2 2 2 2 2 3 2" xfId="11371"/>
    <cellStyle name="Normal 2 2 2 2 2 3 2 2 2 2 2 4" xfId="11372"/>
    <cellStyle name="Normal 2 2 2 2 2 3 2 2 2 2 2 4 2" xfId="11373"/>
    <cellStyle name="Normal 2 2 2 2 2 3 2 2 2 2 2 5" xfId="11374"/>
    <cellStyle name="Normal 2 2 2 2 2 3 2 2 2 2 2 5 2" xfId="11375"/>
    <cellStyle name="Normal 2 2 2 2 2 3 2 2 2 2 2 6" xfId="11376"/>
    <cellStyle name="Normal 2 2 2 2 2 3 2 2 2 2 2 6 2" xfId="11377"/>
    <cellStyle name="Normal 2 2 2 2 2 3 2 2 2 2 2 7" xfId="11378"/>
    <cellStyle name="Normal 2 2 2 2 2 3 2 2 2 2 2 7 2" xfId="11379"/>
    <cellStyle name="Normal 2 2 2 2 2 3 2 2 2 2 2 8" xfId="11380"/>
    <cellStyle name="Normal 2 2 2 2 2 3 2 2 2 2 2 8 2" xfId="11381"/>
    <cellStyle name="Normal 2 2 2 2 2 3 2 2 2 2 2 9" xfId="11382"/>
    <cellStyle name="Normal 2 2 2 2 2 3 2 2 2 2 2 9 2" xfId="11383"/>
    <cellStyle name="Normal 2 2 2 2 2 3 2 2 2 2 3" xfId="11384"/>
    <cellStyle name="Normal 2 2 2 2 2 3 2 2 2 2 3 2" xfId="11385"/>
    <cellStyle name="Normal 2 2 2 2 2 3 2 2 2 2 4" xfId="11386"/>
    <cellStyle name="Normal 2 2 2 2 2 3 2 2 2 2 4 2" xfId="11387"/>
    <cellStyle name="Normal 2 2 2 2 2 3 2 2 2 2 5" xfId="11388"/>
    <cellStyle name="Normal 2 2 2 2 2 3 2 2 2 2 5 2" xfId="11389"/>
    <cellStyle name="Normal 2 2 2 2 2 3 2 2 2 2 6" xfId="11390"/>
    <cellStyle name="Normal 2 2 2 2 2 3 2 2 2 2 6 2" xfId="11391"/>
    <cellStyle name="Normal 2 2 2 2 2 3 2 2 2 2 7" xfId="11392"/>
    <cellStyle name="Normal 2 2 2 2 2 3 2 2 2 2 7 2" xfId="11393"/>
    <cellStyle name="Normal 2 2 2 2 2 3 2 2 2 2 8" xfId="11394"/>
    <cellStyle name="Normal 2 2 2 2 2 3 2 2 2 2 8 2" xfId="11395"/>
    <cellStyle name="Normal 2 2 2 2 2 3 2 2 2 2 9" xfId="11396"/>
    <cellStyle name="Normal 2 2 2 2 2 3 2 2 2 2 9 2" xfId="11397"/>
    <cellStyle name="Normal 2 2 2 2 2 3 2 2 2 3" xfId="11398"/>
    <cellStyle name="Normal 2 2 2 2 2 3 2 2 2 3 10" xfId="11399"/>
    <cellStyle name="Normal 2 2 2 2 2 3 2 2 2 3 10 2" xfId="11400"/>
    <cellStyle name="Normal 2 2 2 2 2 3 2 2 2 3 11" xfId="11401"/>
    <cellStyle name="Normal 2 2 2 2 2 3 2 2 2 3 2" xfId="11402"/>
    <cellStyle name="Normal 2 2 2 2 2 3 2 2 2 3 2 2" xfId="11403"/>
    <cellStyle name="Normal 2 2 2 2 2 3 2 2 2 3 3" xfId="11404"/>
    <cellStyle name="Normal 2 2 2 2 2 3 2 2 2 3 3 2" xfId="11405"/>
    <cellStyle name="Normal 2 2 2 2 2 3 2 2 2 3 4" xfId="11406"/>
    <cellStyle name="Normal 2 2 2 2 2 3 2 2 2 3 4 2" xfId="11407"/>
    <cellStyle name="Normal 2 2 2 2 2 3 2 2 2 3 5" xfId="11408"/>
    <cellStyle name="Normal 2 2 2 2 2 3 2 2 2 3 5 2" xfId="11409"/>
    <cellStyle name="Normal 2 2 2 2 2 3 2 2 2 3 6" xfId="11410"/>
    <cellStyle name="Normal 2 2 2 2 2 3 2 2 2 3 6 2" xfId="11411"/>
    <cellStyle name="Normal 2 2 2 2 2 3 2 2 2 3 7" xfId="11412"/>
    <cellStyle name="Normal 2 2 2 2 2 3 2 2 2 3 7 2" xfId="11413"/>
    <cellStyle name="Normal 2 2 2 2 2 3 2 2 2 3 8" xfId="11414"/>
    <cellStyle name="Normal 2 2 2 2 2 3 2 2 2 3 8 2" xfId="11415"/>
    <cellStyle name="Normal 2 2 2 2 2 3 2 2 2 3 9" xfId="11416"/>
    <cellStyle name="Normal 2 2 2 2 2 3 2 2 2 3 9 2" xfId="11417"/>
    <cellStyle name="Normal 2 2 2 2 2 3 2 2 2 4" xfId="11418"/>
    <cellStyle name="Normal 2 2 2 2 2 3 2 2 2 4 2" xfId="11419"/>
    <cellStyle name="Normal 2 2 2 2 2 3 2 2 2 5" xfId="11420"/>
    <cellStyle name="Normal 2 2 2 2 2 3 2 2 2 5 2" xfId="11421"/>
    <cellStyle name="Normal 2 2 2 2 2 3 2 2 2 6" xfId="11422"/>
    <cellStyle name="Normal 2 2 2 2 2 3 2 2 2 6 2" xfId="11423"/>
    <cellStyle name="Normal 2 2 2 2 2 3 2 2 2 7" xfId="11424"/>
    <cellStyle name="Normal 2 2 2 2 2 3 2 2 2 7 2" xfId="11425"/>
    <cellStyle name="Normal 2 2 2 2 2 3 2 2 2 8" xfId="11426"/>
    <cellStyle name="Normal 2 2 2 2 2 3 2 2 2 8 2" xfId="11427"/>
    <cellStyle name="Normal 2 2 2 2 2 3 2 2 2 9" xfId="11428"/>
    <cellStyle name="Normal 2 2 2 2 2 3 2 2 2 9 2" xfId="11429"/>
    <cellStyle name="Normal 2 2 2 2 2 3 2 2 3" xfId="215"/>
    <cellStyle name="Normal 2 2 2 2 2 3 2 2 3 10" xfId="11430"/>
    <cellStyle name="Normal 2 2 2 2 2 3 2 2 3 10 2" xfId="11431"/>
    <cellStyle name="Normal 2 2 2 2 2 3 2 2 3 11" xfId="11432"/>
    <cellStyle name="Normal 2 2 2 2 2 3 2 2 3 11 2" xfId="11433"/>
    <cellStyle name="Normal 2 2 2 2 2 3 2 2 3 12" xfId="11434"/>
    <cellStyle name="Normal 2 2 2 2 2 3 2 2 3 12 2" xfId="11435"/>
    <cellStyle name="Normal 2 2 2 2 2 3 2 2 3 13" xfId="11436"/>
    <cellStyle name="Normal 2 2 2 2 2 3 2 2 3 2" xfId="11437"/>
    <cellStyle name="Normal 2 2 2 2 2 3 2 2 3 2 10" xfId="11438"/>
    <cellStyle name="Normal 2 2 2 2 2 3 2 2 3 2 10 2" xfId="11439"/>
    <cellStyle name="Normal 2 2 2 2 2 3 2 2 3 2 11" xfId="11440"/>
    <cellStyle name="Normal 2 2 2 2 2 3 2 2 3 2 11 2" xfId="11441"/>
    <cellStyle name="Normal 2 2 2 2 2 3 2 2 3 2 12" xfId="11442"/>
    <cellStyle name="Normal 2 2 2 2 2 3 2 2 3 2 2" xfId="11443"/>
    <cellStyle name="Normal 2 2 2 2 2 3 2 2 3 2 2 10" xfId="11444"/>
    <cellStyle name="Normal 2 2 2 2 2 3 2 2 3 2 2 10 2" xfId="11445"/>
    <cellStyle name="Normal 2 2 2 2 2 3 2 2 3 2 2 11" xfId="11446"/>
    <cellStyle name="Normal 2 2 2 2 2 3 2 2 3 2 2 2" xfId="11447"/>
    <cellStyle name="Normal 2 2 2 2 2 3 2 2 3 2 2 2 2" xfId="11448"/>
    <cellStyle name="Normal 2 2 2 2 2 3 2 2 3 2 2 3" xfId="11449"/>
    <cellStyle name="Normal 2 2 2 2 2 3 2 2 3 2 2 3 2" xfId="11450"/>
    <cellStyle name="Normal 2 2 2 2 2 3 2 2 3 2 2 4" xfId="11451"/>
    <cellStyle name="Normal 2 2 2 2 2 3 2 2 3 2 2 4 2" xfId="11452"/>
    <cellStyle name="Normal 2 2 2 2 2 3 2 2 3 2 2 5" xfId="11453"/>
    <cellStyle name="Normal 2 2 2 2 2 3 2 2 3 2 2 5 2" xfId="11454"/>
    <cellStyle name="Normal 2 2 2 2 2 3 2 2 3 2 2 6" xfId="11455"/>
    <cellStyle name="Normal 2 2 2 2 2 3 2 2 3 2 2 6 2" xfId="11456"/>
    <cellStyle name="Normal 2 2 2 2 2 3 2 2 3 2 2 7" xfId="11457"/>
    <cellStyle name="Normal 2 2 2 2 2 3 2 2 3 2 2 7 2" xfId="11458"/>
    <cellStyle name="Normal 2 2 2 2 2 3 2 2 3 2 2 8" xfId="11459"/>
    <cellStyle name="Normal 2 2 2 2 2 3 2 2 3 2 2 8 2" xfId="11460"/>
    <cellStyle name="Normal 2 2 2 2 2 3 2 2 3 2 2 9" xfId="11461"/>
    <cellStyle name="Normal 2 2 2 2 2 3 2 2 3 2 2 9 2" xfId="11462"/>
    <cellStyle name="Normal 2 2 2 2 2 3 2 2 3 2 3" xfId="11463"/>
    <cellStyle name="Normal 2 2 2 2 2 3 2 2 3 2 3 2" xfId="11464"/>
    <cellStyle name="Normal 2 2 2 2 2 3 2 2 3 2 4" xfId="11465"/>
    <cellStyle name="Normal 2 2 2 2 2 3 2 2 3 2 4 2" xfId="11466"/>
    <cellStyle name="Normal 2 2 2 2 2 3 2 2 3 2 5" xfId="11467"/>
    <cellStyle name="Normal 2 2 2 2 2 3 2 2 3 2 5 2" xfId="11468"/>
    <cellStyle name="Normal 2 2 2 2 2 3 2 2 3 2 6" xfId="11469"/>
    <cellStyle name="Normal 2 2 2 2 2 3 2 2 3 2 6 2" xfId="11470"/>
    <cellStyle name="Normal 2 2 2 2 2 3 2 2 3 2 7" xfId="11471"/>
    <cellStyle name="Normal 2 2 2 2 2 3 2 2 3 2 7 2" xfId="11472"/>
    <cellStyle name="Normal 2 2 2 2 2 3 2 2 3 2 8" xfId="11473"/>
    <cellStyle name="Normal 2 2 2 2 2 3 2 2 3 2 8 2" xfId="11474"/>
    <cellStyle name="Normal 2 2 2 2 2 3 2 2 3 2 9" xfId="11475"/>
    <cellStyle name="Normal 2 2 2 2 2 3 2 2 3 2 9 2" xfId="11476"/>
    <cellStyle name="Normal 2 2 2 2 2 3 2 2 3 3" xfId="11477"/>
    <cellStyle name="Normal 2 2 2 2 2 3 2 2 3 3 10" xfId="11478"/>
    <cellStyle name="Normal 2 2 2 2 2 3 2 2 3 3 10 2" xfId="11479"/>
    <cellStyle name="Normal 2 2 2 2 2 3 2 2 3 3 11" xfId="11480"/>
    <cellStyle name="Normal 2 2 2 2 2 3 2 2 3 3 2" xfId="11481"/>
    <cellStyle name="Normal 2 2 2 2 2 3 2 2 3 3 2 2" xfId="11482"/>
    <cellStyle name="Normal 2 2 2 2 2 3 2 2 3 3 3" xfId="11483"/>
    <cellStyle name="Normal 2 2 2 2 2 3 2 2 3 3 3 2" xfId="11484"/>
    <cellStyle name="Normal 2 2 2 2 2 3 2 2 3 3 4" xfId="11485"/>
    <cellStyle name="Normal 2 2 2 2 2 3 2 2 3 3 4 2" xfId="11486"/>
    <cellStyle name="Normal 2 2 2 2 2 3 2 2 3 3 5" xfId="11487"/>
    <cellStyle name="Normal 2 2 2 2 2 3 2 2 3 3 5 2" xfId="11488"/>
    <cellStyle name="Normal 2 2 2 2 2 3 2 2 3 3 6" xfId="11489"/>
    <cellStyle name="Normal 2 2 2 2 2 3 2 2 3 3 6 2" xfId="11490"/>
    <cellStyle name="Normal 2 2 2 2 2 3 2 2 3 3 7" xfId="11491"/>
    <cellStyle name="Normal 2 2 2 2 2 3 2 2 3 3 7 2" xfId="11492"/>
    <cellStyle name="Normal 2 2 2 2 2 3 2 2 3 3 8" xfId="11493"/>
    <cellStyle name="Normal 2 2 2 2 2 3 2 2 3 3 8 2" xfId="11494"/>
    <cellStyle name="Normal 2 2 2 2 2 3 2 2 3 3 9" xfId="11495"/>
    <cellStyle name="Normal 2 2 2 2 2 3 2 2 3 3 9 2" xfId="11496"/>
    <cellStyle name="Normal 2 2 2 2 2 3 2 2 3 4" xfId="11497"/>
    <cellStyle name="Normal 2 2 2 2 2 3 2 2 3 4 2" xfId="11498"/>
    <cellStyle name="Normal 2 2 2 2 2 3 2 2 3 5" xfId="11499"/>
    <cellStyle name="Normal 2 2 2 2 2 3 2 2 3 5 2" xfId="11500"/>
    <cellStyle name="Normal 2 2 2 2 2 3 2 2 3 6" xfId="11501"/>
    <cellStyle name="Normal 2 2 2 2 2 3 2 2 3 6 2" xfId="11502"/>
    <cellStyle name="Normal 2 2 2 2 2 3 2 2 3 7" xfId="11503"/>
    <cellStyle name="Normal 2 2 2 2 2 3 2 2 3 7 2" xfId="11504"/>
    <cellStyle name="Normal 2 2 2 2 2 3 2 2 3 8" xfId="11505"/>
    <cellStyle name="Normal 2 2 2 2 2 3 2 2 3 8 2" xfId="11506"/>
    <cellStyle name="Normal 2 2 2 2 2 3 2 2 3 9" xfId="11507"/>
    <cellStyle name="Normal 2 2 2 2 2 3 2 2 3 9 2" xfId="11508"/>
    <cellStyle name="Normal 2 2 2 2 2 3 2 2 4" xfId="216"/>
    <cellStyle name="Normal 2 2 2 2 2 3 2 2 4 10" xfId="11509"/>
    <cellStyle name="Normal 2 2 2 2 2 3 2 2 4 10 2" xfId="11510"/>
    <cellStyle name="Normal 2 2 2 2 2 3 2 2 4 11" xfId="11511"/>
    <cellStyle name="Normal 2 2 2 2 2 3 2 2 4 11 2" xfId="11512"/>
    <cellStyle name="Normal 2 2 2 2 2 3 2 2 4 12" xfId="11513"/>
    <cellStyle name="Normal 2 2 2 2 2 3 2 2 4 12 2" xfId="11514"/>
    <cellStyle name="Normal 2 2 2 2 2 3 2 2 4 13" xfId="11515"/>
    <cellStyle name="Normal 2 2 2 2 2 3 2 2 4 2" xfId="11516"/>
    <cellStyle name="Normal 2 2 2 2 2 3 2 2 4 2 10" xfId="11517"/>
    <cellStyle name="Normal 2 2 2 2 2 3 2 2 4 2 10 2" xfId="11518"/>
    <cellStyle name="Normal 2 2 2 2 2 3 2 2 4 2 11" xfId="11519"/>
    <cellStyle name="Normal 2 2 2 2 2 3 2 2 4 2 11 2" xfId="11520"/>
    <cellStyle name="Normal 2 2 2 2 2 3 2 2 4 2 12" xfId="11521"/>
    <cellStyle name="Normal 2 2 2 2 2 3 2 2 4 2 2" xfId="11522"/>
    <cellStyle name="Normal 2 2 2 2 2 3 2 2 4 2 2 10" xfId="11523"/>
    <cellStyle name="Normal 2 2 2 2 2 3 2 2 4 2 2 10 2" xfId="11524"/>
    <cellStyle name="Normal 2 2 2 2 2 3 2 2 4 2 2 11" xfId="11525"/>
    <cellStyle name="Normal 2 2 2 2 2 3 2 2 4 2 2 2" xfId="11526"/>
    <cellStyle name="Normal 2 2 2 2 2 3 2 2 4 2 2 2 2" xfId="11527"/>
    <cellStyle name="Normal 2 2 2 2 2 3 2 2 4 2 2 3" xfId="11528"/>
    <cellStyle name="Normal 2 2 2 2 2 3 2 2 4 2 2 3 2" xfId="11529"/>
    <cellStyle name="Normal 2 2 2 2 2 3 2 2 4 2 2 4" xfId="11530"/>
    <cellStyle name="Normal 2 2 2 2 2 3 2 2 4 2 2 4 2" xfId="11531"/>
    <cellStyle name="Normal 2 2 2 2 2 3 2 2 4 2 2 5" xfId="11532"/>
    <cellStyle name="Normal 2 2 2 2 2 3 2 2 4 2 2 5 2" xfId="11533"/>
    <cellStyle name="Normal 2 2 2 2 2 3 2 2 4 2 2 6" xfId="11534"/>
    <cellStyle name="Normal 2 2 2 2 2 3 2 2 4 2 2 6 2" xfId="11535"/>
    <cellStyle name="Normal 2 2 2 2 2 3 2 2 4 2 2 7" xfId="11536"/>
    <cellStyle name="Normal 2 2 2 2 2 3 2 2 4 2 2 7 2" xfId="11537"/>
    <cellStyle name="Normal 2 2 2 2 2 3 2 2 4 2 2 8" xfId="11538"/>
    <cellStyle name="Normal 2 2 2 2 2 3 2 2 4 2 2 8 2" xfId="11539"/>
    <cellStyle name="Normal 2 2 2 2 2 3 2 2 4 2 2 9" xfId="11540"/>
    <cellStyle name="Normal 2 2 2 2 2 3 2 2 4 2 2 9 2" xfId="11541"/>
    <cellStyle name="Normal 2 2 2 2 2 3 2 2 4 2 3" xfId="11542"/>
    <cellStyle name="Normal 2 2 2 2 2 3 2 2 4 2 3 2" xfId="11543"/>
    <cellStyle name="Normal 2 2 2 2 2 3 2 2 4 2 4" xfId="11544"/>
    <cellStyle name="Normal 2 2 2 2 2 3 2 2 4 2 4 2" xfId="11545"/>
    <cellStyle name="Normal 2 2 2 2 2 3 2 2 4 2 5" xfId="11546"/>
    <cellStyle name="Normal 2 2 2 2 2 3 2 2 4 2 5 2" xfId="11547"/>
    <cellStyle name="Normal 2 2 2 2 2 3 2 2 4 2 6" xfId="11548"/>
    <cellStyle name="Normal 2 2 2 2 2 3 2 2 4 2 6 2" xfId="11549"/>
    <cellStyle name="Normal 2 2 2 2 2 3 2 2 4 2 7" xfId="11550"/>
    <cellStyle name="Normal 2 2 2 2 2 3 2 2 4 2 7 2" xfId="11551"/>
    <cellStyle name="Normal 2 2 2 2 2 3 2 2 4 2 8" xfId="11552"/>
    <cellStyle name="Normal 2 2 2 2 2 3 2 2 4 2 8 2" xfId="11553"/>
    <cellStyle name="Normal 2 2 2 2 2 3 2 2 4 2 9" xfId="11554"/>
    <cellStyle name="Normal 2 2 2 2 2 3 2 2 4 2 9 2" xfId="11555"/>
    <cellStyle name="Normal 2 2 2 2 2 3 2 2 4 3" xfId="11556"/>
    <cellStyle name="Normal 2 2 2 2 2 3 2 2 4 3 10" xfId="11557"/>
    <cellStyle name="Normal 2 2 2 2 2 3 2 2 4 3 10 2" xfId="11558"/>
    <cellStyle name="Normal 2 2 2 2 2 3 2 2 4 3 11" xfId="11559"/>
    <cellStyle name="Normal 2 2 2 2 2 3 2 2 4 3 2" xfId="11560"/>
    <cellStyle name="Normal 2 2 2 2 2 3 2 2 4 3 2 2" xfId="11561"/>
    <cellStyle name="Normal 2 2 2 2 2 3 2 2 4 3 3" xfId="11562"/>
    <cellStyle name="Normal 2 2 2 2 2 3 2 2 4 3 3 2" xfId="11563"/>
    <cellStyle name="Normal 2 2 2 2 2 3 2 2 4 3 4" xfId="11564"/>
    <cellStyle name="Normal 2 2 2 2 2 3 2 2 4 3 4 2" xfId="11565"/>
    <cellStyle name="Normal 2 2 2 2 2 3 2 2 4 3 5" xfId="11566"/>
    <cellStyle name="Normal 2 2 2 2 2 3 2 2 4 3 5 2" xfId="11567"/>
    <cellStyle name="Normal 2 2 2 2 2 3 2 2 4 3 6" xfId="11568"/>
    <cellStyle name="Normal 2 2 2 2 2 3 2 2 4 3 6 2" xfId="11569"/>
    <cellStyle name="Normal 2 2 2 2 2 3 2 2 4 3 7" xfId="11570"/>
    <cellStyle name="Normal 2 2 2 2 2 3 2 2 4 3 7 2" xfId="11571"/>
    <cellStyle name="Normal 2 2 2 2 2 3 2 2 4 3 8" xfId="11572"/>
    <cellStyle name="Normal 2 2 2 2 2 3 2 2 4 3 8 2" xfId="11573"/>
    <cellStyle name="Normal 2 2 2 2 2 3 2 2 4 3 9" xfId="11574"/>
    <cellStyle name="Normal 2 2 2 2 2 3 2 2 4 3 9 2" xfId="11575"/>
    <cellStyle name="Normal 2 2 2 2 2 3 2 2 4 4" xfId="11576"/>
    <cellStyle name="Normal 2 2 2 2 2 3 2 2 4 4 2" xfId="11577"/>
    <cellStyle name="Normal 2 2 2 2 2 3 2 2 4 5" xfId="11578"/>
    <cellStyle name="Normal 2 2 2 2 2 3 2 2 4 5 2" xfId="11579"/>
    <cellStyle name="Normal 2 2 2 2 2 3 2 2 4 6" xfId="11580"/>
    <cellStyle name="Normal 2 2 2 2 2 3 2 2 4 6 2" xfId="11581"/>
    <cellStyle name="Normal 2 2 2 2 2 3 2 2 4 7" xfId="11582"/>
    <cellStyle name="Normal 2 2 2 2 2 3 2 2 4 7 2" xfId="11583"/>
    <cellStyle name="Normal 2 2 2 2 2 3 2 2 4 8" xfId="11584"/>
    <cellStyle name="Normal 2 2 2 2 2 3 2 2 4 8 2" xfId="11585"/>
    <cellStyle name="Normal 2 2 2 2 2 3 2 2 4 9" xfId="11586"/>
    <cellStyle name="Normal 2 2 2 2 2 3 2 2 4 9 2" xfId="11587"/>
    <cellStyle name="Normal 2 2 2 2 2 3 2 2 5" xfId="217"/>
    <cellStyle name="Normal 2 2 2 2 2 3 2 2 5 10" xfId="11588"/>
    <cellStyle name="Normal 2 2 2 2 2 3 2 2 5 10 2" xfId="11589"/>
    <cellStyle name="Normal 2 2 2 2 2 3 2 2 5 11" xfId="11590"/>
    <cellStyle name="Normal 2 2 2 2 2 3 2 2 5 11 2" xfId="11591"/>
    <cellStyle name="Normal 2 2 2 2 2 3 2 2 5 12" xfId="11592"/>
    <cellStyle name="Normal 2 2 2 2 2 3 2 2 5 12 2" xfId="11593"/>
    <cellStyle name="Normal 2 2 2 2 2 3 2 2 5 13" xfId="11594"/>
    <cellStyle name="Normal 2 2 2 2 2 3 2 2 5 2" xfId="11595"/>
    <cellStyle name="Normal 2 2 2 2 2 3 2 2 5 2 10" xfId="11596"/>
    <cellStyle name="Normal 2 2 2 2 2 3 2 2 5 2 10 2" xfId="11597"/>
    <cellStyle name="Normal 2 2 2 2 2 3 2 2 5 2 11" xfId="11598"/>
    <cellStyle name="Normal 2 2 2 2 2 3 2 2 5 2 11 2" xfId="11599"/>
    <cellStyle name="Normal 2 2 2 2 2 3 2 2 5 2 12" xfId="11600"/>
    <cellStyle name="Normal 2 2 2 2 2 3 2 2 5 2 2" xfId="11601"/>
    <cellStyle name="Normal 2 2 2 2 2 3 2 2 5 2 2 10" xfId="11602"/>
    <cellStyle name="Normal 2 2 2 2 2 3 2 2 5 2 2 10 2" xfId="11603"/>
    <cellStyle name="Normal 2 2 2 2 2 3 2 2 5 2 2 11" xfId="11604"/>
    <cellStyle name="Normal 2 2 2 2 2 3 2 2 5 2 2 2" xfId="11605"/>
    <cellStyle name="Normal 2 2 2 2 2 3 2 2 5 2 2 2 2" xfId="11606"/>
    <cellStyle name="Normal 2 2 2 2 2 3 2 2 5 2 2 3" xfId="11607"/>
    <cellStyle name="Normal 2 2 2 2 2 3 2 2 5 2 2 3 2" xfId="11608"/>
    <cellStyle name="Normal 2 2 2 2 2 3 2 2 5 2 2 4" xfId="11609"/>
    <cellStyle name="Normal 2 2 2 2 2 3 2 2 5 2 2 4 2" xfId="11610"/>
    <cellStyle name="Normal 2 2 2 2 2 3 2 2 5 2 2 5" xfId="11611"/>
    <cellStyle name="Normal 2 2 2 2 2 3 2 2 5 2 2 5 2" xfId="11612"/>
    <cellStyle name="Normal 2 2 2 2 2 3 2 2 5 2 2 6" xfId="11613"/>
    <cellStyle name="Normal 2 2 2 2 2 3 2 2 5 2 2 6 2" xfId="11614"/>
    <cellStyle name="Normal 2 2 2 2 2 3 2 2 5 2 2 7" xfId="11615"/>
    <cellStyle name="Normal 2 2 2 2 2 3 2 2 5 2 2 7 2" xfId="11616"/>
    <cellStyle name="Normal 2 2 2 2 2 3 2 2 5 2 2 8" xfId="11617"/>
    <cellStyle name="Normal 2 2 2 2 2 3 2 2 5 2 2 8 2" xfId="11618"/>
    <cellStyle name="Normal 2 2 2 2 2 3 2 2 5 2 2 9" xfId="11619"/>
    <cellStyle name="Normal 2 2 2 2 2 3 2 2 5 2 2 9 2" xfId="11620"/>
    <cellStyle name="Normal 2 2 2 2 2 3 2 2 5 2 3" xfId="11621"/>
    <cellStyle name="Normal 2 2 2 2 2 3 2 2 5 2 3 2" xfId="11622"/>
    <cellStyle name="Normal 2 2 2 2 2 3 2 2 5 2 4" xfId="11623"/>
    <cellStyle name="Normal 2 2 2 2 2 3 2 2 5 2 4 2" xfId="11624"/>
    <cellStyle name="Normal 2 2 2 2 2 3 2 2 5 2 5" xfId="11625"/>
    <cellStyle name="Normal 2 2 2 2 2 3 2 2 5 2 5 2" xfId="11626"/>
    <cellStyle name="Normal 2 2 2 2 2 3 2 2 5 2 6" xfId="11627"/>
    <cellStyle name="Normal 2 2 2 2 2 3 2 2 5 2 6 2" xfId="11628"/>
    <cellStyle name="Normal 2 2 2 2 2 3 2 2 5 2 7" xfId="11629"/>
    <cellStyle name="Normal 2 2 2 2 2 3 2 2 5 2 7 2" xfId="11630"/>
    <cellStyle name="Normal 2 2 2 2 2 3 2 2 5 2 8" xfId="11631"/>
    <cellStyle name="Normal 2 2 2 2 2 3 2 2 5 2 8 2" xfId="11632"/>
    <cellStyle name="Normal 2 2 2 2 2 3 2 2 5 2 9" xfId="11633"/>
    <cellStyle name="Normal 2 2 2 2 2 3 2 2 5 2 9 2" xfId="11634"/>
    <cellStyle name="Normal 2 2 2 2 2 3 2 2 5 3" xfId="11635"/>
    <cellStyle name="Normal 2 2 2 2 2 3 2 2 5 3 10" xfId="11636"/>
    <cellStyle name="Normal 2 2 2 2 2 3 2 2 5 3 10 2" xfId="11637"/>
    <cellStyle name="Normal 2 2 2 2 2 3 2 2 5 3 11" xfId="11638"/>
    <cellStyle name="Normal 2 2 2 2 2 3 2 2 5 3 2" xfId="11639"/>
    <cellStyle name="Normal 2 2 2 2 2 3 2 2 5 3 2 2" xfId="11640"/>
    <cellStyle name="Normal 2 2 2 2 2 3 2 2 5 3 3" xfId="11641"/>
    <cellStyle name="Normal 2 2 2 2 2 3 2 2 5 3 3 2" xfId="11642"/>
    <cellStyle name="Normal 2 2 2 2 2 3 2 2 5 3 4" xfId="11643"/>
    <cellStyle name="Normal 2 2 2 2 2 3 2 2 5 3 4 2" xfId="11644"/>
    <cellStyle name="Normal 2 2 2 2 2 3 2 2 5 3 5" xfId="11645"/>
    <cellStyle name="Normal 2 2 2 2 2 3 2 2 5 3 5 2" xfId="11646"/>
    <cellStyle name="Normal 2 2 2 2 2 3 2 2 5 3 6" xfId="11647"/>
    <cellStyle name="Normal 2 2 2 2 2 3 2 2 5 3 6 2" xfId="11648"/>
    <cellStyle name="Normal 2 2 2 2 2 3 2 2 5 3 7" xfId="11649"/>
    <cellStyle name="Normal 2 2 2 2 2 3 2 2 5 3 7 2" xfId="11650"/>
    <cellStyle name="Normal 2 2 2 2 2 3 2 2 5 3 8" xfId="11651"/>
    <cellStyle name="Normal 2 2 2 2 2 3 2 2 5 3 8 2" xfId="11652"/>
    <cellStyle name="Normal 2 2 2 2 2 3 2 2 5 3 9" xfId="11653"/>
    <cellStyle name="Normal 2 2 2 2 2 3 2 2 5 3 9 2" xfId="11654"/>
    <cellStyle name="Normal 2 2 2 2 2 3 2 2 5 4" xfId="11655"/>
    <cellStyle name="Normal 2 2 2 2 2 3 2 2 5 4 2" xfId="11656"/>
    <cellStyle name="Normal 2 2 2 2 2 3 2 2 5 5" xfId="11657"/>
    <cellStyle name="Normal 2 2 2 2 2 3 2 2 5 5 2" xfId="11658"/>
    <cellStyle name="Normal 2 2 2 2 2 3 2 2 5 6" xfId="11659"/>
    <cellStyle name="Normal 2 2 2 2 2 3 2 2 5 6 2" xfId="11660"/>
    <cellStyle name="Normal 2 2 2 2 2 3 2 2 5 7" xfId="11661"/>
    <cellStyle name="Normal 2 2 2 2 2 3 2 2 5 7 2" xfId="11662"/>
    <cellStyle name="Normal 2 2 2 2 2 3 2 2 5 8" xfId="11663"/>
    <cellStyle name="Normal 2 2 2 2 2 3 2 2 5 8 2" xfId="11664"/>
    <cellStyle name="Normal 2 2 2 2 2 3 2 2 5 9" xfId="11665"/>
    <cellStyle name="Normal 2 2 2 2 2 3 2 2 5 9 2" xfId="11666"/>
    <cellStyle name="Normal 2 2 2 2 2 3 2 2 6" xfId="218"/>
    <cellStyle name="Normal 2 2 2 2 2 3 2 3" xfId="219"/>
    <cellStyle name="Normal 2 2 2 2 2 3 2 3 2" xfId="220"/>
    <cellStyle name="Normal 2 2 2 2 2 3 2 4" xfId="221"/>
    <cellStyle name="Normal 2 2 2 2 2 3 2 4 2" xfId="222"/>
    <cellStyle name="Normal 2 2 2 2 2 3 2 5" xfId="223"/>
    <cellStyle name="Normal 2 2 2 2 2 3 2 5 2" xfId="224"/>
    <cellStyle name="Normal 2 2 2 2 2 3 2 6" xfId="11667"/>
    <cellStyle name="Normal 2 2 2 2 2 3 2 6 10" xfId="11668"/>
    <cellStyle name="Normal 2 2 2 2 2 3 2 6 10 2" xfId="11669"/>
    <cellStyle name="Normal 2 2 2 2 2 3 2 6 11" xfId="11670"/>
    <cellStyle name="Normal 2 2 2 2 2 3 2 6 11 2" xfId="11671"/>
    <cellStyle name="Normal 2 2 2 2 2 3 2 6 12" xfId="11672"/>
    <cellStyle name="Normal 2 2 2 2 2 3 2 6 2" xfId="11673"/>
    <cellStyle name="Normal 2 2 2 2 2 3 2 6 2 10" xfId="11674"/>
    <cellStyle name="Normal 2 2 2 2 2 3 2 6 2 10 2" xfId="11675"/>
    <cellStyle name="Normal 2 2 2 2 2 3 2 6 2 11" xfId="11676"/>
    <cellStyle name="Normal 2 2 2 2 2 3 2 6 2 2" xfId="11677"/>
    <cellStyle name="Normal 2 2 2 2 2 3 2 6 2 2 2" xfId="11678"/>
    <cellStyle name="Normal 2 2 2 2 2 3 2 6 2 3" xfId="11679"/>
    <cellStyle name="Normal 2 2 2 2 2 3 2 6 2 3 2" xfId="11680"/>
    <cellStyle name="Normal 2 2 2 2 2 3 2 6 2 4" xfId="11681"/>
    <cellStyle name="Normal 2 2 2 2 2 3 2 6 2 4 2" xfId="11682"/>
    <cellStyle name="Normal 2 2 2 2 2 3 2 6 2 5" xfId="11683"/>
    <cellStyle name="Normal 2 2 2 2 2 3 2 6 2 5 2" xfId="11684"/>
    <cellStyle name="Normal 2 2 2 2 2 3 2 6 2 6" xfId="11685"/>
    <cellStyle name="Normal 2 2 2 2 2 3 2 6 2 6 2" xfId="11686"/>
    <cellStyle name="Normal 2 2 2 2 2 3 2 6 2 7" xfId="11687"/>
    <cellStyle name="Normal 2 2 2 2 2 3 2 6 2 7 2" xfId="11688"/>
    <cellStyle name="Normal 2 2 2 2 2 3 2 6 2 8" xfId="11689"/>
    <cellStyle name="Normal 2 2 2 2 2 3 2 6 2 8 2" xfId="11690"/>
    <cellStyle name="Normal 2 2 2 2 2 3 2 6 2 9" xfId="11691"/>
    <cellStyle name="Normal 2 2 2 2 2 3 2 6 2 9 2" xfId="11692"/>
    <cellStyle name="Normal 2 2 2 2 2 3 2 6 3" xfId="11693"/>
    <cellStyle name="Normal 2 2 2 2 2 3 2 6 3 2" xfId="11694"/>
    <cellStyle name="Normal 2 2 2 2 2 3 2 6 4" xfId="11695"/>
    <cellStyle name="Normal 2 2 2 2 2 3 2 6 4 2" xfId="11696"/>
    <cellStyle name="Normal 2 2 2 2 2 3 2 6 5" xfId="11697"/>
    <cellStyle name="Normal 2 2 2 2 2 3 2 6 5 2" xfId="11698"/>
    <cellStyle name="Normal 2 2 2 2 2 3 2 6 6" xfId="11699"/>
    <cellStyle name="Normal 2 2 2 2 2 3 2 6 6 2" xfId="11700"/>
    <cellStyle name="Normal 2 2 2 2 2 3 2 6 7" xfId="11701"/>
    <cellStyle name="Normal 2 2 2 2 2 3 2 6 7 2" xfId="11702"/>
    <cellStyle name="Normal 2 2 2 2 2 3 2 6 8" xfId="11703"/>
    <cellStyle name="Normal 2 2 2 2 2 3 2 6 8 2" xfId="11704"/>
    <cellStyle name="Normal 2 2 2 2 2 3 2 6 9" xfId="11705"/>
    <cellStyle name="Normal 2 2 2 2 2 3 2 6 9 2" xfId="11706"/>
    <cellStyle name="Normal 2 2 2 2 2 3 2 7" xfId="11707"/>
    <cellStyle name="Normal 2 2 2 2 2 3 2 7 10" xfId="11708"/>
    <cellStyle name="Normal 2 2 2 2 2 3 2 7 10 2" xfId="11709"/>
    <cellStyle name="Normal 2 2 2 2 2 3 2 7 11" xfId="11710"/>
    <cellStyle name="Normal 2 2 2 2 2 3 2 7 2" xfId="11711"/>
    <cellStyle name="Normal 2 2 2 2 2 3 2 7 2 2" xfId="11712"/>
    <cellStyle name="Normal 2 2 2 2 2 3 2 7 3" xfId="11713"/>
    <cellStyle name="Normal 2 2 2 2 2 3 2 7 3 2" xfId="11714"/>
    <cellStyle name="Normal 2 2 2 2 2 3 2 7 4" xfId="11715"/>
    <cellStyle name="Normal 2 2 2 2 2 3 2 7 4 2" xfId="11716"/>
    <cellStyle name="Normal 2 2 2 2 2 3 2 7 5" xfId="11717"/>
    <cellStyle name="Normal 2 2 2 2 2 3 2 7 5 2" xfId="11718"/>
    <cellStyle name="Normal 2 2 2 2 2 3 2 7 6" xfId="11719"/>
    <cellStyle name="Normal 2 2 2 2 2 3 2 7 6 2" xfId="11720"/>
    <cellStyle name="Normal 2 2 2 2 2 3 2 7 7" xfId="11721"/>
    <cellStyle name="Normal 2 2 2 2 2 3 2 7 7 2" xfId="11722"/>
    <cellStyle name="Normal 2 2 2 2 2 3 2 7 8" xfId="11723"/>
    <cellStyle name="Normal 2 2 2 2 2 3 2 7 8 2" xfId="11724"/>
    <cellStyle name="Normal 2 2 2 2 2 3 2 7 9" xfId="11725"/>
    <cellStyle name="Normal 2 2 2 2 2 3 2 7 9 2" xfId="11726"/>
    <cellStyle name="Normal 2 2 2 2 2 3 2 8" xfId="11727"/>
    <cellStyle name="Normal 2 2 2 2 2 3 2 8 2" xfId="11728"/>
    <cellStyle name="Normal 2 2 2 2 2 3 2 9" xfId="11729"/>
    <cellStyle name="Normal 2 2 2 2 2 3 2 9 2" xfId="11730"/>
    <cellStyle name="Normal 2 2 2 2 2 3 3" xfId="225"/>
    <cellStyle name="Normal 2 2 2 2 2 3 3 10" xfId="11731"/>
    <cellStyle name="Normal 2 2 2 2 2 3 3 10 2" xfId="11732"/>
    <cellStyle name="Normal 2 2 2 2 2 3 3 11" xfId="11733"/>
    <cellStyle name="Normal 2 2 2 2 2 3 3 11 2" xfId="11734"/>
    <cellStyle name="Normal 2 2 2 2 2 3 3 12" xfId="11735"/>
    <cellStyle name="Normal 2 2 2 2 2 3 3 12 2" xfId="11736"/>
    <cellStyle name="Normal 2 2 2 2 2 3 3 13" xfId="11737"/>
    <cellStyle name="Normal 2 2 2 2 2 3 3 2" xfId="11738"/>
    <cellStyle name="Normal 2 2 2 2 2 3 3 2 10" xfId="11739"/>
    <cellStyle name="Normal 2 2 2 2 2 3 3 2 10 2" xfId="11740"/>
    <cellStyle name="Normal 2 2 2 2 2 3 3 2 11" xfId="11741"/>
    <cellStyle name="Normal 2 2 2 2 2 3 3 2 11 2" xfId="11742"/>
    <cellStyle name="Normal 2 2 2 2 2 3 3 2 12" xfId="11743"/>
    <cellStyle name="Normal 2 2 2 2 2 3 3 2 2" xfId="11744"/>
    <cellStyle name="Normal 2 2 2 2 2 3 3 2 2 10" xfId="11745"/>
    <cellStyle name="Normal 2 2 2 2 2 3 3 2 2 10 2" xfId="11746"/>
    <cellStyle name="Normal 2 2 2 2 2 3 3 2 2 11" xfId="11747"/>
    <cellStyle name="Normal 2 2 2 2 2 3 3 2 2 2" xfId="11748"/>
    <cellStyle name="Normal 2 2 2 2 2 3 3 2 2 2 2" xfId="11749"/>
    <cellStyle name="Normal 2 2 2 2 2 3 3 2 2 3" xfId="11750"/>
    <cellStyle name="Normal 2 2 2 2 2 3 3 2 2 3 2" xfId="11751"/>
    <cellStyle name="Normal 2 2 2 2 2 3 3 2 2 4" xfId="11752"/>
    <cellStyle name="Normal 2 2 2 2 2 3 3 2 2 4 2" xfId="11753"/>
    <cellStyle name="Normal 2 2 2 2 2 3 3 2 2 5" xfId="11754"/>
    <cellStyle name="Normal 2 2 2 2 2 3 3 2 2 5 2" xfId="11755"/>
    <cellStyle name="Normal 2 2 2 2 2 3 3 2 2 6" xfId="11756"/>
    <cellStyle name="Normal 2 2 2 2 2 3 3 2 2 6 2" xfId="11757"/>
    <cellStyle name="Normal 2 2 2 2 2 3 3 2 2 7" xfId="11758"/>
    <cellStyle name="Normal 2 2 2 2 2 3 3 2 2 7 2" xfId="11759"/>
    <cellStyle name="Normal 2 2 2 2 2 3 3 2 2 8" xfId="11760"/>
    <cellStyle name="Normal 2 2 2 2 2 3 3 2 2 8 2" xfId="11761"/>
    <cellStyle name="Normal 2 2 2 2 2 3 3 2 2 9" xfId="11762"/>
    <cellStyle name="Normal 2 2 2 2 2 3 3 2 2 9 2" xfId="11763"/>
    <cellStyle name="Normal 2 2 2 2 2 3 3 2 3" xfId="11764"/>
    <cellStyle name="Normal 2 2 2 2 2 3 3 2 3 2" xfId="11765"/>
    <cellStyle name="Normal 2 2 2 2 2 3 3 2 4" xfId="11766"/>
    <cellStyle name="Normal 2 2 2 2 2 3 3 2 4 2" xfId="11767"/>
    <cellStyle name="Normal 2 2 2 2 2 3 3 2 5" xfId="11768"/>
    <cellStyle name="Normal 2 2 2 2 2 3 3 2 5 2" xfId="11769"/>
    <cellStyle name="Normal 2 2 2 2 2 3 3 2 6" xfId="11770"/>
    <cellStyle name="Normal 2 2 2 2 2 3 3 2 6 2" xfId="11771"/>
    <cellStyle name="Normal 2 2 2 2 2 3 3 2 7" xfId="11772"/>
    <cellStyle name="Normal 2 2 2 2 2 3 3 2 7 2" xfId="11773"/>
    <cellStyle name="Normal 2 2 2 2 2 3 3 2 8" xfId="11774"/>
    <cellStyle name="Normal 2 2 2 2 2 3 3 2 8 2" xfId="11775"/>
    <cellStyle name="Normal 2 2 2 2 2 3 3 2 9" xfId="11776"/>
    <cellStyle name="Normal 2 2 2 2 2 3 3 2 9 2" xfId="11777"/>
    <cellStyle name="Normal 2 2 2 2 2 3 3 3" xfId="11778"/>
    <cellStyle name="Normal 2 2 2 2 2 3 3 3 10" xfId="11779"/>
    <cellStyle name="Normal 2 2 2 2 2 3 3 3 10 2" xfId="11780"/>
    <cellStyle name="Normal 2 2 2 2 2 3 3 3 11" xfId="11781"/>
    <cellStyle name="Normal 2 2 2 2 2 3 3 3 2" xfId="11782"/>
    <cellStyle name="Normal 2 2 2 2 2 3 3 3 2 2" xfId="11783"/>
    <cellStyle name="Normal 2 2 2 2 2 3 3 3 3" xfId="11784"/>
    <cellStyle name="Normal 2 2 2 2 2 3 3 3 3 2" xfId="11785"/>
    <cellStyle name="Normal 2 2 2 2 2 3 3 3 4" xfId="11786"/>
    <cellStyle name="Normal 2 2 2 2 2 3 3 3 4 2" xfId="11787"/>
    <cellStyle name="Normal 2 2 2 2 2 3 3 3 5" xfId="11788"/>
    <cellStyle name="Normal 2 2 2 2 2 3 3 3 5 2" xfId="11789"/>
    <cellStyle name="Normal 2 2 2 2 2 3 3 3 6" xfId="11790"/>
    <cellStyle name="Normal 2 2 2 2 2 3 3 3 6 2" xfId="11791"/>
    <cellStyle name="Normal 2 2 2 2 2 3 3 3 7" xfId="11792"/>
    <cellStyle name="Normal 2 2 2 2 2 3 3 3 7 2" xfId="11793"/>
    <cellStyle name="Normal 2 2 2 2 2 3 3 3 8" xfId="11794"/>
    <cellStyle name="Normal 2 2 2 2 2 3 3 3 8 2" xfId="11795"/>
    <cellStyle name="Normal 2 2 2 2 2 3 3 3 9" xfId="11796"/>
    <cellStyle name="Normal 2 2 2 2 2 3 3 3 9 2" xfId="11797"/>
    <cellStyle name="Normal 2 2 2 2 2 3 3 4" xfId="11798"/>
    <cellStyle name="Normal 2 2 2 2 2 3 3 4 2" xfId="11799"/>
    <cellStyle name="Normal 2 2 2 2 2 3 3 5" xfId="11800"/>
    <cellStyle name="Normal 2 2 2 2 2 3 3 5 2" xfId="11801"/>
    <cellStyle name="Normal 2 2 2 2 2 3 3 6" xfId="11802"/>
    <cellStyle name="Normal 2 2 2 2 2 3 3 6 2" xfId="11803"/>
    <cellStyle name="Normal 2 2 2 2 2 3 3 7" xfId="11804"/>
    <cellStyle name="Normal 2 2 2 2 2 3 3 7 2" xfId="11805"/>
    <cellStyle name="Normal 2 2 2 2 2 3 3 8" xfId="11806"/>
    <cellStyle name="Normal 2 2 2 2 2 3 3 8 2" xfId="11807"/>
    <cellStyle name="Normal 2 2 2 2 2 3 3 9" xfId="11808"/>
    <cellStyle name="Normal 2 2 2 2 2 3 3 9 2" xfId="11809"/>
    <cellStyle name="Normal 2 2 2 2 2 3 4" xfId="226"/>
    <cellStyle name="Normal 2 2 2 2 2 3 4 10" xfId="11810"/>
    <cellStyle name="Normal 2 2 2 2 2 3 4 10 2" xfId="11811"/>
    <cellStyle name="Normal 2 2 2 2 2 3 4 11" xfId="11812"/>
    <cellStyle name="Normal 2 2 2 2 2 3 4 11 2" xfId="11813"/>
    <cellStyle name="Normal 2 2 2 2 2 3 4 12" xfId="11814"/>
    <cellStyle name="Normal 2 2 2 2 2 3 4 12 2" xfId="11815"/>
    <cellStyle name="Normal 2 2 2 2 2 3 4 13" xfId="11816"/>
    <cellStyle name="Normal 2 2 2 2 2 3 4 2" xfId="11817"/>
    <cellStyle name="Normal 2 2 2 2 2 3 4 2 10" xfId="11818"/>
    <cellStyle name="Normal 2 2 2 2 2 3 4 2 10 2" xfId="11819"/>
    <cellStyle name="Normal 2 2 2 2 2 3 4 2 11" xfId="11820"/>
    <cellStyle name="Normal 2 2 2 2 2 3 4 2 11 2" xfId="11821"/>
    <cellStyle name="Normal 2 2 2 2 2 3 4 2 12" xfId="11822"/>
    <cellStyle name="Normal 2 2 2 2 2 3 4 2 2" xfId="11823"/>
    <cellStyle name="Normal 2 2 2 2 2 3 4 2 2 10" xfId="11824"/>
    <cellStyle name="Normal 2 2 2 2 2 3 4 2 2 10 2" xfId="11825"/>
    <cellStyle name="Normal 2 2 2 2 2 3 4 2 2 11" xfId="11826"/>
    <cellStyle name="Normal 2 2 2 2 2 3 4 2 2 2" xfId="11827"/>
    <cellStyle name="Normal 2 2 2 2 2 3 4 2 2 2 2" xfId="11828"/>
    <cellStyle name="Normal 2 2 2 2 2 3 4 2 2 3" xfId="11829"/>
    <cellStyle name="Normal 2 2 2 2 2 3 4 2 2 3 2" xfId="11830"/>
    <cellStyle name="Normal 2 2 2 2 2 3 4 2 2 4" xfId="11831"/>
    <cellStyle name="Normal 2 2 2 2 2 3 4 2 2 4 2" xfId="11832"/>
    <cellStyle name="Normal 2 2 2 2 2 3 4 2 2 5" xfId="11833"/>
    <cellStyle name="Normal 2 2 2 2 2 3 4 2 2 5 2" xfId="11834"/>
    <cellStyle name="Normal 2 2 2 2 2 3 4 2 2 6" xfId="11835"/>
    <cellStyle name="Normal 2 2 2 2 2 3 4 2 2 6 2" xfId="11836"/>
    <cellStyle name="Normal 2 2 2 2 2 3 4 2 2 7" xfId="11837"/>
    <cellStyle name="Normal 2 2 2 2 2 3 4 2 2 7 2" xfId="11838"/>
    <cellStyle name="Normal 2 2 2 2 2 3 4 2 2 8" xfId="11839"/>
    <cellStyle name="Normal 2 2 2 2 2 3 4 2 2 8 2" xfId="11840"/>
    <cellStyle name="Normal 2 2 2 2 2 3 4 2 2 9" xfId="11841"/>
    <cellStyle name="Normal 2 2 2 2 2 3 4 2 2 9 2" xfId="11842"/>
    <cellStyle name="Normal 2 2 2 2 2 3 4 2 3" xfId="11843"/>
    <cellStyle name="Normal 2 2 2 2 2 3 4 2 3 2" xfId="11844"/>
    <cellStyle name="Normal 2 2 2 2 2 3 4 2 4" xfId="11845"/>
    <cellStyle name="Normal 2 2 2 2 2 3 4 2 4 2" xfId="11846"/>
    <cellStyle name="Normal 2 2 2 2 2 3 4 2 5" xfId="11847"/>
    <cellStyle name="Normal 2 2 2 2 2 3 4 2 5 2" xfId="11848"/>
    <cellStyle name="Normal 2 2 2 2 2 3 4 2 6" xfId="11849"/>
    <cellStyle name="Normal 2 2 2 2 2 3 4 2 6 2" xfId="11850"/>
    <cellStyle name="Normal 2 2 2 2 2 3 4 2 7" xfId="11851"/>
    <cellStyle name="Normal 2 2 2 2 2 3 4 2 7 2" xfId="11852"/>
    <cellStyle name="Normal 2 2 2 2 2 3 4 2 8" xfId="11853"/>
    <cellStyle name="Normal 2 2 2 2 2 3 4 2 8 2" xfId="11854"/>
    <cellStyle name="Normal 2 2 2 2 2 3 4 2 9" xfId="11855"/>
    <cellStyle name="Normal 2 2 2 2 2 3 4 2 9 2" xfId="11856"/>
    <cellStyle name="Normal 2 2 2 2 2 3 4 3" xfId="11857"/>
    <cellStyle name="Normal 2 2 2 2 2 3 4 3 10" xfId="11858"/>
    <cellStyle name="Normal 2 2 2 2 2 3 4 3 10 2" xfId="11859"/>
    <cellStyle name="Normal 2 2 2 2 2 3 4 3 11" xfId="11860"/>
    <cellStyle name="Normal 2 2 2 2 2 3 4 3 2" xfId="11861"/>
    <cellStyle name="Normal 2 2 2 2 2 3 4 3 2 2" xfId="11862"/>
    <cellStyle name="Normal 2 2 2 2 2 3 4 3 3" xfId="11863"/>
    <cellStyle name="Normal 2 2 2 2 2 3 4 3 3 2" xfId="11864"/>
    <cellStyle name="Normal 2 2 2 2 2 3 4 3 4" xfId="11865"/>
    <cellStyle name="Normal 2 2 2 2 2 3 4 3 4 2" xfId="11866"/>
    <cellStyle name="Normal 2 2 2 2 2 3 4 3 5" xfId="11867"/>
    <cellStyle name="Normal 2 2 2 2 2 3 4 3 5 2" xfId="11868"/>
    <cellStyle name="Normal 2 2 2 2 2 3 4 3 6" xfId="11869"/>
    <cellStyle name="Normal 2 2 2 2 2 3 4 3 6 2" xfId="11870"/>
    <cellStyle name="Normal 2 2 2 2 2 3 4 3 7" xfId="11871"/>
    <cellStyle name="Normal 2 2 2 2 2 3 4 3 7 2" xfId="11872"/>
    <cellStyle name="Normal 2 2 2 2 2 3 4 3 8" xfId="11873"/>
    <cellStyle name="Normal 2 2 2 2 2 3 4 3 8 2" xfId="11874"/>
    <cellStyle name="Normal 2 2 2 2 2 3 4 3 9" xfId="11875"/>
    <cellStyle name="Normal 2 2 2 2 2 3 4 3 9 2" xfId="11876"/>
    <cellStyle name="Normal 2 2 2 2 2 3 4 4" xfId="11877"/>
    <cellStyle name="Normal 2 2 2 2 2 3 4 4 2" xfId="11878"/>
    <cellStyle name="Normal 2 2 2 2 2 3 4 5" xfId="11879"/>
    <cellStyle name="Normal 2 2 2 2 2 3 4 5 2" xfId="11880"/>
    <cellStyle name="Normal 2 2 2 2 2 3 4 6" xfId="11881"/>
    <cellStyle name="Normal 2 2 2 2 2 3 4 6 2" xfId="11882"/>
    <cellStyle name="Normal 2 2 2 2 2 3 4 7" xfId="11883"/>
    <cellStyle name="Normal 2 2 2 2 2 3 4 7 2" xfId="11884"/>
    <cellStyle name="Normal 2 2 2 2 2 3 4 8" xfId="11885"/>
    <cellStyle name="Normal 2 2 2 2 2 3 4 8 2" xfId="11886"/>
    <cellStyle name="Normal 2 2 2 2 2 3 4 9" xfId="11887"/>
    <cellStyle name="Normal 2 2 2 2 2 3 4 9 2" xfId="11888"/>
    <cellStyle name="Normal 2 2 2 2 2 3 5" xfId="227"/>
    <cellStyle name="Normal 2 2 2 2 2 3 5 10" xfId="11889"/>
    <cellStyle name="Normal 2 2 2 2 2 3 5 10 2" xfId="11890"/>
    <cellStyle name="Normal 2 2 2 2 2 3 5 11" xfId="11891"/>
    <cellStyle name="Normal 2 2 2 2 2 3 5 11 2" xfId="11892"/>
    <cellStyle name="Normal 2 2 2 2 2 3 5 12" xfId="11893"/>
    <cellStyle name="Normal 2 2 2 2 2 3 5 12 2" xfId="11894"/>
    <cellStyle name="Normal 2 2 2 2 2 3 5 13" xfId="11895"/>
    <cellStyle name="Normal 2 2 2 2 2 3 5 2" xfId="11896"/>
    <cellStyle name="Normal 2 2 2 2 2 3 5 2 10" xfId="11897"/>
    <cellStyle name="Normal 2 2 2 2 2 3 5 2 10 2" xfId="11898"/>
    <cellStyle name="Normal 2 2 2 2 2 3 5 2 11" xfId="11899"/>
    <cellStyle name="Normal 2 2 2 2 2 3 5 2 11 2" xfId="11900"/>
    <cellStyle name="Normal 2 2 2 2 2 3 5 2 12" xfId="11901"/>
    <cellStyle name="Normal 2 2 2 2 2 3 5 2 2" xfId="11902"/>
    <cellStyle name="Normal 2 2 2 2 2 3 5 2 2 10" xfId="11903"/>
    <cellStyle name="Normal 2 2 2 2 2 3 5 2 2 10 2" xfId="11904"/>
    <cellStyle name="Normal 2 2 2 2 2 3 5 2 2 11" xfId="11905"/>
    <cellStyle name="Normal 2 2 2 2 2 3 5 2 2 2" xfId="11906"/>
    <cellStyle name="Normal 2 2 2 2 2 3 5 2 2 2 2" xfId="11907"/>
    <cellStyle name="Normal 2 2 2 2 2 3 5 2 2 3" xfId="11908"/>
    <cellStyle name="Normal 2 2 2 2 2 3 5 2 2 3 2" xfId="11909"/>
    <cellStyle name="Normal 2 2 2 2 2 3 5 2 2 4" xfId="11910"/>
    <cellStyle name="Normal 2 2 2 2 2 3 5 2 2 4 2" xfId="11911"/>
    <cellStyle name="Normal 2 2 2 2 2 3 5 2 2 5" xfId="11912"/>
    <cellStyle name="Normal 2 2 2 2 2 3 5 2 2 5 2" xfId="11913"/>
    <cellStyle name="Normal 2 2 2 2 2 3 5 2 2 6" xfId="11914"/>
    <cellStyle name="Normal 2 2 2 2 2 3 5 2 2 6 2" xfId="11915"/>
    <cellStyle name="Normal 2 2 2 2 2 3 5 2 2 7" xfId="11916"/>
    <cellStyle name="Normal 2 2 2 2 2 3 5 2 2 7 2" xfId="11917"/>
    <cellStyle name="Normal 2 2 2 2 2 3 5 2 2 8" xfId="11918"/>
    <cellStyle name="Normal 2 2 2 2 2 3 5 2 2 8 2" xfId="11919"/>
    <cellStyle name="Normal 2 2 2 2 2 3 5 2 2 9" xfId="11920"/>
    <cellStyle name="Normal 2 2 2 2 2 3 5 2 2 9 2" xfId="11921"/>
    <cellStyle name="Normal 2 2 2 2 2 3 5 2 3" xfId="11922"/>
    <cellStyle name="Normal 2 2 2 2 2 3 5 2 3 2" xfId="11923"/>
    <cellStyle name="Normal 2 2 2 2 2 3 5 2 4" xfId="11924"/>
    <cellStyle name="Normal 2 2 2 2 2 3 5 2 4 2" xfId="11925"/>
    <cellStyle name="Normal 2 2 2 2 2 3 5 2 5" xfId="11926"/>
    <cellStyle name="Normal 2 2 2 2 2 3 5 2 5 2" xfId="11927"/>
    <cellStyle name="Normal 2 2 2 2 2 3 5 2 6" xfId="11928"/>
    <cellStyle name="Normal 2 2 2 2 2 3 5 2 6 2" xfId="11929"/>
    <cellStyle name="Normal 2 2 2 2 2 3 5 2 7" xfId="11930"/>
    <cellStyle name="Normal 2 2 2 2 2 3 5 2 7 2" xfId="11931"/>
    <cellStyle name="Normal 2 2 2 2 2 3 5 2 8" xfId="11932"/>
    <cellStyle name="Normal 2 2 2 2 2 3 5 2 8 2" xfId="11933"/>
    <cellStyle name="Normal 2 2 2 2 2 3 5 2 9" xfId="11934"/>
    <cellStyle name="Normal 2 2 2 2 2 3 5 2 9 2" xfId="11935"/>
    <cellStyle name="Normal 2 2 2 2 2 3 5 3" xfId="11936"/>
    <cellStyle name="Normal 2 2 2 2 2 3 5 3 10" xfId="11937"/>
    <cellStyle name="Normal 2 2 2 2 2 3 5 3 10 2" xfId="11938"/>
    <cellStyle name="Normal 2 2 2 2 2 3 5 3 11" xfId="11939"/>
    <cellStyle name="Normal 2 2 2 2 2 3 5 3 2" xfId="11940"/>
    <cellStyle name="Normal 2 2 2 2 2 3 5 3 2 2" xfId="11941"/>
    <cellStyle name="Normal 2 2 2 2 2 3 5 3 3" xfId="11942"/>
    <cellStyle name="Normal 2 2 2 2 2 3 5 3 3 2" xfId="11943"/>
    <cellStyle name="Normal 2 2 2 2 2 3 5 3 4" xfId="11944"/>
    <cellStyle name="Normal 2 2 2 2 2 3 5 3 4 2" xfId="11945"/>
    <cellStyle name="Normal 2 2 2 2 2 3 5 3 5" xfId="11946"/>
    <cellStyle name="Normal 2 2 2 2 2 3 5 3 5 2" xfId="11947"/>
    <cellStyle name="Normal 2 2 2 2 2 3 5 3 6" xfId="11948"/>
    <cellStyle name="Normal 2 2 2 2 2 3 5 3 6 2" xfId="11949"/>
    <cellStyle name="Normal 2 2 2 2 2 3 5 3 7" xfId="11950"/>
    <cellStyle name="Normal 2 2 2 2 2 3 5 3 7 2" xfId="11951"/>
    <cellStyle name="Normal 2 2 2 2 2 3 5 3 8" xfId="11952"/>
    <cellStyle name="Normal 2 2 2 2 2 3 5 3 8 2" xfId="11953"/>
    <cellStyle name="Normal 2 2 2 2 2 3 5 3 9" xfId="11954"/>
    <cellStyle name="Normal 2 2 2 2 2 3 5 3 9 2" xfId="11955"/>
    <cellStyle name="Normal 2 2 2 2 2 3 5 4" xfId="11956"/>
    <cellStyle name="Normal 2 2 2 2 2 3 5 4 2" xfId="11957"/>
    <cellStyle name="Normal 2 2 2 2 2 3 5 5" xfId="11958"/>
    <cellStyle name="Normal 2 2 2 2 2 3 5 5 2" xfId="11959"/>
    <cellStyle name="Normal 2 2 2 2 2 3 5 6" xfId="11960"/>
    <cellStyle name="Normal 2 2 2 2 2 3 5 6 2" xfId="11961"/>
    <cellStyle name="Normal 2 2 2 2 2 3 5 7" xfId="11962"/>
    <cellStyle name="Normal 2 2 2 2 2 3 5 7 2" xfId="11963"/>
    <cellStyle name="Normal 2 2 2 2 2 3 5 8" xfId="11964"/>
    <cellStyle name="Normal 2 2 2 2 2 3 5 8 2" xfId="11965"/>
    <cellStyle name="Normal 2 2 2 2 2 3 5 9" xfId="11966"/>
    <cellStyle name="Normal 2 2 2 2 2 3 5 9 2" xfId="11967"/>
    <cellStyle name="Normal 2 2 2 2 2 3 6" xfId="228"/>
    <cellStyle name="Normal 2 2 2 2 2 3 6 10" xfId="11968"/>
    <cellStyle name="Normal 2 2 2 2 2 3 6 10 2" xfId="11969"/>
    <cellStyle name="Normal 2 2 2 2 2 3 6 11" xfId="11970"/>
    <cellStyle name="Normal 2 2 2 2 2 3 6 11 2" xfId="11971"/>
    <cellStyle name="Normal 2 2 2 2 2 3 6 12" xfId="11972"/>
    <cellStyle name="Normal 2 2 2 2 2 3 6 12 2" xfId="11973"/>
    <cellStyle name="Normal 2 2 2 2 2 3 6 13" xfId="11974"/>
    <cellStyle name="Normal 2 2 2 2 2 3 6 2" xfId="11975"/>
    <cellStyle name="Normal 2 2 2 2 2 3 6 2 10" xfId="11976"/>
    <cellStyle name="Normal 2 2 2 2 2 3 6 2 10 2" xfId="11977"/>
    <cellStyle name="Normal 2 2 2 2 2 3 6 2 11" xfId="11978"/>
    <cellStyle name="Normal 2 2 2 2 2 3 6 2 11 2" xfId="11979"/>
    <cellStyle name="Normal 2 2 2 2 2 3 6 2 12" xfId="11980"/>
    <cellStyle name="Normal 2 2 2 2 2 3 6 2 2" xfId="11981"/>
    <cellStyle name="Normal 2 2 2 2 2 3 6 2 2 10" xfId="11982"/>
    <cellStyle name="Normal 2 2 2 2 2 3 6 2 2 10 2" xfId="11983"/>
    <cellStyle name="Normal 2 2 2 2 2 3 6 2 2 11" xfId="11984"/>
    <cellStyle name="Normal 2 2 2 2 2 3 6 2 2 2" xfId="11985"/>
    <cellStyle name="Normal 2 2 2 2 2 3 6 2 2 2 2" xfId="11986"/>
    <cellStyle name="Normal 2 2 2 2 2 3 6 2 2 3" xfId="11987"/>
    <cellStyle name="Normal 2 2 2 2 2 3 6 2 2 3 2" xfId="11988"/>
    <cellStyle name="Normal 2 2 2 2 2 3 6 2 2 4" xfId="11989"/>
    <cellStyle name="Normal 2 2 2 2 2 3 6 2 2 4 2" xfId="11990"/>
    <cellStyle name="Normal 2 2 2 2 2 3 6 2 2 5" xfId="11991"/>
    <cellStyle name="Normal 2 2 2 2 2 3 6 2 2 5 2" xfId="11992"/>
    <cellStyle name="Normal 2 2 2 2 2 3 6 2 2 6" xfId="11993"/>
    <cellStyle name="Normal 2 2 2 2 2 3 6 2 2 6 2" xfId="11994"/>
    <cellStyle name="Normal 2 2 2 2 2 3 6 2 2 7" xfId="11995"/>
    <cellStyle name="Normal 2 2 2 2 2 3 6 2 2 7 2" xfId="11996"/>
    <cellStyle name="Normal 2 2 2 2 2 3 6 2 2 8" xfId="11997"/>
    <cellStyle name="Normal 2 2 2 2 2 3 6 2 2 8 2" xfId="11998"/>
    <cellStyle name="Normal 2 2 2 2 2 3 6 2 2 9" xfId="11999"/>
    <cellStyle name="Normal 2 2 2 2 2 3 6 2 2 9 2" xfId="12000"/>
    <cellStyle name="Normal 2 2 2 2 2 3 6 2 3" xfId="12001"/>
    <cellStyle name="Normal 2 2 2 2 2 3 6 2 3 2" xfId="12002"/>
    <cellStyle name="Normal 2 2 2 2 2 3 6 2 4" xfId="12003"/>
    <cellStyle name="Normal 2 2 2 2 2 3 6 2 4 2" xfId="12004"/>
    <cellStyle name="Normal 2 2 2 2 2 3 6 2 5" xfId="12005"/>
    <cellStyle name="Normal 2 2 2 2 2 3 6 2 5 2" xfId="12006"/>
    <cellStyle name="Normal 2 2 2 2 2 3 6 2 6" xfId="12007"/>
    <cellStyle name="Normal 2 2 2 2 2 3 6 2 6 2" xfId="12008"/>
    <cellStyle name="Normal 2 2 2 2 2 3 6 2 7" xfId="12009"/>
    <cellStyle name="Normal 2 2 2 2 2 3 6 2 7 2" xfId="12010"/>
    <cellStyle name="Normal 2 2 2 2 2 3 6 2 8" xfId="12011"/>
    <cellStyle name="Normal 2 2 2 2 2 3 6 2 8 2" xfId="12012"/>
    <cellStyle name="Normal 2 2 2 2 2 3 6 2 9" xfId="12013"/>
    <cellStyle name="Normal 2 2 2 2 2 3 6 2 9 2" xfId="12014"/>
    <cellStyle name="Normal 2 2 2 2 2 3 6 3" xfId="12015"/>
    <cellStyle name="Normal 2 2 2 2 2 3 6 3 10" xfId="12016"/>
    <cellStyle name="Normal 2 2 2 2 2 3 6 3 10 2" xfId="12017"/>
    <cellStyle name="Normal 2 2 2 2 2 3 6 3 11" xfId="12018"/>
    <cellStyle name="Normal 2 2 2 2 2 3 6 3 2" xfId="12019"/>
    <cellStyle name="Normal 2 2 2 2 2 3 6 3 2 2" xfId="12020"/>
    <cellStyle name="Normal 2 2 2 2 2 3 6 3 3" xfId="12021"/>
    <cellStyle name="Normal 2 2 2 2 2 3 6 3 3 2" xfId="12022"/>
    <cellStyle name="Normal 2 2 2 2 2 3 6 3 4" xfId="12023"/>
    <cellStyle name="Normal 2 2 2 2 2 3 6 3 4 2" xfId="12024"/>
    <cellStyle name="Normal 2 2 2 2 2 3 6 3 5" xfId="12025"/>
    <cellStyle name="Normal 2 2 2 2 2 3 6 3 5 2" xfId="12026"/>
    <cellStyle name="Normal 2 2 2 2 2 3 6 3 6" xfId="12027"/>
    <cellStyle name="Normal 2 2 2 2 2 3 6 3 6 2" xfId="12028"/>
    <cellStyle name="Normal 2 2 2 2 2 3 6 3 7" xfId="12029"/>
    <cellStyle name="Normal 2 2 2 2 2 3 6 3 7 2" xfId="12030"/>
    <cellStyle name="Normal 2 2 2 2 2 3 6 3 8" xfId="12031"/>
    <cellStyle name="Normal 2 2 2 2 2 3 6 3 8 2" xfId="12032"/>
    <cellStyle name="Normal 2 2 2 2 2 3 6 3 9" xfId="12033"/>
    <cellStyle name="Normal 2 2 2 2 2 3 6 3 9 2" xfId="12034"/>
    <cellStyle name="Normal 2 2 2 2 2 3 6 4" xfId="12035"/>
    <cellStyle name="Normal 2 2 2 2 2 3 6 4 2" xfId="12036"/>
    <cellStyle name="Normal 2 2 2 2 2 3 6 5" xfId="12037"/>
    <cellStyle name="Normal 2 2 2 2 2 3 6 5 2" xfId="12038"/>
    <cellStyle name="Normal 2 2 2 2 2 3 6 6" xfId="12039"/>
    <cellStyle name="Normal 2 2 2 2 2 3 6 6 2" xfId="12040"/>
    <cellStyle name="Normal 2 2 2 2 2 3 6 7" xfId="12041"/>
    <cellStyle name="Normal 2 2 2 2 2 3 6 7 2" xfId="12042"/>
    <cellStyle name="Normal 2 2 2 2 2 3 6 8" xfId="12043"/>
    <cellStyle name="Normal 2 2 2 2 2 3 6 8 2" xfId="12044"/>
    <cellStyle name="Normal 2 2 2 2 2 3 6 9" xfId="12045"/>
    <cellStyle name="Normal 2 2 2 2 2 3 6 9 2" xfId="12046"/>
    <cellStyle name="Normal 2 2 2 2 2 3 7" xfId="229"/>
    <cellStyle name="Normal 2 2 2 2 2 4" xfId="230"/>
    <cellStyle name="Normal 2 2 2 2 2 4 10" xfId="12047"/>
    <cellStyle name="Normal 2 2 2 2 2 4 10 2" xfId="12048"/>
    <cellStyle name="Normal 2 2 2 2 2 4 11" xfId="12049"/>
    <cellStyle name="Normal 2 2 2 2 2 4 11 2" xfId="12050"/>
    <cellStyle name="Normal 2 2 2 2 2 4 12" xfId="12051"/>
    <cellStyle name="Normal 2 2 2 2 2 4 12 2" xfId="12052"/>
    <cellStyle name="Normal 2 2 2 2 2 4 13" xfId="12053"/>
    <cellStyle name="Normal 2 2 2 2 2 4 2" xfId="12054"/>
    <cellStyle name="Normal 2 2 2 2 2 4 2 10" xfId="12055"/>
    <cellStyle name="Normal 2 2 2 2 2 4 2 10 2" xfId="12056"/>
    <cellStyle name="Normal 2 2 2 2 2 4 2 11" xfId="12057"/>
    <cellStyle name="Normal 2 2 2 2 2 4 2 11 2" xfId="12058"/>
    <cellStyle name="Normal 2 2 2 2 2 4 2 12" xfId="12059"/>
    <cellStyle name="Normal 2 2 2 2 2 4 2 2" xfId="12060"/>
    <cellStyle name="Normal 2 2 2 2 2 4 2 2 10" xfId="12061"/>
    <cellStyle name="Normal 2 2 2 2 2 4 2 2 10 2" xfId="12062"/>
    <cellStyle name="Normal 2 2 2 2 2 4 2 2 11" xfId="12063"/>
    <cellStyle name="Normal 2 2 2 2 2 4 2 2 2" xfId="12064"/>
    <cellStyle name="Normal 2 2 2 2 2 4 2 2 2 2" xfId="12065"/>
    <cellStyle name="Normal 2 2 2 2 2 4 2 2 3" xfId="12066"/>
    <cellStyle name="Normal 2 2 2 2 2 4 2 2 3 2" xfId="12067"/>
    <cellStyle name="Normal 2 2 2 2 2 4 2 2 4" xfId="12068"/>
    <cellStyle name="Normal 2 2 2 2 2 4 2 2 4 2" xfId="12069"/>
    <cellStyle name="Normal 2 2 2 2 2 4 2 2 5" xfId="12070"/>
    <cellStyle name="Normal 2 2 2 2 2 4 2 2 5 2" xfId="12071"/>
    <cellStyle name="Normal 2 2 2 2 2 4 2 2 6" xfId="12072"/>
    <cellStyle name="Normal 2 2 2 2 2 4 2 2 6 2" xfId="12073"/>
    <cellStyle name="Normal 2 2 2 2 2 4 2 2 7" xfId="12074"/>
    <cellStyle name="Normal 2 2 2 2 2 4 2 2 7 2" xfId="12075"/>
    <cellStyle name="Normal 2 2 2 2 2 4 2 2 8" xfId="12076"/>
    <cellStyle name="Normal 2 2 2 2 2 4 2 2 8 2" xfId="12077"/>
    <cellStyle name="Normal 2 2 2 2 2 4 2 2 9" xfId="12078"/>
    <cellStyle name="Normal 2 2 2 2 2 4 2 2 9 2" xfId="12079"/>
    <cellStyle name="Normal 2 2 2 2 2 4 2 3" xfId="12080"/>
    <cellStyle name="Normal 2 2 2 2 2 4 2 3 2" xfId="12081"/>
    <cellStyle name="Normal 2 2 2 2 2 4 2 4" xfId="12082"/>
    <cellStyle name="Normal 2 2 2 2 2 4 2 4 2" xfId="12083"/>
    <cellStyle name="Normal 2 2 2 2 2 4 2 5" xfId="12084"/>
    <cellStyle name="Normal 2 2 2 2 2 4 2 5 2" xfId="12085"/>
    <cellStyle name="Normal 2 2 2 2 2 4 2 6" xfId="12086"/>
    <cellStyle name="Normal 2 2 2 2 2 4 2 6 2" xfId="12087"/>
    <cellStyle name="Normal 2 2 2 2 2 4 2 7" xfId="12088"/>
    <cellStyle name="Normal 2 2 2 2 2 4 2 7 2" xfId="12089"/>
    <cellStyle name="Normal 2 2 2 2 2 4 2 8" xfId="12090"/>
    <cellStyle name="Normal 2 2 2 2 2 4 2 8 2" xfId="12091"/>
    <cellStyle name="Normal 2 2 2 2 2 4 2 9" xfId="12092"/>
    <cellStyle name="Normal 2 2 2 2 2 4 2 9 2" xfId="12093"/>
    <cellStyle name="Normal 2 2 2 2 2 4 3" xfId="12094"/>
    <cellStyle name="Normal 2 2 2 2 2 4 3 10" xfId="12095"/>
    <cellStyle name="Normal 2 2 2 2 2 4 3 10 2" xfId="12096"/>
    <cellStyle name="Normal 2 2 2 2 2 4 3 11" xfId="12097"/>
    <cellStyle name="Normal 2 2 2 2 2 4 3 2" xfId="12098"/>
    <cellStyle name="Normal 2 2 2 2 2 4 3 2 2" xfId="12099"/>
    <cellStyle name="Normal 2 2 2 2 2 4 3 3" xfId="12100"/>
    <cellStyle name="Normal 2 2 2 2 2 4 3 3 2" xfId="12101"/>
    <cellStyle name="Normal 2 2 2 2 2 4 3 4" xfId="12102"/>
    <cellStyle name="Normal 2 2 2 2 2 4 3 4 2" xfId="12103"/>
    <cellStyle name="Normal 2 2 2 2 2 4 3 5" xfId="12104"/>
    <cellStyle name="Normal 2 2 2 2 2 4 3 5 2" xfId="12105"/>
    <cellStyle name="Normal 2 2 2 2 2 4 3 6" xfId="12106"/>
    <cellStyle name="Normal 2 2 2 2 2 4 3 6 2" xfId="12107"/>
    <cellStyle name="Normal 2 2 2 2 2 4 3 7" xfId="12108"/>
    <cellStyle name="Normal 2 2 2 2 2 4 3 7 2" xfId="12109"/>
    <cellStyle name="Normal 2 2 2 2 2 4 3 8" xfId="12110"/>
    <cellStyle name="Normal 2 2 2 2 2 4 3 8 2" xfId="12111"/>
    <cellStyle name="Normal 2 2 2 2 2 4 3 9" xfId="12112"/>
    <cellStyle name="Normal 2 2 2 2 2 4 3 9 2" xfId="12113"/>
    <cellStyle name="Normal 2 2 2 2 2 4 4" xfId="12114"/>
    <cellStyle name="Normal 2 2 2 2 2 4 4 2" xfId="12115"/>
    <cellStyle name="Normal 2 2 2 2 2 4 5" xfId="12116"/>
    <cellStyle name="Normal 2 2 2 2 2 4 5 2" xfId="12117"/>
    <cellStyle name="Normal 2 2 2 2 2 4 6" xfId="12118"/>
    <cellStyle name="Normal 2 2 2 2 2 4 6 2" xfId="12119"/>
    <cellStyle name="Normal 2 2 2 2 2 4 7" xfId="12120"/>
    <cellStyle name="Normal 2 2 2 2 2 4 7 2" xfId="12121"/>
    <cellStyle name="Normal 2 2 2 2 2 4 8" xfId="12122"/>
    <cellStyle name="Normal 2 2 2 2 2 4 8 2" xfId="12123"/>
    <cellStyle name="Normal 2 2 2 2 2 4 9" xfId="12124"/>
    <cellStyle name="Normal 2 2 2 2 2 4 9 2" xfId="12125"/>
    <cellStyle name="Normal 2 2 2 2 2 5" xfId="231"/>
    <cellStyle name="Normal 2 2 2 2 2 5 10" xfId="12126"/>
    <cellStyle name="Normal 2 2 2 2 2 5 10 2" xfId="12127"/>
    <cellStyle name="Normal 2 2 2 2 2 5 11" xfId="12128"/>
    <cellStyle name="Normal 2 2 2 2 2 5 11 2" xfId="12129"/>
    <cellStyle name="Normal 2 2 2 2 2 5 12" xfId="12130"/>
    <cellStyle name="Normal 2 2 2 2 2 5 12 2" xfId="12131"/>
    <cellStyle name="Normal 2 2 2 2 2 5 13" xfId="12132"/>
    <cellStyle name="Normal 2 2 2 2 2 5 2" xfId="12133"/>
    <cellStyle name="Normal 2 2 2 2 2 5 2 10" xfId="12134"/>
    <cellStyle name="Normal 2 2 2 2 2 5 2 10 2" xfId="12135"/>
    <cellStyle name="Normal 2 2 2 2 2 5 2 11" xfId="12136"/>
    <cellStyle name="Normal 2 2 2 2 2 5 2 11 2" xfId="12137"/>
    <cellStyle name="Normal 2 2 2 2 2 5 2 12" xfId="12138"/>
    <cellStyle name="Normal 2 2 2 2 2 5 2 2" xfId="12139"/>
    <cellStyle name="Normal 2 2 2 2 2 5 2 2 10" xfId="12140"/>
    <cellStyle name="Normal 2 2 2 2 2 5 2 2 10 2" xfId="12141"/>
    <cellStyle name="Normal 2 2 2 2 2 5 2 2 11" xfId="12142"/>
    <cellStyle name="Normal 2 2 2 2 2 5 2 2 2" xfId="12143"/>
    <cellStyle name="Normal 2 2 2 2 2 5 2 2 2 2" xfId="12144"/>
    <cellStyle name="Normal 2 2 2 2 2 5 2 2 3" xfId="12145"/>
    <cellStyle name="Normal 2 2 2 2 2 5 2 2 3 2" xfId="12146"/>
    <cellStyle name="Normal 2 2 2 2 2 5 2 2 4" xfId="12147"/>
    <cellStyle name="Normal 2 2 2 2 2 5 2 2 4 2" xfId="12148"/>
    <cellStyle name="Normal 2 2 2 2 2 5 2 2 5" xfId="12149"/>
    <cellStyle name="Normal 2 2 2 2 2 5 2 2 5 2" xfId="12150"/>
    <cellStyle name="Normal 2 2 2 2 2 5 2 2 6" xfId="12151"/>
    <cellStyle name="Normal 2 2 2 2 2 5 2 2 6 2" xfId="12152"/>
    <cellStyle name="Normal 2 2 2 2 2 5 2 2 7" xfId="12153"/>
    <cellStyle name="Normal 2 2 2 2 2 5 2 2 7 2" xfId="12154"/>
    <cellStyle name="Normal 2 2 2 2 2 5 2 2 8" xfId="12155"/>
    <cellStyle name="Normal 2 2 2 2 2 5 2 2 8 2" xfId="12156"/>
    <cellStyle name="Normal 2 2 2 2 2 5 2 2 9" xfId="12157"/>
    <cellStyle name="Normal 2 2 2 2 2 5 2 2 9 2" xfId="12158"/>
    <cellStyle name="Normal 2 2 2 2 2 5 2 3" xfId="12159"/>
    <cellStyle name="Normal 2 2 2 2 2 5 2 3 2" xfId="12160"/>
    <cellStyle name="Normal 2 2 2 2 2 5 2 4" xfId="12161"/>
    <cellStyle name="Normal 2 2 2 2 2 5 2 4 2" xfId="12162"/>
    <cellStyle name="Normal 2 2 2 2 2 5 2 5" xfId="12163"/>
    <cellStyle name="Normal 2 2 2 2 2 5 2 5 2" xfId="12164"/>
    <cellStyle name="Normal 2 2 2 2 2 5 2 6" xfId="12165"/>
    <cellStyle name="Normal 2 2 2 2 2 5 2 6 2" xfId="12166"/>
    <cellStyle name="Normal 2 2 2 2 2 5 2 7" xfId="12167"/>
    <cellStyle name="Normal 2 2 2 2 2 5 2 7 2" xfId="12168"/>
    <cellStyle name="Normal 2 2 2 2 2 5 2 8" xfId="12169"/>
    <cellStyle name="Normal 2 2 2 2 2 5 2 8 2" xfId="12170"/>
    <cellStyle name="Normal 2 2 2 2 2 5 2 9" xfId="12171"/>
    <cellStyle name="Normal 2 2 2 2 2 5 2 9 2" xfId="12172"/>
    <cellStyle name="Normal 2 2 2 2 2 5 3" xfId="12173"/>
    <cellStyle name="Normal 2 2 2 2 2 5 3 10" xfId="12174"/>
    <cellStyle name="Normal 2 2 2 2 2 5 3 10 2" xfId="12175"/>
    <cellStyle name="Normal 2 2 2 2 2 5 3 11" xfId="12176"/>
    <cellStyle name="Normal 2 2 2 2 2 5 3 2" xfId="12177"/>
    <cellStyle name="Normal 2 2 2 2 2 5 3 2 2" xfId="12178"/>
    <cellStyle name="Normal 2 2 2 2 2 5 3 3" xfId="12179"/>
    <cellStyle name="Normal 2 2 2 2 2 5 3 3 2" xfId="12180"/>
    <cellStyle name="Normal 2 2 2 2 2 5 3 4" xfId="12181"/>
    <cellStyle name="Normal 2 2 2 2 2 5 3 4 2" xfId="12182"/>
    <cellStyle name="Normal 2 2 2 2 2 5 3 5" xfId="12183"/>
    <cellStyle name="Normal 2 2 2 2 2 5 3 5 2" xfId="12184"/>
    <cellStyle name="Normal 2 2 2 2 2 5 3 6" xfId="12185"/>
    <cellStyle name="Normal 2 2 2 2 2 5 3 6 2" xfId="12186"/>
    <cellStyle name="Normal 2 2 2 2 2 5 3 7" xfId="12187"/>
    <cellStyle name="Normal 2 2 2 2 2 5 3 7 2" xfId="12188"/>
    <cellStyle name="Normal 2 2 2 2 2 5 3 8" xfId="12189"/>
    <cellStyle name="Normal 2 2 2 2 2 5 3 8 2" xfId="12190"/>
    <cellStyle name="Normal 2 2 2 2 2 5 3 9" xfId="12191"/>
    <cellStyle name="Normal 2 2 2 2 2 5 3 9 2" xfId="12192"/>
    <cellStyle name="Normal 2 2 2 2 2 5 4" xfId="12193"/>
    <cellStyle name="Normal 2 2 2 2 2 5 4 2" xfId="12194"/>
    <cellStyle name="Normal 2 2 2 2 2 5 5" xfId="12195"/>
    <cellStyle name="Normal 2 2 2 2 2 5 5 2" xfId="12196"/>
    <cellStyle name="Normal 2 2 2 2 2 5 6" xfId="12197"/>
    <cellStyle name="Normal 2 2 2 2 2 5 6 2" xfId="12198"/>
    <cellStyle name="Normal 2 2 2 2 2 5 7" xfId="12199"/>
    <cellStyle name="Normal 2 2 2 2 2 5 7 2" xfId="12200"/>
    <cellStyle name="Normal 2 2 2 2 2 5 8" xfId="12201"/>
    <cellStyle name="Normal 2 2 2 2 2 5 8 2" xfId="12202"/>
    <cellStyle name="Normal 2 2 2 2 2 5 9" xfId="12203"/>
    <cellStyle name="Normal 2 2 2 2 2 5 9 2" xfId="12204"/>
    <cellStyle name="Normal 2 2 2 2 2 6" xfId="232"/>
    <cellStyle name="Normal 2 2 2 2 2 6 2" xfId="233"/>
    <cellStyle name="Normal 2 2 2 2 2 6 2 10" xfId="12205"/>
    <cellStyle name="Normal 2 2 2 2 2 6 2 10 2" xfId="12206"/>
    <cellStyle name="Normal 2 2 2 2 2 6 2 11" xfId="12207"/>
    <cellStyle name="Normal 2 2 2 2 2 6 2 11 2" xfId="12208"/>
    <cellStyle name="Normal 2 2 2 2 2 6 2 12" xfId="12209"/>
    <cellStyle name="Normal 2 2 2 2 2 6 2 12 2" xfId="12210"/>
    <cellStyle name="Normal 2 2 2 2 2 6 2 13" xfId="12211"/>
    <cellStyle name="Normal 2 2 2 2 2 6 2 2" xfId="12212"/>
    <cellStyle name="Normal 2 2 2 2 2 6 2 2 10" xfId="12213"/>
    <cellStyle name="Normal 2 2 2 2 2 6 2 2 10 2" xfId="12214"/>
    <cellStyle name="Normal 2 2 2 2 2 6 2 2 11" xfId="12215"/>
    <cellStyle name="Normal 2 2 2 2 2 6 2 2 11 2" xfId="12216"/>
    <cellStyle name="Normal 2 2 2 2 2 6 2 2 12" xfId="12217"/>
    <cellStyle name="Normal 2 2 2 2 2 6 2 2 2" xfId="12218"/>
    <cellStyle name="Normal 2 2 2 2 2 6 2 2 2 10" xfId="12219"/>
    <cellStyle name="Normal 2 2 2 2 2 6 2 2 2 10 2" xfId="12220"/>
    <cellStyle name="Normal 2 2 2 2 2 6 2 2 2 11" xfId="12221"/>
    <cellStyle name="Normal 2 2 2 2 2 6 2 2 2 2" xfId="12222"/>
    <cellStyle name="Normal 2 2 2 2 2 6 2 2 2 2 2" xfId="12223"/>
    <cellStyle name="Normal 2 2 2 2 2 6 2 2 2 3" xfId="12224"/>
    <cellStyle name="Normal 2 2 2 2 2 6 2 2 2 3 2" xfId="12225"/>
    <cellStyle name="Normal 2 2 2 2 2 6 2 2 2 4" xfId="12226"/>
    <cellStyle name="Normal 2 2 2 2 2 6 2 2 2 4 2" xfId="12227"/>
    <cellStyle name="Normal 2 2 2 2 2 6 2 2 2 5" xfId="12228"/>
    <cellStyle name="Normal 2 2 2 2 2 6 2 2 2 5 2" xfId="12229"/>
    <cellStyle name="Normal 2 2 2 2 2 6 2 2 2 6" xfId="12230"/>
    <cellStyle name="Normal 2 2 2 2 2 6 2 2 2 6 2" xfId="12231"/>
    <cellStyle name="Normal 2 2 2 2 2 6 2 2 2 7" xfId="12232"/>
    <cellStyle name="Normal 2 2 2 2 2 6 2 2 2 7 2" xfId="12233"/>
    <cellStyle name="Normal 2 2 2 2 2 6 2 2 2 8" xfId="12234"/>
    <cellStyle name="Normal 2 2 2 2 2 6 2 2 2 8 2" xfId="12235"/>
    <cellStyle name="Normal 2 2 2 2 2 6 2 2 2 9" xfId="12236"/>
    <cellStyle name="Normal 2 2 2 2 2 6 2 2 2 9 2" xfId="12237"/>
    <cellStyle name="Normal 2 2 2 2 2 6 2 2 3" xfId="12238"/>
    <cellStyle name="Normal 2 2 2 2 2 6 2 2 3 2" xfId="12239"/>
    <cellStyle name="Normal 2 2 2 2 2 6 2 2 4" xfId="12240"/>
    <cellStyle name="Normal 2 2 2 2 2 6 2 2 4 2" xfId="12241"/>
    <cellStyle name="Normal 2 2 2 2 2 6 2 2 5" xfId="12242"/>
    <cellStyle name="Normal 2 2 2 2 2 6 2 2 5 2" xfId="12243"/>
    <cellStyle name="Normal 2 2 2 2 2 6 2 2 6" xfId="12244"/>
    <cellStyle name="Normal 2 2 2 2 2 6 2 2 6 2" xfId="12245"/>
    <cellStyle name="Normal 2 2 2 2 2 6 2 2 7" xfId="12246"/>
    <cellStyle name="Normal 2 2 2 2 2 6 2 2 7 2" xfId="12247"/>
    <cellStyle name="Normal 2 2 2 2 2 6 2 2 8" xfId="12248"/>
    <cellStyle name="Normal 2 2 2 2 2 6 2 2 8 2" xfId="12249"/>
    <cellStyle name="Normal 2 2 2 2 2 6 2 2 9" xfId="12250"/>
    <cellStyle name="Normal 2 2 2 2 2 6 2 2 9 2" xfId="12251"/>
    <cellStyle name="Normal 2 2 2 2 2 6 2 3" xfId="12252"/>
    <cellStyle name="Normal 2 2 2 2 2 6 2 3 10" xfId="12253"/>
    <cellStyle name="Normal 2 2 2 2 2 6 2 3 10 2" xfId="12254"/>
    <cellStyle name="Normal 2 2 2 2 2 6 2 3 11" xfId="12255"/>
    <cellStyle name="Normal 2 2 2 2 2 6 2 3 2" xfId="12256"/>
    <cellStyle name="Normal 2 2 2 2 2 6 2 3 2 2" xfId="12257"/>
    <cellStyle name="Normal 2 2 2 2 2 6 2 3 3" xfId="12258"/>
    <cellStyle name="Normal 2 2 2 2 2 6 2 3 3 2" xfId="12259"/>
    <cellStyle name="Normal 2 2 2 2 2 6 2 3 4" xfId="12260"/>
    <cellStyle name="Normal 2 2 2 2 2 6 2 3 4 2" xfId="12261"/>
    <cellStyle name="Normal 2 2 2 2 2 6 2 3 5" xfId="12262"/>
    <cellStyle name="Normal 2 2 2 2 2 6 2 3 5 2" xfId="12263"/>
    <cellStyle name="Normal 2 2 2 2 2 6 2 3 6" xfId="12264"/>
    <cellStyle name="Normal 2 2 2 2 2 6 2 3 6 2" xfId="12265"/>
    <cellStyle name="Normal 2 2 2 2 2 6 2 3 7" xfId="12266"/>
    <cellStyle name="Normal 2 2 2 2 2 6 2 3 7 2" xfId="12267"/>
    <cellStyle name="Normal 2 2 2 2 2 6 2 3 8" xfId="12268"/>
    <cellStyle name="Normal 2 2 2 2 2 6 2 3 8 2" xfId="12269"/>
    <cellStyle name="Normal 2 2 2 2 2 6 2 3 9" xfId="12270"/>
    <cellStyle name="Normal 2 2 2 2 2 6 2 3 9 2" xfId="12271"/>
    <cellStyle name="Normal 2 2 2 2 2 6 2 4" xfId="12272"/>
    <cellStyle name="Normal 2 2 2 2 2 6 2 4 2" xfId="12273"/>
    <cellStyle name="Normal 2 2 2 2 2 6 2 5" xfId="12274"/>
    <cellStyle name="Normal 2 2 2 2 2 6 2 5 2" xfId="12275"/>
    <cellStyle name="Normal 2 2 2 2 2 6 2 6" xfId="12276"/>
    <cellStyle name="Normal 2 2 2 2 2 6 2 6 2" xfId="12277"/>
    <cellStyle name="Normal 2 2 2 2 2 6 2 7" xfId="12278"/>
    <cellStyle name="Normal 2 2 2 2 2 6 2 7 2" xfId="12279"/>
    <cellStyle name="Normal 2 2 2 2 2 6 2 8" xfId="12280"/>
    <cellStyle name="Normal 2 2 2 2 2 6 2 8 2" xfId="12281"/>
    <cellStyle name="Normal 2 2 2 2 2 6 2 9" xfId="12282"/>
    <cellStyle name="Normal 2 2 2 2 2 6 2 9 2" xfId="12283"/>
    <cellStyle name="Normal 2 2 2 2 2 6 3" xfId="234"/>
    <cellStyle name="Normal 2 2 2 2 2 6 3 10" xfId="12284"/>
    <cellStyle name="Normal 2 2 2 2 2 6 3 10 2" xfId="12285"/>
    <cellStyle name="Normal 2 2 2 2 2 6 3 11" xfId="12286"/>
    <cellStyle name="Normal 2 2 2 2 2 6 3 11 2" xfId="12287"/>
    <cellStyle name="Normal 2 2 2 2 2 6 3 12" xfId="12288"/>
    <cellStyle name="Normal 2 2 2 2 2 6 3 12 2" xfId="12289"/>
    <cellStyle name="Normal 2 2 2 2 2 6 3 13" xfId="12290"/>
    <cellStyle name="Normal 2 2 2 2 2 6 3 2" xfId="12291"/>
    <cellStyle name="Normal 2 2 2 2 2 6 3 2 10" xfId="12292"/>
    <cellStyle name="Normal 2 2 2 2 2 6 3 2 10 2" xfId="12293"/>
    <cellStyle name="Normal 2 2 2 2 2 6 3 2 11" xfId="12294"/>
    <cellStyle name="Normal 2 2 2 2 2 6 3 2 11 2" xfId="12295"/>
    <cellStyle name="Normal 2 2 2 2 2 6 3 2 12" xfId="12296"/>
    <cellStyle name="Normal 2 2 2 2 2 6 3 2 2" xfId="12297"/>
    <cellStyle name="Normal 2 2 2 2 2 6 3 2 2 10" xfId="12298"/>
    <cellStyle name="Normal 2 2 2 2 2 6 3 2 2 10 2" xfId="12299"/>
    <cellStyle name="Normal 2 2 2 2 2 6 3 2 2 11" xfId="12300"/>
    <cellStyle name="Normal 2 2 2 2 2 6 3 2 2 2" xfId="12301"/>
    <cellStyle name="Normal 2 2 2 2 2 6 3 2 2 2 2" xfId="12302"/>
    <cellStyle name="Normal 2 2 2 2 2 6 3 2 2 3" xfId="12303"/>
    <cellStyle name="Normal 2 2 2 2 2 6 3 2 2 3 2" xfId="12304"/>
    <cellStyle name="Normal 2 2 2 2 2 6 3 2 2 4" xfId="12305"/>
    <cellStyle name="Normal 2 2 2 2 2 6 3 2 2 4 2" xfId="12306"/>
    <cellStyle name="Normal 2 2 2 2 2 6 3 2 2 5" xfId="12307"/>
    <cellStyle name="Normal 2 2 2 2 2 6 3 2 2 5 2" xfId="12308"/>
    <cellStyle name="Normal 2 2 2 2 2 6 3 2 2 6" xfId="12309"/>
    <cellStyle name="Normal 2 2 2 2 2 6 3 2 2 6 2" xfId="12310"/>
    <cellStyle name="Normal 2 2 2 2 2 6 3 2 2 7" xfId="12311"/>
    <cellStyle name="Normal 2 2 2 2 2 6 3 2 2 7 2" xfId="12312"/>
    <cellStyle name="Normal 2 2 2 2 2 6 3 2 2 8" xfId="12313"/>
    <cellStyle name="Normal 2 2 2 2 2 6 3 2 2 8 2" xfId="12314"/>
    <cellStyle name="Normal 2 2 2 2 2 6 3 2 2 9" xfId="12315"/>
    <cellStyle name="Normal 2 2 2 2 2 6 3 2 2 9 2" xfId="12316"/>
    <cellStyle name="Normal 2 2 2 2 2 6 3 2 3" xfId="12317"/>
    <cellStyle name="Normal 2 2 2 2 2 6 3 2 3 2" xfId="12318"/>
    <cellStyle name="Normal 2 2 2 2 2 6 3 2 4" xfId="12319"/>
    <cellStyle name="Normal 2 2 2 2 2 6 3 2 4 2" xfId="12320"/>
    <cellStyle name="Normal 2 2 2 2 2 6 3 2 5" xfId="12321"/>
    <cellStyle name="Normal 2 2 2 2 2 6 3 2 5 2" xfId="12322"/>
    <cellStyle name="Normal 2 2 2 2 2 6 3 2 6" xfId="12323"/>
    <cellStyle name="Normal 2 2 2 2 2 6 3 2 6 2" xfId="12324"/>
    <cellStyle name="Normal 2 2 2 2 2 6 3 2 7" xfId="12325"/>
    <cellStyle name="Normal 2 2 2 2 2 6 3 2 7 2" xfId="12326"/>
    <cellStyle name="Normal 2 2 2 2 2 6 3 2 8" xfId="12327"/>
    <cellStyle name="Normal 2 2 2 2 2 6 3 2 8 2" xfId="12328"/>
    <cellStyle name="Normal 2 2 2 2 2 6 3 2 9" xfId="12329"/>
    <cellStyle name="Normal 2 2 2 2 2 6 3 2 9 2" xfId="12330"/>
    <cellStyle name="Normal 2 2 2 2 2 6 3 3" xfId="12331"/>
    <cellStyle name="Normal 2 2 2 2 2 6 3 3 10" xfId="12332"/>
    <cellStyle name="Normal 2 2 2 2 2 6 3 3 10 2" xfId="12333"/>
    <cellStyle name="Normal 2 2 2 2 2 6 3 3 11" xfId="12334"/>
    <cellStyle name="Normal 2 2 2 2 2 6 3 3 2" xfId="12335"/>
    <cellStyle name="Normal 2 2 2 2 2 6 3 3 2 2" xfId="12336"/>
    <cellStyle name="Normal 2 2 2 2 2 6 3 3 3" xfId="12337"/>
    <cellStyle name="Normal 2 2 2 2 2 6 3 3 3 2" xfId="12338"/>
    <cellStyle name="Normal 2 2 2 2 2 6 3 3 4" xfId="12339"/>
    <cellStyle name="Normal 2 2 2 2 2 6 3 3 4 2" xfId="12340"/>
    <cellStyle name="Normal 2 2 2 2 2 6 3 3 5" xfId="12341"/>
    <cellStyle name="Normal 2 2 2 2 2 6 3 3 5 2" xfId="12342"/>
    <cellStyle name="Normal 2 2 2 2 2 6 3 3 6" xfId="12343"/>
    <cellStyle name="Normal 2 2 2 2 2 6 3 3 6 2" xfId="12344"/>
    <cellStyle name="Normal 2 2 2 2 2 6 3 3 7" xfId="12345"/>
    <cellStyle name="Normal 2 2 2 2 2 6 3 3 7 2" xfId="12346"/>
    <cellStyle name="Normal 2 2 2 2 2 6 3 3 8" xfId="12347"/>
    <cellStyle name="Normal 2 2 2 2 2 6 3 3 8 2" xfId="12348"/>
    <cellStyle name="Normal 2 2 2 2 2 6 3 3 9" xfId="12349"/>
    <cellStyle name="Normal 2 2 2 2 2 6 3 3 9 2" xfId="12350"/>
    <cellStyle name="Normal 2 2 2 2 2 6 3 4" xfId="12351"/>
    <cellStyle name="Normal 2 2 2 2 2 6 3 4 2" xfId="12352"/>
    <cellStyle name="Normal 2 2 2 2 2 6 3 5" xfId="12353"/>
    <cellStyle name="Normal 2 2 2 2 2 6 3 5 2" xfId="12354"/>
    <cellStyle name="Normal 2 2 2 2 2 6 3 6" xfId="12355"/>
    <cellStyle name="Normal 2 2 2 2 2 6 3 6 2" xfId="12356"/>
    <cellStyle name="Normal 2 2 2 2 2 6 3 7" xfId="12357"/>
    <cellStyle name="Normal 2 2 2 2 2 6 3 7 2" xfId="12358"/>
    <cellStyle name="Normal 2 2 2 2 2 6 3 8" xfId="12359"/>
    <cellStyle name="Normal 2 2 2 2 2 6 3 8 2" xfId="12360"/>
    <cellStyle name="Normal 2 2 2 2 2 6 3 9" xfId="12361"/>
    <cellStyle name="Normal 2 2 2 2 2 6 3 9 2" xfId="12362"/>
    <cellStyle name="Normal 2 2 2 2 2 6 4" xfId="235"/>
    <cellStyle name="Normal 2 2 2 2 2 6 4 10" xfId="12363"/>
    <cellStyle name="Normal 2 2 2 2 2 6 4 10 2" xfId="12364"/>
    <cellStyle name="Normal 2 2 2 2 2 6 4 11" xfId="12365"/>
    <cellStyle name="Normal 2 2 2 2 2 6 4 11 2" xfId="12366"/>
    <cellStyle name="Normal 2 2 2 2 2 6 4 12" xfId="12367"/>
    <cellStyle name="Normal 2 2 2 2 2 6 4 12 2" xfId="12368"/>
    <cellStyle name="Normal 2 2 2 2 2 6 4 13" xfId="12369"/>
    <cellStyle name="Normal 2 2 2 2 2 6 4 2" xfId="12370"/>
    <cellStyle name="Normal 2 2 2 2 2 6 4 2 10" xfId="12371"/>
    <cellStyle name="Normal 2 2 2 2 2 6 4 2 10 2" xfId="12372"/>
    <cellStyle name="Normal 2 2 2 2 2 6 4 2 11" xfId="12373"/>
    <cellStyle name="Normal 2 2 2 2 2 6 4 2 11 2" xfId="12374"/>
    <cellStyle name="Normal 2 2 2 2 2 6 4 2 12" xfId="12375"/>
    <cellStyle name="Normal 2 2 2 2 2 6 4 2 2" xfId="12376"/>
    <cellStyle name="Normal 2 2 2 2 2 6 4 2 2 10" xfId="12377"/>
    <cellStyle name="Normal 2 2 2 2 2 6 4 2 2 10 2" xfId="12378"/>
    <cellStyle name="Normal 2 2 2 2 2 6 4 2 2 11" xfId="12379"/>
    <cellStyle name="Normal 2 2 2 2 2 6 4 2 2 2" xfId="12380"/>
    <cellStyle name="Normal 2 2 2 2 2 6 4 2 2 2 2" xfId="12381"/>
    <cellStyle name="Normal 2 2 2 2 2 6 4 2 2 3" xfId="12382"/>
    <cellStyle name="Normal 2 2 2 2 2 6 4 2 2 3 2" xfId="12383"/>
    <cellStyle name="Normal 2 2 2 2 2 6 4 2 2 4" xfId="12384"/>
    <cellStyle name="Normal 2 2 2 2 2 6 4 2 2 4 2" xfId="12385"/>
    <cellStyle name="Normal 2 2 2 2 2 6 4 2 2 5" xfId="12386"/>
    <cellStyle name="Normal 2 2 2 2 2 6 4 2 2 5 2" xfId="12387"/>
    <cellStyle name="Normal 2 2 2 2 2 6 4 2 2 6" xfId="12388"/>
    <cellStyle name="Normal 2 2 2 2 2 6 4 2 2 6 2" xfId="12389"/>
    <cellStyle name="Normal 2 2 2 2 2 6 4 2 2 7" xfId="12390"/>
    <cellStyle name="Normal 2 2 2 2 2 6 4 2 2 7 2" xfId="12391"/>
    <cellStyle name="Normal 2 2 2 2 2 6 4 2 2 8" xfId="12392"/>
    <cellStyle name="Normal 2 2 2 2 2 6 4 2 2 8 2" xfId="12393"/>
    <cellStyle name="Normal 2 2 2 2 2 6 4 2 2 9" xfId="12394"/>
    <cellStyle name="Normal 2 2 2 2 2 6 4 2 2 9 2" xfId="12395"/>
    <cellStyle name="Normal 2 2 2 2 2 6 4 2 3" xfId="12396"/>
    <cellStyle name="Normal 2 2 2 2 2 6 4 2 3 2" xfId="12397"/>
    <cellStyle name="Normal 2 2 2 2 2 6 4 2 4" xfId="12398"/>
    <cellStyle name="Normal 2 2 2 2 2 6 4 2 4 2" xfId="12399"/>
    <cellStyle name="Normal 2 2 2 2 2 6 4 2 5" xfId="12400"/>
    <cellStyle name="Normal 2 2 2 2 2 6 4 2 5 2" xfId="12401"/>
    <cellStyle name="Normal 2 2 2 2 2 6 4 2 6" xfId="12402"/>
    <cellStyle name="Normal 2 2 2 2 2 6 4 2 6 2" xfId="12403"/>
    <cellStyle name="Normal 2 2 2 2 2 6 4 2 7" xfId="12404"/>
    <cellStyle name="Normal 2 2 2 2 2 6 4 2 7 2" xfId="12405"/>
    <cellStyle name="Normal 2 2 2 2 2 6 4 2 8" xfId="12406"/>
    <cellStyle name="Normal 2 2 2 2 2 6 4 2 8 2" xfId="12407"/>
    <cellStyle name="Normal 2 2 2 2 2 6 4 2 9" xfId="12408"/>
    <cellStyle name="Normal 2 2 2 2 2 6 4 2 9 2" xfId="12409"/>
    <cellStyle name="Normal 2 2 2 2 2 6 4 3" xfId="12410"/>
    <cellStyle name="Normal 2 2 2 2 2 6 4 3 10" xfId="12411"/>
    <cellStyle name="Normal 2 2 2 2 2 6 4 3 10 2" xfId="12412"/>
    <cellStyle name="Normal 2 2 2 2 2 6 4 3 11" xfId="12413"/>
    <cellStyle name="Normal 2 2 2 2 2 6 4 3 2" xfId="12414"/>
    <cellStyle name="Normal 2 2 2 2 2 6 4 3 2 2" xfId="12415"/>
    <cellStyle name="Normal 2 2 2 2 2 6 4 3 3" xfId="12416"/>
    <cellStyle name="Normal 2 2 2 2 2 6 4 3 3 2" xfId="12417"/>
    <cellStyle name="Normal 2 2 2 2 2 6 4 3 4" xfId="12418"/>
    <cellStyle name="Normal 2 2 2 2 2 6 4 3 4 2" xfId="12419"/>
    <cellStyle name="Normal 2 2 2 2 2 6 4 3 5" xfId="12420"/>
    <cellStyle name="Normal 2 2 2 2 2 6 4 3 5 2" xfId="12421"/>
    <cellStyle name="Normal 2 2 2 2 2 6 4 3 6" xfId="12422"/>
    <cellStyle name="Normal 2 2 2 2 2 6 4 3 6 2" xfId="12423"/>
    <cellStyle name="Normal 2 2 2 2 2 6 4 3 7" xfId="12424"/>
    <cellStyle name="Normal 2 2 2 2 2 6 4 3 7 2" xfId="12425"/>
    <cellStyle name="Normal 2 2 2 2 2 6 4 3 8" xfId="12426"/>
    <cellStyle name="Normal 2 2 2 2 2 6 4 3 8 2" xfId="12427"/>
    <cellStyle name="Normal 2 2 2 2 2 6 4 3 9" xfId="12428"/>
    <cellStyle name="Normal 2 2 2 2 2 6 4 3 9 2" xfId="12429"/>
    <cellStyle name="Normal 2 2 2 2 2 6 4 4" xfId="12430"/>
    <cellStyle name="Normal 2 2 2 2 2 6 4 4 2" xfId="12431"/>
    <cellStyle name="Normal 2 2 2 2 2 6 4 5" xfId="12432"/>
    <cellStyle name="Normal 2 2 2 2 2 6 4 5 2" xfId="12433"/>
    <cellStyle name="Normal 2 2 2 2 2 6 4 6" xfId="12434"/>
    <cellStyle name="Normal 2 2 2 2 2 6 4 6 2" xfId="12435"/>
    <cellStyle name="Normal 2 2 2 2 2 6 4 7" xfId="12436"/>
    <cellStyle name="Normal 2 2 2 2 2 6 4 7 2" xfId="12437"/>
    <cellStyle name="Normal 2 2 2 2 2 6 4 8" xfId="12438"/>
    <cellStyle name="Normal 2 2 2 2 2 6 4 8 2" xfId="12439"/>
    <cellStyle name="Normal 2 2 2 2 2 6 4 9" xfId="12440"/>
    <cellStyle name="Normal 2 2 2 2 2 6 4 9 2" xfId="12441"/>
    <cellStyle name="Normal 2 2 2 2 2 6 5" xfId="236"/>
    <cellStyle name="Normal 2 2 2 2 2 6 5 10" xfId="12442"/>
    <cellStyle name="Normal 2 2 2 2 2 6 5 10 2" xfId="12443"/>
    <cellStyle name="Normal 2 2 2 2 2 6 5 11" xfId="12444"/>
    <cellStyle name="Normal 2 2 2 2 2 6 5 11 2" xfId="12445"/>
    <cellStyle name="Normal 2 2 2 2 2 6 5 12" xfId="12446"/>
    <cellStyle name="Normal 2 2 2 2 2 6 5 12 2" xfId="12447"/>
    <cellStyle name="Normal 2 2 2 2 2 6 5 13" xfId="12448"/>
    <cellStyle name="Normal 2 2 2 2 2 6 5 2" xfId="12449"/>
    <cellStyle name="Normal 2 2 2 2 2 6 5 2 10" xfId="12450"/>
    <cellStyle name="Normal 2 2 2 2 2 6 5 2 10 2" xfId="12451"/>
    <cellStyle name="Normal 2 2 2 2 2 6 5 2 11" xfId="12452"/>
    <cellStyle name="Normal 2 2 2 2 2 6 5 2 11 2" xfId="12453"/>
    <cellStyle name="Normal 2 2 2 2 2 6 5 2 12" xfId="12454"/>
    <cellStyle name="Normal 2 2 2 2 2 6 5 2 2" xfId="12455"/>
    <cellStyle name="Normal 2 2 2 2 2 6 5 2 2 10" xfId="12456"/>
    <cellStyle name="Normal 2 2 2 2 2 6 5 2 2 10 2" xfId="12457"/>
    <cellStyle name="Normal 2 2 2 2 2 6 5 2 2 11" xfId="12458"/>
    <cellStyle name="Normal 2 2 2 2 2 6 5 2 2 2" xfId="12459"/>
    <cellStyle name="Normal 2 2 2 2 2 6 5 2 2 2 2" xfId="12460"/>
    <cellStyle name="Normal 2 2 2 2 2 6 5 2 2 3" xfId="12461"/>
    <cellStyle name="Normal 2 2 2 2 2 6 5 2 2 3 2" xfId="12462"/>
    <cellStyle name="Normal 2 2 2 2 2 6 5 2 2 4" xfId="12463"/>
    <cellStyle name="Normal 2 2 2 2 2 6 5 2 2 4 2" xfId="12464"/>
    <cellStyle name="Normal 2 2 2 2 2 6 5 2 2 5" xfId="12465"/>
    <cellStyle name="Normal 2 2 2 2 2 6 5 2 2 5 2" xfId="12466"/>
    <cellStyle name="Normal 2 2 2 2 2 6 5 2 2 6" xfId="12467"/>
    <cellStyle name="Normal 2 2 2 2 2 6 5 2 2 6 2" xfId="12468"/>
    <cellStyle name="Normal 2 2 2 2 2 6 5 2 2 7" xfId="12469"/>
    <cellStyle name="Normal 2 2 2 2 2 6 5 2 2 7 2" xfId="12470"/>
    <cellStyle name="Normal 2 2 2 2 2 6 5 2 2 8" xfId="12471"/>
    <cellStyle name="Normal 2 2 2 2 2 6 5 2 2 8 2" xfId="12472"/>
    <cellStyle name="Normal 2 2 2 2 2 6 5 2 2 9" xfId="12473"/>
    <cellStyle name="Normal 2 2 2 2 2 6 5 2 2 9 2" xfId="12474"/>
    <cellStyle name="Normal 2 2 2 2 2 6 5 2 3" xfId="12475"/>
    <cellStyle name="Normal 2 2 2 2 2 6 5 2 3 2" xfId="12476"/>
    <cellStyle name="Normal 2 2 2 2 2 6 5 2 4" xfId="12477"/>
    <cellStyle name="Normal 2 2 2 2 2 6 5 2 4 2" xfId="12478"/>
    <cellStyle name="Normal 2 2 2 2 2 6 5 2 5" xfId="12479"/>
    <cellStyle name="Normal 2 2 2 2 2 6 5 2 5 2" xfId="12480"/>
    <cellStyle name="Normal 2 2 2 2 2 6 5 2 6" xfId="12481"/>
    <cellStyle name="Normal 2 2 2 2 2 6 5 2 6 2" xfId="12482"/>
    <cellStyle name="Normal 2 2 2 2 2 6 5 2 7" xfId="12483"/>
    <cellStyle name="Normal 2 2 2 2 2 6 5 2 7 2" xfId="12484"/>
    <cellStyle name="Normal 2 2 2 2 2 6 5 2 8" xfId="12485"/>
    <cellStyle name="Normal 2 2 2 2 2 6 5 2 8 2" xfId="12486"/>
    <cellStyle name="Normal 2 2 2 2 2 6 5 2 9" xfId="12487"/>
    <cellStyle name="Normal 2 2 2 2 2 6 5 2 9 2" xfId="12488"/>
    <cellStyle name="Normal 2 2 2 2 2 6 5 3" xfId="12489"/>
    <cellStyle name="Normal 2 2 2 2 2 6 5 3 10" xfId="12490"/>
    <cellStyle name="Normal 2 2 2 2 2 6 5 3 10 2" xfId="12491"/>
    <cellStyle name="Normal 2 2 2 2 2 6 5 3 11" xfId="12492"/>
    <cellStyle name="Normal 2 2 2 2 2 6 5 3 2" xfId="12493"/>
    <cellStyle name="Normal 2 2 2 2 2 6 5 3 2 2" xfId="12494"/>
    <cellStyle name="Normal 2 2 2 2 2 6 5 3 3" xfId="12495"/>
    <cellStyle name="Normal 2 2 2 2 2 6 5 3 3 2" xfId="12496"/>
    <cellStyle name="Normal 2 2 2 2 2 6 5 3 4" xfId="12497"/>
    <cellStyle name="Normal 2 2 2 2 2 6 5 3 4 2" xfId="12498"/>
    <cellStyle name="Normal 2 2 2 2 2 6 5 3 5" xfId="12499"/>
    <cellStyle name="Normal 2 2 2 2 2 6 5 3 5 2" xfId="12500"/>
    <cellStyle name="Normal 2 2 2 2 2 6 5 3 6" xfId="12501"/>
    <cellStyle name="Normal 2 2 2 2 2 6 5 3 6 2" xfId="12502"/>
    <cellStyle name="Normal 2 2 2 2 2 6 5 3 7" xfId="12503"/>
    <cellStyle name="Normal 2 2 2 2 2 6 5 3 7 2" xfId="12504"/>
    <cellStyle name="Normal 2 2 2 2 2 6 5 3 8" xfId="12505"/>
    <cellStyle name="Normal 2 2 2 2 2 6 5 3 8 2" xfId="12506"/>
    <cellStyle name="Normal 2 2 2 2 2 6 5 3 9" xfId="12507"/>
    <cellStyle name="Normal 2 2 2 2 2 6 5 3 9 2" xfId="12508"/>
    <cellStyle name="Normal 2 2 2 2 2 6 5 4" xfId="12509"/>
    <cellStyle name="Normal 2 2 2 2 2 6 5 4 2" xfId="12510"/>
    <cellStyle name="Normal 2 2 2 2 2 6 5 5" xfId="12511"/>
    <cellStyle name="Normal 2 2 2 2 2 6 5 5 2" xfId="12512"/>
    <cellStyle name="Normal 2 2 2 2 2 6 5 6" xfId="12513"/>
    <cellStyle name="Normal 2 2 2 2 2 6 5 6 2" xfId="12514"/>
    <cellStyle name="Normal 2 2 2 2 2 6 5 7" xfId="12515"/>
    <cellStyle name="Normal 2 2 2 2 2 6 5 7 2" xfId="12516"/>
    <cellStyle name="Normal 2 2 2 2 2 6 5 8" xfId="12517"/>
    <cellStyle name="Normal 2 2 2 2 2 6 5 8 2" xfId="12518"/>
    <cellStyle name="Normal 2 2 2 2 2 6 5 9" xfId="12519"/>
    <cellStyle name="Normal 2 2 2 2 2 6 5 9 2" xfId="12520"/>
    <cellStyle name="Normal 2 2 2 2 2 6 6" xfId="237"/>
    <cellStyle name="Normal 2 2 2 2 2 7" xfId="238"/>
    <cellStyle name="Normal 2 2 2 2 2 7 2" xfId="239"/>
    <cellStyle name="Normal 2 2 2 2 2 8" xfId="240"/>
    <cellStyle name="Normal 2 2 2 2 2 8 2" xfId="241"/>
    <cellStyle name="Normal 2 2 2 2 2 9" xfId="242"/>
    <cellStyle name="Normal 2 2 2 2 2 9 2" xfId="243"/>
    <cellStyle name="Normal 2 2 2 2 3" xfId="244"/>
    <cellStyle name="Normal 2 2 2 2 3 2" xfId="245"/>
    <cellStyle name="Normal 2 2 2 2 4" xfId="246"/>
    <cellStyle name="Normal 2 2 2 2 4 2" xfId="247"/>
    <cellStyle name="Normal 2 2 2 2 5" xfId="248"/>
    <cellStyle name="Normal 2 2 2 2 5 2" xfId="249"/>
    <cellStyle name="Normal 2 2 2 2 6" xfId="250"/>
    <cellStyle name="Normal 2 2 2 2 6 2" xfId="251"/>
    <cellStyle name="Normal 2 2 2 2 7" xfId="252"/>
    <cellStyle name="Normal 2 2 2 2 7 2" xfId="253"/>
    <cellStyle name="Normal 2 2 2 2 8" xfId="254"/>
    <cellStyle name="Normal 2 2 2 2 8 2" xfId="255"/>
    <cellStyle name="Normal 2 2 2 2 9" xfId="256"/>
    <cellStyle name="Normal 2 2 2 2 9 10" xfId="12521"/>
    <cellStyle name="Normal 2 2 2 2 9 10 2" xfId="12522"/>
    <cellStyle name="Normal 2 2 2 2 9 11" xfId="12523"/>
    <cellStyle name="Normal 2 2 2 2 9 11 2" xfId="12524"/>
    <cellStyle name="Normal 2 2 2 2 9 12" xfId="12525"/>
    <cellStyle name="Normal 2 2 2 2 9 12 2" xfId="12526"/>
    <cellStyle name="Normal 2 2 2 2 9 13" xfId="12527"/>
    <cellStyle name="Normal 2 2 2 2 9 13 2" xfId="12528"/>
    <cellStyle name="Normal 2 2 2 2 9 14" xfId="12529"/>
    <cellStyle name="Normal 2 2 2 2 9 14 2" xfId="12530"/>
    <cellStyle name="Normal 2 2 2 2 9 15" xfId="12531"/>
    <cellStyle name="Normal 2 2 2 2 9 15 2" xfId="12532"/>
    <cellStyle name="Normal 2 2 2 2 9 16" xfId="12533"/>
    <cellStyle name="Normal 2 2 2 2 9 16 2" xfId="12534"/>
    <cellStyle name="Normal 2 2 2 2 9 17" xfId="12535"/>
    <cellStyle name="Normal 2 2 2 2 9 17 2" xfId="12536"/>
    <cellStyle name="Normal 2 2 2 2 9 18" xfId="12537"/>
    <cellStyle name="Normal 2 2 2 2 9 2" xfId="257"/>
    <cellStyle name="Normal 2 2 2 2 9 2 2" xfId="258"/>
    <cellStyle name="Normal 2 2 2 2 9 2 2 10" xfId="12538"/>
    <cellStyle name="Normal 2 2 2 2 9 2 2 10 2" xfId="12539"/>
    <cellStyle name="Normal 2 2 2 2 9 2 2 11" xfId="12540"/>
    <cellStyle name="Normal 2 2 2 2 9 2 2 11 2" xfId="12541"/>
    <cellStyle name="Normal 2 2 2 2 9 2 2 12" xfId="12542"/>
    <cellStyle name="Normal 2 2 2 2 9 2 2 12 2" xfId="12543"/>
    <cellStyle name="Normal 2 2 2 2 9 2 2 13" xfId="12544"/>
    <cellStyle name="Normal 2 2 2 2 9 2 2 13 2" xfId="12545"/>
    <cellStyle name="Normal 2 2 2 2 9 2 2 14" xfId="12546"/>
    <cellStyle name="Normal 2 2 2 2 9 2 2 14 2" xfId="12547"/>
    <cellStyle name="Normal 2 2 2 2 9 2 2 15" xfId="12548"/>
    <cellStyle name="Normal 2 2 2 2 9 2 2 15 2" xfId="12549"/>
    <cellStyle name="Normal 2 2 2 2 9 2 2 16" xfId="12550"/>
    <cellStyle name="Normal 2 2 2 2 9 2 2 16 2" xfId="12551"/>
    <cellStyle name="Normal 2 2 2 2 9 2 2 17" xfId="12552"/>
    <cellStyle name="Normal 2 2 2 2 9 2 2 2" xfId="259"/>
    <cellStyle name="Normal 2 2 2 2 9 2 2 2 2" xfId="260"/>
    <cellStyle name="Normal 2 2 2 2 9 2 2 3" xfId="261"/>
    <cellStyle name="Normal 2 2 2 2 9 2 2 3 2" xfId="262"/>
    <cellStyle name="Normal 2 2 2 2 9 2 2 4" xfId="263"/>
    <cellStyle name="Normal 2 2 2 2 9 2 2 4 2" xfId="264"/>
    <cellStyle name="Normal 2 2 2 2 9 2 2 5" xfId="265"/>
    <cellStyle name="Normal 2 2 2 2 9 2 2 5 2" xfId="266"/>
    <cellStyle name="Normal 2 2 2 2 9 2 2 6" xfId="12553"/>
    <cellStyle name="Normal 2 2 2 2 9 2 2 6 10" xfId="12554"/>
    <cellStyle name="Normal 2 2 2 2 9 2 2 6 10 2" xfId="12555"/>
    <cellStyle name="Normal 2 2 2 2 9 2 2 6 11" xfId="12556"/>
    <cellStyle name="Normal 2 2 2 2 9 2 2 6 11 2" xfId="12557"/>
    <cellStyle name="Normal 2 2 2 2 9 2 2 6 12" xfId="12558"/>
    <cellStyle name="Normal 2 2 2 2 9 2 2 6 2" xfId="12559"/>
    <cellStyle name="Normal 2 2 2 2 9 2 2 6 2 10" xfId="12560"/>
    <cellStyle name="Normal 2 2 2 2 9 2 2 6 2 10 2" xfId="12561"/>
    <cellStyle name="Normal 2 2 2 2 9 2 2 6 2 11" xfId="12562"/>
    <cellStyle name="Normal 2 2 2 2 9 2 2 6 2 2" xfId="12563"/>
    <cellStyle name="Normal 2 2 2 2 9 2 2 6 2 2 2" xfId="12564"/>
    <cellStyle name="Normal 2 2 2 2 9 2 2 6 2 3" xfId="12565"/>
    <cellStyle name="Normal 2 2 2 2 9 2 2 6 2 3 2" xfId="12566"/>
    <cellStyle name="Normal 2 2 2 2 9 2 2 6 2 4" xfId="12567"/>
    <cellStyle name="Normal 2 2 2 2 9 2 2 6 2 4 2" xfId="12568"/>
    <cellStyle name="Normal 2 2 2 2 9 2 2 6 2 5" xfId="12569"/>
    <cellStyle name="Normal 2 2 2 2 9 2 2 6 2 5 2" xfId="12570"/>
    <cellStyle name="Normal 2 2 2 2 9 2 2 6 2 6" xfId="12571"/>
    <cellStyle name="Normal 2 2 2 2 9 2 2 6 2 6 2" xfId="12572"/>
    <cellStyle name="Normal 2 2 2 2 9 2 2 6 2 7" xfId="12573"/>
    <cellStyle name="Normal 2 2 2 2 9 2 2 6 2 7 2" xfId="12574"/>
    <cellStyle name="Normal 2 2 2 2 9 2 2 6 2 8" xfId="12575"/>
    <cellStyle name="Normal 2 2 2 2 9 2 2 6 2 8 2" xfId="12576"/>
    <cellStyle name="Normal 2 2 2 2 9 2 2 6 2 9" xfId="12577"/>
    <cellStyle name="Normal 2 2 2 2 9 2 2 6 2 9 2" xfId="12578"/>
    <cellStyle name="Normal 2 2 2 2 9 2 2 6 3" xfId="12579"/>
    <cellStyle name="Normal 2 2 2 2 9 2 2 6 3 2" xfId="12580"/>
    <cellStyle name="Normal 2 2 2 2 9 2 2 6 4" xfId="12581"/>
    <cellStyle name="Normal 2 2 2 2 9 2 2 6 4 2" xfId="12582"/>
    <cellStyle name="Normal 2 2 2 2 9 2 2 6 5" xfId="12583"/>
    <cellStyle name="Normal 2 2 2 2 9 2 2 6 5 2" xfId="12584"/>
    <cellStyle name="Normal 2 2 2 2 9 2 2 6 6" xfId="12585"/>
    <cellStyle name="Normal 2 2 2 2 9 2 2 6 6 2" xfId="12586"/>
    <cellStyle name="Normal 2 2 2 2 9 2 2 6 7" xfId="12587"/>
    <cellStyle name="Normal 2 2 2 2 9 2 2 6 7 2" xfId="12588"/>
    <cellStyle name="Normal 2 2 2 2 9 2 2 6 8" xfId="12589"/>
    <cellStyle name="Normal 2 2 2 2 9 2 2 6 8 2" xfId="12590"/>
    <cellStyle name="Normal 2 2 2 2 9 2 2 6 9" xfId="12591"/>
    <cellStyle name="Normal 2 2 2 2 9 2 2 6 9 2" xfId="12592"/>
    <cellStyle name="Normal 2 2 2 2 9 2 2 7" xfId="12593"/>
    <cellStyle name="Normal 2 2 2 2 9 2 2 7 10" xfId="12594"/>
    <cellStyle name="Normal 2 2 2 2 9 2 2 7 10 2" xfId="12595"/>
    <cellStyle name="Normal 2 2 2 2 9 2 2 7 11" xfId="12596"/>
    <cellStyle name="Normal 2 2 2 2 9 2 2 7 2" xfId="12597"/>
    <cellStyle name="Normal 2 2 2 2 9 2 2 7 2 2" xfId="12598"/>
    <cellStyle name="Normal 2 2 2 2 9 2 2 7 3" xfId="12599"/>
    <cellStyle name="Normal 2 2 2 2 9 2 2 7 3 2" xfId="12600"/>
    <cellStyle name="Normal 2 2 2 2 9 2 2 7 4" xfId="12601"/>
    <cellStyle name="Normal 2 2 2 2 9 2 2 7 4 2" xfId="12602"/>
    <cellStyle name="Normal 2 2 2 2 9 2 2 7 5" xfId="12603"/>
    <cellStyle name="Normal 2 2 2 2 9 2 2 7 5 2" xfId="12604"/>
    <cellStyle name="Normal 2 2 2 2 9 2 2 7 6" xfId="12605"/>
    <cellStyle name="Normal 2 2 2 2 9 2 2 7 6 2" xfId="12606"/>
    <cellStyle name="Normal 2 2 2 2 9 2 2 7 7" xfId="12607"/>
    <cellStyle name="Normal 2 2 2 2 9 2 2 7 7 2" xfId="12608"/>
    <cellStyle name="Normal 2 2 2 2 9 2 2 7 8" xfId="12609"/>
    <cellStyle name="Normal 2 2 2 2 9 2 2 7 8 2" xfId="12610"/>
    <cellStyle name="Normal 2 2 2 2 9 2 2 7 9" xfId="12611"/>
    <cellStyle name="Normal 2 2 2 2 9 2 2 7 9 2" xfId="12612"/>
    <cellStyle name="Normal 2 2 2 2 9 2 2 8" xfId="12613"/>
    <cellStyle name="Normal 2 2 2 2 9 2 2 8 2" xfId="12614"/>
    <cellStyle name="Normal 2 2 2 2 9 2 2 9" xfId="12615"/>
    <cellStyle name="Normal 2 2 2 2 9 2 2 9 2" xfId="12616"/>
    <cellStyle name="Normal 2 2 2 2 9 2 3" xfId="267"/>
    <cellStyle name="Normal 2 2 2 2 9 2 3 10" xfId="12617"/>
    <cellStyle name="Normal 2 2 2 2 9 2 3 10 2" xfId="12618"/>
    <cellStyle name="Normal 2 2 2 2 9 2 3 11" xfId="12619"/>
    <cellStyle name="Normal 2 2 2 2 9 2 3 11 2" xfId="12620"/>
    <cellStyle name="Normal 2 2 2 2 9 2 3 12" xfId="12621"/>
    <cellStyle name="Normal 2 2 2 2 9 2 3 12 2" xfId="12622"/>
    <cellStyle name="Normal 2 2 2 2 9 2 3 13" xfId="12623"/>
    <cellStyle name="Normal 2 2 2 2 9 2 3 2" xfId="12624"/>
    <cellStyle name="Normal 2 2 2 2 9 2 3 2 10" xfId="12625"/>
    <cellStyle name="Normal 2 2 2 2 9 2 3 2 10 2" xfId="12626"/>
    <cellStyle name="Normal 2 2 2 2 9 2 3 2 11" xfId="12627"/>
    <cellStyle name="Normal 2 2 2 2 9 2 3 2 11 2" xfId="12628"/>
    <cellStyle name="Normal 2 2 2 2 9 2 3 2 12" xfId="12629"/>
    <cellStyle name="Normal 2 2 2 2 9 2 3 2 2" xfId="12630"/>
    <cellStyle name="Normal 2 2 2 2 9 2 3 2 2 10" xfId="12631"/>
    <cellStyle name="Normal 2 2 2 2 9 2 3 2 2 10 2" xfId="12632"/>
    <cellStyle name="Normal 2 2 2 2 9 2 3 2 2 11" xfId="12633"/>
    <cellStyle name="Normal 2 2 2 2 9 2 3 2 2 2" xfId="12634"/>
    <cellStyle name="Normal 2 2 2 2 9 2 3 2 2 2 2" xfId="12635"/>
    <cellStyle name="Normal 2 2 2 2 9 2 3 2 2 3" xfId="12636"/>
    <cellStyle name="Normal 2 2 2 2 9 2 3 2 2 3 2" xfId="12637"/>
    <cellStyle name="Normal 2 2 2 2 9 2 3 2 2 4" xfId="12638"/>
    <cellStyle name="Normal 2 2 2 2 9 2 3 2 2 4 2" xfId="12639"/>
    <cellStyle name="Normal 2 2 2 2 9 2 3 2 2 5" xfId="12640"/>
    <cellStyle name="Normal 2 2 2 2 9 2 3 2 2 5 2" xfId="12641"/>
    <cellStyle name="Normal 2 2 2 2 9 2 3 2 2 6" xfId="12642"/>
    <cellStyle name="Normal 2 2 2 2 9 2 3 2 2 6 2" xfId="12643"/>
    <cellStyle name="Normal 2 2 2 2 9 2 3 2 2 7" xfId="12644"/>
    <cellStyle name="Normal 2 2 2 2 9 2 3 2 2 7 2" xfId="12645"/>
    <cellStyle name="Normal 2 2 2 2 9 2 3 2 2 8" xfId="12646"/>
    <cellStyle name="Normal 2 2 2 2 9 2 3 2 2 8 2" xfId="12647"/>
    <cellStyle name="Normal 2 2 2 2 9 2 3 2 2 9" xfId="12648"/>
    <cellStyle name="Normal 2 2 2 2 9 2 3 2 2 9 2" xfId="12649"/>
    <cellStyle name="Normal 2 2 2 2 9 2 3 2 3" xfId="12650"/>
    <cellStyle name="Normal 2 2 2 2 9 2 3 2 3 2" xfId="12651"/>
    <cellStyle name="Normal 2 2 2 2 9 2 3 2 4" xfId="12652"/>
    <cellStyle name="Normal 2 2 2 2 9 2 3 2 4 2" xfId="12653"/>
    <cellStyle name="Normal 2 2 2 2 9 2 3 2 5" xfId="12654"/>
    <cellStyle name="Normal 2 2 2 2 9 2 3 2 5 2" xfId="12655"/>
    <cellStyle name="Normal 2 2 2 2 9 2 3 2 6" xfId="12656"/>
    <cellStyle name="Normal 2 2 2 2 9 2 3 2 6 2" xfId="12657"/>
    <cellStyle name="Normal 2 2 2 2 9 2 3 2 7" xfId="12658"/>
    <cellStyle name="Normal 2 2 2 2 9 2 3 2 7 2" xfId="12659"/>
    <cellStyle name="Normal 2 2 2 2 9 2 3 2 8" xfId="12660"/>
    <cellStyle name="Normal 2 2 2 2 9 2 3 2 8 2" xfId="12661"/>
    <cellStyle name="Normal 2 2 2 2 9 2 3 2 9" xfId="12662"/>
    <cellStyle name="Normal 2 2 2 2 9 2 3 2 9 2" xfId="12663"/>
    <cellStyle name="Normal 2 2 2 2 9 2 3 3" xfId="12664"/>
    <cellStyle name="Normal 2 2 2 2 9 2 3 3 10" xfId="12665"/>
    <cellStyle name="Normal 2 2 2 2 9 2 3 3 10 2" xfId="12666"/>
    <cellStyle name="Normal 2 2 2 2 9 2 3 3 11" xfId="12667"/>
    <cellStyle name="Normal 2 2 2 2 9 2 3 3 2" xfId="12668"/>
    <cellStyle name="Normal 2 2 2 2 9 2 3 3 2 2" xfId="12669"/>
    <cellStyle name="Normal 2 2 2 2 9 2 3 3 3" xfId="12670"/>
    <cellStyle name="Normal 2 2 2 2 9 2 3 3 3 2" xfId="12671"/>
    <cellStyle name="Normal 2 2 2 2 9 2 3 3 4" xfId="12672"/>
    <cellStyle name="Normal 2 2 2 2 9 2 3 3 4 2" xfId="12673"/>
    <cellStyle name="Normal 2 2 2 2 9 2 3 3 5" xfId="12674"/>
    <cellStyle name="Normal 2 2 2 2 9 2 3 3 5 2" xfId="12675"/>
    <cellStyle name="Normal 2 2 2 2 9 2 3 3 6" xfId="12676"/>
    <cellStyle name="Normal 2 2 2 2 9 2 3 3 6 2" xfId="12677"/>
    <cellStyle name="Normal 2 2 2 2 9 2 3 3 7" xfId="12678"/>
    <cellStyle name="Normal 2 2 2 2 9 2 3 3 7 2" xfId="12679"/>
    <cellStyle name="Normal 2 2 2 2 9 2 3 3 8" xfId="12680"/>
    <cellStyle name="Normal 2 2 2 2 9 2 3 3 8 2" xfId="12681"/>
    <cellStyle name="Normal 2 2 2 2 9 2 3 3 9" xfId="12682"/>
    <cellStyle name="Normal 2 2 2 2 9 2 3 3 9 2" xfId="12683"/>
    <cellStyle name="Normal 2 2 2 2 9 2 3 4" xfId="12684"/>
    <cellStyle name="Normal 2 2 2 2 9 2 3 4 2" xfId="12685"/>
    <cellStyle name="Normal 2 2 2 2 9 2 3 5" xfId="12686"/>
    <cellStyle name="Normal 2 2 2 2 9 2 3 5 2" xfId="12687"/>
    <cellStyle name="Normal 2 2 2 2 9 2 3 6" xfId="12688"/>
    <cellStyle name="Normal 2 2 2 2 9 2 3 6 2" xfId="12689"/>
    <cellStyle name="Normal 2 2 2 2 9 2 3 7" xfId="12690"/>
    <cellStyle name="Normal 2 2 2 2 9 2 3 7 2" xfId="12691"/>
    <cellStyle name="Normal 2 2 2 2 9 2 3 8" xfId="12692"/>
    <cellStyle name="Normal 2 2 2 2 9 2 3 8 2" xfId="12693"/>
    <cellStyle name="Normal 2 2 2 2 9 2 3 9" xfId="12694"/>
    <cellStyle name="Normal 2 2 2 2 9 2 3 9 2" xfId="12695"/>
    <cellStyle name="Normal 2 2 2 2 9 2 4" xfId="268"/>
    <cellStyle name="Normal 2 2 2 2 9 2 4 10" xfId="12696"/>
    <cellStyle name="Normal 2 2 2 2 9 2 4 10 2" xfId="12697"/>
    <cellStyle name="Normal 2 2 2 2 9 2 4 11" xfId="12698"/>
    <cellStyle name="Normal 2 2 2 2 9 2 4 11 2" xfId="12699"/>
    <cellStyle name="Normal 2 2 2 2 9 2 4 12" xfId="12700"/>
    <cellStyle name="Normal 2 2 2 2 9 2 4 12 2" xfId="12701"/>
    <cellStyle name="Normal 2 2 2 2 9 2 4 13" xfId="12702"/>
    <cellStyle name="Normal 2 2 2 2 9 2 4 2" xfId="12703"/>
    <cellStyle name="Normal 2 2 2 2 9 2 4 2 10" xfId="12704"/>
    <cellStyle name="Normal 2 2 2 2 9 2 4 2 10 2" xfId="12705"/>
    <cellStyle name="Normal 2 2 2 2 9 2 4 2 11" xfId="12706"/>
    <cellStyle name="Normal 2 2 2 2 9 2 4 2 11 2" xfId="12707"/>
    <cellStyle name="Normal 2 2 2 2 9 2 4 2 12" xfId="12708"/>
    <cellStyle name="Normal 2 2 2 2 9 2 4 2 2" xfId="12709"/>
    <cellStyle name="Normal 2 2 2 2 9 2 4 2 2 10" xfId="12710"/>
    <cellStyle name="Normal 2 2 2 2 9 2 4 2 2 10 2" xfId="12711"/>
    <cellStyle name="Normal 2 2 2 2 9 2 4 2 2 11" xfId="12712"/>
    <cellStyle name="Normal 2 2 2 2 9 2 4 2 2 2" xfId="12713"/>
    <cellStyle name="Normal 2 2 2 2 9 2 4 2 2 2 2" xfId="12714"/>
    <cellStyle name="Normal 2 2 2 2 9 2 4 2 2 3" xfId="12715"/>
    <cellStyle name="Normal 2 2 2 2 9 2 4 2 2 3 2" xfId="12716"/>
    <cellStyle name="Normal 2 2 2 2 9 2 4 2 2 4" xfId="12717"/>
    <cellStyle name="Normal 2 2 2 2 9 2 4 2 2 4 2" xfId="12718"/>
    <cellStyle name="Normal 2 2 2 2 9 2 4 2 2 5" xfId="12719"/>
    <cellStyle name="Normal 2 2 2 2 9 2 4 2 2 5 2" xfId="12720"/>
    <cellStyle name="Normal 2 2 2 2 9 2 4 2 2 6" xfId="12721"/>
    <cellStyle name="Normal 2 2 2 2 9 2 4 2 2 6 2" xfId="12722"/>
    <cellStyle name="Normal 2 2 2 2 9 2 4 2 2 7" xfId="12723"/>
    <cellStyle name="Normal 2 2 2 2 9 2 4 2 2 7 2" xfId="12724"/>
    <cellStyle name="Normal 2 2 2 2 9 2 4 2 2 8" xfId="12725"/>
    <cellStyle name="Normal 2 2 2 2 9 2 4 2 2 8 2" xfId="12726"/>
    <cellStyle name="Normal 2 2 2 2 9 2 4 2 2 9" xfId="12727"/>
    <cellStyle name="Normal 2 2 2 2 9 2 4 2 2 9 2" xfId="12728"/>
    <cellStyle name="Normal 2 2 2 2 9 2 4 2 3" xfId="12729"/>
    <cellStyle name="Normal 2 2 2 2 9 2 4 2 3 2" xfId="12730"/>
    <cellStyle name="Normal 2 2 2 2 9 2 4 2 4" xfId="12731"/>
    <cellStyle name="Normal 2 2 2 2 9 2 4 2 4 2" xfId="12732"/>
    <cellStyle name="Normal 2 2 2 2 9 2 4 2 5" xfId="12733"/>
    <cellStyle name="Normal 2 2 2 2 9 2 4 2 5 2" xfId="12734"/>
    <cellStyle name="Normal 2 2 2 2 9 2 4 2 6" xfId="12735"/>
    <cellStyle name="Normal 2 2 2 2 9 2 4 2 6 2" xfId="12736"/>
    <cellStyle name="Normal 2 2 2 2 9 2 4 2 7" xfId="12737"/>
    <cellStyle name="Normal 2 2 2 2 9 2 4 2 7 2" xfId="12738"/>
    <cellStyle name="Normal 2 2 2 2 9 2 4 2 8" xfId="12739"/>
    <cellStyle name="Normal 2 2 2 2 9 2 4 2 8 2" xfId="12740"/>
    <cellStyle name="Normal 2 2 2 2 9 2 4 2 9" xfId="12741"/>
    <cellStyle name="Normal 2 2 2 2 9 2 4 2 9 2" xfId="12742"/>
    <cellStyle name="Normal 2 2 2 2 9 2 4 3" xfId="12743"/>
    <cellStyle name="Normal 2 2 2 2 9 2 4 3 10" xfId="12744"/>
    <cellStyle name="Normal 2 2 2 2 9 2 4 3 10 2" xfId="12745"/>
    <cellStyle name="Normal 2 2 2 2 9 2 4 3 11" xfId="12746"/>
    <cellStyle name="Normal 2 2 2 2 9 2 4 3 2" xfId="12747"/>
    <cellStyle name="Normal 2 2 2 2 9 2 4 3 2 2" xfId="12748"/>
    <cellStyle name="Normal 2 2 2 2 9 2 4 3 3" xfId="12749"/>
    <cellStyle name="Normal 2 2 2 2 9 2 4 3 3 2" xfId="12750"/>
    <cellStyle name="Normal 2 2 2 2 9 2 4 3 4" xfId="12751"/>
    <cellStyle name="Normal 2 2 2 2 9 2 4 3 4 2" xfId="12752"/>
    <cellStyle name="Normal 2 2 2 2 9 2 4 3 5" xfId="12753"/>
    <cellStyle name="Normal 2 2 2 2 9 2 4 3 5 2" xfId="12754"/>
    <cellStyle name="Normal 2 2 2 2 9 2 4 3 6" xfId="12755"/>
    <cellStyle name="Normal 2 2 2 2 9 2 4 3 6 2" xfId="12756"/>
    <cellStyle name="Normal 2 2 2 2 9 2 4 3 7" xfId="12757"/>
    <cellStyle name="Normal 2 2 2 2 9 2 4 3 7 2" xfId="12758"/>
    <cellStyle name="Normal 2 2 2 2 9 2 4 3 8" xfId="12759"/>
    <cellStyle name="Normal 2 2 2 2 9 2 4 3 8 2" xfId="12760"/>
    <cellStyle name="Normal 2 2 2 2 9 2 4 3 9" xfId="12761"/>
    <cellStyle name="Normal 2 2 2 2 9 2 4 3 9 2" xfId="12762"/>
    <cellStyle name="Normal 2 2 2 2 9 2 4 4" xfId="12763"/>
    <cellStyle name="Normal 2 2 2 2 9 2 4 4 2" xfId="12764"/>
    <cellStyle name="Normal 2 2 2 2 9 2 4 5" xfId="12765"/>
    <cellStyle name="Normal 2 2 2 2 9 2 4 5 2" xfId="12766"/>
    <cellStyle name="Normal 2 2 2 2 9 2 4 6" xfId="12767"/>
    <cellStyle name="Normal 2 2 2 2 9 2 4 6 2" xfId="12768"/>
    <cellStyle name="Normal 2 2 2 2 9 2 4 7" xfId="12769"/>
    <cellStyle name="Normal 2 2 2 2 9 2 4 7 2" xfId="12770"/>
    <cellStyle name="Normal 2 2 2 2 9 2 4 8" xfId="12771"/>
    <cellStyle name="Normal 2 2 2 2 9 2 4 8 2" xfId="12772"/>
    <cellStyle name="Normal 2 2 2 2 9 2 4 9" xfId="12773"/>
    <cellStyle name="Normal 2 2 2 2 9 2 4 9 2" xfId="12774"/>
    <cellStyle name="Normal 2 2 2 2 9 2 5" xfId="269"/>
    <cellStyle name="Normal 2 2 2 2 9 2 5 10" xfId="12775"/>
    <cellStyle name="Normal 2 2 2 2 9 2 5 10 2" xfId="12776"/>
    <cellStyle name="Normal 2 2 2 2 9 2 5 11" xfId="12777"/>
    <cellStyle name="Normal 2 2 2 2 9 2 5 11 2" xfId="12778"/>
    <cellStyle name="Normal 2 2 2 2 9 2 5 12" xfId="12779"/>
    <cellStyle name="Normal 2 2 2 2 9 2 5 12 2" xfId="12780"/>
    <cellStyle name="Normal 2 2 2 2 9 2 5 13" xfId="12781"/>
    <cellStyle name="Normal 2 2 2 2 9 2 5 2" xfId="12782"/>
    <cellStyle name="Normal 2 2 2 2 9 2 5 2 10" xfId="12783"/>
    <cellStyle name="Normal 2 2 2 2 9 2 5 2 10 2" xfId="12784"/>
    <cellStyle name="Normal 2 2 2 2 9 2 5 2 11" xfId="12785"/>
    <cellStyle name="Normal 2 2 2 2 9 2 5 2 11 2" xfId="12786"/>
    <cellStyle name="Normal 2 2 2 2 9 2 5 2 12" xfId="12787"/>
    <cellStyle name="Normal 2 2 2 2 9 2 5 2 2" xfId="12788"/>
    <cellStyle name="Normal 2 2 2 2 9 2 5 2 2 10" xfId="12789"/>
    <cellStyle name="Normal 2 2 2 2 9 2 5 2 2 10 2" xfId="12790"/>
    <cellStyle name="Normal 2 2 2 2 9 2 5 2 2 11" xfId="12791"/>
    <cellStyle name="Normal 2 2 2 2 9 2 5 2 2 2" xfId="12792"/>
    <cellStyle name="Normal 2 2 2 2 9 2 5 2 2 2 2" xfId="12793"/>
    <cellStyle name="Normal 2 2 2 2 9 2 5 2 2 3" xfId="12794"/>
    <cellStyle name="Normal 2 2 2 2 9 2 5 2 2 3 2" xfId="12795"/>
    <cellStyle name="Normal 2 2 2 2 9 2 5 2 2 4" xfId="12796"/>
    <cellStyle name="Normal 2 2 2 2 9 2 5 2 2 4 2" xfId="12797"/>
    <cellStyle name="Normal 2 2 2 2 9 2 5 2 2 5" xfId="12798"/>
    <cellStyle name="Normal 2 2 2 2 9 2 5 2 2 5 2" xfId="12799"/>
    <cellStyle name="Normal 2 2 2 2 9 2 5 2 2 6" xfId="12800"/>
    <cellStyle name="Normal 2 2 2 2 9 2 5 2 2 6 2" xfId="12801"/>
    <cellStyle name="Normal 2 2 2 2 9 2 5 2 2 7" xfId="12802"/>
    <cellStyle name="Normal 2 2 2 2 9 2 5 2 2 7 2" xfId="12803"/>
    <cellStyle name="Normal 2 2 2 2 9 2 5 2 2 8" xfId="12804"/>
    <cellStyle name="Normal 2 2 2 2 9 2 5 2 2 8 2" xfId="12805"/>
    <cellStyle name="Normal 2 2 2 2 9 2 5 2 2 9" xfId="12806"/>
    <cellStyle name="Normal 2 2 2 2 9 2 5 2 2 9 2" xfId="12807"/>
    <cellStyle name="Normal 2 2 2 2 9 2 5 2 3" xfId="12808"/>
    <cellStyle name="Normal 2 2 2 2 9 2 5 2 3 2" xfId="12809"/>
    <cellStyle name="Normal 2 2 2 2 9 2 5 2 4" xfId="12810"/>
    <cellStyle name="Normal 2 2 2 2 9 2 5 2 4 2" xfId="12811"/>
    <cellStyle name="Normal 2 2 2 2 9 2 5 2 5" xfId="12812"/>
    <cellStyle name="Normal 2 2 2 2 9 2 5 2 5 2" xfId="12813"/>
    <cellStyle name="Normal 2 2 2 2 9 2 5 2 6" xfId="12814"/>
    <cellStyle name="Normal 2 2 2 2 9 2 5 2 6 2" xfId="12815"/>
    <cellStyle name="Normal 2 2 2 2 9 2 5 2 7" xfId="12816"/>
    <cellStyle name="Normal 2 2 2 2 9 2 5 2 7 2" xfId="12817"/>
    <cellStyle name="Normal 2 2 2 2 9 2 5 2 8" xfId="12818"/>
    <cellStyle name="Normal 2 2 2 2 9 2 5 2 8 2" xfId="12819"/>
    <cellStyle name="Normal 2 2 2 2 9 2 5 2 9" xfId="12820"/>
    <cellStyle name="Normal 2 2 2 2 9 2 5 2 9 2" xfId="12821"/>
    <cellStyle name="Normal 2 2 2 2 9 2 5 3" xfId="12822"/>
    <cellStyle name="Normal 2 2 2 2 9 2 5 3 10" xfId="12823"/>
    <cellStyle name="Normal 2 2 2 2 9 2 5 3 10 2" xfId="12824"/>
    <cellStyle name="Normal 2 2 2 2 9 2 5 3 11" xfId="12825"/>
    <cellStyle name="Normal 2 2 2 2 9 2 5 3 2" xfId="12826"/>
    <cellStyle name="Normal 2 2 2 2 9 2 5 3 2 2" xfId="12827"/>
    <cellStyle name="Normal 2 2 2 2 9 2 5 3 3" xfId="12828"/>
    <cellStyle name="Normal 2 2 2 2 9 2 5 3 3 2" xfId="12829"/>
    <cellStyle name="Normal 2 2 2 2 9 2 5 3 4" xfId="12830"/>
    <cellStyle name="Normal 2 2 2 2 9 2 5 3 4 2" xfId="12831"/>
    <cellStyle name="Normal 2 2 2 2 9 2 5 3 5" xfId="12832"/>
    <cellStyle name="Normal 2 2 2 2 9 2 5 3 5 2" xfId="12833"/>
    <cellStyle name="Normal 2 2 2 2 9 2 5 3 6" xfId="12834"/>
    <cellStyle name="Normal 2 2 2 2 9 2 5 3 6 2" xfId="12835"/>
    <cellStyle name="Normal 2 2 2 2 9 2 5 3 7" xfId="12836"/>
    <cellStyle name="Normal 2 2 2 2 9 2 5 3 7 2" xfId="12837"/>
    <cellStyle name="Normal 2 2 2 2 9 2 5 3 8" xfId="12838"/>
    <cellStyle name="Normal 2 2 2 2 9 2 5 3 8 2" xfId="12839"/>
    <cellStyle name="Normal 2 2 2 2 9 2 5 3 9" xfId="12840"/>
    <cellStyle name="Normal 2 2 2 2 9 2 5 3 9 2" xfId="12841"/>
    <cellStyle name="Normal 2 2 2 2 9 2 5 4" xfId="12842"/>
    <cellStyle name="Normal 2 2 2 2 9 2 5 4 2" xfId="12843"/>
    <cellStyle name="Normal 2 2 2 2 9 2 5 5" xfId="12844"/>
    <cellStyle name="Normal 2 2 2 2 9 2 5 5 2" xfId="12845"/>
    <cellStyle name="Normal 2 2 2 2 9 2 5 6" xfId="12846"/>
    <cellStyle name="Normal 2 2 2 2 9 2 5 6 2" xfId="12847"/>
    <cellStyle name="Normal 2 2 2 2 9 2 5 7" xfId="12848"/>
    <cellStyle name="Normal 2 2 2 2 9 2 5 7 2" xfId="12849"/>
    <cellStyle name="Normal 2 2 2 2 9 2 5 8" xfId="12850"/>
    <cellStyle name="Normal 2 2 2 2 9 2 5 8 2" xfId="12851"/>
    <cellStyle name="Normal 2 2 2 2 9 2 5 9" xfId="12852"/>
    <cellStyle name="Normal 2 2 2 2 9 2 5 9 2" xfId="12853"/>
    <cellStyle name="Normal 2 2 2 2 9 2 6" xfId="270"/>
    <cellStyle name="Normal 2 2 2 2 9 3" xfId="271"/>
    <cellStyle name="Normal 2 2 2 2 9 3 2" xfId="272"/>
    <cellStyle name="Normal 2 2 2 2 9 4" xfId="273"/>
    <cellStyle name="Normal 2 2 2 2 9 4 2" xfId="274"/>
    <cellStyle name="Normal 2 2 2 2 9 5" xfId="275"/>
    <cellStyle name="Normal 2 2 2 2 9 5 2" xfId="276"/>
    <cellStyle name="Normal 2 2 2 2 9 6" xfId="277"/>
    <cellStyle name="Normal 2 2 2 2 9 6 2" xfId="278"/>
    <cellStyle name="Normal 2 2 2 2 9 7" xfId="12854"/>
    <cellStyle name="Normal 2 2 2 2 9 7 10" xfId="12855"/>
    <cellStyle name="Normal 2 2 2 2 9 7 10 2" xfId="12856"/>
    <cellStyle name="Normal 2 2 2 2 9 7 11" xfId="12857"/>
    <cellStyle name="Normal 2 2 2 2 9 7 11 2" xfId="12858"/>
    <cellStyle name="Normal 2 2 2 2 9 7 12" xfId="12859"/>
    <cellStyle name="Normal 2 2 2 2 9 7 2" xfId="12860"/>
    <cellStyle name="Normal 2 2 2 2 9 7 2 10" xfId="12861"/>
    <cellStyle name="Normal 2 2 2 2 9 7 2 10 2" xfId="12862"/>
    <cellStyle name="Normal 2 2 2 2 9 7 2 11" xfId="12863"/>
    <cellStyle name="Normal 2 2 2 2 9 7 2 2" xfId="12864"/>
    <cellStyle name="Normal 2 2 2 2 9 7 2 2 2" xfId="12865"/>
    <cellStyle name="Normal 2 2 2 2 9 7 2 3" xfId="12866"/>
    <cellStyle name="Normal 2 2 2 2 9 7 2 3 2" xfId="12867"/>
    <cellStyle name="Normal 2 2 2 2 9 7 2 4" xfId="12868"/>
    <cellStyle name="Normal 2 2 2 2 9 7 2 4 2" xfId="12869"/>
    <cellStyle name="Normal 2 2 2 2 9 7 2 5" xfId="12870"/>
    <cellStyle name="Normal 2 2 2 2 9 7 2 5 2" xfId="12871"/>
    <cellStyle name="Normal 2 2 2 2 9 7 2 6" xfId="12872"/>
    <cellStyle name="Normal 2 2 2 2 9 7 2 6 2" xfId="12873"/>
    <cellStyle name="Normal 2 2 2 2 9 7 2 7" xfId="12874"/>
    <cellStyle name="Normal 2 2 2 2 9 7 2 7 2" xfId="12875"/>
    <cellStyle name="Normal 2 2 2 2 9 7 2 8" xfId="12876"/>
    <cellStyle name="Normal 2 2 2 2 9 7 2 8 2" xfId="12877"/>
    <cellStyle name="Normal 2 2 2 2 9 7 2 9" xfId="12878"/>
    <cellStyle name="Normal 2 2 2 2 9 7 2 9 2" xfId="12879"/>
    <cellStyle name="Normal 2 2 2 2 9 7 3" xfId="12880"/>
    <cellStyle name="Normal 2 2 2 2 9 7 3 2" xfId="12881"/>
    <cellStyle name="Normal 2 2 2 2 9 7 4" xfId="12882"/>
    <cellStyle name="Normal 2 2 2 2 9 7 4 2" xfId="12883"/>
    <cellStyle name="Normal 2 2 2 2 9 7 5" xfId="12884"/>
    <cellStyle name="Normal 2 2 2 2 9 7 5 2" xfId="12885"/>
    <cellStyle name="Normal 2 2 2 2 9 7 6" xfId="12886"/>
    <cellStyle name="Normal 2 2 2 2 9 7 6 2" xfId="12887"/>
    <cellStyle name="Normal 2 2 2 2 9 7 7" xfId="12888"/>
    <cellStyle name="Normal 2 2 2 2 9 7 7 2" xfId="12889"/>
    <cellStyle name="Normal 2 2 2 2 9 7 8" xfId="12890"/>
    <cellStyle name="Normal 2 2 2 2 9 7 8 2" xfId="12891"/>
    <cellStyle name="Normal 2 2 2 2 9 7 9" xfId="12892"/>
    <cellStyle name="Normal 2 2 2 2 9 7 9 2" xfId="12893"/>
    <cellStyle name="Normal 2 2 2 2 9 8" xfId="12894"/>
    <cellStyle name="Normal 2 2 2 2 9 8 10" xfId="12895"/>
    <cellStyle name="Normal 2 2 2 2 9 8 10 2" xfId="12896"/>
    <cellStyle name="Normal 2 2 2 2 9 8 11" xfId="12897"/>
    <cellStyle name="Normal 2 2 2 2 9 8 2" xfId="12898"/>
    <cellStyle name="Normal 2 2 2 2 9 8 2 2" xfId="12899"/>
    <cellStyle name="Normal 2 2 2 2 9 8 3" xfId="12900"/>
    <cellStyle name="Normal 2 2 2 2 9 8 3 2" xfId="12901"/>
    <cellStyle name="Normal 2 2 2 2 9 8 4" xfId="12902"/>
    <cellStyle name="Normal 2 2 2 2 9 8 4 2" xfId="12903"/>
    <cellStyle name="Normal 2 2 2 2 9 8 5" xfId="12904"/>
    <cellStyle name="Normal 2 2 2 2 9 8 5 2" xfId="12905"/>
    <cellStyle name="Normal 2 2 2 2 9 8 6" xfId="12906"/>
    <cellStyle name="Normal 2 2 2 2 9 8 6 2" xfId="12907"/>
    <cellStyle name="Normal 2 2 2 2 9 8 7" xfId="12908"/>
    <cellStyle name="Normal 2 2 2 2 9 8 7 2" xfId="12909"/>
    <cellStyle name="Normal 2 2 2 2 9 8 8" xfId="12910"/>
    <cellStyle name="Normal 2 2 2 2 9 8 8 2" xfId="12911"/>
    <cellStyle name="Normal 2 2 2 2 9 8 9" xfId="12912"/>
    <cellStyle name="Normal 2 2 2 2 9 8 9 2" xfId="12913"/>
    <cellStyle name="Normal 2 2 2 2 9 9" xfId="12914"/>
    <cellStyle name="Normal 2 2 2 2 9 9 2" xfId="12915"/>
    <cellStyle name="Normal 2 2 2 3" xfId="279"/>
    <cellStyle name="Normal 2 2 2 3 10" xfId="280"/>
    <cellStyle name="Normal 2 2 2 3 2" xfId="281"/>
    <cellStyle name="Normal 2 2 2 3 2 10" xfId="12916"/>
    <cellStyle name="Normal 2 2 2 3 2 10 10" xfId="12917"/>
    <cellStyle name="Normal 2 2 2 3 2 10 10 2" xfId="12918"/>
    <cellStyle name="Normal 2 2 2 3 2 10 11" xfId="12919"/>
    <cellStyle name="Normal 2 2 2 3 2 10 11 2" xfId="12920"/>
    <cellStyle name="Normal 2 2 2 3 2 10 12" xfId="12921"/>
    <cellStyle name="Normal 2 2 2 3 2 10 2" xfId="12922"/>
    <cellStyle name="Normal 2 2 2 3 2 10 2 10" xfId="12923"/>
    <cellStyle name="Normal 2 2 2 3 2 10 2 10 2" xfId="12924"/>
    <cellStyle name="Normal 2 2 2 3 2 10 2 11" xfId="12925"/>
    <cellStyle name="Normal 2 2 2 3 2 10 2 2" xfId="12926"/>
    <cellStyle name="Normal 2 2 2 3 2 10 2 2 2" xfId="12927"/>
    <cellStyle name="Normal 2 2 2 3 2 10 2 3" xfId="12928"/>
    <cellStyle name="Normal 2 2 2 3 2 10 2 3 2" xfId="12929"/>
    <cellStyle name="Normal 2 2 2 3 2 10 2 4" xfId="12930"/>
    <cellStyle name="Normal 2 2 2 3 2 10 2 4 2" xfId="12931"/>
    <cellStyle name="Normal 2 2 2 3 2 10 2 5" xfId="12932"/>
    <cellStyle name="Normal 2 2 2 3 2 10 2 5 2" xfId="12933"/>
    <cellStyle name="Normal 2 2 2 3 2 10 2 6" xfId="12934"/>
    <cellStyle name="Normal 2 2 2 3 2 10 2 6 2" xfId="12935"/>
    <cellStyle name="Normal 2 2 2 3 2 10 2 7" xfId="12936"/>
    <cellStyle name="Normal 2 2 2 3 2 10 2 7 2" xfId="12937"/>
    <cellStyle name="Normal 2 2 2 3 2 10 2 8" xfId="12938"/>
    <cellStyle name="Normal 2 2 2 3 2 10 2 8 2" xfId="12939"/>
    <cellStyle name="Normal 2 2 2 3 2 10 2 9" xfId="12940"/>
    <cellStyle name="Normal 2 2 2 3 2 10 2 9 2" xfId="12941"/>
    <cellStyle name="Normal 2 2 2 3 2 10 3" xfId="12942"/>
    <cellStyle name="Normal 2 2 2 3 2 10 3 2" xfId="12943"/>
    <cellStyle name="Normal 2 2 2 3 2 10 4" xfId="12944"/>
    <cellStyle name="Normal 2 2 2 3 2 10 4 2" xfId="12945"/>
    <cellStyle name="Normal 2 2 2 3 2 10 5" xfId="12946"/>
    <cellStyle name="Normal 2 2 2 3 2 10 5 2" xfId="12947"/>
    <cellStyle name="Normal 2 2 2 3 2 10 6" xfId="12948"/>
    <cellStyle name="Normal 2 2 2 3 2 10 6 2" xfId="12949"/>
    <cellStyle name="Normal 2 2 2 3 2 10 7" xfId="12950"/>
    <cellStyle name="Normal 2 2 2 3 2 10 7 2" xfId="12951"/>
    <cellStyle name="Normal 2 2 2 3 2 10 8" xfId="12952"/>
    <cellStyle name="Normal 2 2 2 3 2 10 8 2" xfId="12953"/>
    <cellStyle name="Normal 2 2 2 3 2 10 9" xfId="12954"/>
    <cellStyle name="Normal 2 2 2 3 2 10 9 2" xfId="12955"/>
    <cellStyle name="Normal 2 2 2 3 2 11" xfId="12956"/>
    <cellStyle name="Normal 2 2 2 3 2 11 10" xfId="12957"/>
    <cellStyle name="Normal 2 2 2 3 2 11 10 2" xfId="12958"/>
    <cellStyle name="Normal 2 2 2 3 2 11 11" xfId="12959"/>
    <cellStyle name="Normal 2 2 2 3 2 11 2" xfId="12960"/>
    <cellStyle name="Normal 2 2 2 3 2 11 2 2" xfId="12961"/>
    <cellStyle name="Normal 2 2 2 3 2 11 3" xfId="12962"/>
    <cellStyle name="Normal 2 2 2 3 2 11 3 2" xfId="12963"/>
    <cellStyle name="Normal 2 2 2 3 2 11 4" xfId="12964"/>
    <cellStyle name="Normal 2 2 2 3 2 11 4 2" xfId="12965"/>
    <cellStyle name="Normal 2 2 2 3 2 11 5" xfId="12966"/>
    <cellStyle name="Normal 2 2 2 3 2 11 5 2" xfId="12967"/>
    <cellStyle name="Normal 2 2 2 3 2 11 6" xfId="12968"/>
    <cellStyle name="Normal 2 2 2 3 2 11 6 2" xfId="12969"/>
    <cellStyle name="Normal 2 2 2 3 2 11 7" xfId="12970"/>
    <cellStyle name="Normal 2 2 2 3 2 11 7 2" xfId="12971"/>
    <cellStyle name="Normal 2 2 2 3 2 11 8" xfId="12972"/>
    <cellStyle name="Normal 2 2 2 3 2 11 8 2" xfId="12973"/>
    <cellStyle name="Normal 2 2 2 3 2 11 9" xfId="12974"/>
    <cellStyle name="Normal 2 2 2 3 2 11 9 2" xfId="12975"/>
    <cellStyle name="Normal 2 2 2 3 2 12" xfId="12976"/>
    <cellStyle name="Normal 2 2 2 3 2 12 2" xfId="12977"/>
    <cellStyle name="Normal 2 2 2 3 2 13" xfId="12978"/>
    <cellStyle name="Normal 2 2 2 3 2 13 2" xfId="12979"/>
    <cellStyle name="Normal 2 2 2 3 2 14" xfId="12980"/>
    <cellStyle name="Normal 2 2 2 3 2 14 2" xfId="12981"/>
    <cellStyle name="Normal 2 2 2 3 2 15" xfId="12982"/>
    <cellStyle name="Normal 2 2 2 3 2 15 2" xfId="12983"/>
    <cellStyle name="Normal 2 2 2 3 2 16" xfId="12984"/>
    <cellStyle name="Normal 2 2 2 3 2 16 2" xfId="12985"/>
    <cellStyle name="Normal 2 2 2 3 2 17" xfId="12986"/>
    <cellStyle name="Normal 2 2 2 3 2 17 2" xfId="12987"/>
    <cellStyle name="Normal 2 2 2 3 2 18" xfId="12988"/>
    <cellStyle name="Normal 2 2 2 3 2 18 2" xfId="12989"/>
    <cellStyle name="Normal 2 2 2 3 2 19" xfId="12990"/>
    <cellStyle name="Normal 2 2 2 3 2 19 2" xfId="12991"/>
    <cellStyle name="Normal 2 2 2 3 2 2" xfId="282"/>
    <cellStyle name="Normal 2 2 2 3 2 2 2" xfId="283"/>
    <cellStyle name="Normal 2 2 2 3 2 2 2 10" xfId="12992"/>
    <cellStyle name="Normal 2 2 2 3 2 2 2 10 2" xfId="12993"/>
    <cellStyle name="Normal 2 2 2 3 2 2 2 11" xfId="12994"/>
    <cellStyle name="Normal 2 2 2 3 2 2 2 11 2" xfId="12995"/>
    <cellStyle name="Normal 2 2 2 3 2 2 2 12" xfId="12996"/>
    <cellStyle name="Normal 2 2 2 3 2 2 2 12 2" xfId="12997"/>
    <cellStyle name="Normal 2 2 2 3 2 2 2 13" xfId="12998"/>
    <cellStyle name="Normal 2 2 2 3 2 2 2 13 2" xfId="12999"/>
    <cellStyle name="Normal 2 2 2 3 2 2 2 14" xfId="13000"/>
    <cellStyle name="Normal 2 2 2 3 2 2 2 14 2" xfId="13001"/>
    <cellStyle name="Normal 2 2 2 3 2 2 2 15" xfId="13002"/>
    <cellStyle name="Normal 2 2 2 3 2 2 2 15 2" xfId="13003"/>
    <cellStyle name="Normal 2 2 2 3 2 2 2 16" xfId="13004"/>
    <cellStyle name="Normal 2 2 2 3 2 2 2 16 2" xfId="13005"/>
    <cellStyle name="Normal 2 2 2 3 2 2 2 17" xfId="13006"/>
    <cellStyle name="Normal 2 2 2 3 2 2 2 2" xfId="284"/>
    <cellStyle name="Normal 2 2 2 3 2 2 2 2 2" xfId="285"/>
    <cellStyle name="Normal 2 2 2 3 2 2 2 2 2 10" xfId="13007"/>
    <cellStyle name="Normal 2 2 2 3 2 2 2 2 2 10 2" xfId="13008"/>
    <cellStyle name="Normal 2 2 2 3 2 2 2 2 2 11" xfId="13009"/>
    <cellStyle name="Normal 2 2 2 3 2 2 2 2 2 11 2" xfId="13010"/>
    <cellStyle name="Normal 2 2 2 3 2 2 2 2 2 12" xfId="13011"/>
    <cellStyle name="Normal 2 2 2 3 2 2 2 2 2 12 2" xfId="13012"/>
    <cellStyle name="Normal 2 2 2 3 2 2 2 2 2 13" xfId="13013"/>
    <cellStyle name="Normal 2 2 2 3 2 2 2 2 2 2" xfId="13014"/>
    <cellStyle name="Normal 2 2 2 3 2 2 2 2 2 2 10" xfId="13015"/>
    <cellStyle name="Normal 2 2 2 3 2 2 2 2 2 2 10 2" xfId="13016"/>
    <cellStyle name="Normal 2 2 2 3 2 2 2 2 2 2 11" xfId="13017"/>
    <cellStyle name="Normal 2 2 2 3 2 2 2 2 2 2 11 2" xfId="13018"/>
    <cellStyle name="Normal 2 2 2 3 2 2 2 2 2 2 12" xfId="13019"/>
    <cellStyle name="Normal 2 2 2 3 2 2 2 2 2 2 2" xfId="13020"/>
    <cellStyle name="Normal 2 2 2 3 2 2 2 2 2 2 2 10" xfId="13021"/>
    <cellStyle name="Normal 2 2 2 3 2 2 2 2 2 2 2 10 2" xfId="13022"/>
    <cellStyle name="Normal 2 2 2 3 2 2 2 2 2 2 2 11" xfId="13023"/>
    <cellStyle name="Normal 2 2 2 3 2 2 2 2 2 2 2 2" xfId="13024"/>
    <cellStyle name="Normal 2 2 2 3 2 2 2 2 2 2 2 2 2" xfId="13025"/>
    <cellStyle name="Normal 2 2 2 3 2 2 2 2 2 2 2 3" xfId="13026"/>
    <cellStyle name="Normal 2 2 2 3 2 2 2 2 2 2 2 3 2" xfId="13027"/>
    <cellStyle name="Normal 2 2 2 3 2 2 2 2 2 2 2 4" xfId="13028"/>
    <cellStyle name="Normal 2 2 2 3 2 2 2 2 2 2 2 4 2" xfId="13029"/>
    <cellStyle name="Normal 2 2 2 3 2 2 2 2 2 2 2 5" xfId="13030"/>
    <cellStyle name="Normal 2 2 2 3 2 2 2 2 2 2 2 5 2" xfId="13031"/>
    <cellStyle name="Normal 2 2 2 3 2 2 2 2 2 2 2 6" xfId="13032"/>
    <cellStyle name="Normal 2 2 2 3 2 2 2 2 2 2 2 6 2" xfId="13033"/>
    <cellStyle name="Normal 2 2 2 3 2 2 2 2 2 2 2 7" xfId="13034"/>
    <cellStyle name="Normal 2 2 2 3 2 2 2 2 2 2 2 7 2" xfId="13035"/>
    <cellStyle name="Normal 2 2 2 3 2 2 2 2 2 2 2 8" xfId="13036"/>
    <cellStyle name="Normal 2 2 2 3 2 2 2 2 2 2 2 8 2" xfId="13037"/>
    <cellStyle name="Normal 2 2 2 3 2 2 2 2 2 2 2 9" xfId="13038"/>
    <cellStyle name="Normal 2 2 2 3 2 2 2 2 2 2 2 9 2" xfId="13039"/>
    <cellStyle name="Normal 2 2 2 3 2 2 2 2 2 2 3" xfId="13040"/>
    <cellStyle name="Normal 2 2 2 3 2 2 2 2 2 2 3 2" xfId="13041"/>
    <cellStyle name="Normal 2 2 2 3 2 2 2 2 2 2 4" xfId="13042"/>
    <cellStyle name="Normal 2 2 2 3 2 2 2 2 2 2 4 2" xfId="13043"/>
    <cellStyle name="Normal 2 2 2 3 2 2 2 2 2 2 5" xfId="13044"/>
    <cellStyle name="Normal 2 2 2 3 2 2 2 2 2 2 5 2" xfId="13045"/>
    <cellStyle name="Normal 2 2 2 3 2 2 2 2 2 2 6" xfId="13046"/>
    <cellStyle name="Normal 2 2 2 3 2 2 2 2 2 2 6 2" xfId="13047"/>
    <cellStyle name="Normal 2 2 2 3 2 2 2 2 2 2 7" xfId="13048"/>
    <cellStyle name="Normal 2 2 2 3 2 2 2 2 2 2 7 2" xfId="13049"/>
    <cellStyle name="Normal 2 2 2 3 2 2 2 2 2 2 8" xfId="13050"/>
    <cellStyle name="Normal 2 2 2 3 2 2 2 2 2 2 8 2" xfId="13051"/>
    <cellStyle name="Normal 2 2 2 3 2 2 2 2 2 2 9" xfId="13052"/>
    <cellStyle name="Normal 2 2 2 3 2 2 2 2 2 2 9 2" xfId="13053"/>
    <cellStyle name="Normal 2 2 2 3 2 2 2 2 2 3" xfId="13054"/>
    <cellStyle name="Normal 2 2 2 3 2 2 2 2 2 3 10" xfId="13055"/>
    <cellStyle name="Normal 2 2 2 3 2 2 2 2 2 3 10 2" xfId="13056"/>
    <cellStyle name="Normal 2 2 2 3 2 2 2 2 2 3 11" xfId="13057"/>
    <cellStyle name="Normal 2 2 2 3 2 2 2 2 2 3 2" xfId="13058"/>
    <cellStyle name="Normal 2 2 2 3 2 2 2 2 2 3 2 2" xfId="13059"/>
    <cellStyle name="Normal 2 2 2 3 2 2 2 2 2 3 3" xfId="13060"/>
    <cellStyle name="Normal 2 2 2 3 2 2 2 2 2 3 3 2" xfId="13061"/>
    <cellStyle name="Normal 2 2 2 3 2 2 2 2 2 3 4" xfId="13062"/>
    <cellStyle name="Normal 2 2 2 3 2 2 2 2 2 3 4 2" xfId="13063"/>
    <cellStyle name="Normal 2 2 2 3 2 2 2 2 2 3 5" xfId="13064"/>
    <cellStyle name="Normal 2 2 2 3 2 2 2 2 2 3 5 2" xfId="13065"/>
    <cellStyle name="Normal 2 2 2 3 2 2 2 2 2 3 6" xfId="13066"/>
    <cellStyle name="Normal 2 2 2 3 2 2 2 2 2 3 6 2" xfId="13067"/>
    <cellStyle name="Normal 2 2 2 3 2 2 2 2 2 3 7" xfId="13068"/>
    <cellStyle name="Normal 2 2 2 3 2 2 2 2 2 3 7 2" xfId="13069"/>
    <cellStyle name="Normal 2 2 2 3 2 2 2 2 2 3 8" xfId="13070"/>
    <cellStyle name="Normal 2 2 2 3 2 2 2 2 2 3 8 2" xfId="13071"/>
    <cellStyle name="Normal 2 2 2 3 2 2 2 2 2 3 9" xfId="13072"/>
    <cellStyle name="Normal 2 2 2 3 2 2 2 2 2 3 9 2" xfId="13073"/>
    <cellStyle name="Normal 2 2 2 3 2 2 2 2 2 4" xfId="13074"/>
    <cellStyle name="Normal 2 2 2 3 2 2 2 2 2 4 2" xfId="13075"/>
    <cellStyle name="Normal 2 2 2 3 2 2 2 2 2 5" xfId="13076"/>
    <cellStyle name="Normal 2 2 2 3 2 2 2 2 2 5 2" xfId="13077"/>
    <cellStyle name="Normal 2 2 2 3 2 2 2 2 2 6" xfId="13078"/>
    <cellStyle name="Normal 2 2 2 3 2 2 2 2 2 6 2" xfId="13079"/>
    <cellStyle name="Normal 2 2 2 3 2 2 2 2 2 7" xfId="13080"/>
    <cellStyle name="Normal 2 2 2 3 2 2 2 2 2 7 2" xfId="13081"/>
    <cellStyle name="Normal 2 2 2 3 2 2 2 2 2 8" xfId="13082"/>
    <cellStyle name="Normal 2 2 2 3 2 2 2 2 2 8 2" xfId="13083"/>
    <cellStyle name="Normal 2 2 2 3 2 2 2 2 2 9" xfId="13084"/>
    <cellStyle name="Normal 2 2 2 3 2 2 2 2 2 9 2" xfId="13085"/>
    <cellStyle name="Normal 2 2 2 3 2 2 2 2 3" xfId="286"/>
    <cellStyle name="Normal 2 2 2 3 2 2 2 2 3 10" xfId="13086"/>
    <cellStyle name="Normal 2 2 2 3 2 2 2 2 3 10 2" xfId="13087"/>
    <cellStyle name="Normal 2 2 2 3 2 2 2 2 3 11" xfId="13088"/>
    <cellStyle name="Normal 2 2 2 3 2 2 2 2 3 11 2" xfId="13089"/>
    <cellStyle name="Normal 2 2 2 3 2 2 2 2 3 12" xfId="13090"/>
    <cellStyle name="Normal 2 2 2 3 2 2 2 2 3 12 2" xfId="13091"/>
    <cellStyle name="Normal 2 2 2 3 2 2 2 2 3 13" xfId="13092"/>
    <cellStyle name="Normal 2 2 2 3 2 2 2 2 3 2" xfId="13093"/>
    <cellStyle name="Normal 2 2 2 3 2 2 2 2 3 2 10" xfId="13094"/>
    <cellStyle name="Normal 2 2 2 3 2 2 2 2 3 2 10 2" xfId="13095"/>
    <cellStyle name="Normal 2 2 2 3 2 2 2 2 3 2 11" xfId="13096"/>
    <cellStyle name="Normal 2 2 2 3 2 2 2 2 3 2 11 2" xfId="13097"/>
    <cellStyle name="Normal 2 2 2 3 2 2 2 2 3 2 12" xfId="13098"/>
    <cellStyle name="Normal 2 2 2 3 2 2 2 2 3 2 2" xfId="13099"/>
    <cellStyle name="Normal 2 2 2 3 2 2 2 2 3 2 2 10" xfId="13100"/>
    <cellStyle name="Normal 2 2 2 3 2 2 2 2 3 2 2 10 2" xfId="13101"/>
    <cellStyle name="Normal 2 2 2 3 2 2 2 2 3 2 2 11" xfId="13102"/>
    <cellStyle name="Normal 2 2 2 3 2 2 2 2 3 2 2 2" xfId="13103"/>
    <cellStyle name="Normal 2 2 2 3 2 2 2 2 3 2 2 2 2" xfId="13104"/>
    <cellStyle name="Normal 2 2 2 3 2 2 2 2 3 2 2 3" xfId="13105"/>
    <cellStyle name="Normal 2 2 2 3 2 2 2 2 3 2 2 3 2" xfId="13106"/>
    <cellStyle name="Normal 2 2 2 3 2 2 2 2 3 2 2 4" xfId="13107"/>
    <cellStyle name="Normal 2 2 2 3 2 2 2 2 3 2 2 4 2" xfId="13108"/>
    <cellStyle name="Normal 2 2 2 3 2 2 2 2 3 2 2 5" xfId="13109"/>
    <cellStyle name="Normal 2 2 2 3 2 2 2 2 3 2 2 5 2" xfId="13110"/>
    <cellStyle name="Normal 2 2 2 3 2 2 2 2 3 2 2 6" xfId="13111"/>
    <cellStyle name="Normal 2 2 2 3 2 2 2 2 3 2 2 6 2" xfId="13112"/>
    <cellStyle name="Normal 2 2 2 3 2 2 2 2 3 2 2 7" xfId="13113"/>
    <cellStyle name="Normal 2 2 2 3 2 2 2 2 3 2 2 7 2" xfId="13114"/>
    <cellStyle name="Normal 2 2 2 3 2 2 2 2 3 2 2 8" xfId="13115"/>
    <cellStyle name="Normal 2 2 2 3 2 2 2 2 3 2 2 8 2" xfId="13116"/>
    <cellStyle name="Normal 2 2 2 3 2 2 2 2 3 2 2 9" xfId="13117"/>
    <cellStyle name="Normal 2 2 2 3 2 2 2 2 3 2 2 9 2" xfId="13118"/>
    <cellStyle name="Normal 2 2 2 3 2 2 2 2 3 2 3" xfId="13119"/>
    <cellStyle name="Normal 2 2 2 3 2 2 2 2 3 2 3 2" xfId="13120"/>
    <cellStyle name="Normal 2 2 2 3 2 2 2 2 3 2 4" xfId="13121"/>
    <cellStyle name="Normal 2 2 2 3 2 2 2 2 3 2 4 2" xfId="13122"/>
    <cellStyle name="Normal 2 2 2 3 2 2 2 2 3 2 5" xfId="13123"/>
    <cellStyle name="Normal 2 2 2 3 2 2 2 2 3 2 5 2" xfId="13124"/>
    <cellStyle name="Normal 2 2 2 3 2 2 2 2 3 2 6" xfId="13125"/>
    <cellStyle name="Normal 2 2 2 3 2 2 2 2 3 2 6 2" xfId="13126"/>
    <cellStyle name="Normal 2 2 2 3 2 2 2 2 3 2 7" xfId="13127"/>
    <cellStyle name="Normal 2 2 2 3 2 2 2 2 3 2 7 2" xfId="13128"/>
    <cellStyle name="Normal 2 2 2 3 2 2 2 2 3 2 8" xfId="13129"/>
    <cellStyle name="Normal 2 2 2 3 2 2 2 2 3 2 8 2" xfId="13130"/>
    <cellStyle name="Normal 2 2 2 3 2 2 2 2 3 2 9" xfId="13131"/>
    <cellStyle name="Normal 2 2 2 3 2 2 2 2 3 2 9 2" xfId="13132"/>
    <cellStyle name="Normal 2 2 2 3 2 2 2 2 3 3" xfId="13133"/>
    <cellStyle name="Normal 2 2 2 3 2 2 2 2 3 3 10" xfId="13134"/>
    <cellStyle name="Normal 2 2 2 3 2 2 2 2 3 3 10 2" xfId="13135"/>
    <cellStyle name="Normal 2 2 2 3 2 2 2 2 3 3 11" xfId="13136"/>
    <cellStyle name="Normal 2 2 2 3 2 2 2 2 3 3 2" xfId="13137"/>
    <cellStyle name="Normal 2 2 2 3 2 2 2 2 3 3 2 2" xfId="13138"/>
    <cellStyle name="Normal 2 2 2 3 2 2 2 2 3 3 3" xfId="13139"/>
    <cellStyle name="Normal 2 2 2 3 2 2 2 2 3 3 3 2" xfId="13140"/>
    <cellStyle name="Normal 2 2 2 3 2 2 2 2 3 3 4" xfId="13141"/>
    <cellStyle name="Normal 2 2 2 3 2 2 2 2 3 3 4 2" xfId="13142"/>
    <cellStyle name="Normal 2 2 2 3 2 2 2 2 3 3 5" xfId="13143"/>
    <cellStyle name="Normal 2 2 2 3 2 2 2 2 3 3 5 2" xfId="13144"/>
    <cellStyle name="Normal 2 2 2 3 2 2 2 2 3 3 6" xfId="13145"/>
    <cellStyle name="Normal 2 2 2 3 2 2 2 2 3 3 6 2" xfId="13146"/>
    <cellStyle name="Normal 2 2 2 3 2 2 2 2 3 3 7" xfId="13147"/>
    <cellStyle name="Normal 2 2 2 3 2 2 2 2 3 3 7 2" xfId="13148"/>
    <cellStyle name="Normal 2 2 2 3 2 2 2 2 3 3 8" xfId="13149"/>
    <cellStyle name="Normal 2 2 2 3 2 2 2 2 3 3 8 2" xfId="13150"/>
    <cellStyle name="Normal 2 2 2 3 2 2 2 2 3 3 9" xfId="13151"/>
    <cellStyle name="Normal 2 2 2 3 2 2 2 2 3 3 9 2" xfId="13152"/>
    <cellStyle name="Normal 2 2 2 3 2 2 2 2 3 4" xfId="13153"/>
    <cellStyle name="Normal 2 2 2 3 2 2 2 2 3 4 2" xfId="13154"/>
    <cellStyle name="Normal 2 2 2 3 2 2 2 2 3 5" xfId="13155"/>
    <cellStyle name="Normal 2 2 2 3 2 2 2 2 3 5 2" xfId="13156"/>
    <cellStyle name="Normal 2 2 2 3 2 2 2 2 3 6" xfId="13157"/>
    <cellStyle name="Normal 2 2 2 3 2 2 2 2 3 6 2" xfId="13158"/>
    <cellStyle name="Normal 2 2 2 3 2 2 2 2 3 7" xfId="13159"/>
    <cellStyle name="Normal 2 2 2 3 2 2 2 2 3 7 2" xfId="13160"/>
    <cellStyle name="Normal 2 2 2 3 2 2 2 2 3 8" xfId="13161"/>
    <cellStyle name="Normal 2 2 2 3 2 2 2 2 3 8 2" xfId="13162"/>
    <cellStyle name="Normal 2 2 2 3 2 2 2 2 3 9" xfId="13163"/>
    <cellStyle name="Normal 2 2 2 3 2 2 2 2 3 9 2" xfId="13164"/>
    <cellStyle name="Normal 2 2 2 3 2 2 2 2 4" xfId="287"/>
    <cellStyle name="Normal 2 2 2 3 2 2 2 2 4 10" xfId="13165"/>
    <cellStyle name="Normal 2 2 2 3 2 2 2 2 4 10 2" xfId="13166"/>
    <cellStyle name="Normal 2 2 2 3 2 2 2 2 4 11" xfId="13167"/>
    <cellStyle name="Normal 2 2 2 3 2 2 2 2 4 11 2" xfId="13168"/>
    <cellStyle name="Normal 2 2 2 3 2 2 2 2 4 12" xfId="13169"/>
    <cellStyle name="Normal 2 2 2 3 2 2 2 2 4 12 2" xfId="13170"/>
    <cellStyle name="Normal 2 2 2 3 2 2 2 2 4 13" xfId="13171"/>
    <cellStyle name="Normal 2 2 2 3 2 2 2 2 4 2" xfId="13172"/>
    <cellStyle name="Normal 2 2 2 3 2 2 2 2 4 2 10" xfId="13173"/>
    <cellStyle name="Normal 2 2 2 3 2 2 2 2 4 2 10 2" xfId="13174"/>
    <cellStyle name="Normal 2 2 2 3 2 2 2 2 4 2 11" xfId="13175"/>
    <cellStyle name="Normal 2 2 2 3 2 2 2 2 4 2 11 2" xfId="13176"/>
    <cellStyle name="Normal 2 2 2 3 2 2 2 2 4 2 12" xfId="13177"/>
    <cellStyle name="Normal 2 2 2 3 2 2 2 2 4 2 2" xfId="13178"/>
    <cellStyle name="Normal 2 2 2 3 2 2 2 2 4 2 2 10" xfId="13179"/>
    <cellStyle name="Normal 2 2 2 3 2 2 2 2 4 2 2 10 2" xfId="13180"/>
    <cellStyle name="Normal 2 2 2 3 2 2 2 2 4 2 2 11" xfId="13181"/>
    <cellStyle name="Normal 2 2 2 3 2 2 2 2 4 2 2 2" xfId="13182"/>
    <cellStyle name="Normal 2 2 2 3 2 2 2 2 4 2 2 2 2" xfId="13183"/>
    <cellStyle name="Normal 2 2 2 3 2 2 2 2 4 2 2 3" xfId="13184"/>
    <cellStyle name="Normal 2 2 2 3 2 2 2 2 4 2 2 3 2" xfId="13185"/>
    <cellStyle name="Normal 2 2 2 3 2 2 2 2 4 2 2 4" xfId="13186"/>
    <cellStyle name="Normal 2 2 2 3 2 2 2 2 4 2 2 4 2" xfId="13187"/>
    <cellStyle name="Normal 2 2 2 3 2 2 2 2 4 2 2 5" xfId="13188"/>
    <cellStyle name="Normal 2 2 2 3 2 2 2 2 4 2 2 5 2" xfId="13189"/>
    <cellStyle name="Normal 2 2 2 3 2 2 2 2 4 2 2 6" xfId="13190"/>
    <cellStyle name="Normal 2 2 2 3 2 2 2 2 4 2 2 6 2" xfId="13191"/>
    <cellStyle name="Normal 2 2 2 3 2 2 2 2 4 2 2 7" xfId="13192"/>
    <cellStyle name="Normal 2 2 2 3 2 2 2 2 4 2 2 7 2" xfId="13193"/>
    <cellStyle name="Normal 2 2 2 3 2 2 2 2 4 2 2 8" xfId="13194"/>
    <cellStyle name="Normal 2 2 2 3 2 2 2 2 4 2 2 8 2" xfId="13195"/>
    <cellStyle name="Normal 2 2 2 3 2 2 2 2 4 2 2 9" xfId="13196"/>
    <cellStyle name="Normal 2 2 2 3 2 2 2 2 4 2 2 9 2" xfId="13197"/>
    <cellStyle name="Normal 2 2 2 3 2 2 2 2 4 2 3" xfId="13198"/>
    <cellStyle name="Normal 2 2 2 3 2 2 2 2 4 2 3 2" xfId="13199"/>
    <cellStyle name="Normal 2 2 2 3 2 2 2 2 4 2 4" xfId="13200"/>
    <cellStyle name="Normal 2 2 2 3 2 2 2 2 4 2 4 2" xfId="13201"/>
    <cellStyle name="Normal 2 2 2 3 2 2 2 2 4 2 5" xfId="13202"/>
    <cellStyle name="Normal 2 2 2 3 2 2 2 2 4 2 5 2" xfId="13203"/>
    <cellStyle name="Normal 2 2 2 3 2 2 2 2 4 2 6" xfId="13204"/>
    <cellStyle name="Normal 2 2 2 3 2 2 2 2 4 2 6 2" xfId="13205"/>
    <cellStyle name="Normal 2 2 2 3 2 2 2 2 4 2 7" xfId="13206"/>
    <cellStyle name="Normal 2 2 2 3 2 2 2 2 4 2 7 2" xfId="13207"/>
    <cellStyle name="Normal 2 2 2 3 2 2 2 2 4 2 8" xfId="13208"/>
    <cellStyle name="Normal 2 2 2 3 2 2 2 2 4 2 8 2" xfId="13209"/>
    <cellStyle name="Normal 2 2 2 3 2 2 2 2 4 2 9" xfId="13210"/>
    <cellStyle name="Normal 2 2 2 3 2 2 2 2 4 2 9 2" xfId="13211"/>
    <cellStyle name="Normal 2 2 2 3 2 2 2 2 4 3" xfId="13212"/>
    <cellStyle name="Normal 2 2 2 3 2 2 2 2 4 3 10" xfId="13213"/>
    <cellStyle name="Normal 2 2 2 3 2 2 2 2 4 3 10 2" xfId="13214"/>
    <cellStyle name="Normal 2 2 2 3 2 2 2 2 4 3 11" xfId="13215"/>
    <cellStyle name="Normal 2 2 2 3 2 2 2 2 4 3 2" xfId="13216"/>
    <cellStyle name="Normal 2 2 2 3 2 2 2 2 4 3 2 2" xfId="13217"/>
    <cellStyle name="Normal 2 2 2 3 2 2 2 2 4 3 3" xfId="13218"/>
    <cellStyle name="Normal 2 2 2 3 2 2 2 2 4 3 3 2" xfId="13219"/>
    <cellStyle name="Normal 2 2 2 3 2 2 2 2 4 3 4" xfId="13220"/>
    <cellStyle name="Normal 2 2 2 3 2 2 2 2 4 3 4 2" xfId="13221"/>
    <cellStyle name="Normal 2 2 2 3 2 2 2 2 4 3 5" xfId="13222"/>
    <cellStyle name="Normal 2 2 2 3 2 2 2 2 4 3 5 2" xfId="13223"/>
    <cellStyle name="Normal 2 2 2 3 2 2 2 2 4 3 6" xfId="13224"/>
    <cellStyle name="Normal 2 2 2 3 2 2 2 2 4 3 6 2" xfId="13225"/>
    <cellStyle name="Normal 2 2 2 3 2 2 2 2 4 3 7" xfId="13226"/>
    <cellStyle name="Normal 2 2 2 3 2 2 2 2 4 3 7 2" xfId="13227"/>
    <cellStyle name="Normal 2 2 2 3 2 2 2 2 4 3 8" xfId="13228"/>
    <cellStyle name="Normal 2 2 2 3 2 2 2 2 4 3 8 2" xfId="13229"/>
    <cellStyle name="Normal 2 2 2 3 2 2 2 2 4 3 9" xfId="13230"/>
    <cellStyle name="Normal 2 2 2 3 2 2 2 2 4 3 9 2" xfId="13231"/>
    <cellStyle name="Normal 2 2 2 3 2 2 2 2 4 4" xfId="13232"/>
    <cellStyle name="Normal 2 2 2 3 2 2 2 2 4 4 2" xfId="13233"/>
    <cellStyle name="Normal 2 2 2 3 2 2 2 2 4 5" xfId="13234"/>
    <cellStyle name="Normal 2 2 2 3 2 2 2 2 4 5 2" xfId="13235"/>
    <cellStyle name="Normal 2 2 2 3 2 2 2 2 4 6" xfId="13236"/>
    <cellStyle name="Normal 2 2 2 3 2 2 2 2 4 6 2" xfId="13237"/>
    <cellStyle name="Normal 2 2 2 3 2 2 2 2 4 7" xfId="13238"/>
    <cellStyle name="Normal 2 2 2 3 2 2 2 2 4 7 2" xfId="13239"/>
    <cellStyle name="Normal 2 2 2 3 2 2 2 2 4 8" xfId="13240"/>
    <cellStyle name="Normal 2 2 2 3 2 2 2 2 4 8 2" xfId="13241"/>
    <cellStyle name="Normal 2 2 2 3 2 2 2 2 4 9" xfId="13242"/>
    <cellStyle name="Normal 2 2 2 3 2 2 2 2 4 9 2" xfId="13243"/>
    <cellStyle name="Normal 2 2 2 3 2 2 2 2 5" xfId="288"/>
    <cellStyle name="Normal 2 2 2 3 2 2 2 2 5 10" xfId="13244"/>
    <cellStyle name="Normal 2 2 2 3 2 2 2 2 5 10 2" xfId="13245"/>
    <cellStyle name="Normal 2 2 2 3 2 2 2 2 5 11" xfId="13246"/>
    <cellStyle name="Normal 2 2 2 3 2 2 2 2 5 11 2" xfId="13247"/>
    <cellStyle name="Normal 2 2 2 3 2 2 2 2 5 12" xfId="13248"/>
    <cellStyle name="Normal 2 2 2 3 2 2 2 2 5 12 2" xfId="13249"/>
    <cellStyle name="Normal 2 2 2 3 2 2 2 2 5 13" xfId="13250"/>
    <cellStyle name="Normal 2 2 2 3 2 2 2 2 5 2" xfId="13251"/>
    <cellStyle name="Normal 2 2 2 3 2 2 2 2 5 2 10" xfId="13252"/>
    <cellStyle name="Normal 2 2 2 3 2 2 2 2 5 2 10 2" xfId="13253"/>
    <cellStyle name="Normal 2 2 2 3 2 2 2 2 5 2 11" xfId="13254"/>
    <cellStyle name="Normal 2 2 2 3 2 2 2 2 5 2 11 2" xfId="13255"/>
    <cellStyle name="Normal 2 2 2 3 2 2 2 2 5 2 12" xfId="13256"/>
    <cellStyle name="Normal 2 2 2 3 2 2 2 2 5 2 2" xfId="13257"/>
    <cellStyle name="Normal 2 2 2 3 2 2 2 2 5 2 2 10" xfId="13258"/>
    <cellStyle name="Normal 2 2 2 3 2 2 2 2 5 2 2 10 2" xfId="13259"/>
    <cellStyle name="Normal 2 2 2 3 2 2 2 2 5 2 2 11" xfId="13260"/>
    <cellStyle name="Normal 2 2 2 3 2 2 2 2 5 2 2 2" xfId="13261"/>
    <cellStyle name="Normal 2 2 2 3 2 2 2 2 5 2 2 2 2" xfId="13262"/>
    <cellStyle name="Normal 2 2 2 3 2 2 2 2 5 2 2 3" xfId="13263"/>
    <cellStyle name="Normal 2 2 2 3 2 2 2 2 5 2 2 3 2" xfId="13264"/>
    <cellStyle name="Normal 2 2 2 3 2 2 2 2 5 2 2 4" xfId="13265"/>
    <cellStyle name="Normal 2 2 2 3 2 2 2 2 5 2 2 4 2" xfId="13266"/>
    <cellStyle name="Normal 2 2 2 3 2 2 2 2 5 2 2 5" xfId="13267"/>
    <cellStyle name="Normal 2 2 2 3 2 2 2 2 5 2 2 5 2" xfId="13268"/>
    <cellStyle name="Normal 2 2 2 3 2 2 2 2 5 2 2 6" xfId="13269"/>
    <cellStyle name="Normal 2 2 2 3 2 2 2 2 5 2 2 6 2" xfId="13270"/>
    <cellStyle name="Normal 2 2 2 3 2 2 2 2 5 2 2 7" xfId="13271"/>
    <cellStyle name="Normal 2 2 2 3 2 2 2 2 5 2 2 7 2" xfId="13272"/>
    <cellStyle name="Normal 2 2 2 3 2 2 2 2 5 2 2 8" xfId="13273"/>
    <cellStyle name="Normal 2 2 2 3 2 2 2 2 5 2 2 8 2" xfId="13274"/>
    <cellStyle name="Normal 2 2 2 3 2 2 2 2 5 2 2 9" xfId="13275"/>
    <cellStyle name="Normal 2 2 2 3 2 2 2 2 5 2 2 9 2" xfId="13276"/>
    <cellStyle name="Normal 2 2 2 3 2 2 2 2 5 2 3" xfId="13277"/>
    <cellStyle name="Normal 2 2 2 3 2 2 2 2 5 2 3 2" xfId="13278"/>
    <cellStyle name="Normal 2 2 2 3 2 2 2 2 5 2 4" xfId="13279"/>
    <cellStyle name="Normal 2 2 2 3 2 2 2 2 5 2 4 2" xfId="13280"/>
    <cellStyle name="Normal 2 2 2 3 2 2 2 2 5 2 5" xfId="13281"/>
    <cellStyle name="Normal 2 2 2 3 2 2 2 2 5 2 5 2" xfId="13282"/>
    <cellStyle name="Normal 2 2 2 3 2 2 2 2 5 2 6" xfId="13283"/>
    <cellStyle name="Normal 2 2 2 3 2 2 2 2 5 2 6 2" xfId="13284"/>
    <cellStyle name="Normal 2 2 2 3 2 2 2 2 5 2 7" xfId="13285"/>
    <cellStyle name="Normal 2 2 2 3 2 2 2 2 5 2 7 2" xfId="13286"/>
    <cellStyle name="Normal 2 2 2 3 2 2 2 2 5 2 8" xfId="13287"/>
    <cellStyle name="Normal 2 2 2 3 2 2 2 2 5 2 8 2" xfId="13288"/>
    <cellStyle name="Normal 2 2 2 3 2 2 2 2 5 2 9" xfId="13289"/>
    <cellStyle name="Normal 2 2 2 3 2 2 2 2 5 2 9 2" xfId="13290"/>
    <cellStyle name="Normal 2 2 2 3 2 2 2 2 5 3" xfId="13291"/>
    <cellStyle name="Normal 2 2 2 3 2 2 2 2 5 3 10" xfId="13292"/>
    <cellStyle name="Normal 2 2 2 3 2 2 2 2 5 3 10 2" xfId="13293"/>
    <cellStyle name="Normal 2 2 2 3 2 2 2 2 5 3 11" xfId="13294"/>
    <cellStyle name="Normal 2 2 2 3 2 2 2 2 5 3 2" xfId="13295"/>
    <cellStyle name="Normal 2 2 2 3 2 2 2 2 5 3 2 2" xfId="13296"/>
    <cellStyle name="Normal 2 2 2 3 2 2 2 2 5 3 3" xfId="13297"/>
    <cellStyle name="Normal 2 2 2 3 2 2 2 2 5 3 3 2" xfId="13298"/>
    <cellStyle name="Normal 2 2 2 3 2 2 2 2 5 3 4" xfId="13299"/>
    <cellStyle name="Normal 2 2 2 3 2 2 2 2 5 3 4 2" xfId="13300"/>
    <cellStyle name="Normal 2 2 2 3 2 2 2 2 5 3 5" xfId="13301"/>
    <cellStyle name="Normal 2 2 2 3 2 2 2 2 5 3 5 2" xfId="13302"/>
    <cellStyle name="Normal 2 2 2 3 2 2 2 2 5 3 6" xfId="13303"/>
    <cellStyle name="Normal 2 2 2 3 2 2 2 2 5 3 6 2" xfId="13304"/>
    <cellStyle name="Normal 2 2 2 3 2 2 2 2 5 3 7" xfId="13305"/>
    <cellStyle name="Normal 2 2 2 3 2 2 2 2 5 3 7 2" xfId="13306"/>
    <cellStyle name="Normal 2 2 2 3 2 2 2 2 5 3 8" xfId="13307"/>
    <cellStyle name="Normal 2 2 2 3 2 2 2 2 5 3 8 2" xfId="13308"/>
    <cellStyle name="Normal 2 2 2 3 2 2 2 2 5 3 9" xfId="13309"/>
    <cellStyle name="Normal 2 2 2 3 2 2 2 2 5 3 9 2" xfId="13310"/>
    <cellStyle name="Normal 2 2 2 3 2 2 2 2 5 4" xfId="13311"/>
    <cellStyle name="Normal 2 2 2 3 2 2 2 2 5 4 2" xfId="13312"/>
    <cellStyle name="Normal 2 2 2 3 2 2 2 2 5 5" xfId="13313"/>
    <cellStyle name="Normal 2 2 2 3 2 2 2 2 5 5 2" xfId="13314"/>
    <cellStyle name="Normal 2 2 2 3 2 2 2 2 5 6" xfId="13315"/>
    <cellStyle name="Normal 2 2 2 3 2 2 2 2 5 6 2" xfId="13316"/>
    <cellStyle name="Normal 2 2 2 3 2 2 2 2 5 7" xfId="13317"/>
    <cellStyle name="Normal 2 2 2 3 2 2 2 2 5 7 2" xfId="13318"/>
    <cellStyle name="Normal 2 2 2 3 2 2 2 2 5 8" xfId="13319"/>
    <cellStyle name="Normal 2 2 2 3 2 2 2 2 5 8 2" xfId="13320"/>
    <cellStyle name="Normal 2 2 2 3 2 2 2 2 5 9" xfId="13321"/>
    <cellStyle name="Normal 2 2 2 3 2 2 2 2 5 9 2" xfId="13322"/>
    <cellStyle name="Normal 2 2 2 3 2 2 2 2 6" xfId="289"/>
    <cellStyle name="Normal 2 2 2 3 2 2 2 3" xfId="290"/>
    <cellStyle name="Normal 2 2 2 3 2 2 2 3 2" xfId="291"/>
    <cellStyle name="Normal 2 2 2 3 2 2 2 4" xfId="292"/>
    <cellStyle name="Normal 2 2 2 3 2 2 2 4 2" xfId="293"/>
    <cellStyle name="Normal 2 2 2 3 2 2 2 5" xfId="294"/>
    <cellStyle name="Normal 2 2 2 3 2 2 2 5 2" xfId="295"/>
    <cellStyle name="Normal 2 2 2 3 2 2 2 6" xfId="13323"/>
    <cellStyle name="Normal 2 2 2 3 2 2 2 6 10" xfId="13324"/>
    <cellStyle name="Normal 2 2 2 3 2 2 2 6 10 2" xfId="13325"/>
    <cellStyle name="Normal 2 2 2 3 2 2 2 6 11" xfId="13326"/>
    <cellStyle name="Normal 2 2 2 3 2 2 2 6 11 2" xfId="13327"/>
    <cellStyle name="Normal 2 2 2 3 2 2 2 6 12" xfId="13328"/>
    <cellStyle name="Normal 2 2 2 3 2 2 2 6 2" xfId="13329"/>
    <cellStyle name="Normal 2 2 2 3 2 2 2 6 2 10" xfId="13330"/>
    <cellStyle name="Normal 2 2 2 3 2 2 2 6 2 10 2" xfId="13331"/>
    <cellStyle name="Normal 2 2 2 3 2 2 2 6 2 11" xfId="13332"/>
    <cellStyle name="Normal 2 2 2 3 2 2 2 6 2 2" xfId="13333"/>
    <cellStyle name="Normal 2 2 2 3 2 2 2 6 2 2 2" xfId="13334"/>
    <cellStyle name="Normal 2 2 2 3 2 2 2 6 2 3" xfId="13335"/>
    <cellStyle name="Normal 2 2 2 3 2 2 2 6 2 3 2" xfId="13336"/>
    <cellStyle name="Normal 2 2 2 3 2 2 2 6 2 4" xfId="13337"/>
    <cellStyle name="Normal 2 2 2 3 2 2 2 6 2 4 2" xfId="13338"/>
    <cellStyle name="Normal 2 2 2 3 2 2 2 6 2 5" xfId="13339"/>
    <cellStyle name="Normal 2 2 2 3 2 2 2 6 2 5 2" xfId="13340"/>
    <cellStyle name="Normal 2 2 2 3 2 2 2 6 2 6" xfId="13341"/>
    <cellStyle name="Normal 2 2 2 3 2 2 2 6 2 6 2" xfId="13342"/>
    <cellStyle name="Normal 2 2 2 3 2 2 2 6 2 7" xfId="13343"/>
    <cellStyle name="Normal 2 2 2 3 2 2 2 6 2 7 2" xfId="13344"/>
    <cellStyle name="Normal 2 2 2 3 2 2 2 6 2 8" xfId="13345"/>
    <cellStyle name="Normal 2 2 2 3 2 2 2 6 2 8 2" xfId="13346"/>
    <cellStyle name="Normal 2 2 2 3 2 2 2 6 2 9" xfId="13347"/>
    <cellStyle name="Normal 2 2 2 3 2 2 2 6 2 9 2" xfId="13348"/>
    <cellStyle name="Normal 2 2 2 3 2 2 2 6 3" xfId="13349"/>
    <cellStyle name="Normal 2 2 2 3 2 2 2 6 3 2" xfId="13350"/>
    <cellStyle name="Normal 2 2 2 3 2 2 2 6 4" xfId="13351"/>
    <cellStyle name="Normal 2 2 2 3 2 2 2 6 4 2" xfId="13352"/>
    <cellStyle name="Normal 2 2 2 3 2 2 2 6 5" xfId="13353"/>
    <cellStyle name="Normal 2 2 2 3 2 2 2 6 5 2" xfId="13354"/>
    <cellStyle name="Normal 2 2 2 3 2 2 2 6 6" xfId="13355"/>
    <cellStyle name="Normal 2 2 2 3 2 2 2 6 6 2" xfId="13356"/>
    <cellStyle name="Normal 2 2 2 3 2 2 2 6 7" xfId="13357"/>
    <cellStyle name="Normal 2 2 2 3 2 2 2 6 7 2" xfId="13358"/>
    <cellStyle name="Normal 2 2 2 3 2 2 2 6 8" xfId="13359"/>
    <cellStyle name="Normal 2 2 2 3 2 2 2 6 8 2" xfId="13360"/>
    <cellStyle name="Normal 2 2 2 3 2 2 2 6 9" xfId="13361"/>
    <cellStyle name="Normal 2 2 2 3 2 2 2 6 9 2" xfId="13362"/>
    <cellStyle name="Normal 2 2 2 3 2 2 2 7" xfId="13363"/>
    <cellStyle name="Normal 2 2 2 3 2 2 2 7 10" xfId="13364"/>
    <cellStyle name="Normal 2 2 2 3 2 2 2 7 10 2" xfId="13365"/>
    <cellStyle name="Normal 2 2 2 3 2 2 2 7 11" xfId="13366"/>
    <cellStyle name="Normal 2 2 2 3 2 2 2 7 2" xfId="13367"/>
    <cellStyle name="Normal 2 2 2 3 2 2 2 7 2 2" xfId="13368"/>
    <cellStyle name="Normal 2 2 2 3 2 2 2 7 3" xfId="13369"/>
    <cellStyle name="Normal 2 2 2 3 2 2 2 7 3 2" xfId="13370"/>
    <cellStyle name="Normal 2 2 2 3 2 2 2 7 4" xfId="13371"/>
    <cellStyle name="Normal 2 2 2 3 2 2 2 7 4 2" xfId="13372"/>
    <cellStyle name="Normal 2 2 2 3 2 2 2 7 5" xfId="13373"/>
    <cellStyle name="Normal 2 2 2 3 2 2 2 7 5 2" xfId="13374"/>
    <cellStyle name="Normal 2 2 2 3 2 2 2 7 6" xfId="13375"/>
    <cellStyle name="Normal 2 2 2 3 2 2 2 7 6 2" xfId="13376"/>
    <cellStyle name="Normal 2 2 2 3 2 2 2 7 7" xfId="13377"/>
    <cellStyle name="Normal 2 2 2 3 2 2 2 7 7 2" xfId="13378"/>
    <cellStyle name="Normal 2 2 2 3 2 2 2 7 8" xfId="13379"/>
    <cellStyle name="Normal 2 2 2 3 2 2 2 7 8 2" xfId="13380"/>
    <cellStyle name="Normal 2 2 2 3 2 2 2 7 9" xfId="13381"/>
    <cellStyle name="Normal 2 2 2 3 2 2 2 7 9 2" xfId="13382"/>
    <cellStyle name="Normal 2 2 2 3 2 2 2 8" xfId="13383"/>
    <cellStyle name="Normal 2 2 2 3 2 2 2 8 2" xfId="13384"/>
    <cellStyle name="Normal 2 2 2 3 2 2 2 9" xfId="13385"/>
    <cellStyle name="Normal 2 2 2 3 2 2 2 9 2" xfId="13386"/>
    <cellStyle name="Normal 2 2 2 3 2 2 3" xfId="296"/>
    <cellStyle name="Normal 2 2 2 3 2 2 3 10" xfId="13387"/>
    <cellStyle name="Normal 2 2 2 3 2 2 3 10 2" xfId="13388"/>
    <cellStyle name="Normal 2 2 2 3 2 2 3 11" xfId="13389"/>
    <cellStyle name="Normal 2 2 2 3 2 2 3 11 2" xfId="13390"/>
    <cellStyle name="Normal 2 2 2 3 2 2 3 12" xfId="13391"/>
    <cellStyle name="Normal 2 2 2 3 2 2 3 12 2" xfId="13392"/>
    <cellStyle name="Normal 2 2 2 3 2 2 3 13" xfId="13393"/>
    <cellStyle name="Normal 2 2 2 3 2 2 3 2" xfId="13394"/>
    <cellStyle name="Normal 2 2 2 3 2 2 3 2 10" xfId="13395"/>
    <cellStyle name="Normal 2 2 2 3 2 2 3 2 10 2" xfId="13396"/>
    <cellStyle name="Normal 2 2 2 3 2 2 3 2 11" xfId="13397"/>
    <cellStyle name="Normal 2 2 2 3 2 2 3 2 11 2" xfId="13398"/>
    <cellStyle name="Normal 2 2 2 3 2 2 3 2 12" xfId="13399"/>
    <cellStyle name="Normal 2 2 2 3 2 2 3 2 2" xfId="13400"/>
    <cellStyle name="Normal 2 2 2 3 2 2 3 2 2 10" xfId="13401"/>
    <cellStyle name="Normal 2 2 2 3 2 2 3 2 2 10 2" xfId="13402"/>
    <cellStyle name="Normal 2 2 2 3 2 2 3 2 2 11" xfId="13403"/>
    <cellStyle name="Normal 2 2 2 3 2 2 3 2 2 2" xfId="13404"/>
    <cellStyle name="Normal 2 2 2 3 2 2 3 2 2 2 2" xfId="13405"/>
    <cellStyle name="Normal 2 2 2 3 2 2 3 2 2 3" xfId="13406"/>
    <cellStyle name="Normal 2 2 2 3 2 2 3 2 2 3 2" xfId="13407"/>
    <cellStyle name="Normal 2 2 2 3 2 2 3 2 2 4" xfId="13408"/>
    <cellStyle name="Normal 2 2 2 3 2 2 3 2 2 4 2" xfId="13409"/>
    <cellStyle name="Normal 2 2 2 3 2 2 3 2 2 5" xfId="13410"/>
    <cellStyle name="Normal 2 2 2 3 2 2 3 2 2 5 2" xfId="13411"/>
    <cellStyle name="Normal 2 2 2 3 2 2 3 2 2 6" xfId="13412"/>
    <cellStyle name="Normal 2 2 2 3 2 2 3 2 2 6 2" xfId="13413"/>
    <cellStyle name="Normal 2 2 2 3 2 2 3 2 2 7" xfId="13414"/>
    <cellStyle name="Normal 2 2 2 3 2 2 3 2 2 7 2" xfId="13415"/>
    <cellStyle name="Normal 2 2 2 3 2 2 3 2 2 8" xfId="13416"/>
    <cellStyle name="Normal 2 2 2 3 2 2 3 2 2 8 2" xfId="13417"/>
    <cellStyle name="Normal 2 2 2 3 2 2 3 2 2 9" xfId="13418"/>
    <cellStyle name="Normal 2 2 2 3 2 2 3 2 2 9 2" xfId="13419"/>
    <cellStyle name="Normal 2 2 2 3 2 2 3 2 3" xfId="13420"/>
    <cellStyle name="Normal 2 2 2 3 2 2 3 2 3 2" xfId="13421"/>
    <cellStyle name="Normal 2 2 2 3 2 2 3 2 4" xfId="13422"/>
    <cellStyle name="Normal 2 2 2 3 2 2 3 2 4 2" xfId="13423"/>
    <cellStyle name="Normal 2 2 2 3 2 2 3 2 5" xfId="13424"/>
    <cellStyle name="Normal 2 2 2 3 2 2 3 2 5 2" xfId="13425"/>
    <cellStyle name="Normal 2 2 2 3 2 2 3 2 6" xfId="13426"/>
    <cellStyle name="Normal 2 2 2 3 2 2 3 2 6 2" xfId="13427"/>
    <cellStyle name="Normal 2 2 2 3 2 2 3 2 7" xfId="13428"/>
    <cellStyle name="Normal 2 2 2 3 2 2 3 2 7 2" xfId="13429"/>
    <cellStyle name="Normal 2 2 2 3 2 2 3 2 8" xfId="13430"/>
    <cellStyle name="Normal 2 2 2 3 2 2 3 2 8 2" xfId="13431"/>
    <cellStyle name="Normal 2 2 2 3 2 2 3 2 9" xfId="13432"/>
    <cellStyle name="Normal 2 2 2 3 2 2 3 2 9 2" xfId="13433"/>
    <cellStyle name="Normal 2 2 2 3 2 2 3 3" xfId="13434"/>
    <cellStyle name="Normal 2 2 2 3 2 2 3 3 10" xfId="13435"/>
    <cellStyle name="Normal 2 2 2 3 2 2 3 3 10 2" xfId="13436"/>
    <cellStyle name="Normal 2 2 2 3 2 2 3 3 11" xfId="13437"/>
    <cellStyle name="Normal 2 2 2 3 2 2 3 3 2" xfId="13438"/>
    <cellStyle name="Normal 2 2 2 3 2 2 3 3 2 2" xfId="13439"/>
    <cellStyle name="Normal 2 2 2 3 2 2 3 3 3" xfId="13440"/>
    <cellStyle name="Normal 2 2 2 3 2 2 3 3 3 2" xfId="13441"/>
    <cellStyle name="Normal 2 2 2 3 2 2 3 3 4" xfId="13442"/>
    <cellStyle name="Normal 2 2 2 3 2 2 3 3 4 2" xfId="13443"/>
    <cellStyle name="Normal 2 2 2 3 2 2 3 3 5" xfId="13444"/>
    <cellStyle name="Normal 2 2 2 3 2 2 3 3 5 2" xfId="13445"/>
    <cellStyle name="Normal 2 2 2 3 2 2 3 3 6" xfId="13446"/>
    <cellStyle name="Normal 2 2 2 3 2 2 3 3 6 2" xfId="13447"/>
    <cellStyle name="Normal 2 2 2 3 2 2 3 3 7" xfId="13448"/>
    <cellStyle name="Normal 2 2 2 3 2 2 3 3 7 2" xfId="13449"/>
    <cellStyle name="Normal 2 2 2 3 2 2 3 3 8" xfId="13450"/>
    <cellStyle name="Normal 2 2 2 3 2 2 3 3 8 2" xfId="13451"/>
    <cellStyle name="Normal 2 2 2 3 2 2 3 3 9" xfId="13452"/>
    <cellStyle name="Normal 2 2 2 3 2 2 3 3 9 2" xfId="13453"/>
    <cellStyle name="Normal 2 2 2 3 2 2 3 4" xfId="13454"/>
    <cellStyle name="Normal 2 2 2 3 2 2 3 4 2" xfId="13455"/>
    <cellStyle name="Normal 2 2 2 3 2 2 3 5" xfId="13456"/>
    <cellStyle name="Normal 2 2 2 3 2 2 3 5 2" xfId="13457"/>
    <cellStyle name="Normal 2 2 2 3 2 2 3 6" xfId="13458"/>
    <cellStyle name="Normal 2 2 2 3 2 2 3 6 2" xfId="13459"/>
    <cellStyle name="Normal 2 2 2 3 2 2 3 7" xfId="13460"/>
    <cellStyle name="Normal 2 2 2 3 2 2 3 7 2" xfId="13461"/>
    <cellStyle name="Normal 2 2 2 3 2 2 3 8" xfId="13462"/>
    <cellStyle name="Normal 2 2 2 3 2 2 3 8 2" xfId="13463"/>
    <cellStyle name="Normal 2 2 2 3 2 2 3 9" xfId="13464"/>
    <cellStyle name="Normal 2 2 2 3 2 2 3 9 2" xfId="13465"/>
    <cellStyle name="Normal 2 2 2 3 2 2 4" xfId="297"/>
    <cellStyle name="Normal 2 2 2 3 2 2 4 10" xfId="13466"/>
    <cellStyle name="Normal 2 2 2 3 2 2 4 10 2" xfId="13467"/>
    <cellStyle name="Normal 2 2 2 3 2 2 4 11" xfId="13468"/>
    <cellStyle name="Normal 2 2 2 3 2 2 4 11 2" xfId="13469"/>
    <cellStyle name="Normal 2 2 2 3 2 2 4 12" xfId="13470"/>
    <cellStyle name="Normal 2 2 2 3 2 2 4 12 2" xfId="13471"/>
    <cellStyle name="Normal 2 2 2 3 2 2 4 13" xfId="13472"/>
    <cellStyle name="Normal 2 2 2 3 2 2 4 2" xfId="13473"/>
    <cellStyle name="Normal 2 2 2 3 2 2 4 2 10" xfId="13474"/>
    <cellStyle name="Normal 2 2 2 3 2 2 4 2 10 2" xfId="13475"/>
    <cellStyle name="Normal 2 2 2 3 2 2 4 2 11" xfId="13476"/>
    <cellStyle name="Normal 2 2 2 3 2 2 4 2 11 2" xfId="13477"/>
    <cellStyle name="Normal 2 2 2 3 2 2 4 2 12" xfId="13478"/>
    <cellStyle name="Normal 2 2 2 3 2 2 4 2 2" xfId="13479"/>
    <cellStyle name="Normal 2 2 2 3 2 2 4 2 2 10" xfId="13480"/>
    <cellStyle name="Normal 2 2 2 3 2 2 4 2 2 10 2" xfId="13481"/>
    <cellStyle name="Normal 2 2 2 3 2 2 4 2 2 11" xfId="13482"/>
    <cellStyle name="Normal 2 2 2 3 2 2 4 2 2 2" xfId="13483"/>
    <cellStyle name="Normal 2 2 2 3 2 2 4 2 2 2 2" xfId="13484"/>
    <cellStyle name="Normal 2 2 2 3 2 2 4 2 2 3" xfId="13485"/>
    <cellStyle name="Normal 2 2 2 3 2 2 4 2 2 3 2" xfId="13486"/>
    <cellStyle name="Normal 2 2 2 3 2 2 4 2 2 4" xfId="13487"/>
    <cellStyle name="Normal 2 2 2 3 2 2 4 2 2 4 2" xfId="13488"/>
    <cellStyle name="Normal 2 2 2 3 2 2 4 2 2 5" xfId="13489"/>
    <cellStyle name="Normal 2 2 2 3 2 2 4 2 2 5 2" xfId="13490"/>
    <cellStyle name="Normal 2 2 2 3 2 2 4 2 2 6" xfId="13491"/>
    <cellStyle name="Normal 2 2 2 3 2 2 4 2 2 6 2" xfId="13492"/>
    <cellStyle name="Normal 2 2 2 3 2 2 4 2 2 7" xfId="13493"/>
    <cellStyle name="Normal 2 2 2 3 2 2 4 2 2 7 2" xfId="13494"/>
    <cellStyle name="Normal 2 2 2 3 2 2 4 2 2 8" xfId="13495"/>
    <cellStyle name="Normal 2 2 2 3 2 2 4 2 2 8 2" xfId="13496"/>
    <cellStyle name="Normal 2 2 2 3 2 2 4 2 2 9" xfId="13497"/>
    <cellStyle name="Normal 2 2 2 3 2 2 4 2 2 9 2" xfId="13498"/>
    <cellStyle name="Normal 2 2 2 3 2 2 4 2 3" xfId="13499"/>
    <cellStyle name="Normal 2 2 2 3 2 2 4 2 3 2" xfId="13500"/>
    <cellStyle name="Normal 2 2 2 3 2 2 4 2 4" xfId="13501"/>
    <cellStyle name="Normal 2 2 2 3 2 2 4 2 4 2" xfId="13502"/>
    <cellStyle name="Normal 2 2 2 3 2 2 4 2 5" xfId="13503"/>
    <cellStyle name="Normal 2 2 2 3 2 2 4 2 5 2" xfId="13504"/>
    <cellStyle name="Normal 2 2 2 3 2 2 4 2 6" xfId="13505"/>
    <cellStyle name="Normal 2 2 2 3 2 2 4 2 6 2" xfId="13506"/>
    <cellStyle name="Normal 2 2 2 3 2 2 4 2 7" xfId="13507"/>
    <cellStyle name="Normal 2 2 2 3 2 2 4 2 7 2" xfId="13508"/>
    <cellStyle name="Normal 2 2 2 3 2 2 4 2 8" xfId="13509"/>
    <cellStyle name="Normal 2 2 2 3 2 2 4 2 8 2" xfId="13510"/>
    <cellStyle name="Normal 2 2 2 3 2 2 4 2 9" xfId="13511"/>
    <cellStyle name="Normal 2 2 2 3 2 2 4 2 9 2" xfId="13512"/>
    <cellStyle name="Normal 2 2 2 3 2 2 4 3" xfId="13513"/>
    <cellStyle name="Normal 2 2 2 3 2 2 4 3 10" xfId="13514"/>
    <cellStyle name="Normal 2 2 2 3 2 2 4 3 10 2" xfId="13515"/>
    <cellStyle name="Normal 2 2 2 3 2 2 4 3 11" xfId="13516"/>
    <cellStyle name="Normal 2 2 2 3 2 2 4 3 2" xfId="13517"/>
    <cellStyle name="Normal 2 2 2 3 2 2 4 3 2 2" xfId="13518"/>
    <cellStyle name="Normal 2 2 2 3 2 2 4 3 3" xfId="13519"/>
    <cellStyle name="Normal 2 2 2 3 2 2 4 3 3 2" xfId="13520"/>
    <cellStyle name="Normal 2 2 2 3 2 2 4 3 4" xfId="13521"/>
    <cellStyle name="Normal 2 2 2 3 2 2 4 3 4 2" xfId="13522"/>
    <cellStyle name="Normal 2 2 2 3 2 2 4 3 5" xfId="13523"/>
    <cellStyle name="Normal 2 2 2 3 2 2 4 3 5 2" xfId="13524"/>
    <cellStyle name="Normal 2 2 2 3 2 2 4 3 6" xfId="13525"/>
    <cellStyle name="Normal 2 2 2 3 2 2 4 3 6 2" xfId="13526"/>
    <cellStyle name="Normal 2 2 2 3 2 2 4 3 7" xfId="13527"/>
    <cellStyle name="Normal 2 2 2 3 2 2 4 3 7 2" xfId="13528"/>
    <cellStyle name="Normal 2 2 2 3 2 2 4 3 8" xfId="13529"/>
    <cellStyle name="Normal 2 2 2 3 2 2 4 3 8 2" xfId="13530"/>
    <cellStyle name="Normal 2 2 2 3 2 2 4 3 9" xfId="13531"/>
    <cellStyle name="Normal 2 2 2 3 2 2 4 3 9 2" xfId="13532"/>
    <cellStyle name="Normal 2 2 2 3 2 2 4 4" xfId="13533"/>
    <cellStyle name="Normal 2 2 2 3 2 2 4 4 2" xfId="13534"/>
    <cellStyle name="Normal 2 2 2 3 2 2 4 5" xfId="13535"/>
    <cellStyle name="Normal 2 2 2 3 2 2 4 5 2" xfId="13536"/>
    <cellStyle name="Normal 2 2 2 3 2 2 4 6" xfId="13537"/>
    <cellStyle name="Normal 2 2 2 3 2 2 4 6 2" xfId="13538"/>
    <cellStyle name="Normal 2 2 2 3 2 2 4 7" xfId="13539"/>
    <cellStyle name="Normal 2 2 2 3 2 2 4 7 2" xfId="13540"/>
    <cellStyle name="Normal 2 2 2 3 2 2 4 8" xfId="13541"/>
    <cellStyle name="Normal 2 2 2 3 2 2 4 8 2" xfId="13542"/>
    <cellStyle name="Normal 2 2 2 3 2 2 4 9" xfId="13543"/>
    <cellStyle name="Normal 2 2 2 3 2 2 4 9 2" xfId="13544"/>
    <cellStyle name="Normal 2 2 2 3 2 2 5" xfId="298"/>
    <cellStyle name="Normal 2 2 2 3 2 2 5 10" xfId="13545"/>
    <cellStyle name="Normal 2 2 2 3 2 2 5 10 2" xfId="13546"/>
    <cellStyle name="Normal 2 2 2 3 2 2 5 11" xfId="13547"/>
    <cellStyle name="Normal 2 2 2 3 2 2 5 11 2" xfId="13548"/>
    <cellStyle name="Normal 2 2 2 3 2 2 5 12" xfId="13549"/>
    <cellStyle name="Normal 2 2 2 3 2 2 5 12 2" xfId="13550"/>
    <cellStyle name="Normal 2 2 2 3 2 2 5 13" xfId="13551"/>
    <cellStyle name="Normal 2 2 2 3 2 2 5 2" xfId="13552"/>
    <cellStyle name="Normal 2 2 2 3 2 2 5 2 10" xfId="13553"/>
    <cellStyle name="Normal 2 2 2 3 2 2 5 2 10 2" xfId="13554"/>
    <cellStyle name="Normal 2 2 2 3 2 2 5 2 11" xfId="13555"/>
    <cellStyle name="Normal 2 2 2 3 2 2 5 2 11 2" xfId="13556"/>
    <cellStyle name="Normal 2 2 2 3 2 2 5 2 12" xfId="13557"/>
    <cellStyle name="Normal 2 2 2 3 2 2 5 2 2" xfId="13558"/>
    <cellStyle name="Normal 2 2 2 3 2 2 5 2 2 10" xfId="13559"/>
    <cellStyle name="Normal 2 2 2 3 2 2 5 2 2 10 2" xfId="13560"/>
    <cellStyle name="Normal 2 2 2 3 2 2 5 2 2 11" xfId="13561"/>
    <cellStyle name="Normal 2 2 2 3 2 2 5 2 2 2" xfId="13562"/>
    <cellStyle name="Normal 2 2 2 3 2 2 5 2 2 2 2" xfId="13563"/>
    <cellStyle name="Normal 2 2 2 3 2 2 5 2 2 3" xfId="13564"/>
    <cellStyle name="Normal 2 2 2 3 2 2 5 2 2 3 2" xfId="13565"/>
    <cellStyle name="Normal 2 2 2 3 2 2 5 2 2 4" xfId="13566"/>
    <cellStyle name="Normal 2 2 2 3 2 2 5 2 2 4 2" xfId="13567"/>
    <cellStyle name="Normal 2 2 2 3 2 2 5 2 2 5" xfId="13568"/>
    <cellStyle name="Normal 2 2 2 3 2 2 5 2 2 5 2" xfId="13569"/>
    <cellStyle name="Normal 2 2 2 3 2 2 5 2 2 6" xfId="13570"/>
    <cellStyle name="Normal 2 2 2 3 2 2 5 2 2 6 2" xfId="13571"/>
    <cellStyle name="Normal 2 2 2 3 2 2 5 2 2 7" xfId="13572"/>
    <cellStyle name="Normal 2 2 2 3 2 2 5 2 2 7 2" xfId="13573"/>
    <cellStyle name="Normal 2 2 2 3 2 2 5 2 2 8" xfId="13574"/>
    <cellStyle name="Normal 2 2 2 3 2 2 5 2 2 8 2" xfId="13575"/>
    <cellStyle name="Normal 2 2 2 3 2 2 5 2 2 9" xfId="13576"/>
    <cellStyle name="Normal 2 2 2 3 2 2 5 2 2 9 2" xfId="13577"/>
    <cellStyle name="Normal 2 2 2 3 2 2 5 2 3" xfId="13578"/>
    <cellStyle name="Normal 2 2 2 3 2 2 5 2 3 2" xfId="13579"/>
    <cellStyle name="Normal 2 2 2 3 2 2 5 2 4" xfId="13580"/>
    <cellStyle name="Normal 2 2 2 3 2 2 5 2 4 2" xfId="13581"/>
    <cellStyle name="Normal 2 2 2 3 2 2 5 2 5" xfId="13582"/>
    <cellStyle name="Normal 2 2 2 3 2 2 5 2 5 2" xfId="13583"/>
    <cellStyle name="Normal 2 2 2 3 2 2 5 2 6" xfId="13584"/>
    <cellStyle name="Normal 2 2 2 3 2 2 5 2 6 2" xfId="13585"/>
    <cellStyle name="Normal 2 2 2 3 2 2 5 2 7" xfId="13586"/>
    <cellStyle name="Normal 2 2 2 3 2 2 5 2 7 2" xfId="13587"/>
    <cellStyle name="Normal 2 2 2 3 2 2 5 2 8" xfId="13588"/>
    <cellStyle name="Normal 2 2 2 3 2 2 5 2 8 2" xfId="13589"/>
    <cellStyle name="Normal 2 2 2 3 2 2 5 2 9" xfId="13590"/>
    <cellStyle name="Normal 2 2 2 3 2 2 5 2 9 2" xfId="13591"/>
    <cellStyle name="Normal 2 2 2 3 2 2 5 3" xfId="13592"/>
    <cellStyle name="Normal 2 2 2 3 2 2 5 3 10" xfId="13593"/>
    <cellStyle name="Normal 2 2 2 3 2 2 5 3 10 2" xfId="13594"/>
    <cellStyle name="Normal 2 2 2 3 2 2 5 3 11" xfId="13595"/>
    <cellStyle name="Normal 2 2 2 3 2 2 5 3 2" xfId="13596"/>
    <cellStyle name="Normal 2 2 2 3 2 2 5 3 2 2" xfId="13597"/>
    <cellStyle name="Normal 2 2 2 3 2 2 5 3 3" xfId="13598"/>
    <cellStyle name="Normal 2 2 2 3 2 2 5 3 3 2" xfId="13599"/>
    <cellStyle name="Normal 2 2 2 3 2 2 5 3 4" xfId="13600"/>
    <cellStyle name="Normal 2 2 2 3 2 2 5 3 4 2" xfId="13601"/>
    <cellStyle name="Normal 2 2 2 3 2 2 5 3 5" xfId="13602"/>
    <cellStyle name="Normal 2 2 2 3 2 2 5 3 5 2" xfId="13603"/>
    <cellStyle name="Normal 2 2 2 3 2 2 5 3 6" xfId="13604"/>
    <cellStyle name="Normal 2 2 2 3 2 2 5 3 6 2" xfId="13605"/>
    <cellStyle name="Normal 2 2 2 3 2 2 5 3 7" xfId="13606"/>
    <cellStyle name="Normal 2 2 2 3 2 2 5 3 7 2" xfId="13607"/>
    <cellStyle name="Normal 2 2 2 3 2 2 5 3 8" xfId="13608"/>
    <cellStyle name="Normal 2 2 2 3 2 2 5 3 8 2" xfId="13609"/>
    <cellStyle name="Normal 2 2 2 3 2 2 5 3 9" xfId="13610"/>
    <cellStyle name="Normal 2 2 2 3 2 2 5 3 9 2" xfId="13611"/>
    <cellStyle name="Normal 2 2 2 3 2 2 5 4" xfId="13612"/>
    <cellStyle name="Normal 2 2 2 3 2 2 5 4 2" xfId="13613"/>
    <cellStyle name="Normal 2 2 2 3 2 2 5 5" xfId="13614"/>
    <cellStyle name="Normal 2 2 2 3 2 2 5 5 2" xfId="13615"/>
    <cellStyle name="Normal 2 2 2 3 2 2 5 6" xfId="13616"/>
    <cellStyle name="Normal 2 2 2 3 2 2 5 6 2" xfId="13617"/>
    <cellStyle name="Normal 2 2 2 3 2 2 5 7" xfId="13618"/>
    <cellStyle name="Normal 2 2 2 3 2 2 5 7 2" xfId="13619"/>
    <cellStyle name="Normal 2 2 2 3 2 2 5 8" xfId="13620"/>
    <cellStyle name="Normal 2 2 2 3 2 2 5 8 2" xfId="13621"/>
    <cellStyle name="Normal 2 2 2 3 2 2 5 9" xfId="13622"/>
    <cellStyle name="Normal 2 2 2 3 2 2 5 9 2" xfId="13623"/>
    <cellStyle name="Normal 2 2 2 3 2 2 6" xfId="299"/>
    <cellStyle name="Normal 2 2 2 3 2 2 6 10" xfId="13624"/>
    <cellStyle name="Normal 2 2 2 3 2 2 6 10 2" xfId="13625"/>
    <cellStyle name="Normal 2 2 2 3 2 2 6 11" xfId="13626"/>
    <cellStyle name="Normal 2 2 2 3 2 2 6 11 2" xfId="13627"/>
    <cellStyle name="Normal 2 2 2 3 2 2 6 12" xfId="13628"/>
    <cellStyle name="Normal 2 2 2 3 2 2 6 12 2" xfId="13629"/>
    <cellStyle name="Normal 2 2 2 3 2 2 6 13" xfId="13630"/>
    <cellStyle name="Normal 2 2 2 3 2 2 6 2" xfId="13631"/>
    <cellStyle name="Normal 2 2 2 3 2 2 6 2 10" xfId="13632"/>
    <cellStyle name="Normal 2 2 2 3 2 2 6 2 10 2" xfId="13633"/>
    <cellStyle name="Normal 2 2 2 3 2 2 6 2 11" xfId="13634"/>
    <cellStyle name="Normal 2 2 2 3 2 2 6 2 11 2" xfId="13635"/>
    <cellStyle name="Normal 2 2 2 3 2 2 6 2 12" xfId="13636"/>
    <cellStyle name="Normal 2 2 2 3 2 2 6 2 2" xfId="13637"/>
    <cellStyle name="Normal 2 2 2 3 2 2 6 2 2 10" xfId="13638"/>
    <cellStyle name="Normal 2 2 2 3 2 2 6 2 2 10 2" xfId="13639"/>
    <cellStyle name="Normal 2 2 2 3 2 2 6 2 2 11" xfId="13640"/>
    <cellStyle name="Normal 2 2 2 3 2 2 6 2 2 2" xfId="13641"/>
    <cellStyle name="Normal 2 2 2 3 2 2 6 2 2 2 2" xfId="13642"/>
    <cellStyle name="Normal 2 2 2 3 2 2 6 2 2 3" xfId="13643"/>
    <cellStyle name="Normal 2 2 2 3 2 2 6 2 2 3 2" xfId="13644"/>
    <cellStyle name="Normal 2 2 2 3 2 2 6 2 2 4" xfId="13645"/>
    <cellStyle name="Normal 2 2 2 3 2 2 6 2 2 4 2" xfId="13646"/>
    <cellStyle name="Normal 2 2 2 3 2 2 6 2 2 5" xfId="13647"/>
    <cellStyle name="Normal 2 2 2 3 2 2 6 2 2 5 2" xfId="13648"/>
    <cellStyle name="Normal 2 2 2 3 2 2 6 2 2 6" xfId="13649"/>
    <cellStyle name="Normal 2 2 2 3 2 2 6 2 2 6 2" xfId="13650"/>
    <cellStyle name="Normal 2 2 2 3 2 2 6 2 2 7" xfId="13651"/>
    <cellStyle name="Normal 2 2 2 3 2 2 6 2 2 7 2" xfId="13652"/>
    <cellStyle name="Normal 2 2 2 3 2 2 6 2 2 8" xfId="13653"/>
    <cellStyle name="Normal 2 2 2 3 2 2 6 2 2 8 2" xfId="13654"/>
    <cellStyle name="Normal 2 2 2 3 2 2 6 2 2 9" xfId="13655"/>
    <cellStyle name="Normal 2 2 2 3 2 2 6 2 2 9 2" xfId="13656"/>
    <cellStyle name="Normal 2 2 2 3 2 2 6 2 3" xfId="13657"/>
    <cellStyle name="Normal 2 2 2 3 2 2 6 2 3 2" xfId="13658"/>
    <cellStyle name="Normal 2 2 2 3 2 2 6 2 4" xfId="13659"/>
    <cellStyle name="Normal 2 2 2 3 2 2 6 2 4 2" xfId="13660"/>
    <cellStyle name="Normal 2 2 2 3 2 2 6 2 5" xfId="13661"/>
    <cellStyle name="Normal 2 2 2 3 2 2 6 2 5 2" xfId="13662"/>
    <cellStyle name="Normal 2 2 2 3 2 2 6 2 6" xfId="13663"/>
    <cellStyle name="Normal 2 2 2 3 2 2 6 2 6 2" xfId="13664"/>
    <cellStyle name="Normal 2 2 2 3 2 2 6 2 7" xfId="13665"/>
    <cellStyle name="Normal 2 2 2 3 2 2 6 2 7 2" xfId="13666"/>
    <cellStyle name="Normal 2 2 2 3 2 2 6 2 8" xfId="13667"/>
    <cellStyle name="Normal 2 2 2 3 2 2 6 2 8 2" xfId="13668"/>
    <cellStyle name="Normal 2 2 2 3 2 2 6 2 9" xfId="13669"/>
    <cellStyle name="Normal 2 2 2 3 2 2 6 2 9 2" xfId="13670"/>
    <cellStyle name="Normal 2 2 2 3 2 2 6 3" xfId="13671"/>
    <cellStyle name="Normal 2 2 2 3 2 2 6 3 10" xfId="13672"/>
    <cellStyle name="Normal 2 2 2 3 2 2 6 3 10 2" xfId="13673"/>
    <cellStyle name="Normal 2 2 2 3 2 2 6 3 11" xfId="13674"/>
    <cellStyle name="Normal 2 2 2 3 2 2 6 3 2" xfId="13675"/>
    <cellStyle name="Normal 2 2 2 3 2 2 6 3 2 2" xfId="13676"/>
    <cellStyle name="Normal 2 2 2 3 2 2 6 3 3" xfId="13677"/>
    <cellStyle name="Normal 2 2 2 3 2 2 6 3 3 2" xfId="13678"/>
    <cellStyle name="Normal 2 2 2 3 2 2 6 3 4" xfId="13679"/>
    <cellStyle name="Normal 2 2 2 3 2 2 6 3 4 2" xfId="13680"/>
    <cellStyle name="Normal 2 2 2 3 2 2 6 3 5" xfId="13681"/>
    <cellStyle name="Normal 2 2 2 3 2 2 6 3 5 2" xfId="13682"/>
    <cellStyle name="Normal 2 2 2 3 2 2 6 3 6" xfId="13683"/>
    <cellStyle name="Normal 2 2 2 3 2 2 6 3 6 2" xfId="13684"/>
    <cellStyle name="Normal 2 2 2 3 2 2 6 3 7" xfId="13685"/>
    <cellStyle name="Normal 2 2 2 3 2 2 6 3 7 2" xfId="13686"/>
    <cellStyle name="Normal 2 2 2 3 2 2 6 3 8" xfId="13687"/>
    <cellStyle name="Normal 2 2 2 3 2 2 6 3 8 2" xfId="13688"/>
    <cellStyle name="Normal 2 2 2 3 2 2 6 3 9" xfId="13689"/>
    <cellStyle name="Normal 2 2 2 3 2 2 6 3 9 2" xfId="13690"/>
    <cellStyle name="Normal 2 2 2 3 2 2 6 4" xfId="13691"/>
    <cellStyle name="Normal 2 2 2 3 2 2 6 4 2" xfId="13692"/>
    <cellStyle name="Normal 2 2 2 3 2 2 6 5" xfId="13693"/>
    <cellStyle name="Normal 2 2 2 3 2 2 6 5 2" xfId="13694"/>
    <cellStyle name="Normal 2 2 2 3 2 2 6 6" xfId="13695"/>
    <cellStyle name="Normal 2 2 2 3 2 2 6 6 2" xfId="13696"/>
    <cellStyle name="Normal 2 2 2 3 2 2 6 7" xfId="13697"/>
    <cellStyle name="Normal 2 2 2 3 2 2 6 7 2" xfId="13698"/>
    <cellStyle name="Normal 2 2 2 3 2 2 6 8" xfId="13699"/>
    <cellStyle name="Normal 2 2 2 3 2 2 6 8 2" xfId="13700"/>
    <cellStyle name="Normal 2 2 2 3 2 2 6 9" xfId="13701"/>
    <cellStyle name="Normal 2 2 2 3 2 2 6 9 2" xfId="13702"/>
    <cellStyle name="Normal 2 2 2 3 2 2 7" xfId="300"/>
    <cellStyle name="Normal 2 2 2 3 2 20" xfId="13703"/>
    <cellStyle name="Normal 2 2 2 3 2 20 2" xfId="13704"/>
    <cellStyle name="Normal 2 2 2 3 2 21" xfId="13705"/>
    <cellStyle name="Normal 2 2 2 3 2 3" xfId="301"/>
    <cellStyle name="Normal 2 2 2 3 2 3 10" xfId="13706"/>
    <cellStyle name="Normal 2 2 2 3 2 3 10 2" xfId="13707"/>
    <cellStyle name="Normal 2 2 2 3 2 3 11" xfId="13708"/>
    <cellStyle name="Normal 2 2 2 3 2 3 11 2" xfId="13709"/>
    <cellStyle name="Normal 2 2 2 3 2 3 12" xfId="13710"/>
    <cellStyle name="Normal 2 2 2 3 2 3 12 2" xfId="13711"/>
    <cellStyle name="Normal 2 2 2 3 2 3 13" xfId="13712"/>
    <cellStyle name="Normal 2 2 2 3 2 3 2" xfId="13713"/>
    <cellStyle name="Normal 2 2 2 3 2 3 2 10" xfId="13714"/>
    <cellStyle name="Normal 2 2 2 3 2 3 2 10 2" xfId="13715"/>
    <cellStyle name="Normal 2 2 2 3 2 3 2 11" xfId="13716"/>
    <cellStyle name="Normal 2 2 2 3 2 3 2 11 2" xfId="13717"/>
    <cellStyle name="Normal 2 2 2 3 2 3 2 12" xfId="13718"/>
    <cellStyle name="Normal 2 2 2 3 2 3 2 2" xfId="13719"/>
    <cellStyle name="Normal 2 2 2 3 2 3 2 2 10" xfId="13720"/>
    <cellStyle name="Normal 2 2 2 3 2 3 2 2 10 2" xfId="13721"/>
    <cellStyle name="Normal 2 2 2 3 2 3 2 2 11" xfId="13722"/>
    <cellStyle name="Normal 2 2 2 3 2 3 2 2 2" xfId="13723"/>
    <cellStyle name="Normal 2 2 2 3 2 3 2 2 2 2" xfId="13724"/>
    <cellStyle name="Normal 2 2 2 3 2 3 2 2 3" xfId="13725"/>
    <cellStyle name="Normal 2 2 2 3 2 3 2 2 3 2" xfId="13726"/>
    <cellStyle name="Normal 2 2 2 3 2 3 2 2 4" xfId="13727"/>
    <cellStyle name="Normal 2 2 2 3 2 3 2 2 4 2" xfId="13728"/>
    <cellStyle name="Normal 2 2 2 3 2 3 2 2 5" xfId="13729"/>
    <cellStyle name="Normal 2 2 2 3 2 3 2 2 5 2" xfId="13730"/>
    <cellStyle name="Normal 2 2 2 3 2 3 2 2 6" xfId="13731"/>
    <cellStyle name="Normal 2 2 2 3 2 3 2 2 6 2" xfId="13732"/>
    <cellStyle name="Normal 2 2 2 3 2 3 2 2 7" xfId="13733"/>
    <cellStyle name="Normal 2 2 2 3 2 3 2 2 7 2" xfId="13734"/>
    <cellStyle name="Normal 2 2 2 3 2 3 2 2 8" xfId="13735"/>
    <cellStyle name="Normal 2 2 2 3 2 3 2 2 8 2" xfId="13736"/>
    <cellStyle name="Normal 2 2 2 3 2 3 2 2 9" xfId="13737"/>
    <cellStyle name="Normal 2 2 2 3 2 3 2 2 9 2" xfId="13738"/>
    <cellStyle name="Normal 2 2 2 3 2 3 2 3" xfId="13739"/>
    <cellStyle name="Normal 2 2 2 3 2 3 2 3 2" xfId="13740"/>
    <cellStyle name="Normal 2 2 2 3 2 3 2 4" xfId="13741"/>
    <cellStyle name="Normal 2 2 2 3 2 3 2 4 2" xfId="13742"/>
    <cellStyle name="Normal 2 2 2 3 2 3 2 5" xfId="13743"/>
    <cellStyle name="Normal 2 2 2 3 2 3 2 5 2" xfId="13744"/>
    <cellStyle name="Normal 2 2 2 3 2 3 2 6" xfId="13745"/>
    <cellStyle name="Normal 2 2 2 3 2 3 2 6 2" xfId="13746"/>
    <cellStyle name="Normal 2 2 2 3 2 3 2 7" xfId="13747"/>
    <cellStyle name="Normal 2 2 2 3 2 3 2 7 2" xfId="13748"/>
    <cellStyle name="Normal 2 2 2 3 2 3 2 8" xfId="13749"/>
    <cellStyle name="Normal 2 2 2 3 2 3 2 8 2" xfId="13750"/>
    <cellStyle name="Normal 2 2 2 3 2 3 2 9" xfId="13751"/>
    <cellStyle name="Normal 2 2 2 3 2 3 2 9 2" xfId="13752"/>
    <cellStyle name="Normal 2 2 2 3 2 3 3" xfId="13753"/>
    <cellStyle name="Normal 2 2 2 3 2 3 3 10" xfId="13754"/>
    <cellStyle name="Normal 2 2 2 3 2 3 3 10 2" xfId="13755"/>
    <cellStyle name="Normal 2 2 2 3 2 3 3 11" xfId="13756"/>
    <cellStyle name="Normal 2 2 2 3 2 3 3 2" xfId="13757"/>
    <cellStyle name="Normal 2 2 2 3 2 3 3 2 2" xfId="13758"/>
    <cellStyle name="Normal 2 2 2 3 2 3 3 3" xfId="13759"/>
    <cellStyle name="Normal 2 2 2 3 2 3 3 3 2" xfId="13760"/>
    <cellStyle name="Normal 2 2 2 3 2 3 3 4" xfId="13761"/>
    <cellStyle name="Normal 2 2 2 3 2 3 3 4 2" xfId="13762"/>
    <cellStyle name="Normal 2 2 2 3 2 3 3 5" xfId="13763"/>
    <cellStyle name="Normal 2 2 2 3 2 3 3 5 2" xfId="13764"/>
    <cellStyle name="Normal 2 2 2 3 2 3 3 6" xfId="13765"/>
    <cellStyle name="Normal 2 2 2 3 2 3 3 6 2" xfId="13766"/>
    <cellStyle name="Normal 2 2 2 3 2 3 3 7" xfId="13767"/>
    <cellStyle name="Normal 2 2 2 3 2 3 3 7 2" xfId="13768"/>
    <cellStyle name="Normal 2 2 2 3 2 3 3 8" xfId="13769"/>
    <cellStyle name="Normal 2 2 2 3 2 3 3 8 2" xfId="13770"/>
    <cellStyle name="Normal 2 2 2 3 2 3 3 9" xfId="13771"/>
    <cellStyle name="Normal 2 2 2 3 2 3 3 9 2" xfId="13772"/>
    <cellStyle name="Normal 2 2 2 3 2 3 4" xfId="13773"/>
    <cellStyle name="Normal 2 2 2 3 2 3 4 2" xfId="13774"/>
    <cellStyle name="Normal 2 2 2 3 2 3 5" xfId="13775"/>
    <cellStyle name="Normal 2 2 2 3 2 3 5 2" xfId="13776"/>
    <cellStyle name="Normal 2 2 2 3 2 3 6" xfId="13777"/>
    <cellStyle name="Normal 2 2 2 3 2 3 6 2" xfId="13778"/>
    <cellStyle name="Normal 2 2 2 3 2 3 7" xfId="13779"/>
    <cellStyle name="Normal 2 2 2 3 2 3 7 2" xfId="13780"/>
    <cellStyle name="Normal 2 2 2 3 2 3 8" xfId="13781"/>
    <cellStyle name="Normal 2 2 2 3 2 3 8 2" xfId="13782"/>
    <cellStyle name="Normal 2 2 2 3 2 3 9" xfId="13783"/>
    <cellStyle name="Normal 2 2 2 3 2 3 9 2" xfId="13784"/>
    <cellStyle name="Normal 2 2 2 3 2 4" xfId="302"/>
    <cellStyle name="Normal 2 2 2 3 2 4 10" xfId="13785"/>
    <cellStyle name="Normal 2 2 2 3 2 4 10 2" xfId="13786"/>
    <cellStyle name="Normal 2 2 2 3 2 4 11" xfId="13787"/>
    <cellStyle name="Normal 2 2 2 3 2 4 11 2" xfId="13788"/>
    <cellStyle name="Normal 2 2 2 3 2 4 12" xfId="13789"/>
    <cellStyle name="Normal 2 2 2 3 2 4 12 2" xfId="13790"/>
    <cellStyle name="Normal 2 2 2 3 2 4 13" xfId="13791"/>
    <cellStyle name="Normal 2 2 2 3 2 4 2" xfId="13792"/>
    <cellStyle name="Normal 2 2 2 3 2 4 2 10" xfId="13793"/>
    <cellStyle name="Normal 2 2 2 3 2 4 2 10 2" xfId="13794"/>
    <cellStyle name="Normal 2 2 2 3 2 4 2 11" xfId="13795"/>
    <cellStyle name="Normal 2 2 2 3 2 4 2 11 2" xfId="13796"/>
    <cellStyle name="Normal 2 2 2 3 2 4 2 12" xfId="13797"/>
    <cellStyle name="Normal 2 2 2 3 2 4 2 2" xfId="13798"/>
    <cellStyle name="Normal 2 2 2 3 2 4 2 2 10" xfId="13799"/>
    <cellStyle name="Normal 2 2 2 3 2 4 2 2 10 2" xfId="13800"/>
    <cellStyle name="Normal 2 2 2 3 2 4 2 2 11" xfId="13801"/>
    <cellStyle name="Normal 2 2 2 3 2 4 2 2 2" xfId="13802"/>
    <cellStyle name="Normal 2 2 2 3 2 4 2 2 2 2" xfId="13803"/>
    <cellStyle name="Normal 2 2 2 3 2 4 2 2 3" xfId="13804"/>
    <cellStyle name="Normal 2 2 2 3 2 4 2 2 3 2" xfId="13805"/>
    <cellStyle name="Normal 2 2 2 3 2 4 2 2 4" xfId="13806"/>
    <cellStyle name="Normal 2 2 2 3 2 4 2 2 4 2" xfId="13807"/>
    <cellStyle name="Normal 2 2 2 3 2 4 2 2 5" xfId="13808"/>
    <cellStyle name="Normal 2 2 2 3 2 4 2 2 5 2" xfId="13809"/>
    <cellStyle name="Normal 2 2 2 3 2 4 2 2 6" xfId="13810"/>
    <cellStyle name="Normal 2 2 2 3 2 4 2 2 6 2" xfId="13811"/>
    <cellStyle name="Normal 2 2 2 3 2 4 2 2 7" xfId="13812"/>
    <cellStyle name="Normal 2 2 2 3 2 4 2 2 7 2" xfId="13813"/>
    <cellStyle name="Normal 2 2 2 3 2 4 2 2 8" xfId="13814"/>
    <cellStyle name="Normal 2 2 2 3 2 4 2 2 8 2" xfId="13815"/>
    <cellStyle name="Normal 2 2 2 3 2 4 2 2 9" xfId="13816"/>
    <cellStyle name="Normal 2 2 2 3 2 4 2 2 9 2" xfId="13817"/>
    <cellStyle name="Normal 2 2 2 3 2 4 2 3" xfId="13818"/>
    <cellStyle name="Normal 2 2 2 3 2 4 2 3 2" xfId="13819"/>
    <cellStyle name="Normal 2 2 2 3 2 4 2 4" xfId="13820"/>
    <cellStyle name="Normal 2 2 2 3 2 4 2 4 2" xfId="13821"/>
    <cellStyle name="Normal 2 2 2 3 2 4 2 5" xfId="13822"/>
    <cellStyle name="Normal 2 2 2 3 2 4 2 5 2" xfId="13823"/>
    <cellStyle name="Normal 2 2 2 3 2 4 2 6" xfId="13824"/>
    <cellStyle name="Normal 2 2 2 3 2 4 2 6 2" xfId="13825"/>
    <cellStyle name="Normal 2 2 2 3 2 4 2 7" xfId="13826"/>
    <cellStyle name="Normal 2 2 2 3 2 4 2 7 2" xfId="13827"/>
    <cellStyle name="Normal 2 2 2 3 2 4 2 8" xfId="13828"/>
    <cellStyle name="Normal 2 2 2 3 2 4 2 8 2" xfId="13829"/>
    <cellStyle name="Normal 2 2 2 3 2 4 2 9" xfId="13830"/>
    <cellStyle name="Normal 2 2 2 3 2 4 2 9 2" xfId="13831"/>
    <cellStyle name="Normal 2 2 2 3 2 4 3" xfId="13832"/>
    <cellStyle name="Normal 2 2 2 3 2 4 3 10" xfId="13833"/>
    <cellStyle name="Normal 2 2 2 3 2 4 3 10 2" xfId="13834"/>
    <cellStyle name="Normal 2 2 2 3 2 4 3 11" xfId="13835"/>
    <cellStyle name="Normal 2 2 2 3 2 4 3 2" xfId="13836"/>
    <cellStyle name="Normal 2 2 2 3 2 4 3 2 2" xfId="13837"/>
    <cellStyle name="Normal 2 2 2 3 2 4 3 3" xfId="13838"/>
    <cellStyle name="Normal 2 2 2 3 2 4 3 3 2" xfId="13839"/>
    <cellStyle name="Normal 2 2 2 3 2 4 3 4" xfId="13840"/>
    <cellStyle name="Normal 2 2 2 3 2 4 3 4 2" xfId="13841"/>
    <cellStyle name="Normal 2 2 2 3 2 4 3 5" xfId="13842"/>
    <cellStyle name="Normal 2 2 2 3 2 4 3 5 2" xfId="13843"/>
    <cellStyle name="Normal 2 2 2 3 2 4 3 6" xfId="13844"/>
    <cellStyle name="Normal 2 2 2 3 2 4 3 6 2" xfId="13845"/>
    <cellStyle name="Normal 2 2 2 3 2 4 3 7" xfId="13846"/>
    <cellStyle name="Normal 2 2 2 3 2 4 3 7 2" xfId="13847"/>
    <cellStyle name="Normal 2 2 2 3 2 4 3 8" xfId="13848"/>
    <cellStyle name="Normal 2 2 2 3 2 4 3 8 2" xfId="13849"/>
    <cellStyle name="Normal 2 2 2 3 2 4 3 9" xfId="13850"/>
    <cellStyle name="Normal 2 2 2 3 2 4 3 9 2" xfId="13851"/>
    <cellStyle name="Normal 2 2 2 3 2 4 4" xfId="13852"/>
    <cellStyle name="Normal 2 2 2 3 2 4 4 2" xfId="13853"/>
    <cellStyle name="Normal 2 2 2 3 2 4 5" xfId="13854"/>
    <cellStyle name="Normal 2 2 2 3 2 4 5 2" xfId="13855"/>
    <cellStyle name="Normal 2 2 2 3 2 4 6" xfId="13856"/>
    <cellStyle name="Normal 2 2 2 3 2 4 6 2" xfId="13857"/>
    <cellStyle name="Normal 2 2 2 3 2 4 7" xfId="13858"/>
    <cellStyle name="Normal 2 2 2 3 2 4 7 2" xfId="13859"/>
    <cellStyle name="Normal 2 2 2 3 2 4 8" xfId="13860"/>
    <cellStyle name="Normal 2 2 2 3 2 4 8 2" xfId="13861"/>
    <cellStyle name="Normal 2 2 2 3 2 4 9" xfId="13862"/>
    <cellStyle name="Normal 2 2 2 3 2 4 9 2" xfId="13863"/>
    <cellStyle name="Normal 2 2 2 3 2 5" xfId="303"/>
    <cellStyle name="Normal 2 2 2 3 2 5 10" xfId="13864"/>
    <cellStyle name="Normal 2 2 2 3 2 5 10 2" xfId="13865"/>
    <cellStyle name="Normal 2 2 2 3 2 5 11" xfId="13866"/>
    <cellStyle name="Normal 2 2 2 3 2 5 11 2" xfId="13867"/>
    <cellStyle name="Normal 2 2 2 3 2 5 12" xfId="13868"/>
    <cellStyle name="Normal 2 2 2 3 2 5 12 2" xfId="13869"/>
    <cellStyle name="Normal 2 2 2 3 2 5 13" xfId="13870"/>
    <cellStyle name="Normal 2 2 2 3 2 5 2" xfId="13871"/>
    <cellStyle name="Normal 2 2 2 3 2 5 2 10" xfId="13872"/>
    <cellStyle name="Normal 2 2 2 3 2 5 2 10 2" xfId="13873"/>
    <cellStyle name="Normal 2 2 2 3 2 5 2 11" xfId="13874"/>
    <cellStyle name="Normal 2 2 2 3 2 5 2 11 2" xfId="13875"/>
    <cellStyle name="Normal 2 2 2 3 2 5 2 12" xfId="13876"/>
    <cellStyle name="Normal 2 2 2 3 2 5 2 2" xfId="13877"/>
    <cellStyle name="Normal 2 2 2 3 2 5 2 2 10" xfId="13878"/>
    <cellStyle name="Normal 2 2 2 3 2 5 2 2 10 2" xfId="13879"/>
    <cellStyle name="Normal 2 2 2 3 2 5 2 2 11" xfId="13880"/>
    <cellStyle name="Normal 2 2 2 3 2 5 2 2 2" xfId="13881"/>
    <cellStyle name="Normal 2 2 2 3 2 5 2 2 2 2" xfId="13882"/>
    <cellStyle name="Normal 2 2 2 3 2 5 2 2 3" xfId="13883"/>
    <cellStyle name="Normal 2 2 2 3 2 5 2 2 3 2" xfId="13884"/>
    <cellStyle name="Normal 2 2 2 3 2 5 2 2 4" xfId="13885"/>
    <cellStyle name="Normal 2 2 2 3 2 5 2 2 4 2" xfId="13886"/>
    <cellStyle name="Normal 2 2 2 3 2 5 2 2 5" xfId="13887"/>
    <cellStyle name="Normal 2 2 2 3 2 5 2 2 5 2" xfId="13888"/>
    <cellStyle name="Normal 2 2 2 3 2 5 2 2 6" xfId="13889"/>
    <cellStyle name="Normal 2 2 2 3 2 5 2 2 6 2" xfId="13890"/>
    <cellStyle name="Normal 2 2 2 3 2 5 2 2 7" xfId="13891"/>
    <cellStyle name="Normal 2 2 2 3 2 5 2 2 7 2" xfId="13892"/>
    <cellStyle name="Normal 2 2 2 3 2 5 2 2 8" xfId="13893"/>
    <cellStyle name="Normal 2 2 2 3 2 5 2 2 8 2" xfId="13894"/>
    <cellStyle name="Normal 2 2 2 3 2 5 2 2 9" xfId="13895"/>
    <cellStyle name="Normal 2 2 2 3 2 5 2 2 9 2" xfId="13896"/>
    <cellStyle name="Normal 2 2 2 3 2 5 2 3" xfId="13897"/>
    <cellStyle name="Normal 2 2 2 3 2 5 2 3 2" xfId="13898"/>
    <cellStyle name="Normal 2 2 2 3 2 5 2 4" xfId="13899"/>
    <cellStyle name="Normal 2 2 2 3 2 5 2 4 2" xfId="13900"/>
    <cellStyle name="Normal 2 2 2 3 2 5 2 5" xfId="13901"/>
    <cellStyle name="Normal 2 2 2 3 2 5 2 5 2" xfId="13902"/>
    <cellStyle name="Normal 2 2 2 3 2 5 2 6" xfId="13903"/>
    <cellStyle name="Normal 2 2 2 3 2 5 2 6 2" xfId="13904"/>
    <cellStyle name="Normal 2 2 2 3 2 5 2 7" xfId="13905"/>
    <cellStyle name="Normal 2 2 2 3 2 5 2 7 2" xfId="13906"/>
    <cellStyle name="Normal 2 2 2 3 2 5 2 8" xfId="13907"/>
    <cellStyle name="Normal 2 2 2 3 2 5 2 8 2" xfId="13908"/>
    <cellStyle name="Normal 2 2 2 3 2 5 2 9" xfId="13909"/>
    <cellStyle name="Normal 2 2 2 3 2 5 2 9 2" xfId="13910"/>
    <cellStyle name="Normal 2 2 2 3 2 5 3" xfId="13911"/>
    <cellStyle name="Normal 2 2 2 3 2 5 3 10" xfId="13912"/>
    <cellStyle name="Normal 2 2 2 3 2 5 3 10 2" xfId="13913"/>
    <cellStyle name="Normal 2 2 2 3 2 5 3 11" xfId="13914"/>
    <cellStyle name="Normal 2 2 2 3 2 5 3 2" xfId="13915"/>
    <cellStyle name="Normal 2 2 2 3 2 5 3 2 2" xfId="13916"/>
    <cellStyle name="Normal 2 2 2 3 2 5 3 3" xfId="13917"/>
    <cellStyle name="Normal 2 2 2 3 2 5 3 3 2" xfId="13918"/>
    <cellStyle name="Normal 2 2 2 3 2 5 3 4" xfId="13919"/>
    <cellStyle name="Normal 2 2 2 3 2 5 3 4 2" xfId="13920"/>
    <cellStyle name="Normal 2 2 2 3 2 5 3 5" xfId="13921"/>
    <cellStyle name="Normal 2 2 2 3 2 5 3 5 2" xfId="13922"/>
    <cellStyle name="Normal 2 2 2 3 2 5 3 6" xfId="13923"/>
    <cellStyle name="Normal 2 2 2 3 2 5 3 6 2" xfId="13924"/>
    <cellStyle name="Normal 2 2 2 3 2 5 3 7" xfId="13925"/>
    <cellStyle name="Normal 2 2 2 3 2 5 3 7 2" xfId="13926"/>
    <cellStyle name="Normal 2 2 2 3 2 5 3 8" xfId="13927"/>
    <cellStyle name="Normal 2 2 2 3 2 5 3 8 2" xfId="13928"/>
    <cellStyle name="Normal 2 2 2 3 2 5 3 9" xfId="13929"/>
    <cellStyle name="Normal 2 2 2 3 2 5 3 9 2" xfId="13930"/>
    <cellStyle name="Normal 2 2 2 3 2 5 4" xfId="13931"/>
    <cellStyle name="Normal 2 2 2 3 2 5 4 2" xfId="13932"/>
    <cellStyle name="Normal 2 2 2 3 2 5 5" xfId="13933"/>
    <cellStyle name="Normal 2 2 2 3 2 5 5 2" xfId="13934"/>
    <cellStyle name="Normal 2 2 2 3 2 5 6" xfId="13935"/>
    <cellStyle name="Normal 2 2 2 3 2 5 6 2" xfId="13936"/>
    <cellStyle name="Normal 2 2 2 3 2 5 7" xfId="13937"/>
    <cellStyle name="Normal 2 2 2 3 2 5 7 2" xfId="13938"/>
    <cellStyle name="Normal 2 2 2 3 2 5 8" xfId="13939"/>
    <cellStyle name="Normal 2 2 2 3 2 5 8 2" xfId="13940"/>
    <cellStyle name="Normal 2 2 2 3 2 5 9" xfId="13941"/>
    <cellStyle name="Normal 2 2 2 3 2 5 9 2" xfId="13942"/>
    <cellStyle name="Normal 2 2 2 3 2 6" xfId="304"/>
    <cellStyle name="Normal 2 2 2 3 2 6 2" xfId="305"/>
    <cellStyle name="Normal 2 2 2 3 2 6 2 10" xfId="13943"/>
    <cellStyle name="Normal 2 2 2 3 2 6 2 10 2" xfId="13944"/>
    <cellStyle name="Normal 2 2 2 3 2 6 2 11" xfId="13945"/>
    <cellStyle name="Normal 2 2 2 3 2 6 2 11 2" xfId="13946"/>
    <cellStyle name="Normal 2 2 2 3 2 6 2 12" xfId="13947"/>
    <cellStyle name="Normal 2 2 2 3 2 6 2 12 2" xfId="13948"/>
    <cellStyle name="Normal 2 2 2 3 2 6 2 13" xfId="13949"/>
    <cellStyle name="Normal 2 2 2 3 2 6 2 2" xfId="13950"/>
    <cellStyle name="Normal 2 2 2 3 2 6 2 2 10" xfId="13951"/>
    <cellStyle name="Normal 2 2 2 3 2 6 2 2 10 2" xfId="13952"/>
    <cellStyle name="Normal 2 2 2 3 2 6 2 2 11" xfId="13953"/>
    <cellStyle name="Normal 2 2 2 3 2 6 2 2 11 2" xfId="13954"/>
    <cellStyle name="Normal 2 2 2 3 2 6 2 2 12" xfId="13955"/>
    <cellStyle name="Normal 2 2 2 3 2 6 2 2 2" xfId="13956"/>
    <cellStyle name="Normal 2 2 2 3 2 6 2 2 2 10" xfId="13957"/>
    <cellStyle name="Normal 2 2 2 3 2 6 2 2 2 10 2" xfId="13958"/>
    <cellStyle name="Normal 2 2 2 3 2 6 2 2 2 11" xfId="13959"/>
    <cellStyle name="Normal 2 2 2 3 2 6 2 2 2 2" xfId="13960"/>
    <cellStyle name="Normal 2 2 2 3 2 6 2 2 2 2 2" xfId="13961"/>
    <cellStyle name="Normal 2 2 2 3 2 6 2 2 2 3" xfId="13962"/>
    <cellStyle name="Normal 2 2 2 3 2 6 2 2 2 3 2" xfId="13963"/>
    <cellStyle name="Normal 2 2 2 3 2 6 2 2 2 4" xfId="13964"/>
    <cellStyle name="Normal 2 2 2 3 2 6 2 2 2 4 2" xfId="13965"/>
    <cellStyle name="Normal 2 2 2 3 2 6 2 2 2 5" xfId="13966"/>
    <cellStyle name="Normal 2 2 2 3 2 6 2 2 2 5 2" xfId="13967"/>
    <cellStyle name="Normal 2 2 2 3 2 6 2 2 2 6" xfId="13968"/>
    <cellStyle name="Normal 2 2 2 3 2 6 2 2 2 6 2" xfId="13969"/>
    <cellStyle name="Normal 2 2 2 3 2 6 2 2 2 7" xfId="13970"/>
    <cellStyle name="Normal 2 2 2 3 2 6 2 2 2 7 2" xfId="13971"/>
    <cellStyle name="Normal 2 2 2 3 2 6 2 2 2 8" xfId="13972"/>
    <cellStyle name="Normal 2 2 2 3 2 6 2 2 2 8 2" xfId="13973"/>
    <cellStyle name="Normal 2 2 2 3 2 6 2 2 2 9" xfId="13974"/>
    <cellStyle name="Normal 2 2 2 3 2 6 2 2 2 9 2" xfId="13975"/>
    <cellStyle name="Normal 2 2 2 3 2 6 2 2 3" xfId="13976"/>
    <cellStyle name="Normal 2 2 2 3 2 6 2 2 3 2" xfId="13977"/>
    <cellStyle name="Normal 2 2 2 3 2 6 2 2 4" xfId="13978"/>
    <cellStyle name="Normal 2 2 2 3 2 6 2 2 4 2" xfId="13979"/>
    <cellStyle name="Normal 2 2 2 3 2 6 2 2 5" xfId="13980"/>
    <cellStyle name="Normal 2 2 2 3 2 6 2 2 5 2" xfId="13981"/>
    <cellStyle name="Normal 2 2 2 3 2 6 2 2 6" xfId="13982"/>
    <cellStyle name="Normal 2 2 2 3 2 6 2 2 6 2" xfId="13983"/>
    <cellStyle name="Normal 2 2 2 3 2 6 2 2 7" xfId="13984"/>
    <cellStyle name="Normal 2 2 2 3 2 6 2 2 7 2" xfId="13985"/>
    <cellStyle name="Normal 2 2 2 3 2 6 2 2 8" xfId="13986"/>
    <cellStyle name="Normal 2 2 2 3 2 6 2 2 8 2" xfId="13987"/>
    <cellStyle name="Normal 2 2 2 3 2 6 2 2 9" xfId="13988"/>
    <cellStyle name="Normal 2 2 2 3 2 6 2 2 9 2" xfId="13989"/>
    <cellStyle name="Normal 2 2 2 3 2 6 2 3" xfId="13990"/>
    <cellStyle name="Normal 2 2 2 3 2 6 2 3 10" xfId="13991"/>
    <cellStyle name="Normal 2 2 2 3 2 6 2 3 10 2" xfId="13992"/>
    <cellStyle name="Normal 2 2 2 3 2 6 2 3 11" xfId="13993"/>
    <cellStyle name="Normal 2 2 2 3 2 6 2 3 2" xfId="13994"/>
    <cellStyle name="Normal 2 2 2 3 2 6 2 3 2 2" xfId="13995"/>
    <cellStyle name="Normal 2 2 2 3 2 6 2 3 3" xfId="13996"/>
    <cellStyle name="Normal 2 2 2 3 2 6 2 3 3 2" xfId="13997"/>
    <cellStyle name="Normal 2 2 2 3 2 6 2 3 4" xfId="13998"/>
    <cellStyle name="Normal 2 2 2 3 2 6 2 3 4 2" xfId="13999"/>
    <cellStyle name="Normal 2 2 2 3 2 6 2 3 5" xfId="14000"/>
    <cellStyle name="Normal 2 2 2 3 2 6 2 3 5 2" xfId="14001"/>
    <cellStyle name="Normal 2 2 2 3 2 6 2 3 6" xfId="14002"/>
    <cellStyle name="Normal 2 2 2 3 2 6 2 3 6 2" xfId="14003"/>
    <cellStyle name="Normal 2 2 2 3 2 6 2 3 7" xfId="14004"/>
    <cellStyle name="Normal 2 2 2 3 2 6 2 3 7 2" xfId="14005"/>
    <cellStyle name="Normal 2 2 2 3 2 6 2 3 8" xfId="14006"/>
    <cellStyle name="Normal 2 2 2 3 2 6 2 3 8 2" xfId="14007"/>
    <cellStyle name="Normal 2 2 2 3 2 6 2 3 9" xfId="14008"/>
    <cellStyle name="Normal 2 2 2 3 2 6 2 3 9 2" xfId="14009"/>
    <cellStyle name="Normal 2 2 2 3 2 6 2 4" xfId="14010"/>
    <cellStyle name="Normal 2 2 2 3 2 6 2 4 2" xfId="14011"/>
    <cellStyle name="Normal 2 2 2 3 2 6 2 5" xfId="14012"/>
    <cellStyle name="Normal 2 2 2 3 2 6 2 5 2" xfId="14013"/>
    <cellStyle name="Normal 2 2 2 3 2 6 2 6" xfId="14014"/>
    <cellStyle name="Normal 2 2 2 3 2 6 2 6 2" xfId="14015"/>
    <cellStyle name="Normal 2 2 2 3 2 6 2 7" xfId="14016"/>
    <cellStyle name="Normal 2 2 2 3 2 6 2 7 2" xfId="14017"/>
    <cellStyle name="Normal 2 2 2 3 2 6 2 8" xfId="14018"/>
    <cellStyle name="Normal 2 2 2 3 2 6 2 8 2" xfId="14019"/>
    <cellStyle name="Normal 2 2 2 3 2 6 2 9" xfId="14020"/>
    <cellStyle name="Normal 2 2 2 3 2 6 2 9 2" xfId="14021"/>
    <cellStyle name="Normal 2 2 2 3 2 6 3" xfId="306"/>
    <cellStyle name="Normal 2 2 2 3 2 6 3 10" xfId="14022"/>
    <cellStyle name="Normal 2 2 2 3 2 6 3 10 2" xfId="14023"/>
    <cellStyle name="Normal 2 2 2 3 2 6 3 11" xfId="14024"/>
    <cellStyle name="Normal 2 2 2 3 2 6 3 11 2" xfId="14025"/>
    <cellStyle name="Normal 2 2 2 3 2 6 3 12" xfId="14026"/>
    <cellStyle name="Normal 2 2 2 3 2 6 3 12 2" xfId="14027"/>
    <cellStyle name="Normal 2 2 2 3 2 6 3 13" xfId="14028"/>
    <cellStyle name="Normal 2 2 2 3 2 6 3 2" xfId="14029"/>
    <cellStyle name="Normal 2 2 2 3 2 6 3 2 10" xfId="14030"/>
    <cellStyle name="Normal 2 2 2 3 2 6 3 2 10 2" xfId="14031"/>
    <cellStyle name="Normal 2 2 2 3 2 6 3 2 11" xfId="14032"/>
    <cellStyle name="Normal 2 2 2 3 2 6 3 2 11 2" xfId="14033"/>
    <cellStyle name="Normal 2 2 2 3 2 6 3 2 12" xfId="14034"/>
    <cellStyle name="Normal 2 2 2 3 2 6 3 2 2" xfId="14035"/>
    <cellStyle name="Normal 2 2 2 3 2 6 3 2 2 10" xfId="14036"/>
    <cellStyle name="Normal 2 2 2 3 2 6 3 2 2 10 2" xfId="14037"/>
    <cellStyle name="Normal 2 2 2 3 2 6 3 2 2 11" xfId="14038"/>
    <cellStyle name="Normal 2 2 2 3 2 6 3 2 2 2" xfId="14039"/>
    <cellStyle name="Normal 2 2 2 3 2 6 3 2 2 2 2" xfId="14040"/>
    <cellStyle name="Normal 2 2 2 3 2 6 3 2 2 3" xfId="14041"/>
    <cellStyle name="Normal 2 2 2 3 2 6 3 2 2 3 2" xfId="14042"/>
    <cellStyle name="Normal 2 2 2 3 2 6 3 2 2 4" xfId="14043"/>
    <cellStyle name="Normal 2 2 2 3 2 6 3 2 2 4 2" xfId="14044"/>
    <cellStyle name="Normal 2 2 2 3 2 6 3 2 2 5" xfId="14045"/>
    <cellStyle name="Normal 2 2 2 3 2 6 3 2 2 5 2" xfId="14046"/>
    <cellStyle name="Normal 2 2 2 3 2 6 3 2 2 6" xfId="14047"/>
    <cellStyle name="Normal 2 2 2 3 2 6 3 2 2 6 2" xfId="14048"/>
    <cellStyle name="Normal 2 2 2 3 2 6 3 2 2 7" xfId="14049"/>
    <cellStyle name="Normal 2 2 2 3 2 6 3 2 2 7 2" xfId="14050"/>
    <cellStyle name="Normal 2 2 2 3 2 6 3 2 2 8" xfId="14051"/>
    <cellStyle name="Normal 2 2 2 3 2 6 3 2 2 8 2" xfId="14052"/>
    <cellStyle name="Normal 2 2 2 3 2 6 3 2 2 9" xfId="14053"/>
    <cellStyle name="Normal 2 2 2 3 2 6 3 2 2 9 2" xfId="14054"/>
    <cellStyle name="Normal 2 2 2 3 2 6 3 2 3" xfId="14055"/>
    <cellStyle name="Normal 2 2 2 3 2 6 3 2 3 2" xfId="14056"/>
    <cellStyle name="Normal 2 2 2 3 2 6 3 2 4" xfId="14057"/>
    <cellStyle name="Normal 2 2 2 3 2 6 3 2 4 2" xfId="14058"/>
    <cellStyle name="Normal 2 2 2 3 2 6 3 2 5" xfId="14059"/>
    <cellStyle name="Normal 2 2 2 3 2 6 3 2 5 2" xfId="14060"/>
    <cellStyle name="Normal 2 2 2 3 2 6 3 2 6" xfId="14061"/>
    <cellStyle name="Normal 2 2 2 3 2 6 3 2 6 2" xfId="14062"/>
    <cellStyle name="Normal 2 2 2 3 2 6 3 2 7" xfId="14063"/>
    <cellStyle name="Normal 2 2 2 3 2 6 3 2 7 2" xfId="14064"/>
    <cellStyle name="Normal 2 2 2 3 2 6 3 2 8" xfId="14065"/>
    <cellStyle name="Normal 2 2 2 3 2 6 3 2 8 2" xfId="14066"/>
    <cellStyle name="Normal 2 2 2 3 2 6 3 2 9" xfId="14067"/>
    <cellStyle name="Normal 2 2 2 3 2 6 3 2 9 2" xfId="14068"/>
    <cellStyle name="Normal 2 2 2 3 2 6 3 3" xfId="14069"/>
    <cellStyle name="Normal 2 2 2 3 2 6 3 3 10" xfId="14070"/>
    <cellStyle name="Normal 2 2 2 3 2 6 3 3 10 2" xfId="14071"/>
    <cellStyle name="Normal 2 2 2 3 2 6 3 3 11" xfId="14072"/>
    <cellStyle name="Normal 2 2 2 3 2 6 3 3 2" xfId="14073"/>
    <cellStyle name="Normal 2 2 2 3 2 6 3 3 2 2" xfId="14074"/>
    <cellStyle name="Normal 2 2 2 3 2 6 3 3 3" xfId="14075"/>
    <cellStyle name="Normal 2 2 2 3 2 6 3 3 3 2" xfId="14076"/>
    <cellStyle name="Normal 2 2 2 3 2 6 3 3 4" xfId="14077"/>
    <cellStyle name="Normal 2 2 2 3 2 6 3 3 4 2" xfId="14078"/>
    <cellStyle name="Normal 2 2 2 3 2 6 3 3 5" xfId="14079"/>
    <cellStyle name="Normal 2 2 2 3 2 6 3 3 5 2" xfId="14080"/>
    <cellStyle name="Normal 2 2 2 3 2 6 3 3 6" xfId="14081"/>
    <cellStyle name="Normal 2 2 2 3 2 6 3 3 6 2" xfId="14082"/>
    <cellStyle name="Normal 2 2 2 3 2 6 3 3 7" xfId="14083"/>
    <cellStyle name="Normal 2 2 2 3 2 6 3 3 7 2" xfId="14084"/>
    <cellStyle name="Normal 2 2 2 3 2 6 3 3 8" xfId="14085"/>
    <cellStyle name="Normal 2 2 2 3 2 6 3 3 8 2" xfId="14086"/>
    <cellStyle name="Normal 2 2 2 3 2 6 3 3 9" xfId="14087"/>
    <cellStyle name="Normal 2 2 2 3 2 6 3 3 9 2" xfId="14088"/>
    <cellStyle name="Normal 2 2 2 3 2 6 3 4" xfId="14089"/>
    <cellStyle name="Normal 2 2 2 3 2 6 3 4 2" xfId="14090"/>
    <cellStyle name="Normal 2 2 2 3 2 6 3 5" xfId="14091"/>
    <cellStyle name="Normal 2 2 2 3 2 6 3 5 2" xfId="14092"/>
    <cellStyle name="Normal 2 2 2 3 2 6 3 6" xfId="14093"/>
    <cellStyle name="Normal 2 2 2 3 2 6 3 6 2" xfId="14094"/>
    <cellStyle name="Normal 2 2 2 3 2 6 3 7" xfId="14095"/>
    <cellStyle name="Normal 2 2 2 3 2 6 3 7 2" xfId="14096"/>
    <cellStyle name="Normal 2 2 2 3 2 6 3 8" xfId="14097"/>
    <cellStyle name="Normal 2 2 2 3 2 6 3 8 2" xfId="14098"/>
    <cellStyle name="Normal 2 2 2 3 2 6 3 9" xfId="14099"/>
    <cellStyle name="Normal 2 2 2 3 2 6 3 9 2" xfId="14100"/>
    <cellStyle name="Normal 2 2 2 3 2 6 4" xfId="307"/>
    <cellStyle name="Normal 2 2 2 3 2 6 4 10" xfId="14101"/>
    <cellStyle name="Normal 2 2 2 3 2 6 4 10 2" xfId="14102"/>
    <cellStyle name="Normal 2 2 2 3 2 6 4 11" xfId="14103"/>
    <cellStyle name="Normal 2 2 2 3 2 6 4 11 2" xfId="14104"/>
    <cellStyle name="Normal 2 2 2 3 2 6 4 12" xfId="14105"/>
    <cellStyle name="Normal 2 2 2 3 2 6 4 12 2" xfId="14106"/>
    <cellStyle name="Normal 2 2 2 3 2 6 4 13" xfId="14107"/>
    <cellStyle name="Normal 2 2 2 3 2 6 4 2" xfId="14108"/>
    <cellStyle name="Normal 2 2 2 3 2 6 4 2 10" xfId="14109"/>
    <cellStyle name="Normal 2 2 2 3 2 6 4 2 10 2" xfId="14110"/>
    <cellStyle name="Normal 2 2 2 3 2 6 4 2 11" xfId="14111"/>
    <cellStyle name="Normal 2 2 2 3 2 6 4 2 11 2" xfId="14112"/>
    <cellStyle name="Normal 2 2 2 3 2 6 4 2 12" xfId="14113"/>
    <cellStyle name="Normal 2 2 2 3 2 6 4 2 2" xfId="14114"/>
    <cellStyle name="Normal 2 2 2 3 2 6 4 2 2 10" xfId="14115"/>
    <cellStyle name="Normal 2 2 2 3 2 6 4 2 2 10 2" xfId="14116"/>
    <cellStyle name="Normal 2 2 2 3 2 6 4 2 2 11" xfId="14117"/>
    <cellStyle name="Normal 2 2 2 3 2 6 4 2 2 2" xfId="14118"/>
    <cellStyle name="Normal 2 2 2 3 2 6 4 2 2 2 2" xfId="14119"/>
    <cellStyle name="Normal 2 2 2 3 2 6 4 2 2 3" xfId="14120"/>
    <cellStyle name="Normal 2 2 2 3 2 6 4 2 2 3 2" xfId="14121"/>
    <cellStyle name="Normal 2 2 2 3 2 6 4 2 2 4" xfId="14122"/>
    <cellStyle name="Normal 2 2 2 3 2 6 4 2 2 4 2" xfId="14123"/>
    <cellStyle name="Normal 2 2 2 3 2 6 4 2 2 5" xfId="14124"/>
    <cellStyle name="Normal 2 2 2 3 2 6 4 2 2 5 2" xfId="14125"/>
    <cellStyle name="Normal 2 2 2 3 2 6 4 2 2 6" xfId="14126"/>
    <cellStyle name="Normal 2 2 2 3 2 6 4 2 2 6 2" xfId="14127"/>
    <cellStyle name="Normal 2 2 2 3 2 6 4 2 2 7" xfId="14128"/>
    <cellStyle name="Normal 2 2 2 3 2 6 4 2 2 7 2" xfId="14129"/>
    <cellStyle name="Normal 2 2 2 3 2 6 4 2 2 8" xfId="14130"/>
    <cellStyle name="Normal 2 2 2 3 2 6 4 2 2 8 2" xfId="14131"/>
    <cellStyle name="Normal 2 2 2 3 2 6 4 2 2 9" xfId="14132"/>
    <cellStyle name="Normal 2 2 2 3 2 6 4 2 2 9 2" xfId="14133"/>
    <cellStyle name="Normal 2 2 2 3 2 6 4 2 3" xfId="14134"/>
    <cellStyle name="Normal 2 2 2 3 2 6 4 2 3 2" xfId="14135"/>
    <cellStyle name="Normal 2 2 2 3 2 6 4 2 4" xfId="14136"/>
    <cellStyle name="Normal 2 2 2 3 2 6 4 2 4 2" xfId="14137"/>
    <cellStyle name="Normal 2 2 2 3 2 6 4 2 5" xfId="14138"/>
    <cellStyle name="Normal 2 2 2 3 2 6 4 2 5 2" xfId="14139"/>
    <cellStyle name="Normal 2 2 2 3 2 6 4 2 6" xfId="14140"/>
    <cellStyle name="Normal 2 2 2 3 2 6 4 2 6 2" xfId="14141"/>
    <cellStyle name="Normal 2 2 2 3 2 6 4 2 7" xfId="14142"/>
    <cellStyle name="Normal 2 2 2 3 2 6 4 2 7 2" xfId="14143"/>
    <cellStyle name="Normal 2 2 2 3 2 6 4 2 8" xfId="14144"/>
    <cellStyle name="Normal 2 2 2 3 2 6 4 2 8 2" xfId="14145"/>
    <cellStyle name="Normal 2 2 2 3 2 6 4 2 9" xfId="14146"/>
    <cellStyle name="Normal 2 2 2 3 2 6 4 2 9 2" xfId="14147"/>
    <cellStyle name="Normal 2 2 2 3 2 6 4 3" xfId="14148"/>
    <cellStyle name="Normal 2 2 2 3 2 6 4 3 10" xfId="14149"/>
    <cellStyle name="Normal 2 2 2 3 2 6 4 3 10 2" xfId="14150"/>
    <cellStyle name="Normal 2 2 2 3 2 6 4 3 11" xfId="14151"/>
    <cellStyle name="Normal 2 2 2 3 2 6 4 3 2" xfId="14152"/>
    <cellStyle name="Normal 2 2 2 3 2 6 4 3 2 2" xfId="14153"/>
    <cellStyle name="Normal 2 2 2 3 2 6 4 3 3" xfId="14154"/>
    <cellStyle name="Normal 2 2 2 3 2 6 4 3 3 2" xfId="14155"/>
    <cellStyle name="Normal 2 2 2 3 2 6 4 3 4" xfId="14156"/>
    <cellStyle name="Normal 2 2 2 3 2 6 4 3 4 2" xfId="14157"/>
    <cellStyle name="Normal 2 2 2 3 2 6 4 3 5" xfId="14158"/>
    <cellStyle name="Normal 2 2 2 3 2 6 4 3 5 2" xfId="14159"/>
    <cellStyle name="Normal 2 2 2 3 2 6 4 3 6" xfId="14160"/>
    <cellStyle name="Normal 2 2 2 3 2 6 4 3 6 2" xfId="14161"/>
    <cellStyle name="Normal 2 2 2 3 2 6 4 3 7" xfId="14162"/>
    <cellStyle name="Normal 2 2 2 3 2 6 4 3 7 2" xfId="14163"/>
    <cellStyle name="Normal 2 2 2 3 2 6 4 3 8" xfId="14164"/>
    <cellStyle name="Normal 2 2 2 3 2 6 4 3 8 2" xfId="14165"/>
    <cellStyle name="Normal 2 2 2 3 2 6 4 3 9" xfId="14166"/>
    <cellStyle name="Normal 2 2 2 3 2 6 4 3 9 2" xfId="14167"/>
    <cellStyle name="Normal 2 2 2 3 2 6 4 4" xfId="14168"/>
    <cellStyle name="Normal 2 2 2 3 2 6 4 4 2" xfId="14169"/>
    <cellStyle name="Normal 2 2 2 3 2 6 4 5" xfId="14170"/>
    <cellStyle name="Normal 2 2 2 3 2 6 4 5 2" xfId="14171"/>
    <cellStyle name="Normal 2 2 2 3 2 6 4 6" xfId="14172"/>
    <cellStyle name="Normal 2 2 2 3 2 6 4 6 2" xfId="14173"/>
    <cellStyle name="Normal 2 2 2 3 2 6 4 7" xfId="14174"/>
    <cellStyle name="Normal 2 2 2 3 2 6 4 7 2" xfId="14175"/>
    <cellStyle name="Normal 2 2 2 3 2 6 4 8" xfId="14176"/>
    <cellStyle name="Normal 2 2 2 3 2 6 4 8 2" xfId="14177"/>
    <cellStyle name="Normal 2 2 2 3 2 6 4 9" xfId="14178"/>
    <cellStyle name="Normal 2 2 2 3 2 6 4 9 2" xfId="14179"/>
    <cellStyle name="Normal 2 2 2 3 2 6 5" xfId="308"/>
    <cellStyle name="Normal 2 2 2 3 2 6 5 10" xfId="14180"/>
    <cellStyle name="Normal 2 2 2 3 2 6 5 10 2" xfId="14181"/>
    <cellStyle name="Normal 2 2 2 3 2 6 5 11" xfId="14182"/>
    <cellStyle name="Normal 2 2 2 3 2 6 5 11 2" xfId="14183"/>
    <cellStyle name="Normal 2 2 2 3 2 6 5 12" xfId="14184"/>
    <cellStyle name="Normal 2 2 2 3 2 6 5 12 2" xfId="14185"/>
    <cellStyle name="Normal 2 2 2 3 2 6 5 13" xfId="14186"/>
    <cellStyle name="Normal 2 2 2 3 2 6 5 2" xfId="14187"/>
    <cellStyle name="Normal 2 2 2 3 2 6 5 2 10" xfId="14188"/>
    <cellStyle name="Normal 2 2 2 3 2 6 5 2 10 2" xfId="14189"/>
    <cellStyle name="Normal 2 2 2 3 2 6 5 2 11" xfId="14190"/>
    <cellStyle name="Normal 2 2 2 3 2 6 5 2 11 2" xfId="14191"/>
    <cellStyle name="Normal 2 2 2 3 2 6 5 2 12" xfId="14192"/>
    <cellStyle name="Normal 2 2 2 3 2 6 5 2 2" xfId="14193"/>
    <cellStyle name="Normal 2 2 2 3 2 6 5 2 2 10" xfId="14194"/>
    <cellStyle name="Normal 2 2 2 3 2 6 5 2 2 10 2" xfId="14195"/>
    <cellStyle name="Normal 2 2 2 3 2 6 5 2 2 11" xfId="14196"/>
    <cellStyle name="Normal 2 2 2 3 2 6 5 2 2 2" xfId="14197"/>
    <cellStyle name="Normal 2 2 2 3 2 6 5 2 2 2 2" xfId="14198"/>
    <cellStyle name="Normal 2 2 2 3 2 6 5 2 2 3" xfId="14199"/>
    <cellStyle name="Normal 2 2 2 3 2 6 5 2 2 3 2" xfId="14200"/>
    <cellStyle name="Normal 2 2 2 3 2 6 5 2 2 4" xfId="14201"/>
    <cellStyle name="Normal 2 2 2 3 2 6 5 2 2 4 2" xfId="14202"/>
    <cellStyle name="Normal 2 2 2 3 2 6 5 2 2 5" xfId="14203"/>
    <cellStyle name="Normal 2 2 2 3 2 6 5 2 2 5 2" xfId="14204"/>
    <cellStyle name="Normal 2 2 2 3 2 6 5 2 2 6" xfId="14205"/>
    <cellStyle name="Normal 2 2 2 3 2 6 5 2 2 6 2" xfId="14206"/>
    <cellStyle name="Normal 2 2 2 3 2 6 5 2 2 7" xfId="14207"/>
    <cellStyle name="Normal 2 2 2 3 2 6 5 2 2 7 2" xfId="14208"/>
    <cellStyle name="Normal 2 2 2 3 2 6 5 2 2 8" xfId="14209"/>
    <cellStyle name="Normal 2 2 2 3 2 6 5 2 2 8 2" xfId="14210"/>
    <cellStyle name="Normal 2 2 2 3 2 6 5 2 2 9" xfId="14211"/>
    <cellStyle name="Normal 2 2 2 3 2 6 5 2 2 9 2" xfId="14212"/>
    <cellStyle name="Normal 2 2 2 3 2 6 5 2 3" xfId="14213"/>
    <cellStyle name="Normal 2 2 2 3 2 6 5 2 3 2" xfId="14214"/>
    <cellStyle name="Normal 2 2 2 3 2 6 5 2 4" xfId="14215"/>
    <cellStyle name="Normal 2 2 2 3 2 6 5 2 4 2" xfId="14216"/>
    <cellStyle name="Normal 2 2 2 3 2 6 5 2 5" xfId="14217"/>
    <cellStyle name="Normal 2 2 2 3 2 6 5 2 5 2" xfId="14218"/>
    <cellStyle name="Normal 2 2 2 3 2 6 5 2 6" xfId="14219"/>
    <cellStyle name="Normal 2 2 2 3 2 6 5 2 6 2" xfId="14220"/>
    <cellStyle name="Normal 2 2 2 3 2 6 5 2 7" xfId="14221"/>
    <cellStyle name="Normal 2 2 2 3 2 6 5 2 7 2" xfId="14222"/>
    <cellStyle name="Normal 2 2 2 3 2 6 5 2 8" xfId="14223"/>
    <cellStyle name="Normal 2 2 2 3 2 6 5 2 8 2" xfId="14224"/>
    <cellStyle name="Normal 2 2 2 3 2 6 5 2 9" xfId="14225"/>
    <cellStyle name="Normal 2 2 2 3 2 6 5 2 9 2" xfId="14226"/>
    <cellStyle name="Normal 2 2 2 3 2 6 5 3" xfId="14227"/>
    <cellStyle name="Normal 2 2 2 3 2 6 5 3 10" xfId="14228"/>
    <cellStyle name="Normal 2 2 2 3 2 6 5 3 10 2" xfId="14229"/>
    <cellStyle name="Normal 2 2 2 3 2 6 5 3 11" xfId="14230"/>
    <cellStyle name="Normal 2 2 2 3 2 6 5 3 2" xfId="14231"/>
    <cellStyle name="Normal 2 2 2 3 2 6 5 3 2 2" xfId="14232"/>
    <cellStyle name="Normal 2 2 2 3 2 6 5 3 3" xfId="14233"/>
    <cellStyle name="Normal 2 2 2 3 2 6 5 3 3 2" xfId="14234"/>
    <cellStyle name="Normal 2 2 2 3 2 6 5 3 4" xfId="14235"/>
    <cellStyle name="Normal 2 2 2 3 2 6 5 3 4 2" xfId="14236"/>
    <cellStyle name="Normal 2 2 2 3 2 6 5 3 5" xfId="14237"/>
    <cellStyle name="Normal 2 2 2 3 2 6 5 3 5 2" xfId="14238"/>
    <cellStyle name="Normal 2 2 2 3 2 6 5 3 6" xfId="14239"/>
    <cellStyle name="Normal 2 2 2 3 2 6 5 3 6 2" xfId="14240"/>
    <cellStyle name="Normal 2 2 2 3 2 6 5 3 7" xfId="14241"/>
    <cellStyle name="Normal 2 2 2 3 2 6 5 3 7 2" xfId="14242"/>
    <cellStyle name="Normal 2 2 2 3 2 6 5 3 8" xfId="14243"/>
    <cellStyle name="Normal 2 2 2 3 2 6 5 3 8 2" xfId="14244"/>
    <cellStyle name="Normal 2 2 2 3 2 6 5 3 9" xfId="14245"/>
    <cellStyle name="Normal 2 2 2 3 2 6 5 3 9 2" xfId="14246"/>
    <cellStyle name="Normal 2 2 2 3 2 6 5 4" xfId="14247"/>
    <cellStyle name="Normal 2 2 2 3 2 6 5 4 2" xfId="14248"/>
    <cellStyle name="Normal 2 2 2 3 2 6 5 5" xfId="14249"/>
    <cellStyle name="Normal 2 2 2 3 2 6 5 5 2" xfId="14250"/>
    <cellStyle name="Normal 2 2 2 3 2 6 5 6" xfId="14251"/>
    <cellStyle name="Normal 2 2 2 3 2 6 5 6 2" xfId="14252"/>
    <cellStyle name="Normal 2 2 2 3 2 6 5 7" xfId="14253"/>
    <cellStyle name="Normal 2 2 2 3 2 6 5 7 2" xfId="14254"/>
    <cellStyle name="Normal 2 2 2 3 2 6 5 8" xfId="14255"/>
    <cellStyle name="Normal 2 2 2 3 2 6 5 8 2" xfId="14256"/>
    <cellStyle name="Normal 2 2 2 3 2 6 5 9" xfId="14257"/>
    <cellStyle name="Normal 2 2 2 3 2 6 5 9 2" xfId="14258"/>
    <cellStyle name="Normal 2 2 2 3 2 6 6" xfId="309"/>
    <cellStyle name="Normal 2 2 2 3 2 7" xfId="310"/>
    <cellStyle name="Normal 2 2 2 3 2 7 2" xfId="311"/>
    <cellStyle name="Normal 2 2 2 3 2 8" xfId="312"/>
    <cellStyle name="Normal 2 2 2 3 2 8 2" xfId="313"/>
    <cellStyle name="Normal 2 2 2 3 2 9" xfId="314"/>
    <cellStyle name="Normal 2 2 2 3 2 9 2" xfId="315"/>
    <cellStyle name="Normal 2 2 2 3 3" xfId="316"/>
    <cellStyle name="Normal 2 2 2 3 3 10" xfId="14259"/>
    <cellStyle name="Normal 2 2 2 3 3 10 2" xfId="14260"/>
    <cellStyle name="Normal 2 2 2 3 3 11" xfId="14261"/>
    <cellStyle name="Normal 2 2 2 3 3 11 2" xfId="14262"/>
    <cellStyle name="Normal 2 2 2 3 3 12" xfId="14263"/>
    <cellStyle name="Normal 2 2 2 3 3 12 2" xfId="14264"/>
    <cellStyle name="Normal 2 2 2 3 3 13" xfId="14265"/>
    <cellStyle name="Normal 2 2 2 3 3 13 2" xfId="14266"/>
    <cellStyle name="Normal 2 2 2 3 3 14" xfId="14267"/>
    <cellStyle name="Normal 2 2 2 3 3 14 2" xfId="14268"/>
    <cellStyle name="Normal 2 2 2 3 3 15" xfId="14269"/>
    <cellStyle name="Normal 2 2 2 3 3 15 2" xfId="14270"/>
    <cellStyle name="Normal 2 2 2 3 3 16" xfId="14271"/>
    <cellStyle name="Normal 2 2 2 3 3 16 2" xfId="14272"/>
    <cellStyle name="Normal 2 2 2 3 3 17" xfId="14273"/>
    <cellStyle name="Normal 2 2 2 3 3 17 2" xfId="14274"/>
    <cellStyle name="Normal 2 2 2 3 3 18" xfId="14275"/>
    <cellStyle name="Normal 2 2 2 3 3 2" xfId="317"/>
    <cellStyle name="Normal 2 2 2 3 3 2 2" xfId="318"/>
    <cellStyle name="Normal 2 2 2 3 3 2 2 10" xfId="14276"/>
    <cellStyle name="Normal 2 2 2 3 3 2 2 10 2" xfId="14277"/>
    <cellStyle name="Normal 2 2 2 3 3 2 2 11" xfId="14278"/>
    <cellStyle name="Normal 2 2 2 3 3 2 2 11 2" xfId="14279"/>
    <cellStyle name="Normal 2 2 2 3 3 2 2 12" xfId="14280"/>
    <cellStyle name="Normal 2 2 2 3 3 2 2 12 2" xfId="14281"/>
    <cellStyle name="Normal 2 2 2 3 3 2 2 13" xfId="14282"/>
    <cellStyle name="Normal 2 2 2 3 3 2 2 13 2" xfId="14283"/>
    <cellStyle name="Normal 2 2 2 3 3 2 2 14" xfId="14284"/>
    <cellStyle name="Normal 2 2 2 3 3 2 2 14 2" xfId="14285"/>
    <cellStyle name="Normal 2 2 2 3 3 2 2 15" xfId="14286"/>
    <cellStyle name="Normal 2 2 2 3 3 2 2 15 2" xfId="14287"/>
    <cellStyle name="Normal 2 2 2 3 3 2 2 16" xfId="14288"/>
    <cellStyle name="Normal 2 2 2 3 3 2 2 16 2" xfId="14289"/>
    <cellStyle name="Normal 2 2 2 3 3 2 2 17" xfId="14290"/>
    <cellStyle name="Normal 2 2 2 3 3 2 2 2" xfId="319"/>
    <cellStyle name="Normal 2 2 2 3 3 2 2 2 2" xfId="320"/>
    <cellStyle name="Normal 2 2 2 3 3 2 2 3" xfId="321"/>
    <cellStyle name="Normal 2 2 2 3 3 2 2 3 2" xfId="322"/>
    <cellStyle name="Normal 2 2 2 3 3 2 2 4" xfId="323"/>
    <cellStyle name="Normal 2 2 2 3 3 2 2 4 2" xfId="324"/>
    <cellStyle name="Normal 2 2 2 3 3 2 2 5" xfId="325"/>
    <cellStyle name="Normal 2 2 2 3 3 2 2 5 2" xfId="326"/>
    <cellStyle name="Normal 2 2 2 3 3 2 2 6" xfId="14291"/>
    <cellStyle name="Normal 2 2 2 3 3 2 2 6 10" xfId="14292"/>
    <cellStyle name="Normal 2 2 2 3 3 2 2 6 10 2" xfId="14293"/>
    <cellStyle name="Normal 2 2 2 3 3 2 2 6 11" xfId="14294"/>
    <cellStyle name="Normal 2 2 2 3 3 2 2 6 11 2" xfId="14295"/>
    <cellStyle name="Normal 2 2 2 3 3 2 2 6 12" xfId="14296"/>
    <cellStyle name="Normal 2 2 2 3 3 2 2 6 2" xfId="14297"/>
    <cellStyle name="Normal 2 2 2 3 3 2 2 6 2 10" xfId="14298"/>
    <cellStyle name="Normal 2 2 2 3 3 2 2 6 2 10 2" xfId="14299"/>
    <cellStyle name="Normal 2 2 2 3 3 2 2 6 2 11" xfId="14300"/>
    <cellStyle name="Normal 2 2 2 3 3 2 2 6 2 2" xfId="14301"/>
    <cellStyle name="Normal 2 2 2 3 3 2 2 6 2 2 2" xfId="14302"/>
    <cellStyle name="Normal 2 2 2 3 3 2 2 6 2 3" xfId="14303"/>
    <cellStyle name="Normal 2 2 2 3 3 2 2 6 2 3 2" xfId="14304"/>
    <cellStyle name="Normal 2 2 2 3 3 2 2 6 2 4" xfId="14305"/>
    <cellStyle name="Normal 2 2 2 3 3 2 2 6 2 4 2" xfId="14306"/>
    <cellStyle name="Normal 2 2 2 3 3 2 2 6 2 5" xfId="14307"/>
    <cellStyle name="Normal 2 2 2 3 3 2 2 6 2 5 2" xfId="14308"/>
    <cellStyle name="Normal 2 2 2 3 3 2 2 6 2 6" xfId="14309"/>
    <cellStyle name="Normal 2 2 2 3 3 2 2 6 2 6 2" xfId="14310"/>
    <cellStyle name="Normal 2 2 2 3 3 2 2 6 2 7" xfId="14311"/>
    <cellStyle name="Normal 2 2 2 3 3 2 2 6 2 7 2" xfId="14312"/>
    <cellStyle name="Normal 2 2 2 3 3 2 2 6 2 8" xfId="14313"/>
    <cellStyle name="Normal 2 2 2 3 3 2 2 6 2 8 2" xfId="14314"/>
    <cellStyle name="Normal 2 2 2 3 3 2 2 6 2 9" xfId="14315"/>
    <cellStyle name="Normal 2 2 2 3 3 2 2 6 2 9 2" xfId="14316"/>
    <cellStyle name="Normal 2 2 2 3 3 2 2 6 3" xfId="14317"/>
    <cellStyle name="Normal 2 2 2 3 3 2 2 6 3 2" xfId="14318"/>
    <cellStyle name="Normal 2 2 2 3 3 2 2 6 4" xfId="14319"/>
    <cellStyle name="Normal 2 2 2 3 3 2 2 6 4 2" xfId="14320"/>
    <cellStyle name="Normal 2 2 2 3 3 2 2 6 5" xfId="14321"/>
    <cellStyle name="Normal 2 2 2 3 3 2 2 6 5 2" xfId="14322"/>
    <cellStyle name="Normal 2 2 2 3 3 2 2 6 6" xfId="14323"/>
    <cellStyle name="Normal 2 2 2 3 3 2 2 6 6 2" xfId="14324"/>
    <cellStyle name="Normal 2 2 2 3 3 2 2 6 7" xfId="14325"/>
    <cellStyle name="Normal 2 2 2 3 3 2 2 6 7 2" xfId="14326"/>
    <cellStyle name="Normal 2 2 2 3 3 2 2 6 8" xfId="14327"/>
    <cellStyle name="Normal 2 2 2 3 3 2 2 6 8 2" xfId="14328"/>
    <cellStyle name="Normal 2 2 2 3 3 2 2 6 9" xfId="14329"/>
    <cellStyle name="Normal 2 2 2 3 3 2 2 6 9 2" xfId="14330"/>
    <cellStyle name="Normal 2 2 2 3 3 2 2 7" xfId="14331"/>
    <cellStyle name="Normal 2 2 2 3 3 2 2 7 10" xfId="14332"/>
    <cellStyle name="Normal 2 2 2 3 3 2 2 7 10 2" xfId="14333"/>
    <cellStyle name="Normal 2 2 2 3 3 2 2 7 11" xfId="14334"/>
    <cellStyle name="Normal 2 2 2 3 3 2 2 7 2" xfId="14335"/>
    <cellStyle name="Normal 2 2 2 3 3 2 2 7 2 2" xfId="14336"/>
    <cellStyle name="Normal 2 2 2 3 3 2 2 7 3" xfId="14337"/>
    <cellStyle name="Normal 2 2 2 3 3 2 2 7 3 2" xfId="14338"/>
    <cellStyle name="Normal 2 2 2 3 3 2 2 7 4" xfId="14339"/>
    <cellStyle name="Normal 2 2 2 3 3 2 2 7 4 2" xfId="14340"/>
    <cellStyle name="Normal 2 2 2 3 3 2 2 7 5" xfId="14341"/>
    <cellStyle name="Normal 2 2 2 3 3 2 2 7 5 2" xfId="14342"/>
    <cellStyle name="Normal 2 2 2 3 3 2 2 7 6" xfId="14343"/>
    <cellStyle name="Normal 2 2 2 3 3 2 2 7 6 2" xfId="14344"/>
    <cellStyle name="Normal 2 2 2 3 3 2 2 7 7" xfId="14345"/>
    <cellStyle name="Normal 2 2 2 3 3 2 2 7 7 2" xfId="14346"/>
    <cellStyle name="Normal 2 2 2 3 3 2 2 7 8" xfId="14347"/>
    <cellStyle name="Normal 2 2 2 3 3 2 2 7 8 2" xfId="14348"/>
    <cellStyle name="Normal 2 2 2 3 3 2 2 7 9" xfId="14349"/>
    <cellStyle name="Normal 2 2 2 3 3 2 2 7 9 2" xfId="14350"/>
    <cellStyle name="Normal 2 2 2 3 3 2 2 8" xfId="14351"/>
    <cellStyle name="Normal 2 2 2 3 3 2 2 8 2" xfId="14352"/>
    <cellStyle name="Normal 2 2 2 3 3 2 2 9" xfId="14353"/>
    <cellStyle name="Normal 2 2 2 3 3 2 2 9 2" xfId="14354"/>
    <cellStyle name="Normal 2 2 2 3 3 2 3" xfId="327"/>
    <cellStyle name="Normal 2 2 2 3 3 2 3 10" xfId="14355"/>
    <cellStyle name="Normal 2 2 2 3 3 2 3 10 2" xfId="14356"/>
    <cellStyle name="Normal 2 2 2 3 3 2 3 11" xfId="14357"/>
    <cellStyle name="Normal 2 2 2 3 3 2 3 11 2" xfId="14358"/>
    <cellStyle name="Normal 2 2 2 3 3 2 3 12" xfId="14359"/>
    <cellStyle name="Normal 2 2 2 3 3 2 3 12 2" xfId="14360"/>
    <cellStyle name="Normal 2 2 2 3 3 2 3 13" xfId="14361"/>
    <cellStyle name="Normal 2 2 2 3 3 2 3 2" xfId="14362"/>
    <cellStyle name="Normal 2 2 2 3 3 2 3 2 10" xfId="14363"/>
    <cellStyle name="Normal 2 2 2 3 3 2 3 2 10 2" xfId="14364"/>
    <cellStyle name="Normal 2 2 2 3 3 2 3 2 11" xfId="14365"/>
    <cellStyle name="Normal 2 2 2 3 3 2 3 2 11 2" xfId="14366"/>
    <cellStyle name="Normal 2 2 2 3 3 2 3 2 12" xfId="14367"/>
    <cellStyle name="Normal 2 2 2 3 3 2 3 2 2" xfId="14368"/>
    <cellStyle name="Normal 2 2 2 3 3 2 3 2 2 10" xfId="14369"/>
    <cellStyle name="Normal 2 2 2 3 3 2 3 2 2 10 2" xfId="14370"/>
    <cellStyle name="Normal 2 2 2 3 3 2 3 2 2 11" xfId="14371"/>
    <cellStyle name="Normal 2 2 2 3 3 2 3 2 2 2" xfId="14372"/>
    <cellStyle name="Normal 2 2 2 3 3 2 3 2 2 2 2" xfId="14373"/>
    <cellStyle name="Normal 2 2 2 3 3 2 3 2 2 3" xfId="14374"/>
    <cellStyle name="Normal 2 2 2 3 3 2 3 2 2 3 2" xfId="14375"/>
    <cellStyle name="Normal 2 2 2 3 3 2 3 2 2 4" xfId="14376"/>
    <cellStyle name="Normal 2 2 2 3 3 2 3 2 2 4 2" xfId="14377"/>
    <cellStyle name="Normal 2 2 2 3 3 2 3 2 2 5" xfId="14378"/>
    <cellStyle name="Normal 2 2 2 3 3 2 3 2 2 5 2" xfId="14379"/>
    <cellStyle name="Normal 2 2 2 3 3 2 3 2 2 6" xfId="14380"/>
    <cellStyle name="Normal 2 2 2 3 3 2 3 2 2 6 2" xfId="14381"/>
    <cellStyle name="Normal 2 2 2 3 3 2 3 2 2 7" xfId="14382"/>
    <cellStyle name="Normal 2 2 2 3 3 2 3 2 2 7 2" xfId="14383"/>
    <cellStyle name="Normal 2 2 2 3 3 2 3 2 2 8" xfId="14384"/>
    <cellStyle name="Normal 2 2 2 3 3 2 3 2 2 8 2" xfId="14385"/>
    <cellStyle name="Normal 2 2 2 3 3 2 3 2 2 9" xfId="14386"/>
    <cellStyle name="Normal 2 2 2 3 3 2 3 2 2 9 2" xfId="14387"/>
    <cellStyle name="Normal 2 2 2 3 3 2 3 2 3" xfId="14388"/>
    <cellStyle name="Normal 2 2 2 3 3 2 3 2 3 2" xfId="14389"/>
    <cellStyle name="Normal 2 2 2 3 3 2 3 2 4" xfId="14390"/>
    <cellStyle name="Normal 2 2 2 3 3 2 3 2 4 2" xfId="14391"/>
    <cellStyle name="Normal 2 2 2 3 3 2 3 2 5" xfId="14392"/>
    <cellStyle name="Normal 2 2 2 3 3 2 3 2 5 2" xfId="14393"/>
    <cellStyle name="Normal 2 2 2 3 3 2 3 2 6" xfId="14394"/>
    <cellStyle name="Normal 2 2 2 3 3 2 3 2 6 2" xfId="14395"/>
    <cellStyle name="Normal 2 2 2 3 3 2 3 2 7" xfId="14396"/>
    <cellStyle name="Normal 2 2 2 3 3 2 3 2 7 2" xfId="14397"/>
    <cellStyle name="Normal 2 2 2 3 3 2 3 2 8" xfId="14398"/>
    <cellStyle name="Normal 2 2 2 3 3 2 3 2 8 2" xfId="14399"/>
    <cellStyle name="Normal 2 2 2 3 3 2 3 2 9" xfId="14400"/>
    <cellStyle name="Normal 2 2 2 3 3 2 3 2 9 2" xfId="14401"/>
    <cellStyle name="Normal 2 2 2 3 3 2 3 3" xfId="14402"/>
    <cellStyle name="Normal 2 2 2 3 3 2 3 3 10" xfId="14403"/>
    <cellStyle name="Normal 2 2 2 3 3 2 3 3 10 2" xfId="14404"/>
    <cellStyle name="Normal 2 2 2 3 3 2 3 3 11" xfId="14405"/>
    <cellStyle name="Normal 2 2 2 3 3 2 3 3 2" xfId="14406"/>
    <cellStyle name="Normal 2 2 2 3 3 2 3 3 2 2" xfId="14407"/>
    <cellStyle name="Normal 2 2 2 3 3 2 3 3 3" xfId="14408"/>
    <cellStyle name="Normal 2 2 2 3 3 2 3 3 3 2" xfId="14409"/>
    <cellStyle name="Normal 2 2 2 3 3 2 3 3 4" xfId="14410"/>
    <cellStyle name="Normal 2 2 2 3 3 2 3 3 4 2" xfId="14411"/>
    <cellStyle name="Normal 2 2 2 3 3 2 3 3 5" xfId="14412"/>
    <cellStyle name="Normal 2 2 2 3 3 2 3 3 5 2" xfId="14413"/>
    <cellStyle name="Normal 2 2 2 3 3 2 3 3 6" xfId="14414"/>
    <cellStyle name="Normal 2 2 2 3 3 2 3 3 6 2" xfId="14415"/>
    <cellStyle name="Normal 2 2 2 3 3 2 3 3 7" xfId="14416"/>
    <cellStyle name="Normal 2 2 2 3 3 2 3 3 7 2" xfId="14417"/>
    <cellStyle name="Normal 2 2 2 3 3 2 3 3 8" xfId="14418"/>
    <cellStyle name="Normal 2 2 2 3 3 2 3 3 8 2" xfId="14419"/>
    <cellStyle name="Normal 2 2 2 3 3 2 3 3 9" xfId="14420"/>
    <cellStyle name="Normal 2 2 2 3 3 2 3 3 9 2" xfId="14421"/>
    <cellStyle name="Normal 2 2 2 3 3 2 3 4" xfId="14422"/>
    <cellStyle name="Normal 2 2 2 3 3 2 3 4 2" xfId="14423"/>
    <cellStyle name="Normal 2 2 2 3 3 2 3 5" xfId="14424"/>
    <cellStyle name="Normal 2 2 2 3 3 2 3 5 2" xfId="14425"/>
    <cellStyle name="Normal 2 2 2 3 3 2 3 6" xfId="14426"/>
    <cellStyle name="Normal 2 2 2 3 3 2 3 6 2" xfId="14427"/>
    <cellStyle name="Normal 2 2 2 3 3 2 3 7" xfId="14428"/>
    <cellStyle name="Normal 2 2 2 3 3 2 3 7 2" xfId="14429"/>
    <cellStyle name="Normal 2 2 2 3 3 2 3 8" xfId="14430"/>
    <cellStyle name="Normal 2 2 2 3 3 2 3 8 2" xfId="14431"/>
    <cellStyle name="Normal 2 2 2 3 3 2 3 9" xfId="14432"/>
    <cellStyle name="Normal 2 2 2 3 3 2 3 9 2" xfId="14433"/>
    <cellStyle name="Normal 2 2 2 3 3 2 4" xfId="328"/>
    <cellStyle name="Normal 2 2 2 3 3 2 4 10" xfId="14434"/>
    <cellStyle name="Normal 2 2 2 3 3 2 4 10 2" xfId="14435"/>
    <cellStyle name="Normal 2 2 2 3 3 2 4 11" xfId="14436"/>
    <cellStyle name="Normal 2 2 2 3 3 2 4 11 2" xfId="14437"/>
    <cellStyle name="Normal 2 2 2 3 3 2 4 12" xfId="14438"/>
    <cellStyle name="Normal 2 2 2 3 3 2 4 12 2" xfId="14439"/>
    <cellStyle name="Normal 2 2 2 3 3 2 4 13" xfId="14440"/>
    <cellStyle name="Normal 2 2 2 3 3 2 4 2" xfId="14441"/>
    <cellStyle name="Normal 2 2 2 3 3 2 4 2 10" xfId="14442"/>
    <cellStyle name="Normal 2 2 2 3 3 2 4 2 10 2" xfId="14443"/>
    <cellStyle name="Normal 2 2 2 3 3 2 4 2 11" xfId="14444"/>
    <cellStyle name="Normal 2 2 2 3 3 2 4 2 11 2" xfId="14445"/>
    <cellStyle name="Normal 2 2 2 3 3 2 4 2 12" xfId="14446"/>
    <cellStyle name="Normal 2 2 2 3 3 2 4 2 2" xfId="14447"/>
    <cellStyle name="Normal 2 2 2 3 3 2 4 2 2 10" xfId="14448"/>
    <cellStyle name="Normal 2 2 2 3 3 2 4 2 2 10 2" xfId="14449"/>
    <cellStyle name="Normal 2 2 2 3 3 2 4 2 2 11" xfId="14450"/>
    <cellStyle name="Normal 2 2 2 3 3 2 4 2 2 2" xfId="14451"/>
    <cellStyle name="Normal 2 2 2 3 3 2 4 2 2 2 2" xfId="14452"/>
    <cellStyle name="Normal 2 2 2 3 3 2 4 2 2 3" xfId="14453"/>
    <cellStyle name="Normal 2 2 2 3 3 2 4 2 2 3 2" xfId="14454"/>
    <cellStyle name="Normal 2 2 2 3 3 2 4 2 2 4" xfId="14455"/>
    <cellStyle name="Normal 2 2 2 3 3 2 4 2 2 4 2" xfId="14456"/>
    <cellStyle name="Normal 2 2 2 3 3 2 4 2 2 5" xfId="14457"/>
    <cellStyle name="Normal 2 2 2 3 3 2 4 2 2 5 2" xfId="14458"/>
    <cellStyle name="Normal 2 2 2 3 3 2 4 2 2 6" xfId="14459"/>
    <cellStyle name="Normal 2 2 2 3 3 2 4 2 2 6 2" xfId="14460"/>
    <cellStyle name="Normal 2 2 2 3 3 2 4 2 2 7" xfId="14461"/>
    <cellStyle name="Normal 2 2 2 3 3 2 4 2 2 7 2" xfId="14462"/>
    <cellStyle name="Normal 2 2 2 3 3 2 4 2 2 8" xfId="14463"/>
    <cellStyle name="Normal 2 2 2 3 3 2 4 2 2 8 2" xfId="14464"/>
    <cellStyle name="Normal 2 2 2 3 3 2 4 2 2 9" xfId="14465"/>
    <cellStyle name="Normal 2 2 2 3 3 2 4 2 2 9 2" xfId="14466"/>
    <cellStyle name="Normal 2 2 2 3 3 2 4 2 3" xfId="14467"/>
    <cellStyle name="Normal 2 2 2 3 3 2 4 2 3 2" xfId="14468"/>
    <cellStyle name="Normal 2 2 2 3 3 2 4 2 4" xfId="14469"/>
    <cellStyle name="Normal 2 2 2 3 3 2 4 2 4 2" xfId="14470"/>
    <cellStyle name="Normal 2 2 2 3 3 2 4 2 5" xfId="14471"/>
    <cellStyle name="Normal 2 2 2 3 3 2 4 2 5 2" xfId="14472"/>
    <cellStyle name="Normal 2 2 2 3 3 2 4 2 6" xfId="14473"/>
    <cellStyle name="Normal 2 2 2 3 3 2 4 2 6 2" xfId="14474"/>
    <cellStyle name="Normal 2 2 2 3 3 2 4 2 7" xfId="14475"/>
    <cellStyle name="Normal 2 2 2 3 3 2 4 2 7 2" xfId="14476"/>
    <cellStyle name="Normal 2 2 2 3 3 2 4 2 8" xfId="14477"/>
    <cellStyle name="Normal 2 2 2 3 3 2 4 2 8 2" xfId="14478"/>
    <cellStyle name="Normal 2 2 2 3 3 2 4 2 9" xfId="14479"/>
    <cellStyle name="Normal 2 2 2 3 3 2 4 2 9 2" xfId="14480"/>
    <cellStyle name="Normal 2 2 2 3 3 2 4 3" xfId="14481"/>
    <cellStyle name="Normal 2 2 2 3 3 2 4 3 10" xfId="14482"/>
    <cellStyle name="Normal 2 2 2 3 3 2 4 3 10 2" xfId="14483"/>
    <cellStyle name="Normal 2 2 2 3 3 2 4 3 11" xfId="14484"/>
    <cellStyle name="Normal 2 2 2 3 3 2 4 3 2" xfId="14485"/>
    <cellStyle name="Normal 2 2 2 3 3 2 4 3 2 2" xfId="14486"/>
    <cellStyle name="Normal 2 2 2 3 3 2 4 3 3" xfId="14487"/>
    <cellStyle name="Normal 2 2 2 3 3 2 4 3 3 2" xfId="14488"/>
    <cellStyle name="Normal 2 2 2 3 3 2 4 3 4" xfId="14489"/>
    <cellStyle name="Normal 2 2 2 3 3 2 4 3 4 2" xfId="14490"/>
    <cellStyle name="Normal 2 2 2 3 3 2 4 3 5" xfId="14491"/>
    <cellStyle name="Normal 2 2 2 3 3 2 4 3 5 2" xfId="14492"/>
    <cellStyle name="Normal 2 2 2 3 3 2 4 3 6" xfId="14493"/>
    <cellStyle name="Normal 2 2 2 3 3 2 4 3 6 2" xfId="14494"/>
    <cellStyle name="Normal 2 2 2 3 3 2 4 3 7" xfId="14495"/>
    <cellStyle name="Normal 2 2 2 3 3 2 4 3 7 2" xfId="14496"/>
    <cellStyle name="Normal 2 2 2 3 3 2 4 3 8" xfId="14497"/>
    <cellStyle name="Normal 2 2 2 3 3 2 4 3 8 2" xfId="14498"/>
    <cellStyle name="Normal 2 2 2 3 3 2 4 3 9" xfId="14499"/>
    <cellStyle name="Normal 2 2 2 3 3 2 4 3 9 2" xfId="14500"/>
    <cellStyle name="Normal 2 2 2 3 3 2 4 4" xfId="14501"/>
    <cellStyle name="Normal 2 2 2 3 3 2 4 4 2" xfId="14502"/>
    <cellStyle name="Normal 2 2 2 3 3 2 4 5" xfId="14503"/>
    <cellStyle name="Normal 2 2 2 3 3 2 4 5 2" xfId="14504"/>
    <cellStyle name="Normal 2 2 2 3 3 2 4 6" xfId="14505"/>
    <cellStyle name="Normal 2 2 2 3 3 2 4 6 2" xfId="14506"/>
    <cellStyle name="Normal 2 2 2 3 3 2 4 7" xfId="14507"/>
    <cellStyle name="Normal 2 2 2 3 3 2 4 7 2" xfId="14508"/>
    <cellStyle name="Normal 2 2 2 3 3 2 4 8" xfId="14509"/>
    <cellStyle name="Normal 2 2 2 3 3 2 4 8 2" xfId="14510"/>
    <cellStyle name="Normal 2 2 2 3 3 2 4 9" xfId="14511"/>
    <cellStyle name="Normal 2 2 2 3 3 2 4 9 2" xfId="14512"/>
    <cellStyle name="Normal 2 2 2 3 3 2 5" xfId="329"/>
    <cellStyle name="Normal 2 2 2 3 3 2 5 10" xfId="14513"/>
    <cellStyle name="Normal 2 2 2 3 3 2 5 10 2" xfId="14514"/>
    <cellStyle name="Normal 2 2 2 3 3 2 5 11" xfId="14515"/>
    <cellStyle name="Normal 2 2 2 3 3 2 5 11 2" xfId="14516"/>
    <cellStyle name="Normal 2 2 2 3 3 2 5 12" xfId="14517"/>
    <cellStyle name="Normal 2 2 2 3 3 2 5 12 2" xfId="14518"/>
    <cellStyle name="Normal 2 2 2 3 3 2 5 13" xfId="14519"/>
    <cellStyle name="Normal 2 2 2 3 3 2 5 2" xfId="14520"/>
    <cellStyle name="Normal 2 2 2 3 3 2 5 2 10" xfId="14521"/>
    <cellStyle name="Normal 2 2 2 3 3 2 5 2 10 2" xfId="14522"/>
    <cellStyle name="Normal 2 2 2 3 3 2 5 2 11" xfId="14523"/>
    <cellStyle name="Normal 2 2 2 3 3 2 5 2 11 2" xfId="14524"/>
    <cellStyle name="Normal 2 2 2 3 3 2 5 2 12" xfId="14525"/>
    <cellStyle name="Normal 2 2 2 3 3 2 5 2 2" xfId="14526"/>
    <cellStyle name="Normal 2 2 2 3 3 2 5 2 2 10" xfId="14527"/>
    <cellStyle name="Normal 2 2 2 3 3 2 5 2 2 10 2" xfId="14528"/>
    <cellStyle name="Normal 2 2 2 3 3 2 5 2 2 11" xfId="14529"/>
    <cellStyle name="Normal 2 2 2 3 3 2 5 2 2 2" xfId="14530"/>
    <cellStyle name="Normal 2 2 2 3 3 2 5 2 2 2 2" xfId="14531"/>
    <cellStyle name="Normal 2 2 2 3 3 2 5 2 2 3" xfId="14532"/>
    <cellStyle name="Normal 2 2 2 3 3 2 5 2 2 3 2" xfId="14533"/>
    <cellStyle name="Normal 2 2 2 3 3 2 5 2 2 4" xfId="14534"/>
    <cellStyle name="Normal 2 2 2 3 3 2 5 2 2 4 2" xfId="14535"/>
    <cellStyle name="Normal 2 2 2 3 3 2 5 2 2 5" xfId="14536"/>
    <cellStyle name="Normal 2 2 2 3 3 2 5 2 2 5 2" xfId="14537"/>
    <cellStyle name="Normal 2 2 2 3 3 2 5 2 2 6" xfId="14538"/>
    <cellStyle name="Normal 2 2 2 3 3 2 5 2 2 6 2" xfId="14539"/>
    <cellStyle name="Normal 2 2 2 3 3 2 5 2 2 7" xfId="14540"/>
    <cellStyle name="Normal 2 2 2 3 3 2 5 2 2 7 2" xfId="14541"/>
    <cellStyle name="Normal 2 2 2 3 3 2 5 2 2 8" xfId="14542"/>
    <cellStyle name="Normal 2 2 2 3 3 2 5 2 2 8 2" xfId="14543"/>
    <cellStyle name="Normal 2 2 2 3 3 2 5 2 2 9" xfId="14544"/>
    <cellStyle name="Normal 2 2 2 3 3 2 5 2 2 9 2" xfId="14545"/>
    <cellStyle name="Normal 2 2 2 3 3 2 5 2 3" xfId="14546"/>
    <cellStyle name="Normal 2 2 2 3 3 2 5 2 3 2" xfId="14547"/>
    <cellStyle name="Normal 2 2 2 3 3 2 5 2 4" xfId="14548"/>
    <cellStyle name="Normal 2 2 2 3 3 2 5 2 4 2" xfId="14549"/>
    <cellStyle name="Normal 2 2 2 3 3 2 5 2 5" xfId="14550"/>
    <cellStyle name="Normal 2 2 2 3 3 2 5 2 5 2" xfId="14551"/>
    <cellStyle name="Normal 2 2 2 3 3 2 5 2 6" xfId="14552"/>
    <cellStyle name="Normal 2 2 2 3 3 2 5 2 6 2" xfId="14553"/>
    <cellStyle name="Normal 2 2 2 3 3 2 5 2 7" xfId="14554"/>
    <cellStyle name="Normal 2 2 2 3 3 2 5 2 7 2" xfId="14555"/>
    <cellStyle name="Normal 2 2 2 3 3 2 5 2 8" xfId="14556"/>
    <cellStyle name="Normal 2 2 2 3 3 2 5 2 8 2" xfId="14557"/>
    <cellStyle name="Normal 2 2 2 3 3 2 5 2 9" xfId="14558"/>
    <cellStyle name="Normal 2 2 2 3 3 2 5 2 9 2" xfId="14559"/>
    <cellStyle name="Normal 2 2 2 3 3 2 5 3" xfId="14560"/>
    <cellStyle name="Normal 2 2 2 3 3 2 5 3 10" xfId="14561"/>
    <cellStyle name="Normal 2 2 2 3 3 2 5 3 10 2" xfId="14562"/>
    <cellStyle name="Normal 2 2 2 3 3 2 5 3 11" xfId="14563"/>
    <cellStyle name="Normal 2 2 2 3 3 2 5 3 2" xfId="14564"/>
    <cellStyle name="Normal 2 2 2 3 3 2 5 3 2 2" xfId="14565"/>
    <cellStyle name="Normal 2 2 2 3 3 2 5 3 3" xfId="14566"/>
    <cellStyle name="Normal 2 2 2 3 3 2 5 3 3 2" xfId="14567"/>
    <cellStyle name="Normal 2 2 2 3 3 2 5 3 4" xfId="14568"/>
    <cellStyle name="Normal 2 2 2 3 3 2 5 3 4 2" xfId="14569"/>
    <cellStyle name="Normal 2 2 2 3 3 2 5 3 5" xfId="14570"/>
    <cellStyle name="Normal 2 2 2 3 3 2 5 3 5 2" xfId="14571"/>
    <cellStyle name="Normal 2 2 2 3 3 2 5 3 6" xfId="14572"/>
    <cellStyle name="Normal 2 2 2 3 3 2 5 3 6 2" xfId="14573"/>
    <cellStyle name="Normal 2 2 2 3 3 2 5 3 7" xfId="14574"/>
    <cellStyle name="Normal 2 2 2 3 3 2 5 3 7 2" xfId="14575"/>
    <cellStyle name="Normal 2 2 2 3 3 2 5 3 8" xfId="14576"/>
    <cellStyle name="Normal 2 2 2 3 3 2 5 3 8 2" xfId="14577"/>
    <cellStyle name="Normal 2 2 2 3 3 2 5 3 9" xfId="14578"/>
    <cellStyle name="Normal 2 2 2 3 3 2 5 3 9 2" xfId="14579"/>
    <cellStyle name="Normal 2 2 2 3 3 2 5 4" xfId="14580"/>
    <cellStyle name="Normal 2 2 2 3 3 2 5 4 2" xfId="14581"/>
    <cellStyle name="Normal 2 2 2 3 3 2 5 5" xfId="14582"/>
    <cellStyle name="Normal 2 2 2 3 3 2 5 5 2" xfId="14583"/>
    <cellStyle name="Normal 2 2 2 3 3 2 5 6" xfId="14584"/>
    <cellStyle name="Normal 2 2 2 3 3 2 5 6 2" xfId="14585"/>
    <cellStyle name="Normal 2 2 2 3 3 2 5 7" xfId="14586"/>
    <cellStyle name="Normal 2 2 2 3 3 2 5 7 2" xfId="14587"/>
    <cellStyle name="Normal 2 2 2 3 3 2 5 8" xfId="14588"/>
    <cellStyle name="Normal 2 2 2 3 3 2 5 8 2" xfId="14589"/>
    <cellStyle name="Normal 2 2 2 3 3 2 5 9" xfId="14590"/>
    <cellStyle name="Normal 2 2 2 3 3 2 5 9 2" xfId="14591"/>
    <cellStyle name="Normal 2 2 2 3 3 2 6" xfId="330"/>
    <cellStyle name="Normal 2 2 2 3 3 3" xfId="331"/>
    <cellStyle name="Normal 2 2 2 3 3 3 2" xfId="332"/>
    <cellStyle name="Normal 2 2 2 3 3 4" xfId="333"/>
    <cellStyle name="Normal 2 2 2 3 3 4 2" xfId="334"/>
    <cellStyle name="Normal 2 2 2 3 3 5" xfId="335"/>
    <cellStyle name="Normal 2 2 2 3 3 5 2" xfId="336"/>
    <cellStyle name="Normal 2 2 2 3 3 6" xfId="337"/>
    <cellStyle name="Normal 2 2 2 3 3 6 2" xfId="338"/>
    <cellStyle name="Normal 2 2 2 3 3 7" xfId="14592"/>
    <cellStyle name="Normal 2 2 2 3 3 7 10" xfId="14593"/>
    <cellStyle name="Normal 2 2 2 3 3 7 10 2" xfId="14594"/>
    <cellStyle name="Normal 2 2 2 3 3 7 11" xfId="14595"/>
    <cellStyle name="Normal 2 2 2 3 3 7 11 2" xfId="14596"/>
    <cellStyle name="Normal 2 2 2 3 3 7 12" xfId="14597"/>
    <cellStyle name="Normal 2 2 2 3 3 7 2" xfId="14598"/>
    <cellStyle name="Normal 2 2 2 3 3 7 2 10" xfId="14599"/>
    <cellStyle name="Normal 2 2 2 3 3 7 2 10 2" xfId="14600"/>
    <cellStyle name="Normal 2 2 2 3 3 7 2 11" xfId="14601"/>
    <cellStyle name="Normal 2 2 2 3 3 7 2 2" xfId="14602"/>
    <cellStyle name="Normal 2 2 2 3 3 7 2 2 2" xfId="14603"/>
    <cellStyle name="Normal 2 2 2 3 3 7 2 3" xfId="14604"/>
    <cellStyle name="Normal 2 2 2 3 3 7 2 3 2" xfId="14605"/>
    <cellStyle name="Normal 2 2 2 3 3 7 2 4" xfId="14606"/>
    <cellStyle name="Normal 2 2 2 3 3 7 2 4 2" xfId="14607"/>
    <cellStyle name="Normal 2 2 2 3 3 7 2 5" xfId="14608"/>
    <cellStyle name="Normal 2 2 2 3 3 7 2 5 2" xfId="14609"/>
    <cellStyle name="Normal 2 2 2 3 3 7 2 6" xfId="14610"/>
    <cellStyle name="Normal 2 2 2 3 3 7 2 6 2" xfId="14611"/>
    <cellStyle name="Normal 2 2 2 3 3 7 2 7" xfId="14612"/>
    <cellStyle name="Normal 2 2 2 3 3 7 2 7 2" xfId="14613"/>
    <cellStyle name="Normal 2 2 2 3 3 7 2 8" xfId="14614"/>
    <cellStyle name="Normal 2 2 2 3 3 7 2 8 2" xfId="14615"/>
    <cellStyle name="Normal 2 2 2 3 3 7 2 9" xfId="14616"/>
    <cellStyle name="Normal 2 2 2 3 3 7 2 9 2" xfId="14617"/>
    <cellStyle name="Normal 2 2 2 3 3 7 3" xfId="14618"/>
    <cellStyle name="Normal 2 2 2 3 3 7 3 2" xfId="14619"/>
    <cellStyle name="Normal 2 2 2 3 3 7 4" xfId="14620"/>
    <cellStyle name="Normal 2 2 2 3 3 7 4 2" xfId="14621"/>
    <cellStyle name="Normal 2 2 2 3 3 7 5" xfId="14622"/>
    <cellStyle name="Normal 2 2 2 3 3 7 5 2" xfId="14623"/>
    <cellStyle name="Normal 2 2 2 3 3 7 6" xfId="14624"/>
    <cellStyle name="Normal 2 2 2 3 3 7 6 2" xfId="14625"/>
    <cellStyle name="Normal 2 2 2 3 3 7 7" xfId="14626"/>
    <cellStyle name="Normal 2 2 2 3 3 7 7 2" xfId="14627"/>
    <cellStyle name="Normal 2 2 2 3 3 7 8" xfId="14628"/>
    <cellStyle name="Normal 2 2 2 3 3 7 8 2" xfId="14629"/>
    <cellStyle name="Normal 2 2 2 3 3 7 9" xfId="14630"/>
    <cellStyle name="Normal 2 2 2 3 3 7 9 2" xfId="14631"/>
    <cellStyle name="Normal 2 2 2 3 3 8" xfId="14632"/>
    <cellStyle name="Normal 2 2 2 3 3 8 10" xfId="14633"/>
    <cellStyle name="Normal 2 2 2 3 3 8 10 2" xfId="14634"/>
    <cellStyle name="Normal 2 2 2 3 3 8 11" xfId="14635"/>
    <cellStyle name="Normal 2 2 2 3 3 8 2" xfId="14636"/>
    <cellStyle name="Normal 2 2 2 3 3 8 2 2" xfId="14637"/>
    <cellStyle name="Normal 2 2 2 3 3 8 3" xfId="14638"/>
    <cellStyle name="Normal 2 2 2 3 3 8 3 2" xfId="14639"/>
    <cellStyle name="Normal 2 2 2 3 3 8 4" xfId="14640"/>
    <cellStyle name="Normal 2 2 2 3 3 8 4 2" xfId="14641"/>
    <cellStyle name="Normal 2 2 2 3 3 8 5" xfId="14642"/>
    <cellStyle name="Normal 2 2 2 3 3 8 5 2" xfId="14643"/>
    <cellStyle name="Normal 2 2 2 3 3 8 6" xfId="14644"/>
    <cellStyle name="Normal 2 2 2 3 3 8 6 2" xfId="14645"/>
    <cellStyle name="Normal 2 2 2 3 3 8 7" xfId="14646"/>
    <cellStyle name="Normal 2 2 2 3 3 8 7 2" xfId="14647"/>
    <cellStyle name="Normal 2 2 2 3 3 8 8" xfId="14648"/>
    <cellStyle name="Normal 2 2 2 3 3 8 8 2" xfId="14649"/>
    <cellStyle name="Normal 2 2 2 3 3 8 9" xfId="14650"/>
    <cellStyle name="Normal 2 2 2 3 3 8 9 2" xfId="14651"/>
    <cellStyle name="Normal 2 2 2 3 3 9" xfId="14652"/>
    <cellStyle name="Normal 2 2 2 3 3 9 2" xfId="14653"/>
    <cellStyle name="Normal 2 2 2 3 4" xfId="339"/>
    <cellStyle name="Normal 2 2 2 3 4 2" xfId="340"/>
    <cellStyle name="Normal 2 2 2 3 5" xfId="341"/>
    <cellStyle name="Normal 2 2 2 3 5 2" xfId="342"/>
    <cellStyle name="Normal 2 2 2 3 6" xfId="343"/>
    <cellStyle name="Normal 2 2 2 3 6 10" xfId="14654"/>
    <cellStyle name="Normal 2 2 2 3 6 10 2" xfId="14655"/>
    <cellStyle name="Normal 2 2 2 3 6 11" xfId="14656"/>
    <cellStyle name="Normal 2 2 2 3 6 11 2" xfId="14657"/>
    <cellStyle name="Normal 2 2 2 3 6 12" xfId="14658"/>
    <cellStyle name="Normal 2 2 2 3 6 12 2" xfId="14659"/>
    <cellStyle name="Normal 2 2 2 3 6 13" xfId="14660"/>
    <cellStyle name="Normal 2 2 2 3 6 13 2" xfId="14661"/>
    <cellStyle name="Normal 2 2 2 3 6 14" xfId="14662"/>
    <cellStyle name="Normal 2 2 2 3 6 14 2" xfId="14663"/>
    <cellStyle name="Normal 2 2 2 3 6 15" xfId="14664"/>
    <cellStyle name="Normal 2 2 2 3 6 15 2" xfId="14665"/>
    <cellStyle name="Normal 2 2 2 3 6 16" xfId="14666"/>
    <cellStyle name="Normal 2 2 2 3 6 16 2" xfId="14667"/>
    <cellStyle name="Normal 2 2 2 3 6 17" xfId="14668"/>
    <cellStyle name="Normal 2 2 2 3 6 2" xfId="344"/>
    <cellStyle name="Normal 2 2 2 3 6 2 2" xfId="345"/>
    <cellStyle name="Normal 2 2 2 3 6 3" xfId="346"/>
    <cellStyle name="Normal 2 2 2 3 6 3 2" xfId="347"/>
    <cellStyle name="Normal 2 2 2 3 6 4" xfId="348"/>
    <cellStyle name="Normal 2 2 2 3 6 4 2" xfId="349"/>
    <cellStyle name="Normal 2 2 2 3 6 5" xfId="350"/>
    <cellStyle name="Normal 2 2 2 3 6 5 2" xfId="351"/>
    <cellStyle name="Normal 2 2 2 3 6 6" xfId="14669"/>
    <cellStyle name="Normal 2 2 2 3 6 6 10" xfId="14670"/>
    <cellStyle name="Normal 2 2 2 3 6 6 10 2" xfId="14671"/>
    <cellStyle name="Normal 2 2 2 3 6 6 11" xfId="14672"/>
    <cellStyle name="Normal 2 2 2 3 6 6 11 2" xfId="14673"/>
    <cellStyle name="Normal 2 2 2 3 6 6 12" xfId="14674"/>
    <cellStyle name="Normal 2 2 2 3 6 6 2" xfId="14675"/>
    <cellStyle name="Normal 2 2 2 3 6 6 2 10" xfId="14676"/>
    <cellStyle name="Normal 2 2 2 3 6 6 2 10 2" xfId="14677"/>
    <cellStyle name="Normal 2 2 2 3 6 6 2 11" xfId="14678"/>
    <cellStyle name="Normal 2 2 2 3 6 6 2 2" xfId="14679"/>
    <cellStyle name="Normal 2 2 2 3 6 6 2 2 2" xfId="14680"/>
    <cellStyle name="Normal 2 2 2 3 6 6 2 3" xfId="14681"/>
    <cellStyle name="Normal 2 2 2 3 6 6 2 3 2" xfId="14682"/>
    <cellStyle name="Normal 2 2 2 3 6 6 2 4" xfId="14683"/>
    <cellStyle name="Normal 2 2 2 3 6 6 2 4 2" xfId="14684"/>
    <cellStyle name="Normal 2 2 2 3 6 6 2 5" xfId="14685"/>
    <cellStyle name="Normal 2 2 2 3 6 6 2 5 2" xfId="14686"/>
    <cellStyle name="Normal 2 2 2 3 6 6 2 6" xfId="14687"/>
    <cellStyle name="Normal 2 2 2 3 6 6 2 6 2" xfId="14688"/>
    <cellStyle name="Normal 2 2 2 3 6 6 2 7" xfId="14689"/>
    <cellStyle name="Normal 2 2 2 3 6 6 2 7 2" xfId="14690"/>
    <cellStyle name="Normal 2 2 2 3 6 6 2 8" xfId="14691"/>
    <cellStyle name="Normal 2 2 2 3 6 6 2 8 2" xfId="14692"/>
    <cellStyle name="Normal 2 2 2 3 6 6 2 9" xfId="14693"/>
    <cellStyle name="Normal 2 2 2 3 6 6 2 9 2" xfId="14694"/>
    <cellStyle name="Normal 2 2 2 3 6 6 3" xfId="14695"/>
    <cellStyle name="Normal 2 2 2 3 6 6 3 2" xfId="14696"/>
    <cellStyle name="Normal 2 2 2 3 6 6 4" xfId="14697"/>
    <cellStyle name="Normal 2 2 2 3 6 6 4 2" xfId="14698"/>
    <cellStyle name="Normal 2 2 2 3 6 6 5" xfId="14699"/>
    <cellStyle name="Normal 2 2 2 3 6 6 5 2" xfId="14700"/>
    <cellStyle name="Normal 2 2 2 3 6 6 6" xfId="14701"/>
    <cellStyle name="Normal 2 2 2 3 6 6 6 2" xfId="14702"/>
    <cellStyle name="Normal 2 2 2 3 6 6 7" xfId="14703"/>
    <cellStyle name="Normal 2 2 2 3 6 6 7 2" xfId="14704"/>
    <cellStyle name="Normal 2 2 2 3 6 6 8" xfId="14705"/>
    <cellStyle name="Normal 2 2 2 3 6 6 8 2" xfId="14706"/>
    <cellStyle name="Normal 2 2 2 3 6 6 9" xfId="14707"/>
    <cellStyle name="Normal 2 2 2 3 6 6 9 2" xfId="14708"/>
    <cellStyle name="Normal 2 2 2 3 6 7" xfId="14709"/>
    <cellStyle name="Normal 2 2 2 3 6 7 10" xfId="14710"/>
    <cellStyle name="Normal 2 2 2 3 6 7 10 2" xfId="14711"/>
    <cellStyle name="Normal 2 2 2 3 6 7 11" xfId="14712"/>
    <cellStyle name="Normal 2 2 2 3 6 7 2" xfId="14713"/>
    <cellStyle name="Normal 2 2 2 3 6 7 2 2" xfId="14714"/>
    <cellStyle name="Normal 2 2 2 3 6 7 3" xfId="14715"/>
    <cellStyle name="Normal 2 2 2 3 6 7 3 2" xfId="14716"/>
    <cellStyle name="Normal 2 2 2 3 6 7 4" xfId="14717"/>
    <cellStyle name="Normal 2 2 2 3 6 7 4 2" xfId="14718"/>
    <cellStyle name="Normal 2 2 2 3 6 7 5" xfId="14719"/>
    <cellStyle name="Normal 2 2 2 3 6 7 5 2" xfId="14720"/>
    <cellStyle name="Normal 2 2 2 3 6 7 6" xfId="14721"/>
    <cellStyle name="Normal 2 2 2 3 6 7 6 2" xfId="14722"/>
    <cellStyle name="Normal 2 2 2 3 6 7 7" xfId="14723"/>
    <cellStyle name="Normal 2 2 2 3 6 7 7 2" xfId="14724"/>
    <cellStyle name="Normal 2 2 2 3 6 7 8" xfId="14725"/>
    <cellStyle name="Normal 2 2 2 3 6 7 8 2" xfId="14726"/>
    <cellStyle name="Normal 2 2 2 3 6 7 9" xfId="14727"/>
    <cellStyle name="Normal 2 2 2 3 6 7 9 2" xfId="14728"/>
    <cellStyle name="Normal 2 2 2 3 6 8" xfId="14729"/>
    <cellStyle name="Normal 2 2 2 3 6 8 2" xfId="14730"/>
    <cellStyle name="Normal 2 2 2 3 6 9" xfId="14731"/>
    <cellStyle name="Normal 2 2 2 3 6 9 2" xfId="14732"/>
    <cellStyle name="Normal 2 2 2 3 7" xfId="352"/>
    <cellStyle name="Normal 2 2 2 3 7 10" xfId="14733"/>
    <cellStyle name="Normal 2 2 2 3 7 10 2" xfId="14734"/>
    <cellStyle name="Normal 2 2 2 3 7 11" xfId="14735"/>
    <cellStyle name="Normal 2 2 2 3 7 11 2" xfId="14736"/>
    <cellStyle name="Normal 2 2 2 3 7 12" xfId="14737"/>
    <cellStyle name="Normal 2 2 2 3 7 12 2" xfId="14738"/>
    <cellStyle name="Normal 2 2 2 3 7 13" xfId="14739"/>
    <cellStyle name="Normal 2 2 2 3 7 2" xfId="14740"/>
    <cellStyle name="Normal 2 2 2 3 7 2 10" xfId="14741"/>
    <cellStyle name="Normal 2 2 2 3 7 2 10 2" xfId="14742"/>
    <cellStyle name="Normal 2 2 2 3 7 2 11" xfId="14743"/>
    <cellStyle name="Normal 2 2 2 3 7 2 11 2" xfId="14744"/>
    <cellStyle name="Normal 2 2 2 3 7 2 12" xfId="14745"/>
    <cellStyle name="Normal 2 2 2 3 7 2 2" xfId="14746"/>
    <cellStyle name="Normal 2 2 2 3 7 2 2 10" xfId="14747"/>
    <cellStyle name="Normal 2 2 2 3 7 2 2 10 2" xfId="14748"/>
    <cellStyle name="Normal 2 2 2 3 7 2 2 11" xfId="14749"/>
    <cellStyle name="Normal 2 2 2 3 7 2 2 2" xfId="14750"/>
    <cellStyle name="Normal 2 2 2 3 7 2 2 2 2" xfId="14751"/>
    <cellStyle name="Normal 2 2 2 3 7 2 2 3" xfId="14752"/>
    <cellStyle name="Normal 2 2 2 3 7 2 2 3 2" xfId="14753"/>
    <cellStyle name="Normal 2 2 2 3 7 2 2 4" xfId="14754"/>
    <cellStyle name="Normal 2 2 2 3 7 2 2 4 2" xfId="14755"/>
    <cellStyle name="Normal 2 2 2 3 7 2 2 5" xfId="14756"/>
    <cellStyle name="Normal 2 2 2 3 7 2 2 5 2" xfId="14757"/>
    <cellStyle name="Normal 2 2 2 3 7 2 2 6" xfId="14758"/>
    <cellStyle name="Normal 2 2 2 3 7 2 2 6 2" xfId="14759"/>
    <cellStyle name="Normal 2 2 2 3 7 2 2 7" xfId="14760"/>
    <cellStyle name="Normal 2 2 2 3 7 2 2 7 2" xfId="14761"/>
    <cellStyle name="Normal 2 2 2 3 7 2 2 8" xfId="14762"/>
    <cellStyle name="Normal 2 2 2 3 7 2 2 8 2" xfId="14763"/>
    <cellStyle name="Normal 2 2 2 3 7 2 2 9" xfId="14764"/>
    <cellStyle name="Normal 2 2 2 3 7 2 2 9 2" xfId="14765"/>
    <cellStyle name="Normal 2 2 2 3 7 2 3" xfId="14766"/>
    <cellStyle name="Normal 2 2 2 3 7 2 3 2" xfId="14767"/>
    <cellStyle name="Normal 2 2 2 3 7 2 4" xfId="14768"/>
    <cellStyle name="Normal 2 2 2 3 7 2 4 2" xfId="14769"/>
    <cellStyle name="Normal 2 2 2 3 7 2 5" xfId="14770"/>
    <cellStyle name="Normal 2 2 2 3 7 2 5 2" xfId="14771"/>
    <cellStyle name="Normal 2 2 2 3 7 2 6" xfId="14772"/>
    <cellStyle name="Normal 2 2 2 3 7 2 6 2" xfId="14773"/>
    <cellStyle name="Normal 2 2 2 3 7 2 7" xfId="14774"/>
    <cellStyle name="Normal 2 2 2 3 7 2 7 2" xfId="14775"/>
    <cellStyle name="Normal 2 2 2 3 7 2 8" xfId="14776"/>
    <cellStyle name="Normal 2 2 2 3 7 2 8 2" xfId="14777"/>
    <cellStyle name="Normal 2 2 2 3 7 2 9" xfId="14778"/>
    <cellStyle name="Normal 2 2 2 3 7 2 9 2" xfId="14779"/>
    <cellStyle name="Normal 2 2 2 3 7 3" xfId="14780"/>
    <cellStyle name="Normal 2 2 2 3 7 3 10" xfId="14781"/>
    <cellStyle name="Normal 2 2 2 3 7 3 10 2" xfId="14782"/>
    <cellStyle name="Normal 2 2 2 3 7 3 11" xfId="14783"/>
    <cellStyle name="Normal 2 2 2 3 7 3 2" xfId="14784"/>
    <cellStyle name="Normal 2 2 2 3 7 3 2 2" xfId="14785"/>
    <cellStyle name="Normal 2 2 2 3 7 3 3" xfId="14786"/>
    <cellStyle name="Normal 2 2 2 3 7 3 3 2" xfId="14787"/>
    <cellStyle name="Normal 2 2 2 3 7 3 4" xfId="14788"/>
    <cellStyle name="Normal 2 2 2 3 7 3 4 2" xfId="14789"/>
    <cellStyle name="Normal 2 2 2 3 7 3 5" xfId="14790"/>
    <cellStyle name="Normal 2 2 2 3 7 3 5 2" xfId="14791"/>
    <cellStyle name="Normal 2 2 2 3 7 3 6" xfId="14792"/>
    <cellStyle name="Normal 2 2 2 3 7 3 6 2" xfId="14793"/>
    <cellStyle name="Normal 2 2 2 3 7 3 7" xfId="14794"/>
    <cellStyle name="Normal 2 2 2 3 7 3 7 2" xfId="14795"/>
    <cellStyle name="Normal 2 2 2 3 7 3 8" xfId="14796"/>
    <cellStyle name="Normal 2 2 2 3 7 3 8 2" xfId="14797"/>
    <cellStyle name="Normal 2 2 2 3 7 3 9" xfId="14798"/>
    <cellStyle name="Normal 2 2 2 3 7 3 9 2" xfId="14799"/>
    <cellStyle name="Normal 2 2 2 3 7 4" xfId="14800"/>
    <cellStyle name="Normal 2 2 2 3 7 4 2" xfId="14801"/>
    <cellStyle name="Normal 2 2 2 3 7 5" xfId="14802"/>
    <cellStyle name="Normal 2 2 2 3 7 5 2" xfId="14803"/>
    <cellStyle name="Normal 2 2 2 3 7 6" xfId="14804"/>
    <cellStyle name="Normal 2 2 2 3 7 6 2" xfId="14805"/>
    <cellStyle name="Normal 2 2 2 3 7 7" xfId="14806"/>
    <cellStyle name="Normal 2 2 2 3 7 7 2" xfId="14807"/>
    <cellStyle name="Normal 2 2 2 3 7 8" xfId="14808"/>
    <cellStyle name="Normal 2 2 2 3 7 8 2" xfId="14809"/>
    <cellStyle name="Normal 2 2 2 3 7 9" xfId="14810"/>
    <cellStyle name="Normal 2 2 2 3 7 9 2" xfId="14811"/>
    <cellStyle name="Normal 2 2 2 3 8" xfId="353"/>
    <cellStyle name="Normal 2 2 2 3 8 10" xfId="14812"/>
    <cellStyle name="Normal 2 2 2 3 8 10 2" xfId="14813"/>
    <cellStyle name="Normal 2 2 2 3 8 11" xfId="14814"/>
    <cellStyle name="Normal 2 2 2 3 8 11 2" xfId="14815"/>
    <cellStyle name="Normal 2 2 2 3 8 12" xfId="14816"/>
    <cellStyle name="Normal 2 2 2 3 8 12 2" xfId="14817"/>
    <cellStyle name="Normal 2 2 2 3 8 13" xfId="14818"/>
    <cellStyle name="Normal 2 2 2 3 8 2" xfId="14819"/>
    <cellStyle name="Normal 2 2 2 3 8 2 10" xfId="14820"/>
    <cellStyle name="Normal 2 2 2 3 8 2 10 2" xfId="14821"/>
    <cellStyle name="Normal 2 2 2 3 8 2 11" xfId="14822"/>
    <cellStyle name="Normal 2 2 2 3 8 2 11 2" xfId="14823"/>
    <cellStyle name="Normal 2 2 2 3 8 2 12" xfId="14824"/>
    <cellStyle name="Normal 2 2 2 3 8 2 2" xfId="14825"/>
    <cellStyle name="Normal 2 2 2 3 8 2 2 10" xfId="14826"/>
    <cellStyle name="Normal 2 2 2 3 8 2 2 10 2" xfId="14827"/>
    <cellStyle name="Normal 2 2 2 3 8 2 2 11" xfId="14828"/>
    <cellStyle name="Normal 2 2 2 3 8 2 2 2" xfId="14829"/>
    <cellStyle name="Normal 2 2 2 3 8 2 2 2 2" xfId="14830"/>
    <cellStyle name="Normal 2 2 2 3 8 2 2 3" xfId="14831"/>
    <cellStyle name="Normal 2 2 2 3 8 2 2 3 2" xfId="14832"/>
    <cellStyle name="Normal 2 2 2 3 8 2 2 4" xfId="14833"/>
    <cellStyle name="Normal 2 2 2 3 8 2 2 4 2" xfId="14834"/>
    <cellStyle name="Normal 2 2 2 3 8 2 2 5" xfId="14835"/>
    <cellStyle name="Normal 2 2 2 3 8 2 2 5 2" xfId="14836"/>
    <cellStyle name="Normal 2 2 2 3 8 2 2 6" xfId="14837"/>
    <cellStyle name="Normal 2 2 2 3 8 2 2 6 2" xfId="14838"/>
    <cellStyle name="Normal 2 2 2 3 8 2 2 7" xfId="14839"/>
    <cellStyle name="Normal 2 2 2 3 8 2 2 7 2" xfId="14840"/>
    <cellStyle name="Normal 2 2 2 3 8 2 2 8" xfId="14841"/>
    <cellStyle name="Normal 2 2 2 3 8 2 2 8 2" xfId="14842"/>
    <cellStyle name="Normal 2 2 2 3 8 2 2 9" xfId="14843"/>
    <cellStyle name="Normal 2 2 2 3 8 2 2 9 2" xfId="14844"/>
    <cellStyle name="Normal 2 2 2 3 8 2 3" xfId="14845"/>
    <cellStyle name="Normal 2 2 2 3 8 2 3 2" xfId="14846"/>
    <cellStyle name="Normal 2 2 2 3 8 2 4" xfId="14847"/>
    <cellStyle name="Normal 2 2 2 3 8 2 4 2" xfId="14848"/>
    <cellStyle name="Normal 2 2 2 3 8 2 5" xfId="14849"/>
    <cellStyle name="Normal 2 2 2 3 8 2 5 2" xfId="14850"/>
    <cellStyle name="Normal 2 2 2 3 8 2 6" xfId="14851"/>
    <cellStyle name="Normal 2 2 2 3 8 2 6 2" xfId="14852"/>
    <cellStyle name="Normal 2 2 2 3 8 2 7" xfId="14853"/>
    <cellStyle name="Normal 2 2 2 3 8 2 7 2" xfId="14854"/>
    <cellStyle name="Normal 2 2 2 3 8 2 8" xfId="14855"/>
    <cellStyle name="Normal 2 2 2 3 8 2 8 2" xfId="14856"/>
    <cellStyle name="Normal 2 2 2 3 8 2 9" xfId="14857"/>
    <cellStyle name="Normal 2 2 2 3 8 2 9 2" xfId="14858"/>
    <cellStyle name="Normal 2 2 2 3 8 3" xfId="14859"/>
    <cellStyle name="Normal 2 2 2 3 8 3 10" xfId="14860"/>
    <cellStyle name="Normal 2 2 2 3 8 3 10 2" xfId="14861"/>
    <cellStyle name="Normal 2 2 2 3 8 3 11" xfId="14862"/>
    <cellStyle name="Normal 2 2 2 3 8 3 2" xfId="14863"/>
    <cellStyle name="Normal 2 2 2 3 8 3 2 2" xfId="14864"/>
    <cellStyle name="Normal 2 2 2 3 8 3 3" xfId="14865"/>
    <cellStyle name="Normal 2 2 2 3 8 3 3 2" xfId="14866"/>
    <cellStyle name="Normal 2 2 2 3 8 3 4" xfId="14867"/>
    <cellStyle name="Normal 2 2 2 3 8 3 4 2" xfId="14868"/>
    <cellStyle name="Normal 2 2 2 3 8 3 5" xfId="14869"/>
    <cellStyle name="Normal 2 2 2 3 8 3 5 2" xfId="14870"/>
    <cellStyle name="Normal 2 2 2 3 8 3 6" xfId="14871"/>
    <cellStyle name="Normal 2 2 2 3 8 3 6 2" xfId="14872"/>
    <cellStyle name="Normal 2 2 2 3 8 3 7" xfId="14873"/>
    <cellStyle name="Normal 2 2 2 3 8 3 7 2" xfId="14874"/>
    <cellStyle name="Normal 2 2 2 3 8 3 8" xfId="14875"/>
    <cellStyle name="Normal 2 2 2 3 8 3 8 2" xfId="14876"/>
    <cellStyle name="Normal 2 2 2 3 8 3 9" xfId="14877"/>
    <cellStyle name="Normal 2 2 2 3 8 3 9 2" xfId="14878"/>
    <cellStyle name="Normal 2 2 2 3 8 4" xfId="14879"/>
    <cellStyle name="Normal 2 2 2 3 8 4 2" xfId="14880"/>
    <cellStyle name="Normal 2 2 2 3 8 5" xfId="14881"/>
    <cellStyle name="Normal 2 2 2 3 8 5 2" xfId="14882"/>
    <cellStyle name="Normal 2 2 2 3 8 6" xfId="14883"/>
    <cellStyle name="Normal 2 2 2 3 8 6 2" xfId="14884"/>
    <cellStyle name="Normal 2 2 2 3 8 7" xfId="14885"/>
    <cellStyle name="Normal 2 2 2 3 8 7 2" xfId="14886"/>
    <cellStyle name="Normal 2 2 2 3 8 8" xfId="14887"/>
    <cellStyle name="Normal 2 2 2 3 8 8 2" xfId="14888"/>
    <cellStyle name="Normal 2 2 2 3 8 9" xfId="14889"/>
    <cellStyle name="Normal 2 2 2 3 8 9 2" xfId="14890"/>
    <cellStyle name="Normal 2 2 2 3 9" xfId="354"/>
    <cellStyle name="Normal 2 2 2 3 9 10" xfId="14891"/>
    <cellStyle name="Normal 2 2 2 3 9 10 2" xfId="14892"/>
    <cellStyle name="Normal 2 2 2 3 9 11" xfId="14893"/>
    <cellStyle name="Normal 2 2 2 3 9 11 2" xfId="14894"/>
    <cellStyle name="Normal 2 2 2 3 9 12" xfId="14895"/>
    <cellStyle name="Normal 2 2 2 3 9 12 2" xfId="14896"/>
    <cellStyle name="Normal 2 2 2 3 9 13" xfId="14897"/>
    <cellStyle name="Normal 2 2 2 3 9 2" xfId="14898"/>
    <cellStyle name="Normal 2 2 2 3 9 2 10" xfId="14899"/>
    <cellStyle name="Normal 2 2 2 3 9 2 10 2" xfId="14900"/>
    <cellStyle name="Normal 2 2 2 3 9 2 11" xfId="14901"/>
    <cellStyle name="Normal 2 2 2 3 9 2 11 2" xfId="14902"/>
    <cellStyle name="Normal 2 2 2 3 9 2 12" xfId="14903"/>
    <cellStyle name="Normal 2 2 2 3 9 2 2" xfId="14904"/>
    <cellStyle name="Normal 2 2 2 3 9 2 2 10" xfId="14905"/>
    <cellStyle name="Normal 2 2 2 3 9 2 2 10 2" xfId="14906"/>
    <cellStyle name="Normal 2 2 2 3 9 2 2 11" xfId="14907"/>
    <cellStyle name="Normal 2 2 2 3 9 2 2 2" xfId="14908"/>
    <cellStyle name="Normal 2 2 2 3 9 2 2 2 2" xfId="14909"/>
    <cellStyle name="Normal 2 2 2 3 9 2 2 3" xfId="14910"/>
    <cellStyle name="Normal 2 2 2 3 9 2 2 3 2" xfId="14911"/>
    <cellStyle name="Normal 2 2 2 3 9 2 2 4" xfId="14912"/>
    <cellStyle name="Normal 2 2 2 3 9 2 2 4 2" xfId="14913"/>
    <cellStyle name="Normal 2 2 2 3 9 2 2 5" xfId="14914"/>
    <cellStyle name="Normal 2 2 2 3 9 2 2 5 2" xfId="14915"/>
    <cellStyle name="Normal 2 2 2 3 9 2 2 6" xfId="14916"/>
    <cellStyle name="Normal 2 2 2 3 9 2 2 6 2" xfId="14917"/>
    <cellStyle name="Normal 2 2 2 3 9 2 2 7" xfId="14918"/>
    <cellStyle name="Normal 2 2 2 3 9 2 2 7 2" xfId="14919"/>
    <cellStyle name="Normal 2 2 2 3 9 2 2 8" xfId="14920"/>
    <cellStyle name="Normal 2 2 2 3 9 2 2 8 2" xfId="14921"/>
    <cellStyle name="Normal 2 2 2 3 9 2 2 9" xfId="14922"/>
    <cellStyle name="Normal 2 2 2 3 9 2 2 9 2" xfId="14923"/>
    <cellStyle name="Normal 2 2 2 3 9 2 3" xfId="14924"/>
    <cellStyle name="Normal 2 2 2 3 9 2 3 2" xfId="14925"/>
    <cellStyle name="Normal 2 2 2 3 9 2 4" xfId="14926"/>
    <cellStyle name="Normal 2 2 2 3 9 2 4 2" xfId="14927"/>
    <cellStyle name="Normal 2 2 2 3 9 2 5" xfId="14928"/>
    <cellStyle name="Normal 2 2 2 3 9 2 5 2" xfId="14929"/>
    <cellStyle name="Normal 2 2 2 3 9 2 6" xfId="14930"/>
    <cellStyle name="Normal 2 2 2 3 9 2 6 2" xfId="14931"/>
    <cellStyle name="Normal 2 2 2 3 9 2 7" xfId="14932"/>
    <cellStyle name="Normal 2 2 2 3 9 2 7 2" xfId="14933"/>
    <cellStyle name="Normal 2 2 2 3 9 2 8" xfId="14934"/>
    <cellStyle name="Normal 2 2 2 3 9 2 8 2" xfId="14935"/>
    <cellStyle name="Normal 2 2 2 3 9 2 9" xfId="14936"/>
    <cellStyle name="Normal 2 2 2 3 9 2 9 2" xfId="14937"/>
    <cellStyle name="Normal 2 2 2 3 9 3" xfId="14938"/>
    <cellStyle name="Normal 2 2 2 3 9 3 10" xfId="14939"/>
    <cellStyle name="Normal 2 2 2 3 9 3 10 2" xfId="14940"/>
    <cellStyle name="Normal 2 2 2 3 9 3 11" xfId="14941"/>
    <cellStyle name="Normal 2 2 2 3 9 3 2" xfId="14942"/>
    <cellStyle name="Normal 2 2 2 3 9 3 2 2" xfId="14943"/>
    <cellStyle name="Normal 2 2 2 3 9 3 3" xfId="14944"/>
    <cellStyle name="Normal 2 2 2 3 9 3 3 2" xfId="14945"/>
    <cellStyle name="Normal 2 2 2 3 9 3 4" xfId="14946"/>
    <cellStyle name="Normal 2 2 2 3 9 3 4 2" xfId="14947"/>
    <cellStyle name="Normal 2 2 2 3 9 3 5" xfId="14948"/>
    <cellStyle name="Normal 2 2 2 3 9 3 5 2" xfId="14949"/>
    <cellStyle name="Normal 2 2 2 3 9 3 6" xfId="14950"/>
    <cellStyle name="Normal 2 2 2 3 9 3 6 2" xfId="14951"/>
    <cellStyle name="Normal 2 2 2 3 9 3 7" xfId="14952"/>
    <cellStyle name="Normal 2 2 2 3 9 3 7 2" xfId="14953"/>
    <cellStyle name="Normal 2 2 2 3 9 3 8" xfId="14954"/>
    <cellStyle name="Normal 2 2 2 3 9 3 8 2" xfId="14955"/>
    <cellStyle name="Normal 2 2 2 3 9 3 9" xfId="14956"/>
    <cellStyle name="Normal 2 2 2 3 9 3 9 2" xfId="14957"/>
    <cellStyle name="Normal 2 2 2 3 9 4" xfId="14958"/>
    <cellStyle name="Normal 2 2 2 3 9 4 2" xfId="14959"/>
    <cellStyle name="Normal 2 2 2 3 9 5" xfId="14960"/>
    <cellStyle name="Normal 2 2 2 3 9 5 2" xfId="14961"/>
    <cellStyle name="Normal 2 2 2 3 9 6" xfId="14962"/>
    <cellStyle name="Normal 2 2 2 3 9 6 2" xfId="14963"/>
    <cellStyle name="Normal 2 2 2 3 9 7" xfId="14964"/>
    <cellStyle name="Normal 2 2 2 3 9 7 2" xfId="14965"/>
    <cellStyle name="Normal 2 2 2 3 9 8" xfId="14966"/>
    <cellStyle name="Normal 2 2 2 3 9 8 2" xfId="14967"/>
    <cellStyle name="Normal 2 2 2 3 9 9" xfId="14968"/>
    <cellStyle name="Normal 2 2 2 3 9 9 2" xfId="14969"/>
    <cellStyle name="Normal 2 2 2 4" xfId="355"/>
    <cellStyle name="Normal 2 2 2 4 10" xfId="14970"/>
    <cellStyle name="Normal 2 2 2 4 10 2" xfId="14971"/>
    <cellStyle name="Normal 2 2 2 4 11" xfId="14972"/>
    <cellStyle name="Normal 2 2 2 4 11 2" xfId="14973"/>
    <cellStyle name="Normal 2 2 2 4 12" xfId="14974"/>
    <cellStyle name="Normal 2 2 2 4 12 2" xfId="14975"/>
    <cellStyle name="Normal 2 2 2 4 13" xfId="14976"/>
    <cellStyle name="Normal 2 2 2 4 2" xfId="14977"/>
    <cellStyle name="Normal 2 2 2 4 2 10" xfId="14978"/>
    <cellStyle name="Normal 2 2 2 4 2 10 2" xfId="14979"/>
    <cellStyle name="Normal 2 2 2 4 2 11" xfId="14980"/>
    <cellStyle name="Normal 2 2 2 4 2 11 2" xfId="14981"/>
    <cellStyle name="Normal 2 2 2 4 2 12" xfId="14982"/>
    <cellStyle name="Normal 2 2 2 4 2 2" xfId="14983"/>
    <cellStyle name="Normal 2 2 2 4 2 2 10" xfId="14984"/>
    <cellStyle name="Normal 2 2 2 4 2 2 10 2" xfId="14985"/>
    <cellStyle name="Normal 2 2 2 4 2 2 11" xfId="14986"/>
    <cellStyle name="Normal 2 2 2 4 2 2 2" xfId="14987"/>
    <cellStyle name="Normal 2 2 2 4 2 2 2 2" xfId="14988"/>
    <cellStyle name="Normal 2 2 2 4 2 2 3" xfId="14989"/>
    <cellStyle name="Normal 2 2 2 4 2 2 3 2" xfId="14990"/>
    <cellStyle name="Normal 2 2 2 4 2 2 4" xfId="14991"/>
    <cellStyle name="Normal 2 2 2 4 2 2 4 2" xfId="14992"/>
    <cellStyle name="Normal 2 2 2 4 2 2 5" xfId="14993"/>
    <cellStyle name="Normal 2 2 2 4 2 2 5 2" xfId="14994"/>
    <cellStyle name="Normal 2 2 2 4 2 2 6" xfId="14995"/>
    <cellStyle name="Normal 2 2 2 4 2 2 6 2" xfId="14996"/>
    <cellStyle name="Normal 2 2 2 4 2 2 7" xfId="14997"/>
    <cellStyle name="Normal 2 2 2 4 2 2 7 2" xfId="14998"/>
    <cellStyle name="Normal 2 2 2 4 2 2 8" xfId="14999"/>
    <cellStyle name="Normal 2 2 2 4 2 2 8 2" xfId="15000"/>
    <cellStyle name="Normal 2 2 2 4 2 2 9" xfId="15001"/>
    <cellStyle name="Normal 2 2 2 4 2 2 9 2" xfId="15002"/>
    <cellStyle name="Normal 2 2 2 4 2 3" xfId="15003"/>
    <cellStyle name="Normal 2 2 2 4 2 3 2" xfId="15004"/>
    <cellStyle name="Normal 2 2 2 4 2 4" xfId="15005"/>
    <cellStyle name="Normal 2 2 2 4 2 4 2" xfId="15006"/>
    <cellStyle name="Normal 2 2 2 4 2 5" xfId="15007"/>
    <cellStyle name="Normal 2 2 2 4 2 5 2" xfId="15008"/>
    <cellStyle name="Normal 2 2 2 4 2 6" xfId="15009"/>
    <cellStyle name="Normal 2 2 2 4 2 6 2" xfId="15010"/>
    <cellStyle name="Normal 2 2 2 4 2 7" xfId="15011"/>
    <cellStyle name="Normal 2 2 2 4 2 7 2" xfId="15012"/>
    <cellStyle name="Normal 2 2 2 4 2 8" xfId="15013"/>
    <cellStyle name="Normal 2 2 2 4 2 8 2" xfId="15014"/>
    <cellStyle name="Normal 2 2 2 4 2 9" xfId="15015"/>
    <cellStyle name="Normal 2 2 2 4 2 9 2" xfId="15016"/>
    <cellStyle name="Normal 2 2 2 4 3" xfId="15017"/>
    <cellStyle name="Normal 2 2 2 4 3 10" xfId="15018"/>
    <cellStyle name="Normal 2 2 2 4 3 10 2" xfId="15019"/>
    <cellStyle name="Normal 2 2 2 4 3 11" xfId="15020"/>
    <cellStyle name="Normal 2 2 2 4 3 2" xfId="15021"/>
    <cellStyle name="Normal 2 2 2 4 3 2 2" xfId="15022"/>
    <cellStyle name="Normal 2 2 2 4 3 3" xfId="15023"/>
    <cellStyle name="Normal 2 2 2 4 3 3 2" xfId="15024"/>
    <cellStyle name="Normal 2 2 2 4 3 4" xfId="15025"/>
    <cellStyle name="Normal 2 2 2 4 3 4 2" xfId="15026"/>
    <cellStyle name="Normal 2 2 2 4 3 5" xfId="15027"/>
    <cellStyle name="Normal 2 2 2 4 3 5 2" xfId="15028"/>
    <cellStyle name="Normal 2 2 2 4 3 6" xfId="15029"/>
    <cellStyle name="Normal 2 2 2 4 3 6 2" xfId="15030"/>
    <cellStyle name="Normal 2 2 2 4 3 7" xfId="15031"/>
    <cellStyle name="Normal 2 2 2 4 3 7 2" xfId="15032"/>
    <cellStyle name="Normal 2 2 2 4 3 8" xfId="15033"/>
    <cellStyle name="Normal 2 2 2 4 3 8 2" xfId="15034"/>
    <cellStyle name="Normal 2 2 2 4 3 9" xfId="15035"/>
    <cellStyle name="Normal 2 2 2 4 3 9 2" xfId="15036"/>
    <cellStyle name="Normal 2 2 2 4 4" xfId="15037"/>
    <cellStyle name="Normal 2 2 2 4 4 2" xfId="15038"/>
    <cellStyle name="Normal 2 2 2 4 5" xfId="15039"/>
    <cellStyle name="Normal 2 2 2 4 5 2" xfId="15040"/>
    <cellStyle name="Normal 2 2 2 4 6" xfId="15041"/>
    <cellStyle name="Normal 2 2 2 4 6 2" xfId="15042"/>
    <cellStyle name="Normal 2 2 2 4 7" xfId="15043"/>
    <cellStyle name="Normal 2 2 2 4 7 2" xfId="15044"/>
    <cellStyle name="Normal 2 2 2 4 8" xfId="15045"/>
    <cellStyle name="Normal 2 2 2 4 8 2" xfId="15046"/>
    <cellStyle name="Normal 2 2 2 4 9" xfId="15047"/>
    <cellStyle name="Normal 2 2 2 4 9 2" xfId="15048"/>
    <cellStyle name="Normal 2 2 2 5" xfId="356"/>
    <cellStyle name="Normal 2 2 2 5 10" xfId="15049"/>
    <cellStyle name="Normal 2 2 2 5 10 2" xfId="15050"/>
    <cellStyle name="Normal 2 2 2 5 11" xfId="15051"/>
    <cellStyle name="Normal 2 2 2 5 11 2" xfId="15052"/>
    <cellStyle name="Normal 2 2 2 5 12" xfId="15053"/>
    <cellStyle name="Normal 2 2 2 5 12 2" xfId="15054"/>
    <cellStyle name="Normal 2 2 2 5 13" xfId="15055"/>
    <cellStyle name="Normal 2 2 2 5 2" xfId="15056"/>
    <cellStyle name="Normal 2 2 2 5 2 10" xfId="15057"/>
    <cellStyle name="Normal 2 2 2 5 2 10 2" xfId="15058"/>
    <cellStyle name="Normal 2 2 2 5 2 11" xfId="15059"/>
    <cellStyle name="Normal 2 2 2 5 2 11 2" xfId="15060"/>
    <cellStyle name="Normal 2 2 2 5 2 12" xfId="15061"/>
    <cellStyle name="Normal 2 2 2 5 2 2" xfId="15062"/>
    <cellStyle name="Normal 2 2 2 5 2 2 10" xfId="15063"/>
    <cellStyle name="Normal 2 2 2 5 2 2 10 2" xfId="15064"/>
    <cellStyle name="Normal 2 2 2 5 2 2 11" xfId="15065"/>
    <cellStyle name="Normal 2 2 2 5 2 2 2" xfId="15066"/>
    <cellStyle name="Normal 2 2 2 5 2 2 2 2" xfId="15067"/>
    <cellStyle name="Normal 2 2 2 5 2 2 3" xfId="15068"/>
    <cellStyle name="Normal 2 2 2 5 2 2 3 2" xfId="15069"/>
    <cellStyle name="Normal 2 2 2 5 2 2 4" xfId="15070"/>
    <cellStyle name="Normal 2 2 2 5 2 2 4 2" xfId="15071"/>
    <cellStyle name="Normal 2 2 2 5 2 2 5" xfId="15072"/>
    <cellStyle name="Normal 2 2 2 5 2 2 5 2" xfId="15073"/>
    <cellStyle name="Normal 2 2 2 5 2 2 6" xfId="15074"/>
    <cellStyle name="Normal 2 2 2 5 2 2 6 2" xfId="15075"/>
    <cellStyle name="Normal 2 2 2 5 2 2 7" xfId="15076"/>
    <cellStyle name="Normal 2 2 2 5 2 2 7 2" xfId="15077"/>
    <cellStyle name="Normal 2 2 2 5 2 2 8" xfId="15078"/>
    <cellStyle name="Normal 2 2 2 5 2 2 8 2" xfId="15079"/>
    <cellStyle name="Normal 2 2 2 5 2 2 9" xfId="15080"/>
    <cellStyle name="Normal 2 2 2 5 2 2 9 2" xfId="15081"/>
    <cellStyle name="Normal 2 2 2 5 2 3" xfId="15082"/>
    <cellStyle name="Normal 2 2 2 5 2 3 2" xfId="15083"/>
    <cellStyle name="Normal 2 2 2 5 2 4" xfId="15084"/>
    <cellStyle name="Normal 2 2 2 5 2 4 2" xfId="15085"/>
    <cellStyle name="Normal 2 2 2 5 2 5" xfId="15086"/>
    <cellStyle name="Normal 2 2 2 5 2 5 2" xfId="15087"/>
    <cellStyle name="Normal 2 2 2 5 2 6" xfId="15088"/>
    <cellStyle name="Normal 2 2 2 5 2 6 2" xfId="15089"/>
    <cellStyle name="Normal 2 2 2 5 2 7" xfId="15090"/>
    <cellStyle name="Normal 2 2 2 5 2 7 2" xfId="15091"/>
    <cellStyle name="Normal 2 2 2 5 2 8" xfId="15092"/>
    <cellStyle name="Normal 2 2 2 5 2 8 2" xfId="15093"/>
    <cellStyle name="Normal 2 2 2 5 2 9" xfId="15094"/>
    <cellStyle name="Normal 2 2 2 5 2 9 2" xfId="15095"/>
    <cellStyle name="Normal 2 2 2 5 3" xfId="15096"/>
    <cellStyle name="Normal 2 2 2 5 3 10" xfId="15097"/>
    <cellStyle name="Normal 2 2 2 5 3 10 2" xfId="15098"/>
    <cellStyle name="Normal 2 2 2 5 3 11" xfId="15099"/>
    <cellStyle name="Normal 2 2 2 5 3 2" xfId="15100"/>
    <cellStyle name="Normal 2 2 2 5 3 2 2" xfId="15101"/>
    <cellStyle name="Normal 2 2 2 5 3 3" xfId="15102"/>
    <cellStyle name="Normal 2 2 2 5 3 3 2" xfId="15103"/>
    <cellStyle name="Normal 2 2 2 5 3 4" xfId="15104"/>
    <cellStyle name="Normal 2 2 2 5 3 4 2" xfId="15105"/>
    <cellStyle name="Normal 2 2 2 5 3 5" xfId="15106"/>
    <cellStyle name="Normal 2 2 2 5 3 5 2" xfId="15107"/>
    <cellStyle name="Normal 2 2 2 5 3 6" xfId="15108"/>
    <cellStyle name="Normal 2 2 2 5 3 6 2" xfId="15109"/>
    <cellStyle name="Normal 2 2 2 5 3 7" xfId="15110"/>
    <cellStyle name="Normal 2 2 2 5 3 7 2" xfId="15111"/>
    <cellStyle name="Normal 2 2 2 5 3 8" xfId="15112"/>
    <cellStyle name="Normal 2 2 2 5 3 8 2" xfId="15113"/>
    <cellStyle name="Normal 2 2 2 5 3 9" xfId="15114"/>
    <cellStyle name="Normal 2 2 2 5 3 9 2" xfId="15115"/>
    <cellStyle name="Normal 2 2 2 5 4" xfId="15116"/>
    <cellStyle name="Normal 2 2 2 5 4 2" xfId="15117"/>
    <cellStyle name="Normal 2 2 2 5 5" xfId="15118"/>
    <cellStyle name="Normal 2 2 2 5 5 2" xfId="15119"/>
    <cellStyle name="Normal 2 2 2 5 6" xfId="15120"/>
    <cellStyle name="Normal 2 2 2 5 6 2" xfId="15121"/>
    <cellStyle name="Normal 2 2 2 5 7" xfId="15122"/>
    <cellStyle name="Normal 2 2 2 5 7 2" xfId="15123"/>
    <cellStyle name="Normal 2 2 2 5 8" xfId="15124"/>
    <cellStyle name="Normal 2 2 2 5 8 2" xfId="15125"/>
    <cellStyle name="Normal 2 2 2 5 9" xfId="15126"/>
    <cellStyle name="Normal 2 2 2 5 9 2" xfId="15127"/>
    <cellStyle name="Normal 2 2 2 6" xfId="357"/>
    <cellStyle name="Normal 2 2 2 6 10" xfId="15128"/>
    <cellStyle name="Normal 2 2 2 6 10 2" xfId="15129"/>
    <cellStyle name="Normal 2 2 2 6 11" xfId="15130"/>
    <cellStyle name="Normal 2 2 2 6 11 2" xfId="15131"/>
    <cellStyle name="Normal 2 2 2 6 12" xfId="15132"/>
    <cellStyle name="Normal 2 2 2 6 12 2" xfId="15133"/>
    <cellStyle name="Normal 2 2 2 6 13" xfId="15134"/>
    <cellStyle name="Normal 2 2 2 6 2" xfId="15135"/>
    <cellStyle name="Normal 2 2 2 6 2 10" xfId="15136"/>
    <cellStyle name="Normal 2 2 2 6 2 10 2" xfId="15137"/>
    <cellStyle name="Normal 2 2 2 6 2 11" xfId="15138"/>
    <cellStyle name="Normal 2 2 2 6 2 11 2" xfId="15139"/>
    <cellStyle name="Normal 2 2 2 6 2 12" xfId="15140"/>
    <cellStyle name="Normal 2 2 2 6 2 2" xfId="15141"/>
    <cellStyle name="Normal 2 2 2 6 2 2 10" xfId="15142"/>
    <cellStyle name="Normal 2 2 2 6 2 2 10 2" xfId="15143"/>
    <cellStyle name="Normal 2 2 2 6 2 2 11" xfId="15144"/>
    <cellStyle name="Normal 2 2 2 6 2 2 2" xfId="15145"/>
    <cellStyle name="Normal 2 2 2 6 2 2 2 2" xfId="15146"/>
    <cellStyle name="Normal 2 2 2 6 2 2 3" xfId="15147"/>
    <cellStyle name="Normal 2 2 2 6 2 2 3 2" xfId="15148"/>
    <cellStyle name="Normal 2 2 2 6 2 2 4" xfId="15149"/>
    <cellStyle name="Normal 2 2 2 6 2 2 4 2" xfId="15150"/>
    <cellStyle name="Normal 2 2 2 6 2 2 5" xfId="15151"/>
    <cellStyle name="Normal 2 2 2 6 2 2 5 2" xfId="15152"/>
    <cellStyle name="Normal 2 2 2 6 2 2 6" xfId="15153"/>
    <cellStyle name="Normal 2 2 2 6 2 2 6 2" xfId="15154"/>
    <cellStyle name="Normal 2 2 2 6 2 2 7" xfId="15155"/>
    <cellStyle name="Normal 2 2 2 6 2 2 7 2" xfId="15156"/>
    <cellStyle name="Normal 2 2 2 6 2 2 8" xfId="15157"/>
    <cellStyle name="Normal 2 2 2 6 2 2 8 2" xfId="15158"/>
    <cellStyle name="Normal 2 2 2 6 2 2 9" xfId="15159"/>
    <cellStyle name="Normal 2 2 2 6 2 2 9 2" xfId="15160"/>
    <cellStyle name="Normal 2 2 2 6 2 3" xfId="15161"/>
    <cellStyle name="Normal 2 2 2 6 2 3 2" xfId="15162"/>
    <cellStyle name="Normal 2 2 2 6 2 4" xfId="15163"/>
    <cellStyle name="Normal 2 2 2 6 2 4 2" xfId="15164"/>
    <cellStyle name="Normal 2 2 2 6 2 5" xfId="15165"/>
    <cellStyle name="Normal 2 2 2 6 2 5 2" xfId="15166"/>
    <cellStyle name="Normal 2 2 2 6 2 6" xfId="15167"/>
    <cellStyle name="Normal 2 2 2 6 2 6 2" xfId="15168"/>
    <cellStyle name="Normal 2 2 2 6 2 7" xfId="15169"/>
    <cellStyle name="Normal 2 2 2 6 2 7 2" xfId="15170"/>
    <cellStyle name="Normal 2 2 2 6 2 8" xfId="15171"/>
    <cellStyle name="Normal 2 2 2 6 2 8 2" xfId="15172"/>
    <cellStyle name="Normal 2 2 2 6 2 9" xfId="15173"/>
    <cellStyle name="Normal 2 2 2 6 2 9 2" xfId="15174"/>
    <cellStyle name="Normal 2 2 2 6 3" xfId="15175"/>
    <cellStyle name="Normal 2 2 2 6 3 10" xfId="15176"/>
    <cellStyle name="Normal 2 2 2 6 3 10 2" xfId="15177"/>
    <cellStyle name="Normal 2 2 2 6 3 11" xfId="15178"/>
    <cellStyle name="Normal 2 2 2 6 3 2" xfId="15179"/>
    <cellStyle name="Normal 2 2 2 6 3 2 2" xfId="15180"/>
    <cellStyle name="Normal 2 2 2 6 3 3" xfId="15181"/>
    <cellStyle name="Normal 2 2 2 6 3 3 2" xfId="15182"/>
    <cellStyle name="Normal 2 2 2 6 3 4" xfId="15183"/>
    <cellStyle name="Normal 2 2 2 6 3 4 2" xfId="15184"/>
    <cellStyle name="Normal 2 2 2 6 3 5" xfId="15185"/>
    <cellStyle name="Normal 2 2 2 6 3 5 2" xfId="15186"/>
    <cellStyle name="Normal 2 2 2 6 3 6" xfId="15187"/>
    <cellStyle name="Normal 2 2 2 6 3 6 2" xfId="15188"/>
    <cellStyle name="Normal 2 2 2 6 3 7" xfId="15189"/>
    <cellStyle name="Normal 2 2 2 6 3 7 2" xfId="15190"/>
    <cellStyle name="Normal 2 2 2 6 3 8" xfId="15191"/>
    <cellStyle name="Normal 2 2 2 6 3 8 2" xfId="15192"/>
    <cellStyle name="Normal 2 2 2 6 3 9" xfId="15193"/>
    <cellStyle name="Normal 2 2 2 6 3 9 2" xfId="15194"/>
    <cellStyle name="Normal 2 2 2 6 4" xfId="15195"/>
    <cellStyle name="Normal 2 2 2 6 4 2" xfId="15196"/>
    <cellStyle name="Normal 2 2 2 6 5" xfId="15197"/>
    <cellStyle name="Normal 2 2 2 6 5 2" xfId="15198"/>
    <cellStyle name="Normal 2 2 2 6 6" xfId="15199"/>
    <cellStyle name="Normal 2 2 2 6 6 2" xfId="15200"/>
    <cellStyle name="Normal 2 2 2 6 7" xfId="15201"/>
    <cellStyle name="Normal 2 2 2 6 7 2" xfId="15202"/>
    <cellStyle name="Normal 2 2 2 6 8" xfId="15203"/>
    <cellStyle name="Normal 2 2 2 6 8 2" xfId="15204"/>
    <cellStyle name="Normal 2 2 2 6 9" xfId="15205"/>
    <cellStyle name="Normal 2 2 2 6 9 2" xfId="15206"/>
    <cellStyle name="Normal 2 2 2 7" xfId="358"/>
    <cellStyle name="Normal 2 2 2 7 10" xfId="15207"/>
    <cellStyle name="Normal 2 2 2 7 10 2" xfId="15208"/>
    <cellStyle name="Normal 2 2 2 7 11" xfId="15209"/>
    <cellStyle name="Normal 2 2 2 7 11 2" xfId="15210"/>
    <cellStyle name="Normal 2 2 2 7 12" xfId="15211"/>
    <cellStyle name="Normal 2 2 2 7 12 2" xfId="15212"/>
    <cellStyle name="Normal 2 2 2 7 13" xfId="15213"/>
    <cellStyle name="Normal 2 2 2 7 2" xfId="15214"/>
    <cellStyle name="Normal 2 2 2 7 2 10" xfId="15215"/>
    <cellStyle name="Normal 2 2 2 7 2 10 2" xfId="15216"/>
    <cellStyle name="Normal 2 2 2 7 2 11" xfId="15217"/>
    <cellStyle name="Normal 2 2 2 7 2 11 2" xfId="15218"/>
    <cellStyle name="Normal 2 2 2 7 2 12" xfId="15219"/>
    <cellStyle name="Normal 2 2 2 7 2 2" xfId="15220"/>
    <cellStyle name="Normal 2 2 2 7 2 2 10" xfId="15221"/>
    <cellStyle name="Normal 2 2 2 7 2 2 10 2" xfId="15222"/>
    <cellStyle name="Normal 2 2 2 7 2 2 11" xfId="15223"/>
    <cellStyle name="Normal 2 2 2 7 2 2 2" xfId="15224"/>
    <cellStyle name="Normal 2 2 2 7 2 2 2 2" xfId="15225"/>
    <cellStyle name="Normal 2 2 2 7 2 2 3" xfId="15226"/>
    <cellStyle name="Normal 2 2 2 7 2 2 3 2" xfId="15227"/>
    <cellStyle name="Normal 2 2 2 7 2 2 4" xfId="15228"/>
    <cellStyle name="Normal 2 2 2 7 2 2 4 2" xfId="15229"/>
    <cellStyle name="Normal 2 2 2 7 2 2 5" xfId="15230"/>
    <cellStyle name="Normal 2 2 2 7 2 2 5 2" xfId="15231"/>
    <cellStyle name="Normal 2 2 2 7 2 2 6" xfId="15232"/>
    <cellStyle name="Normal 2 2 2 7 2 2 6 2" xfId="15233"/>
    <cellStyle name="Normal 2 2 2 7 2 2 7" xfId="15234"/>
    <cellStyle name="Normal 2 2 2 7 2 2 7 2" xfId="15235"/>
    <cellStyle name="Normal 2 2 2 7 2 2 8" xfId="15236"/>
    <cellStyle name="Normal 2 2 2 7 2 2 8 2" xfId="15237"/>
    <cellStyle name="Normal 2 2 2 7 2 2 9" xfId="15238"/>
    <cellStyle name="Normal 2 2 2 7 2 2 9 2" xfId="15239"/>
    <cellStyle name="Normal 2 2 2 7 2 3" xfId="15240"/>
    <cellStyle name="Normal 2 2 2 7 2 3 2" xfId="15241"/>
    <cellStyle name="Normal 2 2 2 7 2 4" xfId="15242"/>
    <cellStyle name="Normal 2 2 2 7 2 4 2" xfId="15243"/>
    <cellStyle name="Normal 2 2 2 7 2 5" xfId="15244"/>
    <cellStyle name="Normal 2 2 2 7 2 5 2" xfId="15245"/>
    <cellStyle name="Normal 2 2 2 7 2 6" xfId="15246"/>
    <cellStyle name="Normal 2 2 2 7 2 6 2" xfId="15247"/>
    <cellStyle name="Normal 2 2 2 7 2 7" xfId="15248"/>
    <cellStyle name="Normal 2 2 2 7 2 7 2" xfId="15249"/>
    <cellStyle name="Normal 2 2 2 7 2 8" xfId="15250"/>
    <cellStyle name="Normal 2 2 2 7 2 8 2" xfId="15251"/>
    <cellStyle name="Normal 2 2 2 7 2 9" xfId="15252"/>
    <cellStyle name="Normal 2 2 2 7 2 9 2" xfId="15253"/>
    <cellStyle name="Normal 2 2 2 7 3" xfId="15254"/>
    <cellStyle name="Normal 2 2 2 7 3 10" xfId="15255"/>
    <cellStyle name="Normal 2 2 2 7 3 10 2" xfId="15256"/>
    <cellStyle name="Normal 2 2 2 7 3 11" xfId="15257"/>
    <cellStyle name="Normal 2 2 2 7 3 2" xfId="15258"/>
    <cellStyle name="Normal 2 2 2 7 3 2 2" xfId="15259"/>
    <cellStyle name="Normal 2 2 2 7 3 3" xfId="15260"/>
    <cellStyle name="Normal 2 2 2 7 3 3 2" xfId="15261"/>
    <cellStyle name="Normal 2 2 2 7 3 4" xfId="15262"/>
    <cellStyle name="Normal 2 2 2 7 3 4 2" xfId="15263"/>
    <cellStyle name="Normal 2 2 2 7 3 5" xfId="15264"/>
    <cellStyle name="Normal 2 2 2 7 3 5 2" xfId="15265"/>
    <cellStyle name="Normal 2 2 2 7 3 6" xfId="15266"/>
    <cellStyle name="Normal 2 2 2 7 3 6 2" xfId="15267"/>
    <cellStyle name="Normal 2 2 2 7 3 7" xfId="15268"/>
    <cellStyle name="Normal 2 2 2 7 3 7 2" xfId="15269"/>
    <cellStyle name="Normal 2 2 2 7 3 8" xfId="15270"/>
    <cellStyle name="Normal 2 2 2 7 3 8 2" xfId="15271"/>
    <cellStyle name="Normal 2 2 2 7 3 9" xfId="15272"/>
    <cellStyle name="Normal 2 2 2 7 3 9 2" xfId="15273"/>
    <cellStyle name="Normal 2 2 2 7 4" xfId="15274"/>
    <cellStyle name="Normal 2 2 2 7 4 2" xfId="15275"/>
    <cellStyle name="Normal 2 2 2 7 5" xfId="15276"/>
    <cellStyle name="Normal 2 2 2 7 5 2" xfId="15277"/>
    <cellStyle name="Normal 2 2 2 7 6" xfId="15278"/>
    <cellStyle name="Normal 2 2 2 7 6 2" xfId="15279"/>
    <cellStyle name="Normal 2 2 2 7 7" xfId="15280"/>
    <cellStyle name="Normal 2 2 2 7 7 2" xfId="15281"/>
    <cellStyle name="Normal 2 2 2 7 8" xfId="15282"/>
    <cellStyle name="Normal 2 2 2 7 8 2" xfId="15283"/>
    <cellStyle name="Normal 2 2 2 7 9" xfId="15284"/>
    <cellStyle name="Normal 2 2 2 7 9 2" xfId="15285"/>
    <cellStyle name="Normal 2 2 2 8" xfId="359"/>
    <cellStyle name="Normal 2 2 2 8 10" xfId="15286"/>
    <cellStyle name="Normal 2 2 2 8 10 2" xfId="15287"/>
    <cellStyle name="Normal 2 2 2 8 11" xfId="15288"/>
    <cellStyle name="Normal 2 2 2 8 11 2" xfId="15289"/>
    <cellStyle name="Normal 2 2 2 8 12" xfId="15290"/>
    <cellStyle name="Normal 2 2 2 8 12 2" xfId="15291"/>
    <cellStyle name="Normal 2 2 2 8 13" xfId="15292"/>
    <cellStyle name="Normal 2 2 2 8 2" xfId="15293"/>
    <cellStyle name="Normal 2 2 2 8 2 10" xfId="15294"/>
    <cellStyle name="Normal 2 2 2 8 2 10 2" xfId="15295"/>
    <cellStyle name="Normal 2 2 2 8 2 11" xfId="15296"/>
    <cellStyle name="Normal 2 2 2 8 2 11 2" xfId="15297"/>
    <cellStyle name="Normal 2 2 2 8 2 12" xfId="15298"/>
    <cellStyle name="Normal 2 2 2 8 2 2" xfId="15299"/>
    <cellStyle name="Normal 2 2 2 8 2 2 10" xfId="15300"/>
    <cellStyle name="Normal 2 2 2 8 2 2 10 2" xfId="15301"/>
    <cellStyle name="Normal 2 2 2 8 2 2 11" xfId="15302"/>
    <cellStyle name="Normal 2 2 2 8 2 2 2" xfId="15303"/>
    <cellStyle name="Normal 2 2 2 8 2 2 2 2" xfId="15304"/>
    <cellStyle name="Normal 2 2 2 8 2 2 3" xfId="15305"/>
    <cellStyle name="Normal 2 2 2 8 2 2 3 2" xfId="15306"/>
    <cellStyle name="Normal 2 2 2 8 2 2 4" xfId="15307"/>
    <cellStyle name="Normal 2 2 2 8 2 2 4 2" xfId="15308"/>
    <cellStyle name="Normal 2 2 2 8 2 2 5" xfId="15309"/>
    <cellStyle name="Normal 2 2 2 8 2 2 5 2" xfId="15310"/>
    <cellStyle name="Normal 2 2 2 8 2 2 6" xfId="15311"/>
    <cellStyle name="Normal 2 2 2 8 2 2 6 2" xfId="15312"/>
    <cellStyle name="Normal 2 2 2 8 2 2 7" xfId="15313"/>
    <cellStyle name="Normal 2 2 2 8 2 2 7 2" xfId="15314"/>
    <cellStyle name="Normal 2 2 2 8 2 2 8" xfId="15315"/>
    <cellStyle name="Normal 2 2 2 8 2 2 8 2" xfId="15316"/>
    <cellStyle name="Normal 2 2 2 8 2 2 9" xfId="15317"/>
    <cellStyle name="Normal 2 2 2 8 2 2 9 2" xfId="15318"/>
    <cellStyle name="Normal 2 2 2 8 2 3" xfId="15319"/>
    <cellStyle name="Normal 2 2 2 8 2 3 2" xfId="15320"/>
    <cellStyle name="Normal 2 2 2 8 2 4" xfId="15321"/>
    <cellStyle name="Normal 2 2 2 8 2 4 2" xfId="15322"/>
    <cellStyle name="Normal 2 2 2 8 2 5" xfId="15323"/>
    <cellStyle name="Normal 2 2 2 8 2 5 2" xfId="15324"/>
    <cellStyle name="Normal 2 2 2 8 2 6" xfId="15325"/>
    <cellStyle name="Normal 2 2 2 8 2 6 2" xfId="15326"/>
    <cellStyle name="Normal 2 2 2 8 2 7" xfId="15327"/>
    <cellStyle name="Normal 2 2 2 8 2 7 2" xfId="15328"/>
    <cellStyle name="Normal 2 2 2 8 2 8" xfId="15329"/>
    <cellStyle name="Normal 2 2 2 8 2 8 2" xfId="15330"/>
    <cellStyle name="Normal 2 2 2 8 2 9" xfId="15331"/>
    <cellStyle name="Normal 2 2 2 8 2 9 2" xfId="15332"/>
    <cellStyle name="Normal 2 2 2 8 3" xfId="15333"/>
    <cellStyle name="Normal 2 2 2 8 3 10" xfId="15334"/>
    <cellStyle name="Normal 2 2 2 8 3 10 2" xfId="15335"/>
    <cellStyle name="Normal 2 2 2 8 3 11" xfId="15336"/>
    <cellStyle name="Normal 2 2 2 8 3 2" xfId="15337"/>
    <cellStyle name="Normal 2 2 2 8 3 2 2" xfId="15338"/>
    <cellStyle name="Normal 2 2 2 8 3 3" xfId="15339"/>
    <cellStyle name="Normal 2 2 2 8 3 3 2" xfId="15340"/>
    <cellStyle name="Normal 2 2 2 8 3 4" xfId="15341"/>
    <cellStyle name="Normal 2 2 2 8 3 4 2" xfId="15342"/>
    <cellStyle name="Normal 2 2 2 8 3 5" xfId="15343"/>
    <cellStyle name="Normal 2 2 2 8 3 5 2" xfId="15344"/>
    <cellStyle name="Normal 2 2 2 8 3 6" xfId="15345"/>
    <cellStyle name="Normal 2 2 2 8 3 6 2" xfId="15346"/>
    <cellStyle name="Normal 2 2 2 8 3 7" xfId="15347"/>
    <cellStyle name="Normal 2 2 2 8 3 7 2" xfId="15348"/>
    <cellStyle name="Normal 2 2 2 8 3 8" xfId="15349"/>
    <cellStyle name="Normal 2 2 2 8 3 8 2" xfId="15350"/>
    <cellStyle name="Normal 2 2 2 8 3 9" xfId="15351"/>
    <cellStyle name="Normal 2 2 2 8 3 9 2" xfId="15352"/>
    <cellStyle name="Normal 2 2 2 8 4" xfId="15353"/>
    <cellStyle name="Normal 2 2 2 8 4 2" xfId="15354"/>
    <cellStyle name="Normal 2 2 2 8 5" xfId="15355"/>
    <cellStyle name="Normal 2 2 2 8 5 2" xfId="15356"/>
    <cellStyle name="Normal 2 2 2 8 6" xfId="15357"/>
    <cellStyle name="Normal 2 2 2 8 6 2" xfId="15358"/>
    <cellStyle name="Normal 2 2 2 8 7" xfId="15359"/>
    <cellStyle name="Normal 2 2 2 8 7 2" xfId="15360"/>
    <cellStyle name="Normal 2 2 2 8 8" xfId="15361"/>
    <cellStyle name="Normal 2 2 2 8 8 2" xfId="15362"/>
    <cellStyle name="Normal 2 2 2 8 9" xfId="15363"/>
    <cellStyle name="Normal 2 2 2 8 9 2" xfId="15364"/>
    <cellStyle name="Normal 2 2 2 9" xfId="360"/>
    <cellStyle name="Normal 2 2 2 9 2" xfId="361"/>
    <cellStyle name="Normal 2 2 2 9 2 10" xfId="15365"/>
    <cellStyle name="Normal 2 2 2 9 2 10 2" xfId="15366"/>
    <cellStyle name="Normal 2 2 2 9 2 11" xfId="15367"/>
    <cellStyle name="Normal 2 2 2 9 2 11 2" xfId="15368"/>
    <cellStyle name="Normal 2 2 2 9 2 12" xfId="15369"/>
    <cellStyle name="Normal 2 2 2 9 2 12 2" xfId="15370"/>
    <cellStyle name="Normal 2 2 2 9 2 13" xfId="15371"/>
    <cellStyle name="Normal 2 2 2 9 2 13 2" xfId="15372"/>
    <cellStyle name="Normal 2 2 2 9 2 14" xfId="15373"/>
    <cellStyle name="Normal 2 2 2 9 2 14 2" xfId="15374"/>
    <cellStyle name="Normal 2 2 2 9 2 15" xfId="15375"/>
    <cellStyle name="Normal 2 2 2 9 2 15 2" xfId="15376"/>
    <cellStyle name="Normal 2 2 2 9 2 16" xfId="15377"/>
    <cellStyle name="Normal 2 2 2 9 2 16 2" xfId="15378"/>
    <cellStyle name="Normal 2 2 2 9 2 17" xfId="15379"/>
    <cellStyle name="Normal 2 2 2 9 2 2" xfId="362"/>
    <cellStyle name="Normal 2 2 2 9 2 2 2" xfId="363"/>
    <cellStyle name="Normal 2 2 2 9 2 2 2 10" xfId="15380"/>
    <cellStyle name="Normal 2 2 2 9 2 2 2 10 2" xfId="15381"/>
    <cellStyle name="Normal 2 2 2 9 2 2 2 11" xfId="15382"/>
    <cellStyle name="Normal 2 2 2 9 2 2 2 11 2" xfId="15383"/>
    <cellStyle name="Normal 2 2 2 9 2 2 2 12" xfId="15384"/>
    <cellStyle name="Normal 2 2 2 9 2 2 2 12 2" xfId="15385"/>
    <cellStyle name="Normal 2 2 2 9 2 2 2 13" xfId="15386"/>
    <cellStyle name="Normal 2 2 2 9 2 2 2 2" xfId="15387"/>
    <cellStyle name="Normal 2 2 2 9 2 2 2 2 10" xfId="15388"/>
    <cellStyle name="Normal 2 2 2 9 2 2 2 2 10 2" xfId="15389"/>
    <cellStyle name="Normal 2 2 2 9 2 2 2 2 11" xfId="15390"/>
    <cellStyle name="Normal 2 2 2 9 2 2 2 2 11 2" xfId="15391"/>
    <cellStyle name="Normal 2 2 2 9 2 2 2 2 12" xfId="15392"/>
    <cellStyle name="Normal 2 2 2 9 2 2 2 2 2" xfId="15393"/>
    <cellStyle name="Normal 2 2 2 9 2 2 2 2 2 10" xfId="15394"/>
    <cellStyle name="Normal 2 2 2 9 2 2 2 2 2 10 2" xfId="15395"/>
    <cellStyle name="Normal 2 2 2 9 2 2 2 2 2 11" xfId="15396"/>
    <cellStyle name="Normal 2 2 2 9 2 2 2 2 2 2" xfId="15397"/>
    <cellStyle name="Normal 2 2 2 9 2 2 2 2 2 2 2" xfId="15398"/>
    <cellStyle name="Normal 2 2 2 9 2 2 2 2 2 3" xfId="15399"/>
    <cellStyle name="Normal 2 2 2 9 2 2 2 2 2 3 2" xfId="15400"/>
    <cellStyle name="Normal 2 2 2 9 2 2 2 2 2 4" xfId="15401"/>
    <cellStyle name="Normal 2 2 2 9 2 2 2 2 2 4 2" xfId="15402"/>
    <cellStyle name="Normal 2 2 2 9 2 2 2 2 2 5" xfId="15403"/>
    <cellStyle name="Normal 2 2 2 9 2 2 2 2 2 5 2" xfId="15404"/>
    <cellStyle name="Normal 2 2 2 9 2 2 2 2 2 6" xfId="15405"/>
    <cellStyle name="Normal 2 2 2 9 2 2 2 2 2 6 2" xfId="15406"/>
    <cellStyle name="Normal 2 2 2 9 2 2 2 2 2 7" xfId="15407"/>
    <cellStyle name="Normal 2 2 2 9 2 2 2 2 2 7 2" xfId="15408"/>
    <cellStyle name="Normal 2 2 2 9 2 2 2 2 2 8" xfId="15409"/>
    <cellStyle name="Normal 2 2 2 9 2 2 2 2 2 8 2" xfId="15410"/>
    <cellStyle name="Normal 2 2 2 9 2 2 2 2 2 9" xfId="15411"/>
    <cellStyle name="Normal 2 2 2 9 2 2 2 2 2 9 2" xfId="15412"/>
    <cellStyle name="Normal 2 2 2 9 2 2 2 2 3" xfId="15413"/>
    <cellStyle name="Normal 2 2 2 9 2 2 2 2 3 2" xfId="15414"/>
    <cellStyle name="Normal 2 2 2 9 2 2 2 2 4" xfId="15415"/>
    <cellStyle name="Normal 2 2 2 9 2 2 2 2 4 2" xfId="15416"/>
    <cellStyle name="Normal 2 2 2 9 2 2 2 2 5" xfId="15417"/>
    <cellStyle name="Normal 2 2 2 9 2 2 2 2 5 2" xfId="15418"/>
    <cellStyle name="Normal 2 2 2 9 2 2 2 2 6" xfId="15419"/>
    <cellStyle name="Normal 2 2 2 9 2 2 2 2 6 2" xfId="15420"/>
    <cellStyle name="Normal 2 2 2 9 2 2 2 2 7" xfId="15421"/>
    <cellStyle name="Normal 2 2 2 9 2 2 2 2 7 2" xfId="15422"/>
    <cellStyle name="Normal 2 2 2 9 2 2 2 2 8" xfId="15423"/>
    <cellStyle name="Normal 2 2 2 9 2 2 2 2 8 2" xfId="15424"/>
    <cellStyle name="Normal 2 2 2 9 2 2 2 2 9" xfId="15425"/>
    <cellStyle name="Normal 2 2 2 9 2 2 2 2 9 2" xfId="15426"/>
    <cellStyle name="Normal 2 2 2 9 2 2 2 3" xfId="15427"/>
    <cellStyle name="Normal 2 2 2 9 2 2 2 3 10" xfId="15428"/>
    <cellStyle name="Normal 2 2 2 9 2 2 2 3 10 2" xfId="15429"/>
    <cellStyle name="Normal 2 2 2 9 2 2 2 3 11" xfId="15430"/>
    <cellStyle name="Normal 2 2 2 9 2 2 2 3 2" xfId="15431"/>
    <cellStyle name="Normal 2 2 2 9 2 2 2 3 2 2" xfId="15432"/>
    <cellStyle name="Normal 2 2 2 9 2 2 2 3 3" xfId="15433"/>
    <cellStyle name="Normal 2 2 2 9 2 2 2 3 3 2" xfId="15434"/>
    <cellStyle name="Normal 2 2 2 9 2 2 2 3 4" xfId="15435"/>
    <cellStyle name="Normal 2 2 2 9 2 2 2 3 4 2" xfId="15436"/>
    <cellStyle name="Normal 2 2 2 9 2 2 2 3 5" xfId="15437"/>
    <cellStyle name="Normal 2 2 2 9 2 2 2 3 5 2" xfId="15438"/>
    <cellStyle name="Normal 2 2 2 9 2 2 2 3 6" xfId="15439"/>
    <cellStyle name="Normal 2 2 2 9 2 2 2 3 6 2" xfId="15440"/>
    <cellStyle name="Normal 2 2 2 9 2 2 2 3 7" xfId="15441"/>
    <cellStyle name="Normal 2 2 2 9 2 2 2 3 7 2" xfId="15442"/>
    <cellStyle name="Normal 2 2 2 9 2 2 2 3 8" xfId="15443"/>
    <cellStyle name="Normal 2 2 2 9 2 2 2 3 8 2" xfId="15444"/>
    <cellStyle name="Normal 2 2 2 9 2 2 2 3 9" xfId="15445"/>
    <cellStyle name="Normal 2 2 2 9 2 2 2 3 9 2" xfId="15446"/>
    <cellStyle name="Normal 2 2 2 9 2 2 2 4" xfId="15447"/>
    <cellStyle name="Normal 2 2 2 9 2 2 2 4 2" xfId="15448"/>
    <cellStyle name="Normal 2 2 2 9 2 2 2 5" xfId="15449"/>
    <cellStyle name="Normal 2 2 2 9 2 2 2 5 2" xfId="15450"/>
    <cellStyle name="Normal 2 2 2 9 2 2 2 6" xfId="15451"/>
    <cellStyle name="Normal 2 2 2 9 2 2 2 6 2" xfId="15452"/>
    <cellStyle name="Normal 2 2 2 9 2 2 2 7" xfId="15453"/>
    <cellStyle name="Normal 2 2 2 9 2 2 2 7 2" xfId="15454"/>
    <cellStyle name="Normal 2 2 2 9 2 2 2 8" xfId="15455"/>
    <cellStyle name="Normal 2 2 2 9 2 2 2 8 2" xfId="15456"/>
    <cellStyle name="Normal 2 2 2 9 2 2 2 9" xfId="15457"/>
    <cellStyle name="Normal 2 2 2 9 2 2 2 9 2" xfId="15458"/>
    <cellStyle name="Normal 2 2 2 9 2 2 3" xfId="364"/>
    <cellStyle name="Normal 2 2 2 9 2 2 3 10" xfId="15459"/>
    <cellStyle name="Normal 2 2 2 9 2 2 3 10 2" xfId="15460"/>
    <cellStyle name="Normal 2 2 2 9 2 2 3 11" xfId="15461"/>
    <cellStyle name="Normal 2 2 2 9 2 2 3 11 2" xfId="15462"/>
    <cellStyle name="Normal 2 2 2 9 2 2 3 12" xfId="15463"/>
    <cellStyle name="Normal 2 2 2 9 2 2 3 12 2" xfId="15464"/>
    <cellStyle name="Normal 2 2 2 9 2 2 3 13" xfId="15465"/>
    <cellStyle name="Normal 2 2 2 9 2 2 3 2" xfId="15466"/>
    <cellStyle name="Normal 2 2 2 9 2 2 3 2 10" xfId="15467"/>
    <cellStyle name="Normal 2 2 2 9 2 2 3 2 10 2" xfId="15468"/>
    <cellStyle name="Normal 2 2 2 9 2 2 3 2 11" xfId="15469"/>
    <cellStyle name="Normal 2 2 2 9 2 2 3 2 11 2" xfId="15470"/>
    <cellStyle name="Normal 2 2 2 9 2 2 3 2 12" xfId="15471"/>
    <cellStyle name="Normal 2 2 2 9 2 2 3 2 2" xfId="15472"/>
    <cellStyle name="Normal 2 2 2 9 2 2 3 2 2 10" xfId="15473"/>
    <cellStyle name="Normal 2 2 2 9 2 2 3 2 2 10 2" xfId="15474"/>
    <cellStyle name="Normal 2 2 2 9 2 2 3 2 2 11" xfId="15475"/>
    <cellStyle name="Normal 2 2 2 9 2 2 3 2 2 2" xfId="15476"/>
    <cellStyle name="Normal 2 2 2 9 2 2 3 2 2 2 2" xfId="15477"/>
    <cellStyle name="Normal 2 2 2 9 2 2 3 2 2 3" xfId="15478"/>
    <cellStyle name="Normal 2 2 2 9 2 2 3 2 2 3 2" xfId="15479"/>
    <cellStyle name="Normal 2 2 2 9 2 2 3 2 2 4" xfId="15480"/>
    <cellStyle name="Normal 2 2 2 9 2 2 3 2 2 4 2" xfId="15481"/>
    <cellStyle name="Normal 2 2 2 9 2 2 3 2 2 5" xfId="15482"/>
    <cellStyle name="Normal 2 2 2 9 2 2 3 2 2 5 2" xfId="15483"/>
    <cellStyle name="Normal 2 2 2 9 2 2 3 2 2 6" xfId="15484"/>
    <cellStyle name="Normal 2 2 2 9 2 2 3 2 2 6 2" xfId="15485"/>
    <cellStyle name="Normal 2 2 2 9 2 2 3 2 2 7" xfId="15486"/>
    <cellStyle name="Normal 2 2 2 9 2 2 3 2 2 7 2" xfId="15487"/>
    <cellStyle name="Normal 2 2 2 9 2 2 3 2 2 8" xfId="15488"/>
    <cellStyle name="Normal 2 2 2 9 2 2 3 2 2 8 2" xfId="15489"/>
    <cellStyle name="Normal 2 2 2 9 2 2 3 2 2 9" xfId="15490"/>
    <cellStyle name="Normal 2 2 2 9 2 2 3 2 2 9 2" xfId="15491"/>
    <cellStyle name="Normal 2 2 2 9 2 2 3 2 3" xfId="15492"/>
    <cellStyle name="Normal 2 2 2 9 2 2 3 2 3 2" xfId="15493"/>
    <cellStyle name="Normal 2 2 2 9 2 2 3 2 4" xfId="15494"/>
    <cellStyle name="Normal 2 2 2 9 2 2 3 2 4 2" xfId="15495"/>
    <cellStyle name="Normal 2 2 2 9 2 2 3 2 5" xfId="15496"/>
    <cellStyle name="Normal 2 2 2 9 2 2 3 2 5 2" xfId="15497"/>
    <cellStyle name="Normal 2 2 2 9 2 2 3 2 6" xfId="15498"/>
    <cellStyle name="Normal 2 2 2 9 2 2 3 2 6 2" xfId="15499"/>
    <cellStyle name="Normal 2 2 2 9 2 2 3 2 7" xfId="15500"/>
    <cellStyle name="Normal 2 2 2 9 2 2 3 2 7 2" xfId="15501"/>
    <cellStyle name="Normal 2 2 2 9 2 2 3 2 8" xfId="15502"/>
    <cellStyle name="Normal 2 2 2 9 2 2 3 2 8 2" xfId="15503"/>
    <cellStyle name="Normal 2 2 2 9 2 2 3 2 9" xfId="15504"/>
    <cellStyle name="Normal 2 2 2 9 2 2 3 2 9 2" xfId="15505"/>
    <cellStyle name="Normal 2 2 2 9 2 2 3 3" xfId="15506"/>
    <cellStyle name="Normal 2 2 2 9 2 2 3 3 10" xfId="15507"/>
    <cellStyle name="Normal 2 2 2 9 2 2 3 3 10 2" xfId="15508"/>
    <cellStyle name="Normal 2 2 2 9 2 2 3 3 11" xfId="15509"/>
    <cellStyle name="Normal 2 2 2 9 2 2 3 3 2" xfId="15510"/>
    <cellStyle name="Normal 2 2 2 9 2 2 3 3 2 2" xfId="15511"/>
    <cellStyle name="Normal 2 2 2 9 2 2 3 3 3" xfId="15512"/>
    <cellStyle name="Normal 2 2 2 9 2 2 3 3 3 2" xfId="15513"/>
    <cellStyle name="Normal 2 2 2 9 2 2 3 3 4" xfId="15514"/>
    <cellStyle name="Normal 2 2 2 9 2 2 3 3 4 2" xfId="15515"/>
    <cellStyle name="Normal 2 2 2 9 2 2 3 3 5" xfId="15516"/>
    <cellStyle name="Normal 2 2 2 9 2 2 3 3 5 2" xfId="15517"/>
    <cellStyle name="Normal 2 2 2 9 2 2 3 3 6" xfId="15518"/>
    <cellStyle name="Normal 2 2 2 9 2 2 3 3 6 2" xfId="15519"/>
    <cellStyle name="Normal 2 2 2 9 2 2 3 3 7" xfId="15520"/>
    <cellStyle name="Normal 2 2 2 9 2 2 3 3 7 2" xfId="15521"/>
    <cellStyle name="Normal 2 2 2 9 2 2 3 3 8" xfId="15522"/>
    <cellStyle name="Normal 2 2 2 9 2 2 3 3 8 2" xfId="15523"/>
    <cellStyle name="Normal 2 2 2 9 2 2 3 3 9" xfId="15524"/>
    <cellStyle name="Normal 2 2 2 9 2 2 3 3 9 2" xfId="15525"/>
    <cellStyle name="Normal 2 2 2 9 2 2 3 4" xfId="15526"/>
    <cellStyle name="Normal 2 2 2 9 2 2 3 4 2" xfId="15527"/>
    <cellStyle name="Normal 2 2 2 9 2 2 3 5" xfId="15528"/>
    <cellStyle name="Normal 2 2 2 9 2 2 3 5 2" xfId="15529"/>
    <cellStyle name="Normal 2 2 2 9 2 2 3 6" xfId="15530"/>
    <cellStyle name="Normal 2 2 2 9 2 2 3 6 2" xfId="15531"/>
    <cellStyle name="Normal 2 2 2 9 2 2 3 7" xfId="15532"/>
    <cellStyle name="Normal 2 2 2 9 2 2 3 7 2" xfId="15533"/>
    <cellStyle name="Normal 2 2 2 9 2 2 3 8" xfId="15534"/>
    <cellStyle name="Normal 2 2 2 9 2 2 3 8 2" xfId="15535"/>
    <cellStyle name="Normal 2 2 2 9 2 2 3 9" xfId="15536"/>
    <cellStyle name="Normal 2 2 2 9 2 2 3 9 2" xfId="15537"/>
    <cellStyle name="Normal 2 2 2 9 2 2 4" xfId="365"/>
    <cellStyle name="Normal 2 2 2 9 2 2 4 10" xfId="15538"/>
    <cellStyle name="Normal 2 2 2 9 2 2 4 10 2" xfId="15539"/>
    <cellStyle name="Normal 2 2 2 9 2 2 4 11" xfId="15540"/>
    <cellStyle name="Normal 2 2 2 9 2 2 4 11 2" xfId="15541"/>
    <cellStyle name="Normal 2 2 2 9 2 2 4 12" xfId="15542"/>
    <cellStyle name="Normal 2 2 2 9 2 2 4 12 2" xfId="15543"/>
    <cellStyle name="Normal 2 2 2 9 2 2 4 13" xfId="15544"/>
    <cellStyle name="Normal 2 2 2 9 2 2 4 2" xfId="15545"/>
    <cellStyle name="Normal 2 2 2 9 2 2 4 2 10" xfId="15546"/>
    <cellStyle name="Normal 2 2 2 9 2 2 4 2 10 2" xfId="15547"/>
    <cellStyle name="Normal 2 2 2 9 2 2 4 2 11" xfId="15548"/>
    <cellStyle name="Normal 2 2 2 9 2 2 4 2 11 2" xfId="15549"/>
    <cellStyle name="Normal 2 2 2 9 2 2 4 2 12" xfId="15550"/>
    <cellStyle name="Normal 2 2 2 9 2 2 4 2 2" xfId="15551"/>
    <cellStyle name="Normal 2 2 2 9 2 2 4 2 2 10" xfId="15552"/>
    <cellStyle name="Normal 2 2 2 9 2 2 4 2 2 10 2" xfId="15553"/>
    <cellStyle name="Normal 2 2 2 9 2 2 4 2 2 11" xfId="15554"/>
    <cellStyle name="Normal 2 2 2 9 2 2 4 2 2 2" xfId="15555"/>
    <cellStyle name="Normal 2 2 2 9 2 2 4 2 2 2 2" xfId="15556"/>
    <cellStyle name="Normal 2 2 2 9 2 2 4 2 2 3" xfId="15557"/>
    <cellStyle name="Normal 2 2 2 9 2 2 4 2 2 3 2" xfId="15558"/>
    <cellStyle name="Normal 2 2 2 9 2 2 4 2 2 4" xfId="15559"/>
    <cellStyle name="Normal 2 2 2 9 2 2 4 2 2 4 2" xfId="15560"/>
    <cellStyle name="Normal 2 2 2 9 2 2 4 2 2 5" xfId="15561"/>
    <cellStyle name="Normal 2 2 2 9 2 2 4 2 2 5 2" xfId="15562"/>
    <cellStyle name="Normal 2 2 2 9 2 2 4 2 2 6" xfId="15563"/>
    <cellStyle name="Normal 2 2 2 9 2 2 4 2 2 6 2" xfId="15564"/>
    <cellStyle name="Normal 2 2 2 9 2 2 4 2 2 7" xfId="15565"/>
    <cellStyle name="Normal 2 2 2 9 2 2 4 2 2 7 2" xfId="15566"/>
    <cellStyle name="Normal 2 2 2 9 2 2 4 2 2 8" xfId="15567"/>
    <cellStyle name="Normal 2 2 2 9 2 2 4 2 2 8 2" xfId="15568"/>
    <cellStyle name="Normal 2 2 2 9 2 2 4 2 2 9" xfId="15569"/>
    <cellStyle name="Normal 2 2 2 9 2 2 4 2 2 9 2" xfId="15570"/>
    <cellStyle name="Normal 2 2 2 9 2 2 4 2 3" xfId="15571"/>
    <cellStyle name="Normal 2 2 2 9 2 2 4 2 3 2" xfId="15572"/>
    <cellStyle name="Normal 2 2 2 9 2 2 4 2 4" xfId="15573"/>
    <cellStyle name="Normal 2 2 2 9 2 2 4 2 4 2" xfId="15574"/>
    <cellStyle name="Normal 2 2 2 9 2 2 4 2 5" xfId="15575"/>
    <cellStyle name="Normal 2 2 2 9 2 2 4 2 5 2" xfId="15576"/>
    <cellStyle name="Normal 2 2 2 9 2 2 4 2 6" xfId="15577"/>
    <cellStyle name="Normal 2 2 2 9 2 2 4 2 6 2" xfId="15578"/>
    <cellStyle name="Normal 2 2 2 9 2 2 4 2 7" xfId="15579"/>
    <cellStyle name="Normal 2 2 2 9 2 2 4 2 7 2" xfId="15580"/>
    <cellStyle name="Normal 2 2 2 9 2 2 4 2 8" xfId="15581"/>
    <cellStyle name="Normal 2 2 2 9 2 2 4 2 8 2" xfId="15582"/>
    <cellStyle name="Normal 2 2 2 9 2 2 4 2 9" xfId="15583"/>
    <cellStyle name="Normal 2 2 2 9 2 2 4 2 9 2" xfId="15584"/>
    <cellStyle name="Normal 2 2 2 9 2 2 4 3" xfId="15585"/>
    <cellStyle name="Normal 2 2 2 9 2 2 4 3 10" xfId="15586"/>
    <cellStyle name="Normal 2 2 2 9 2 2 4 3 10 2" xfId="15587"/>
    <cellStyle name="Normal 2 2 2 9 2 2 4 3 11" xfId="15588"/>
    <cellStyle name="Normal 2 2 2 9 2 2 4 3 2" xfId="15589"/>
    <cellStyle name="Normal 2 2 2 9 2 2 4 3 2 2" xfId="15590"/>
    <cellStyle name="Normal 2 2 2 9 2 2 4 3 3" xfId="15591"/>
    <cellStyle name="Normal 2 2 2 9 2 2 4 3 3 2" xfId="15592"/>
    <cellStyle name="Normal 2 2 2 9 2 2 4 3 4" xfId="15593"/>
    <cellStyle name="Normal 2 2 2 9 2 2 4 3 4 2" xfId="15594"/>
    <cellStyle name="Normal 2 2 2 9 2 2 4 3 5" xfId="15595"/>
    <cellStyle name="Normal 2 2 2 9 2 2 4 3 5 2" xfId="15596"/>
    <cellStyle name="Normal 2 2 2 9 2 2 4 3 6" xfId="15597"/>
    <cellStyle name="Normal 2 2 2 9 2 2 4 3 6 2" xfId="15598"/>
    <cellStyle name="Normal 2 2 2 9 2 2 4 3 7" xfId="15599"/>
    <cellStyle name="Normal 2 2 2 9 2 2 4 3 7 2" xfId="15600"/>
    <cellStyle name="Normal 2 2 2 9 2 2 4 3 8" xfId="15601"/>
    <cellStyle name="Normal 2 2 2 9 2 2 4 3 8 2" xfId="15602"/>
    <cellStyle name="Normal 2 2 2 9 2 2 4 3 9" xfId="15603"/>
    <cellStyle name="Normal 2 2 2 9 2 2 4 3 9 2" xfId="15604"/>
    <cellStyle name="Normal 2 2 2 9 2 2 4 4" xfId="15605"/>
    <cellStyle name="Normal 2 2 2 9 2 2 4 4 2" xfId="15606"/>
    <cellStyle name="Normal 2 2 2 9 2 2 4 5" xfId="15607"/>
    <cellStyle name="Normal 2 2 2 9 2 2 4 5 2" xfId="15608"/>
    <cellStyle name="Normal 2 2 2 9 2 2 4 6" xfId="15609"/>
    <cellStyle name="Normal 2 2 2 9 2 2 4 6 2" xfId="15610"/>
    <cellStyle name="Normal 2 2 2 9 2 2 4 7" xfId="15611"/>
    <cellStyle name="Normal 2 2 2 9 2 2 4 7 2" xfId="15612"/>
    <cellStyle name="Normal 2 2 2 9 2 2 4 8" xfId="15613"/>
    <cellStyle name="Normal 2 2 2 9 2 2 4 8 2" xfId="15614"/>
    <cellStyle name="Normal 2 2 2 9 2 2 4 9" xfId="15615"/>
    <cellStyle name="Normal 2 2 2 9 2 2 4 9 2" xfId="15616"/>
    <cellStyle name="Normal 2 2 2 9 2 2 5" xfId="366"/>
    <cellStyle name="Normal 2 2 2 9 2 2 5 10" xfId="15617"/>
    <cellStyle name="Normal 2 2 2 9 2 2 5 10 2" xfId="15618"/>
    <cellStyle name="Normal 2 2 2 9 2 2 5 11" xfId="15619"/>
    <cellStyle name="Normal 2 2 2 9 2 2 5 11 2" xfId="15620"/>
    <cellStyle name="Normal 2 2 2 9 2 2 5 12" xfId="15621"/>
    <cellStyle name="Normal 2 2 2 9 2 2 5 12 2" xfId="15622"/>
    <cellStyle name="Normal 2 2 2 9 2 2 5 13" xfId="15623"/>
    <cellStyle name="Normal 2 2 2 9 2 2 5 2" xfId="15624"/>
    <cellStyle name="Normal 2 2 2 9 2 2 5 2 10" xfId="15625"/>
    <cellStyle name="Normal 2 2 2 9 2 2 5 2 10 2" xfId="15626"/>
    <cellStyle name="Normal 2 2 2 9 2 2 5 2 11" xfId="15627"/>
    <cellStyle name="Normal 2 2 2 9 2 2 5 2 11 2" xfId="15628"/>
    <cellStyle name="Normal 2 2 2 9 2 2 5 2 12" xfId="15629"/>
    <cellStyle name="Normal 2 2 2 9 2 2 5 2 2" xfId="15630"/>
    <cellStyle name="Normal 2 2 2 9 2 2 5 2 2 10" xfId="15631"/>
    <cellStyle name="Normal 2 2 2 9 2 2 5 2 2 10 2" xfId="15632"/>
    <cellStyle name="Normal 2 2 2 9 2 2 5 2 2 11" xfId="15633"/>
    <cellStyle name="Normal 2 2 2 9 2 2 5 2 2 2" xfId="15634"/>
    <cellStyle name="Normal 2 2 2 9 2 2 5 2 2 2 2" xfId="15635"/>
    <cellStyle name="Normal 2 2 2 9 2 2 5 2 2 3" xfId="15636"/>
    <cellStyle name="Normal 2 2 2 9 2 2 5 2 2 3 2" xfId="15637"/>
    <cellStyle name="Normal 2 2 2 9 2 2 5 2 2 4" xfId="15638"/>
    <cellStyle name="Normal 2 2 2 9 2 2 5 2 2 4 2" xfId="15639"/>
    <cellStyle name="Normal 2 2 2 9 2 2 5 2 2 5" xfId="15640"/>
    <cellStyle name="Normal 2 2 2 9 2 2 5 2 2 5 2" xfId="15641"/>
    <cellStyle name="Normal 2 2 2 9 2 2 5 2 2 6" xfId="15642"/>
    <cellStyle name="Normal 2 2 2 9 2 2 5 2 2 6 2" xfId="15643"/>
    <cellStyle name="Normal 2 2 2 9 2 2 5 2 2 7" xfId="15644"/>
    <cellStyle name="Normal 2 2 2 9 2 2 5 2 2 7 2" xfId="15645"/>
    <cellStyle name="Normal 2 2 2 9 2 2 5 2 2 8" xfId="15646"/>
    <cellStyle name="Normal 2 2 2 9 2 2 5 2 2 8 2" xfId="15647"/>
    <cellStyle name="Normal 2 2 2 9 2 2 5 2 2 9" xfId="15648"/>
    <cellStyle name="Normal 2 2 2 9 2 2 5 2 2 9 2" xfId="15649"/>
    <cellStyle name="Normal 2 2 2 9 2 2 5 2 3" xfId="15650"/>
    <cellStyle name="Normal 2 2 2 9 2 2 5 2 3 2" xfId="15651"/>
    <cellStyle name="Normal 2 2 2 9 2 2 5 2 4" xfId="15652"/>
    <cellStyle name="Normal 2 2 2 9 2 2 5 2 4 2" xfId="15653"/>
    <cellStyle name="Normal 2 2 2 9 2 2 5 2 5" xfId="15654"/>
    <cellStyle name="Normal 2 2 2 9 2 2 5 2 5 2" xfId="15655"/>
    <cellStyle name="Normal 2 2 2 9 2 2 5 2 6" xfId="15656"/>
    <cellStyle name="Normal 2 2 2 9 2 2 5 2 6 2" xfId="15657"/>
    <cellStyle name="Normal 2 2 2 9 2 2 5 2 7" xfId="15658"/>
    <cellStyle name="Normal 2 2 2 9 2 2 5 2 7 2" xfId="15659"/>
    <cellStyle name="Normal 2 2 2 9 2 2 5 2 8" xfId="15660"/>
    <cellStyle name="Normal 2 2 2 9 2 2 5 2 8 2" xfId="15661"/>
    <cellStyle name="Normal 2 2 2 9 2 2 5 2 9" xfId="15662"/>
    <cellStyle name="Normal 2 2 2 9 2 2 5 2 9 2" xfId="15663"/>
    <cellStyle name="Normal 2 2 2 9 2 2 5 3" xfId="15664"/>
    <cellStyle name="Normal 2 2 2 9 2 2 5 3 10" xfId="15665"/>
    <cellStyle name="Normal 2 2 2 9 2 2 5 3 10 2" xfId="15666"/>
    <cellStyle name="Normal 2 2 2 9 2 2 5 3 11" xfId="15667"/>
    <cellStyle name="Normal 2 2 2 9 2 2 5 3 2" xfId="15668"/>
    <cellStyle name="Normal 2 2 2 9 2 2 5 3 2 2" xfId="15669"/>
    <cellStyle name="Normal 2 2 2 9 2 2 5 3 3" xfId="15670"/>
    <cellStyle name="Normal 2 2 2 9 2 2 5 3 3 2" xfId="15671"/>
    <cellStyle name="Normal 2 2 2 9 2 2 5 3 4" xfId="15672"/>
    <cellStyle name="Normal 2 2 2 9 2 2 5 3 4 2" xfId="15673"/>
    <cellStyle name="Normal 2 2 2 9 2 2 5 3 5" xfId="15674"/>
    <cellStyle name="Normal 2 2 2 9 2 2 5 3 5 2" xfId="15675"/>
    <cellStyle name="Normal 2 2 2 9 2 2 5 3 6" xfId="15676"/>
    <cellStyle name="Normal 2 2 2 9 2 2 5 3 6 2" xfId="15677"/>
    <cellStyle name="Normal 2 2 2 9 2 2 5 3 7" xfId="15678"/>
    <cellStyle name="Normal 2 2 2 9 2 2 5 3 7 2" xfId="15679"/>
    <cellStyle name="Normal 2 2 2 9 2 2 5 3 8" xfId="15680"/>
    <cellStyle name="Normal 2 2 2 9 2 2 5 3 8 2" xfId="15681"/>
    <cellStyle name="Normal 2 2 2 9 2 2 5 3 9" xfId="15682"/>
    <cellStyle name="Normal 2 2 2 9 2 2 5 3 9 2" xfId="15683"/>
    <cellStyle name="Normal 2 2 2 9 2 2 5 4" xfId="15684"/>
    <cellStyle name="Normal 2 2 2 9 2 2 5 4 2" xfId="15685"/>
    <cellStyle name="Normal 2 2 2 9 2 2 5 5" xfId="15686"/>
    <cellStyle name="Normal 2 2 2 9 2 2 5 5 2" xfId="15687"/>
    <cellStyle name="Normal 2 2 2 9 2 2 5 6" xfId="15688"/>
    <cellStyle name="Normal 2 2 2 9 2 2 5 6 2" xfId="15689"/>
    <cellStyle name="Normal 2 2 2 9 2 2 5 7" xfId="15690"/>
    <cellStyle name="Normal 2 2 2 9 2 2 5 7 2" xfId="15691"/>
    <cellStyle name="Normal 2 2 2 9 2 2 5 8" xfId="15692"/>
    <cellStyle name="Normal 2 2 2 9 2 2 5 8 2" xfId="15693"/>
    <cellStyle name="Normal 2 2 2 9 2 2 5 9" xfId="15694"/>
    <cellStyle name="Normal 2 2 2 9 2 2 5 9 2" xfId="15695"/>
    <cellStyle name="Normal 2 2 2 9 2 2 6" xfId="367"/>
    <cellStyle name="Normal 2 2 2 9 2 3" xfId="368"/>
    <cellStyle name="Normal 2 2 2 9 2 3 2" xfId="369"/>
    <cellStyle name="Normal 2 2 2 9 2 4" xfId="370"/>
    <cellStyle name="Normal 2 2 2 9 2 4 2" xfId="371"/>
    <cellStyle name="Normal 2 2 2 9 2 5" xfId="372"/>
    <cellStyle name="Normal 2 2 2 9 2 5 2" xfId="373"/>
    <cellStyle name="Normal 2 2 2 9 2 6" xfId="15696"/>
    <cellStyle name="Normal 2 2 2 9 2 6 10" xfId="15697"/>
    <cellStyle name="Normal 2 2 2 9 2 6 10 2" xfId="15698"/>
    <cellStyle name="Normal 2 2 2 9 2 6 11" xfId="15699"/>
    <cellStyle name="Normal 2 2 2 9 2 6 11 2" xfId="15700"/>
    <cellStyle name="Normal 2 2 2 9 2 6 12" xfId="15701"/>
    <cellStyle name="Normal 2 2 2 9 2 6 2" xfId="15702"/>
    <cellStyle name="Normal 2 2 2 9 2 6 2 10" xfId="15703"/>
    <cellStyle name="Normal 2 2 2 9 2 6 2 10 2" xfId="15704"/>
    <cellStyle name="Normal 2 2 2 9 2 6 2 11" xfId="15705"/>
    <cellStyle name="Normal 2 2 2 9 2 6 2 2" xfId="15706"/>
    <cellStyle name="Normal 2 2 2 9 2 6 2 2 2" xfId="15707"/>
    <cellStyle name="Normal 2 2 2 9 2 6 2 3" xfId="15708"/>
    <cellStyle name="Normal 2 2 2 9 2 6 2 3 2" xfId="15709"/>
    <cellStyle name="Normal 2 2 2 9 2 6 2 4" xfId="15710"/>
    <cellStyle name="Normal 2 2 2 9 2 6 2 4 2" xfId="15711"/>
    <cellStyle name="Normal 2 2 2 9 2 6 2 5" xfId="15712"/>
    <cellStyle name="Normal 2 2 2 9 2 6 2 5 2" xfId="15713"/>
    <cellStyle name="Normal 2 2 2 9 2 6 2 6" xfId="15714"/>
    <cellStyle name="Normal 2 2 2 9 2 6 2 6 2" xfId="15715"/>
    <cellStyle name="Normal 2 2 2 9 2 6 2 7" xfId="15716"/>
    <cellStyle name="Normal 2 2 2 9 2 6 2 7 2" xfId="15717"/>
    <cellStyle name="Normal 2 2 2 9 2 6 2 8" xfId="15718"/>
    <cellStyle name="Normal 2 2 2 9 2 6 2 8 2" xfId="15719"/>
    <cellStyle name="Normal 2 2 2 9 2 6 2 9" xfId="15720"/>
    <cellStyle name="Normal 2 2 2 9 2 6 2 9 2" xfId="15721"/>
    <cellStyle name="Normal 2 2 2 9 2 6 3" xfId="15722"/>
    <cellStyle name="Normal 2 2 2 9 2 6 3 2" xfId="15723"/>
    <cellStyle name="Normal 2 2 2 9 2 6 4" xfId="15724"/>
    <cellStyle name="Normal 2 2 2 9 2 6 4 2" xfId="15725"/>
    <cellStyle name="Normal 2 2 2 9 2 6 5" xfId="15726"/>
    <cellStyle name="Normal 2 2 2 9 2 6 5 2" xfId="15727"/>
    <cellStyle name="Normal 2 2 2 9 2 6 6" xfId="15728"/>
    <cellStyle name="Normal 2 2 2 9 2 6 6 2" xfId="15729"/>
    <cellStyle name="Normal 2 2 2 9 2 6 7" xfId="15730"/>
    <cellStyle name="Normal 2 2 2 9 2 6 7 2" xfId="15731"/>
    <cellStyle name="Normal 2 2 2 9 2 6 8" xfId="15732"/>
    <cellStyle name="Normal 2 2 2 9 2 6 8 2" xfId="15733"/>
    <cellStyle name="Normal 2 2 2 9 2 6 9" xfId="15734"/>
    <cellStyle name="Normal 2 2 2 9 2 6 9 2" xfId="15735"/>
    <cellStyle name="Normal 2 2 2 9 2 7" xfId="15736"/>
    <cellStyle name="Normal 2 2 2 9 2 7 10" xfId="15737"/>
    <cellStyle name="Normal 2 2 2 9 2 7 10 2" xfId="15738"/>
    <cellStyle name="Normal 2 2 2 9 2 7 11" xfId="15739"/>
    <cellStyle name="Normal 2 2 2 9 2 7 2" xfId="15740"/>
    <cellStyle name="Normal 2 2 2 9 2 7 2 2" xfId="15741"/>
    <cellStyle name="Normal 2 2 2 9 2 7 3" xfId="15742"/>
    <cellStyle name="Normal 2 2 2 9 2 7 3 2" xfId="15743"/>
    <cellStyle name="Normal 2 2 2 9 2 7 4" xfId="15744"/>
    <cellStyle name="Normal 2 2 2 9 2 7 4 2" xfId="15745"/>
    <cellStyle name="Normal 2 2 2 9 2 7 5" xfId="15746"/>
    <cellStyle name="Normal 2 2 2 9 2 7 5 2" xfId="15747"/>
    <cellStyle name="Normal 2 2 2 9 2 7 6" xfId="15748"/>
    <cellStyle name="Normal 2 2 2 9 2 7 6 2" xfId="15749"/>
    <cellStyle name="Normal 2 2 2 9 2 7 7" xfId="15750"/>
    <cellStyle name="Normal 2 2 2 9 2 7 7 2" xfId="15751"/>
    <cellStyle name="Normal 2 2 2 9 2 7 8" xfId="15752"/>
    <cellStyle name="Normal 2 2 2 9 2 7 8 2" xfId="15753"/>
    <cellStyle name="Normal 2 2 2 9 2 7 9" xfId="15754"/>
    <cellStyle name="Normal 2 2 2 9 2 7 9 2" xfId="15755"/>
    <cellStyle name="Normal 2 2 2 9 2 8" xfId="15756"/>
    <cellStyle name="Normal 2 2 2 9 2 8 2" xfId="15757"/>
    <cellStyle name="Normal 2 2 2 9 2 9" xfId="15758"/>
    <cellStyle name="Normal 2 2 2 9 2 9 2" xfId="15759"/>
    <cellStyle name="Normal 2 2 2 9 3" xfId="374"/>
    <cellStyle name="Normal 2 2 2 9 3 10" xfId="15760"/>
    <cellStyle name="Normal 2 2 2 9 3 10 2" xfId="15761"/>
    <cellStyle name="Normal 2 2 2 9 3 11" xfId="15762"/>
    <cellStyle name="Normal 2 2 2 9 3 11 2" xfId="15763"/>
    <cellStyle name="Normal 2 2 2 9 3 12" xfId="15764"/>
    <cellStyle name="Normal 2 2 2 9 3 12 2" xfId="15765"/>
    <cellStyle name="Normal 2 2 2 9 3 13" xfId="15766"/>
    <cellStyle name="Normal 2 2 2 9 3 2" xfId="15767"/>
    <cellStyle name="Normal 2 2 2 9 3 2 10" xfId="15768"/>
    <cellStyle name="Normal 2 2 2 9 3 2 10 2" xfId="15769"/>
    <cellStyle name="Normal 2 2 2 9 3 2 11" xfId="15770"/>
    <cellStyle name="Normal 2 2 2 9 3 2 11 2" xfId="15771"/>
    <cellStyle name="Normal 2 2 2 9 3 2 12" xfId="15772"/>
    <cellStyle name="Normal 2 2 2 9 3 2 2" xfId="15773"/>
    <cellStyle name="Normal 2 2 2 9 3 2 2 10" xfId="15774"/>
    <cellStyle name="Normal 2 2 2 9 3 2 2 10 2" xfId="15775"/>
    <cellStyle name="Normal 2 2 2 9 3 2 2 11" xfId="15776"/>
    <cellStyle name="Normal 2 2 2 9 3 2 2 2" xfId="15777"/>
    <cellStyle name="Normal 2 2 2 9 3 2 2 2 2" xfId="15778"/>
    <cellStyle name="Normal 2 2 2 9 3 2 2 3" xfId="15779"/>
    <cellStyle name="Normal 2 2 2 9 3 2 2 3 2" xfId="15780"/>
    <cellStyle name="Normal 2 2 2 9 3 2 2 4" xfId="15781"/>
    <cellStyle name="Normal 2 2 2 9 3 2 2 4 2" xfId="15782"/>
    <cellStyle name="Normal 2 2 2 9 3 2 2 5" xfId="15783"/>
    <cellStyle name="Normal 2 2 2 9 3 2 2 5 2" xfId="15784"/>
    <cellStyle name="Normal 2 2 2 9 3 2 2 6" xfId="15785"/>
    <cellStyle name="Normal 2 2 2 9 3 2 2 6 2" xfId="15786"/>
    <cellStyle name="Normal 2 2 2 9 3 2 2 7" xfId="15787"/>
    <cellStyle name="Normal 2 2 2 9 3 2 2 7 2" xfId="15788"/>
    <cellStyle name="Normal 2 2 2 9 3 2 2 8" xfId="15789"/>
    <cellStyle name="Normal 2 2 2 9 3 2 2 8 2" xfId="15790"/>
    <cellStyle name="Normal 2 2 2 9 3 2 2 9" xfId="15791"/>
    <cellStyle name="Normal 2 2 2 9 3 2 2 9 2" xfId="15792"/>
    <cellStyle name="Normal 2 2 2 9 3 2 3" xfId="15793"/>
    <cellStyle name="Normal 2 2 2 9 3 2 3 2" xfId="15794"/>
    <cellStyle name="Normal 2 2 2 9 3 2 4" xfId="15795"/>
    <cellStyle name="Normal 2 2 2 9 3 2 4 2" xfId="15796"/>
    <cellStyle name="Normal 2 2 2 9 3 2 5" xfId="15797"/>
    <cellStyle name="Normal 2 2 2 9 3 2 5 2" xfId="15798"/>
    <cellStyle name="Normal 2 2 2 9 3 2 6" xfId="15799"/>
    <cellStyle name="Normal 2 2 2 9 3 2 6 2" xfId="15800"/>
    <cellStyle name="Normal 2 2 2 9 3 2 7" xfId="15801"/>
    <cellStyle name="Normal 2 2 2 9 3 2 7 2" xfId="15802"/>
    <cellStyle name="Normal 2 2 2 9 3 2 8" xfId="15803"/>
    <cellStyle name="Normal 2 2 2 9 3 2 8 2" xfId="15804"/>
    <cellStyle name="Normal 2 2 2 9 3 2 9" xfId="15805"/>
    <cellStyle name="Normal 2 2 2 9 3 2 9 2" xfId="15806"/>
    <cellStyle name="Normal 2 2 2 9 3 3" xfId="15807"/>
    <cellStyle name="Normal 2 2 2 9 3 3 10" xfId="15808"/>
    <cellStyle name="Normal 2 2 2 9 3 3 10 2" xfId="15809"/>
    <cellStyle name="Normal 2 2 2 9 3 3 11" xfId="15810"/>
    <cellStyle name="Normal 2 2 2 9 3 3 2" xfId="15811"/>
    <cellStyle name="Normal 2 2 2 9 3 3 2 2" xfId="15812"/>
    <cellStyle name="Normal 2 2 2 9 3 3 3" xfId="15813"/>
    <cellStyle name="Normal 2 2 2 9 3 3 3 2" xfId="15814"/>
    <cellStyle name="Normal 2 2 2 9 3 3 4" xfId="15815"/>
    <cellStyle name="Normal 2 2 2 9 3 3 4 2" xfId="15816"/>
    <cellStyle name="Normal 2 2 2 9 3 3 5" xfId="15817"/>
    <cellStyle name="Normal 2 2 2 9 3 3 5 2" xfId="15818"/>
    <cellStyle name="Normal 2 2 2 9 3 3 6" xfId="15819"/>
    <cellStyle name="Normal 2 2 2 9 3 3 6 2" xfId="15820"/>
    <cellStyle name="Normal 2 2 2 9 3 3 7" xfId="15821"/>
    <cellStyle name="Normal 2 2 2 9 3 3 7 2" xfId="15822"/>
    <cellStyle name="Normal 2 2 2 9 3 3 8" xfId="15823"/>
    <cellStyle name="Normal 2 2 2 9 3 3 8 2" xfId="15824"/>
    <cellStyle name="Normal 2 2 2 9 3 3 9" xfId="15825"/>
    <cellStyle name="Normal 2 2 2 9 3 3 9 2" xfId="15826"/>
    <cellStyle name="Normal 2 2 2 9 3 4" xfId="15827"/>
    <cellStyle name="Normal 2 2 2 9 3 4 2" xfId="15828"/>
    <cellStyle name="Normal 2 2 2 9 3 5" xfId="15829"/>
    <cellStyle name="Normal 2 2 2 9 3 5 2" xfId="15830"/>
    <cellStyle name="Normal 2 2 2 9 3 6" xfId="15831"/>
    <cellStyle name="Normal 2 2 2 9 3 6 2" xfId="15832"/>
    <cellStyle name="Normal 2 2 2 9 3 7" xfId="15833"/>
    <cellStyle name="Normal 2 2 2 9 3 7 2" xfId="15834"/>
    <cellStyle name="Normal 2 2 2 9 3 8" xfId="15835"/>
    <cellStyle name="Normal 2 2 2 9 3 8 2" xfId="15836"/>
    <cellStyle name="Normal 2 2 2 9 3 9" xfId="15837"/>
    <cellStyle name="Normal 2 2 2 9 3 9 2" xfId="15838"/>
    <cellStyle name="Normal 2 2 2 9 4" xfId="375"/>
    <cellStyle name="Normal 2 2 2 9 4 10" xfId="15839"/>
    <cellStyle name="Normal 2 2 2 9 4 10 2" xfId="15840"/>
    <cellStyle name="Normal 2 2 2 9 4 11" xfId="15841"/>
    <cellStyle name="Normal 2 2 2 9 4 11 2" xfId="15842"/>
    <cellStyle name="Normal 2 2 2 9 4 12" xfId="15843"/>
    <cellStyle name="Normal 2 2 2 9 4 12 2" xfId="15844"/>
    <cellStyle name="Normal 2 2 2 9 4 13" xfId="15845"/>
    <cellStyle name="Normal 2 2 2 9 4 2" xfId="15846"/>
    <cellStyle name="Normal 2 2 2 9 4 2 10" xfId="15847"/>
    <cellStyle name="Normal 2 2 2 9 4 2 10 2" xfId="15848"/>
    <cellStyle name="Normal 2 2 2 9 4 2 11" xfId="15849"/>
    <cellStyle name="Normal 2 2 2 9 4 2 11 2" xfId="15850"/>
    <cellStyle name="Normal 2 2 2 9 4 2 12" xfId="15851"/>
    <cellStyle name="Normal 2 2 2 9 4 2 2" xfId="15852"/>
    <cellStyle name="Normal 2 2 2 9 4 2 2 10" xfId="15853"/>
    <cellStyle name="Normal 2 2 2 9 4 2 2 10 2" xfId="15854"/>
    <cellStyle name="Normal 2 2 2 9 4 2 2 11" xfId="15855"/>
    <cellStyle name="Normal 2 2 2 9 4 2 2 2" xfId="15856"/>
    <cellStyle name="Normal 2 2 2 9 4 2 2 2 2" xfId="15857"/>
    <cellStyle name="Normal 2 2 2 9 4 2 2 3" xfId="15858"/>
    <cellStyle name="Normal 2 2 2 9 4 2 2 3 2" xfId="15859"/>
    <cellStyle name="Normal 2 2 2 9 4 2 2 4" xfId="15860"/>
    <cellStyle name="Normal 2 2 2 9 4 2 2 4 2" xfId="15861"/>
    <cellStyle name="Normal 2 2 2 9 4 2 2 5" xfId="15862"/>
    <cellStyle name="Normal 2 2 2 9 4 2 2 5 2" xfId="15863"/>
    <cellStyle name="Normal 2 2 2 9 4 2 2 6" xfId="15864"/>
    <cellStyle name="Normal 2 2 2 9 4 2 2 6 2" xfId="15865"/>
    <cellStyle name="Normal 2 2 2 9 4 2 2 7" xfId="15866"/>
    <cellStyle name="Normal 2 2 2 9 4 2 2 7 2" xfId="15867"/>
    <cellStyle name="Normal 2 2 2 9 4 2 2 8" xfId="15868"/>
    <cellStyle name="Normal 2 2 2 9 4 2 2 8 2" xfId="15869"/>
    <cellStyle name="Normal 2 2 2 9 4 2 2 9" xfId="15870"/>
    <cellStyle name="Normal 2 2 2 9 4 2 2 9 2" xfId="15871"/>
    <cellStyle name="Normal 2 2 2 9 4 2 3" xfId="15872"/>
    <cellStyle name="Normal 2 2 2 9 4 2 3 2" xfId="15873"/>
    <cellStyle name="Normal 2 2 2 9 4 2 4" xfId="15874"/>
    <cellStyle name="Normal 2 2 2 9 4 2 4 2" xfId="15875"/>
    <cellStyle name="Normal 2 2 2 9 4 2 5" xfId="15876"/>
    <cellStyle name="Normal 2 2 2 9 4 2 5 2" xfId="15877"/>
    <cellStyle name="Normal 2 2 2 9 4 2 6" xfId="15878"/>
    <cellStyle name="Normal 2 2 2 9 4 2 6 2" xfId="15879"/>
    <cellStyle name="Normal 2 2 2 9 4 2 7" xfId="15880"/>
    <cellStyle name="Normal 2 2 2 9 4 2 7 2" xfId="15881"/>
    <cellStyle name="Normal 2 2 2 9 4 2 8" xfId="15882"/>
    <cellStyle name="Normal 2 2 2 9 4 2 8 2" xfId="15883"/>
    <cellStyle name="Normal 2 2 2 9 4 2 9" xfId="15884"/>
    <cellStyle name="Normal 2 2 2 9 4 2 9 2" xfId="15885"/>
    <cellStyle name="Normal 2 2 2 9 4 3" xfId="15886"/>
    <cellStyle name="Normal 2 2 2 9 4 3 10" xfId="15887"/>
    <cellStyle name="Normal 2 2 2 9 4 3 10 2" xfId="15888"/>
    <cellStyle name="Normal 2 2 2 9 4 3 11" xfId="15889"/>
    <cellStyle name="Normal 2 2 2 9 4 3 2" xfId="15890"/>
    <cellStyle name="Normal 2 2 2 9 4 3 2 2" xfId="15891"/>
    <cellStyle name="Normal 2 2 2 9 4 3 3" xfId="15892"/>
    <cellStyle name="Normal 2 2 2 9 4 3 3 2" xfId="15893"/>
    <cellStyle name="Normal 2 2 2 9 4 3 4" xfId="15894"/>
    <cellStyle name="Normal 2 2 2 9 4 3 4 2" xfId="15895"/>
    <cellStyle name="Normal 2 2 2 9 4 3 5" xfId="15896"/>
    <cellStyle name="Normal 2 2 2 9 4 3 5 2" xfId="15897"/>
    <cellStyle name="Normal 2 2 2 9 4 3 6" xfId="15898"/>
    <cellStyle name="Normal 2 2 2 9 4 3 6 2" xfId="15899"/>
    <cellStyle name="Normal 2 2 2 9 4 3 7" xfId="15900"/>
    <cellStyle name="Normal 2 2 2 9 4 3 7 2" xfId="15901"/>
    <cellStyle name="Normal 2 2 2 9 4 3 8" xfId="15902"/>
    <cellStyle name="Normal 2 2 2 9 4 3 8 2" xfId="15903"/>
    <cellStyle name="Normal 2 2 2 9 4 3 9" xfId="15904"/>
    <cellStyle name="Normal 2 2 2 9 4 3 9 2" xfId="15905"/>
    <cellStyle name="Normal 2 2 2 9 4 4" xfId="15906"/>
    <cellStyle name="Normal 2 2 2 9 4 4 2" xfId="15907"/>
    <cellStyle name="Normal 2 2 2 9 4 5" xfId="15908"/>
    <cellStyle name="Normal 2 2 2 9 4 5 2" xfId="15909"/>
    <cellStyle name="Normal 2 2 2 9 4 6" xfId="15910"/>
    <cellStyle name="Normal 2 2 2 9 4 6 2" xfId="15911"/>
    <cellStyle name="Normal 2 2 2 9 4 7" xfId="15912"/>
    <cellStyle name="Normal 2 2 2 9 4 7 2" xfId="15913"/>
    <cellStyle name="Normal 2 2 2 9 4 8" xfId="15914"/>
    <cellStyle name="Normal 2 2 2 9 4 8 2" xfId="15915"/>
    <cellStyle name="Normal 2 2 2 9 4 9" xfId="15916"/>
    <cellStyle name="Normal 2 2 2 9 4 9 2" xfId="15917"/>
    <cellStyle name="Normal 2 2 2 9 5" xfId="376"/>
    <cellStyle name="Normal 2 2 2 9 5 10" xfId="15918"/>
    <cellStyle name="Normal 2 2 2 9 5 10 2" xfId="15919"/>
    <cellStyle name="Normal 2 2 2 9 5 11" xfId="15920"/>
    <cellStyle name="Normal 2 2 2 9 5 11 2" xfId="15921"/>
    <cellStyle name="Normal 2 2 2 9 5 12" xfId="15922"/>
    <cellStyle name="Normal 2 2 2 9 5 12 2" xfId="15923"/>
    <cellStyle name="Normal 2 2 2 9 5 13" xfId="15924"/>
    <cellStyle name="Normal 2 2 2 9 5 2" xfId="15925"/>
    <cellStyle name="Normal 2 2 2 9 5 2 10" xfId="15926"/>
    <cellStyle name="Normal 2 2 2 9 5 2 10 2" xfId="15927"/>
    <cellStyle name="Normal 2 2 2 9 5 2 11" xfId="15928"/>
    <cellStyle name="Normal 2 2 2 9 5 2 11 2" xfId="15929"/>
    <cellStyle name="Normal 2 2 2 9 5 2 12" xfId="15930"/>
    <cellStyle name="Normal 2 2 2 9 5 2 2" xfId="15931"/>
    <cellStyle name="Normal 2 2 2 9 5 2 2 10" xfId="15932"/>
    <cellStyle name="Normal 2 2 2 9 5 2 2 10 2" xfId="15933"/>
    <cellStyle name="Normal 2 2 2 9 5 2 2 11" xfId="15934"/>
    <cellStyle name="Normal 2 2 2 9 5 2 2 2" xfId="15935"/>
    <cellStyle name="Normal 2 2 2 9 5 2 2 2 2" xfId="15936"/>
    <cellStyle name="Normal 2 2 2 9 5 2 2 3" xfId="15937"/>
    <cellStyle name="Normal 2 2 2 9 5 2 2 3 2" xfId="15938"/>
    <cellStyle name="Normal 2 2 2 9 5 2 2 4" xfId="15939"/>
    <cellStyle name="Normal 2 2 2 9 5 2 2 4 2" xfId="15940"/>
    <cellStyle name="Normal 2 2 2 9 5 2 2 5" xfId="15941"/>
    <cellStyle name="Normal 2 2 2 9 5 2 2 5 2" xfId="15942"/>
    <cellStyle name="Normal 2 2 2 9 5 2 2 6" xfId="15943"/>
    <cellStyle name="Normal 2 2 2 9 5 2 2 6 2" xfId="15944"/>
    <cellStyle name="Normal 2 2 2 9 5 2 2 7" xfId="15945"/>
    <cellStyle name="Normal 2 2 2 9 5 2 2 7 2" xfId="15946"/>
    <cellStyle name="Normal 2 2 2 9 5 2 2 8" xfId="15947"/>
    <cellStyle name="Normal 2 2 2 9 5 2 2 8 2" xfId="15948"/>
    <cellStyle name="Normal 2 2 2 9 5 2 2 9" xfId="15949"/>
    <cellStyle name="Normal 2 2 2 9 5 2 2 9 2" xfId="15950"/>
    <cellStyle name="Normal 2 2 2 9 5 2 3" xfId="15951"/>
    <cellStyle name="Normal 2 2 2 9 5 2 3 2" xfId="15952"/>
    <cellStyle name="Normal 2 2 2 9 5 2 4" xfId="15953"/>
    <cellStyle name="Normal 2 2 2 9 5 2 4 2" xfId="15954"/>
    <cellStyle name="Normal 2 2 2 9 5 2 5" xfId="15955"/>
    <cellStyle name="Normal 2 2 2 9 5 2 5 2" xfId="15956"/>
    <cellStyle name="Normal 2 2 2 9 5 2 6" xfId="15957"/>
    <cellStyle name="Normal 2 2 2 9 5 2 6 2" xfId="15958"/>
    <cellStyle name="Normal 2 2 2 9 5 2 7" xfId="15959"/>
    <cellStyle name="Normal 2 2 2 9 5 2 7 2" xfId="15960"/>
    <cellStyle name="Normal 2 2 2 9 5 2 8" xfId="15961"/>
    <cellStyle name="Normal 2 2 2 9 5 2 8 2" xfId="15962"/>
    <cellStyle name="Normal 2 2 2 9 5 2 9" xfId="15963"/>
    <cellStyle name="Normal 2 2 2 9 5 2 9 2" xfId="15964"/>
    <cellStyle name="Normal 2 2 2 9 5 3" xfId="15965"/>
    <cellStyle name="Normal 2 2 2 9 5 3 10" xfId="15966"/>
    <cellStyle name="Normal 2 2 2 9 5 3 10 2" xfId="15967"/>
    <cellStyle name="Normal 2 2 2 9 5 3 11" xfId="15968"/>
    <cellStyle name="Normal 2 2 2 9 5 3 2" xfId="15969"/>
    <cellStyle name="Normal 2 2 2 9 5 3 2 2" xfId="15970"/>
    <cellStyle name="Normal 2 2 2 9 5 3 3" xfId="15971"/>
    <cellStyle name="Normal 2 2 2 9 5 3 3 2" xfId="15972"/>
    <cellStyle name="Normal 2 2 2 9 5 3 4" xfId="15973"/>
    <cellStyle name="Normal 2 2 2 9 5 3 4 2" xfId="15974"/>
    <cellStyle name="Normal 2 2 2 9 5 3 5" xfId="15975"/>
    <cellStyle name="Normal 2 2 2 9 5 3 5 2" xfId="15976"/>
    <cellStyle name="Normal 2 2 2 9 5 3 6" xfId="15977"/>
    <cellStyle name="Normal 2 2 2 9 5 3 6 2" xfId="15978"/>
    <cellStyle name="Normal 2 2 2 9 5 3 7" xfId="15979"/>
    <cellStyle name="Normal 2 2 2 9 5 3 7 2" xfId="15980"/>
    <cellStyle name="Normal 2 2 2 9 5 3 8" xfId="15981"/>
    <cellStyle name="Normal 2 2 2 9 5 3 8 2" xfId="15982"/>
    <cellStyle name="Normal 2 2 2 9 5 3 9" xfId="15983"/>
    <cellStyle name="Normal 2 2 2 9 5 3 9 2" xfId="15984"/>
    <cellStyle name="Normal 2 2 2 9 5 4" xfId="15985"/>
    <cellStyle name="Normal 2 2 2 9 5 4 2" xfId="15986"/>
    <cellStyle name="Normal 2 2 2 9 5 5" xfId="15987"/>
    <cellStyle name="Normal 2 2 2 9 5 5 2" xfId="15988"/>
    <cellStyle name="Normal 2 2 2 9 5 6" xfId="15989"/>
    <cellStyle name="Normal 2 2 2 9 5 6 2" xfId="15990"/>
    <cellStyle name="Normal 2 2 2 9 5 7" xfId="15991"/>
    <cellStyle name="Normal 2 2 2 9 5 7 2" xfId="15992"/>
    <cellStyle name="Normal 2 2 2 9 5 8" xfId="15993"/>
    <cellStyle name="Normal 2 2 2 9 5 8 2" xfId="15994"/>
    <cellStyle name="Normal 2 2 2 9 5 9" xfId="15995"/>
    <cellStyle name="Normal 2 2 2 9 5 9 2" xfId="15996"/>
    <cellStyle name="Normal 2 2 2 9 6" xfId="377"/>
    <cellStyle name="Normal 2 2 2 9 6 10" xfId="15997"/>
    <cellStyle name="Normal 2 2 2 9 6 10 2" xfId="15998"/>
    <cellStyle name="Normal 2 2 2 9 6 11" xfId="15999"/>
    <cellStyle name="Normal 2 2 2 9 6 11 2" xfId="16000"/>
    <cellStyle name="Normal 2 2 2 9 6 12" xfId="16001"/>
    <cellStyle name="Normal 2 2 2 9 6 12 2" xfId="16002"/>
    <cellStyle name="Normal 2 2 2 9 6 13" xfId="16003"/>
    <cellStyle name="Normal 2 2 2 9 6 2" xfId="16004"/>
    <cellStyle name="Normal 2 2 2 9 6 2 10" xfId="16005"/>
    <cellStyle name="Normal 2 2 2 9 6 2 10 2" xfId="16006"/>
    <cellStyle name="Normal 2 2 2 9 6 2 11" xfId="16007"/>
    <cellStyle name="Normal 2 2 2 9 6 2 11 2" xfId="16008"/>
    <cellStyle name="Normal 2 2 2 9 6 2 12" xfId="16009"/>
    <cellStyle name="Normal 2 2 2 9 6 2 2" xfId="16010"/>
    <cellStyle name="Normal 2 2 2 9 6 2 2 10" xfId="16011"/>
    <cellStyle name="Normal 2 2 2 9 6 2 2 10 2" xfId="16012"/>
    <cellStyle name="Normal 2 2 2 9 6 2 2 11" xfId="16013"/>
    <cellStyle name="Normal 2 2 2 9 6 2 2 2" xfId="16014"/>
    <cellStyle name="Normal 2 2 2 9 6 2 2 2 2" xfId="16015"/>
    <cellStyle name="Normal 2 2 2 9 6 2 2 3" xfId="16016"/>
    <cellStyle name="Normal 2 2 2 9 6 2 2 3 2" xfId="16017"/>
    <cellStyle name="Normal 2 2 2 9 6 2 2 4" xfId="16018"/>
    <cellStyle name="Normal 2 2 2 9 6 2 2 4 2" xfId="16019"/>
    <cellStyle name="Normal 2 2 2 9 6 2 2 5" xfId="16020"/>
    <cellStyle name="Normal 2 2 2 9 6 2 2 5 2" xfId="16021"/>
    <cellStyle name="Normal 2 2 2 9 6 2 2 6" xfId="16022"/>
    <cellStyle name="Normal 2 2 2 9 6 2 2 6 2" xfId="16023"/>
    <cellStyle name="Normal 2 2 2 9 6 2 2 7" xfId="16024"/>
    <cellStyle name="Normal 2 2 2 9 6 2 2 7 2" xfId="16025"/>
    <cellStyle name="Normal 2 2 2 9 6 2 2 8" xfId="16026"/>
    <cellStyle name="Normal 2 2 2 9 6 2 2 8 2" xfId="16027"/>
    <cellStyle name="Normal 2 2 2 9 6 2 2 9" xfId="16028"/>
    <cellStyle name="Normal 2 2 2 9 6 2 2 9 2" xfId="16029"/>
    <cellStyle name="Normal 2 2 2 9 6 2 3" xfId="16030"/>
    <cellStyle name="Normal 2 2 2 9 6 2 3 2" xfId="16031"/>
    <cellStyle name="Normal 2 2 2 9 6 2 4" xfId="16032"/>
    <cellStyle name="Normal 2 2 2 9 6 2 4 2" xfId="16033"/>
    <cellStyle name="Normal 2 2 2 9 6 2 5" xfId="16034"/>
    <cellStyle name="Normal 2 2 2 9 6 2 5 2" xfId="16035"/>
    <cellStyle name="Normal 2 2 2 9 6 2 6" xfId="16036"/>
    <cellStyle name="Normal 2 2 2 9 6 2 6 2" xfId="16037"/>
    <cellStyle name="Normal 2 2 2 9 6 2 7" xfId="16038"/>
    <cellStyle name="Normal 2 2 2 9 6 2 7 2" xfId="16039"/>
    <cellStyle name="Normal 2 2 2 9 6 2 8" xfId="16040"/>
    <cellStyle name="Normal 2 2 2 9 6 2 8 2" xfId="16041"/>
    <cellStyle name="Normal 2 2 2 9 6 2 9" xfId="16042"/>
    <cellStyle name="Normal 2 2 2 9 6 2 9 2" xfId="16043"/>
    <cellStyle name="Normal 2 2 2 9 6 3" xfId="16044"/>
    <cellStyle name="Normal 2 2 2 9 6 3 10" xfId="16045"/>
    <cellStyle name="Normal 2 2 2 9 6 3 10 2" xfId="16046"/>
    <cellStyle name="Normal 2 2 2 9 6 3 11" xfId="16047"/>
    <cellStyle name="Normal 2 2 2 9 6 3 2" xfId="16048"/>
    <cellStyle name="Normal 2 2 2 9 6 3 2 2" xfId="16049"/>
    <cellStyle name="Normal 2 2 2 9 6 3 3" xfId="16050"/>
    <cellStyle name="Normal 2 2 2 9 6 3 3 2" xfId="16051"/>
    <cellStyle name="Normal 2 2 2 9 6 3 4" xfId="16052"/>
    <cellStyle name="Normal 2 2 2 9 6 3 4 2" xfId="16053"/>
    <cellStyle name="Normal 2 2 2 9 6 3 5" xfId="16054"/>
    <cellStyle name="Normal 2 2 2 9 6 3 5 2" xfId="16055"/>
    <cellStyle name="Normal 2 2 2 9 6 3 6" xfId="16056"/>
    <cellStyle name="Normal 2 2 2 9 6 3 6 2" xfId="16057"/>
    <cellStyle name="Normal 2 2 2 9 6 3 7" xfId="16058"/>
    <cellStyle name="Normal 2 2 2 9 6 3 7 2" xfId="16059"/>
    <cellStyle name="Normal 2 2 2 9 6 3 8" xfId="16060"/>
    <cellStyle name="Normal 2 2 2 9 6 3 8 2" xfId="16061"/>
    <cellStyle name="Normal 2 2 2 9 6 3 9" xfId="16062"/>
    <cellStyle name="Normal 2 2 2 9 6 3 9 2" xfId="16063"/>
    <cellStyle name="Normal 2 2 2 9 6 4" xfId="16064"/>
    <cellStyle name="Normal 2 2 2 9 6 4 2" xfId="16065"/>
    <cellStyle name="Normal 2 2 2 9 6 5" xfId="16066"/>
    <cellStyle name="Normal 2 2 2 9 6 5 2" xfId="16067"/>
    <cellStyle name="Normal 2 2 2 9 6 6" xfId="16068"/>
    <cellStyle name="Normal 2 2 2 9 6 6 2" xfId="16069"/>
    <cellStyle name="Normal 2 2 2 9 6 7" xfId="16070"/>
    <cellStyle name="Normal 2 2 2 9 6 7 2" xfId="16071"/>
    <cellStyle name="Normal 2 2 2 9 6 8" xfId="16072"/>
    <cellStyle name="Normal 2 2 2 9 6 8 2" xfId="16073"/>
    <cellStyle name="Normal 2 2 2 9 6 9" xfId="16074"/>
    <cellStyle name="Normal 2 2 2 9 6 9 2" xfId="16075"/>
    <cellStyle name="Normal 2 2 2 9 7" xfId="378"/>
    <cellStyle name="Normal 2 2 20" xfId="16076"/>
    <cellStyle name="Normal 2 2 21" xfId="16077"/>
    <cellStyle name="Normal 2 2 22" xfId="16078"/>
    <cellStyle name="Normal 2 2 23" xfId="16079"/>
    <cellStyle name="Normal 2 2 24" xfId="16080"/>
    <cellStyle name="Normal 2 2 25" xfId="16081"/>
    <cellStyle name="Normal 2 2 26" xfId="16082"/>
    <cellStyle name="Normal 2 2 27" xfId="16083"/>
    <cellStyle name="Normal 2 2 28" xfId="16084"/>
    <cellStyle name="Normal 2 2 29" xfId="16085"/>
    <cellStyle name="Normal 2 2 3" xfId="379"/>
    <cellStyle name="Normal 2 2 3 2" xfId="380"/>
    <cellStyle name="Normal 2 2 30" xfId="16086"/>
    <cellStyle name="Normal 2 2 31" xfId="16087"/>
    <cellStyle name="Normal 2 2 4" xfId="381"/>
    <cellStyle name="Normal 2 2 4 10" xfId="16088"/>
    <cellStyle name="Normal 2 2 4 10 10" xfId="16089"/>
    <cellStyle name="Normal 2 2 4 10 10 2" xfId="16090"/>
    <cellStyle name="Normal 2 2 4 10 11" xfId="16091"/>
    <cellStyle name="Normal 2 2 4 10 11 2" xfId="16092"/>
    <cellStyle name="Normal 2 2 4 10 12" xfId="16093"/>
    <cellStyle name="Normal 2 2 4 10 2" xfId="16094"/>
    <cellStyle name="Normal 2 2 4 10 2 10" xfId="16095"/>
    <cellStyle name="Normal 2 2 4 10 2 10 2" xfId="16096"/>
    <cellStyle name="Normal 2 2 4 10 2 11" xfId="16097"/>
    <cellStyle name="Normal 2 2 4 10 2 2" xfId="16098"/>
    <cellStyle name="Normal 2 2 4 10 2 2 2" xfId="16099"/>
    <cellStyle name="Normal 2 2 4 10 2 3" xfId="16100"/>
    <cellStyle name="Normal 2 2 4 10 2 3 2" xfId="16101"/>
    <cellStyle name="Normal 2 2 4 10 2 4" xfId="16102"/>
    <cellStyle name="Normal 2 2 4 10 2 4 2" xfId="16103"/>
    <cellStyle name="Normal 2 2 4 10 2 5" xfId="16104"/>
    <cellStyle name="Normal 2 2 4 10 2 5 2" xfId="16105"/>
    <cellStyle name="Normal 2 2 4 10 2 6" xfId="16106"/>
    <cellStyle name="Normal 2 2 4 10 2 6 2" xfId="16107"/>
    <cellStyle name="Normal 2 2 4 10 2 7" xfId="16108"/>
    <cellStyle name="Normal 2 2 4 10 2 7 2" xfId="16109"/>
    <cellStyle name="Normal 2 2 4 10 2 8" xfId="16110"/>
    <cellStyle name="Normal 2 2 4 10 2 8 2" xfId="16111"/>
    <cellStyle name="Normal 2 2 4 10 2 9" xfId="16112"/>
    <cellStyle name="Normal 2 2 4 10 2 9 2" xfId="16113"/>
    <cellStyle name="Normal 2 2 4 10 3" xfId="16114"/>
    <cellStyle name="Normal 2 2 4 10 3 2" xfId="16115"/>
    <cellStyle name="Normal 2 2 4 10 4" xfId="16116"/>
    <cellStyle name="Normal 2 2 4 10 4 2" xfId="16117"/>
    <cellStyle name="Normal 2 2 4 10 5" xfId="16118"/>
    <cellStyle name="Normal 2 2 4 10 5 2" xfId="16119"/>
    <cellStyle name="Normal 2 2 4 10 6" xfId="16120"/>
    <cellStyle name="Normal 2 2 4 10 6 2" xfId="16121"/>
    <cellStyle name="Normal 2 2 4 10 7" xfId="16122"/>
    <cellStyle name="Normal 2 2 4 10 7 2" xfId="16123"/>
    <cellStyle name="Normal 2 2 4 10 8" xfId="16124"/>
    <cellStyle name="Normal 2 2 4 10 8 2" xfId="16125"/>
    <cellStyle name="Normal 2 2 4 10 9" xfId="16126"/>
    <cellStyle name="Normal 2 2 4 10 9 2" xfId="16127"/>
    <cellStyle name="Normal 2 2 4 11" xfId="16128"/>
    <cellStyle name="Normal 2 2 4 11 10" xfId="16129"/>
    <cellStyle name="Normal 2 2 4 11 10 2" xfId="16130"/>
    <cellStyle name="Normal 2 2 4 11 11" xfId="16131"/>
    <cellStyle name="Normal 2 2 4 11 2" xfId="16132"/>
    <cellStyle name="Normal 2 2 4 11 2 2" xfId="16133"/>
    <cellStyle name="Normal 2 2 4 11 3" xfId="16134"/>
    <cellStyle name="Normal 2 2 4 11 3 2" xfId="16135"/>
    <cellStyle name="Normal 2 2 4 11 4" xfId="16136"/>
    <cellStyle name="Normal 2 2 4 11 4 2" xfId="16137"/>
    <cellStyle name="Normal 2 2 4 11 5" xfId="16138"/>
    <cellStyle name="Normal 2 2 4 11 5 2" xfId="16139"/>
    <cellStyle name="Normal 2 2 4 11 6" xfId="16140"/>
    <cellStyle name="Normal 2 2 4 11 6 2" xfId="16141"/>
    <cellStyle name="Normal 2 2 4 11 7" xfId="16142"/>
    <cellStyle name="Normal 2 2 4 11 7 2" xfId="16143"/>
    <cellStyle name="Normal 2 2 4 11 8" xfId="16144"/>
    <cellStyle name="Normal 2 2 4 11 8 2" xfId="16145"/>
    <cellStyle name="Normal 2 2 4 11 9" xfId="16146"/>
    <cellStyle name="Normal 2 2 4 11 9 2" xfId="16147"/>
    <cellStyle name="Normal 2 2 4 12" xfId="16148"/>
    <cellStyle name="Normal 2 2 4 12 2" xfId="16149"/>
    <cellStyle name="Normal 2 2 4 13" xfId="16150"/>
    <cellStyle name="Normal 2 2 4 13 2" xfId="16151"/>
    <cellStyle name="Normal 2 2 4 14" xfId="16152"/>
    <cellStyle name="Normal 2 2 4 14 2" xfId="16153"/>
    <cellStyle name="Normal 2 2 4 15" xfId="16154"/>
    <cellStyle name="Normal 2 2 4 15 2" xfId="16155"/>
    <cellStyle name="Normal 2 2 4 16" xfId="16156"/>
    <cellStyle name="Normal 2 2 4 16 2" xfId="16157"/>
    <cellStyle name="Normal 2 2 4 17" xfId="16158"/>
    <cellStyle name="Normal 2 2 4 17 2" xfId="16159"/>
    <cellStyle name="Normal 2 2 4 18" xfId="16160"/>
    <cellStyle name="Normal 2 2 4 18 2" xfId="16161"/>
    <cellStyle name="Normal 2 2 4 19" xfId="16162"/>
    <cellStyle name="Normal 2 2 4 19 2" xfId="16163"/>
    <cellStyle name="Normal 2 2 4 2" xfId="382"/>
    <cellStyle name="Normal 2 2 4 2 10" xfId="383"/>
    <cellStyle name="Normal 2 2 4 2 2" xfId="384"/>
    <cellStyle name="Normal 2 2 4 2 2 10" xfId="16164"/>
    <cellStyle name="Normal 2 2 4 2 2 10 2" xfId="16165"/>
    <cellStyle name="Normal 2 2 4 2 2 11" xfId="16166"/>
    <cellStyle name="Normal 2 2 4 2 2 11 2" xfId="16167"/>
    <cellStyle name="Normal 2 2 4 2 2 12" xfId="16168"/>
    <cellStyle name="Normal 2 2 4 2 2 12 2" xfId="16169"/>
    <cellStyle name="Normal 2 2 4 2 2 13" xfId="16170"/>
    <cellStyle name="Normal 2 2 4 2 2 13 2" xfId="16171"/>
    <cellStyle name="Normal 2 2 4 2 2 14" xfId="16172"/>
    <cellStyle name="Normal 2 2 4 2 2 14 2" xfId="16173"/>
    <cellStyle name="Normal 2 2 4 2 2 15" xfId="16174"/>
    <cellStyle name="Normal 2 2 4 2 2 15 2" xfId="16175"/>
    <cellStyle name="Normal 2 2 4 2 2 16" xfId="16176"/>
    <cellStyle name="Normal 2 2 4 2 2 16 2" xfId="16177"/>
    <cellStyle name="Normal 2 2 4 2 2 17" xfId="16178"/>
    <cellStyle name="Normal 2 2 4 2 2 17 2" xfId="16179"/>
    <cellStyle name="Normal 2 2 4 2 2 18" xfId="16180"/>
    <cellStyle name="Normal 2 2 4 2 2 2" xfId="385"/>
    <cellStyle name="Normal 2 2 4 2 2 2 2" xfId="386"/>
    <cellStyle name="Normal 2 2 4 2 2 2 2 10" xfId="16181"/>
    <cellStyle name="Normal 2 2 4 2 2 2 2 10 2" xfId="16182"/>
    <cellStyle name="Normal 2 2 4 2 2 2 2 11" xfId="16183"/>
    <cellStyle name="Normal 2 2 4 2 2 2 2 11 2" xfId="16184"/>
    <cellStyle name="Normal 2 2 4 2 2 2 2 12" xfId="16185"/>
    <cellStyle name="Normal 2 2 4 2 2 2 2 12 2" xfId="16186"/>
    <cellStyle name="Normal 2 2 4 2 2 2 2 13" xfId="16187"/>
    <cellStyle name="Normal 2 2 4 2 2 2 2 13 2" xfId="16188"/>
    <cellStyle name="Normal 2 2 4 2 2 2 2 14" xfId="16189"/>
    <cellStyle name="Normal 2 2 4 2 2 2 2 14 2" xfId="16190"/>
    <cellStyle name="Normal 2 2 4 2 2 2 2 15" xfId="16191"/>
    <cellStyle name="Normal 2 2 4 2 2 2 2 15 2" xfId="16192"/>
    <cellStyle name="Normal 2 2 4 2 2 2 2 16" xfId="16193"/>
    <cellStyle name="Normal 2 2 4 2 2 2 2 16 2" xfId="16194"/>
    <cellStyle name="Normal 2 2 4 2 2 2 2 17" xfId="16195"/>
    <cellStyle name="Normal 2 2 4 2 2 2 2 2" xfId="387"/>
    <cellStyle name="Normal 2 2 4 2 2 2 2 2 2" xfId="388"/>
    <cellStyle name="Normal 2 2 4 2 2 2 2 3" xfId="389"/>
    <cellStyle name="Normal 2 2 4 2 2 2 2 3 2" xfId="390"/>
    <cellStyle name="Normal 2 2 4 2 2 2 2 4" xfId="391"/>
    <cellStyle name="Normal 2 2 4 2 2 2 2 4 2" xfId="392"/>
    <cellStyle name="Normal 2 2 4 2 2 2 2 5" xfId="393"/>
    <cellStyle name="Normal 2 2 4 2 2 2 2 5 2" xfId="394"/>
    <cellStyle name="Normal 2 2 4 2 2 2 2 6" xfId="16196"/>
    <cellStyle name="Normal 2 2 4 2 2 2 2 6 10" xfId="16197"/>
    <cellStyle name="Normal 2 2 4 2 2 2 2 6 10 2" xfId="16198"/>
    <cellStyle name="Normal 2 2 4 2 2 2 2 6 11" xfId="16199"/>
    <cellStyle name="Normal 2 2 4 2 2 2 2 6 11 2" xfId="16200"/>
    <cellStyle name="Normal 2 2 4 2 2 2 2 6 12" xfId="16201"/>
    <cellStyle name="Normal 2 2 4 2 2 2 2 6 2" xfId="16202"/>
    <cellStyle name="Normal 2 2 4 2 2 2 2 6 2 10" xfId="16203"/>
    <cellStyle name="Normal 2 2 4 2 2 2 2 6 2 10 2" xfId="16204"/>
    <cellStyle name="Normal 2 2 4 2 2 2 2 6 2 11" xfId="16205"/>
    <cellStyle name="Normal 2 2 4 2 2 2 2 6 2 2" xfId="16206"/>
    <cellStyle name="Normal 2 2 4 2 2 2 2 6 2 2 2" xfId="16207"/>
    <cellStyle name="Normal 2 2 4 2 2 2 2 6 2 3" xfId="16208"/>
    <cellStyle name="Normal 2 2 4 2 2 2 2 6 2 3 2" xfId="16209"/>
    <cellStyle name="Normal 2 2 4 2 2 2 2 6 2 4" xfId="16210"/>
    <cellStyle name="Normal 2 2 4 2 2 2 2 6 2 4 2" xfId="16211"/>
    <cellStyle name="Normal 2 2 4 2 2 2 2 6 2 5" xfId="16212"/>
    <cellStyle name="Normal 2 2 4 2 2 2 2 6 2 5 2" xfId="16213"/>
    <cellStyle name="Normal 2 2 4 2 2 2 2 6 2 6" xfId="16214"/>
    <cellStyle name="Normal 2 2 4 2 2 2 2 6 2 6 2" xfId="16215"/>
    <cellStyle name="Normal 2 2 4 2 2 2 2 6 2 7" xfId="16216"/>
    <cellStyle name="Normal 2 2 4 2 2 2 2 6 2 7 2" xfId="16217"/>
    <cellStyle name="Normal 2 2 4 2 2 2 2 6 2 8" xfId="16218"/>
    <cellStyle name="Normal 2 2 4 2 2 2 2 6 2 8 2" xfId="16219"/>
    <cellStyle name="Normal 2 2 4 2 2 2 2 6 2 9" xfId="16220"/>
    <cellStyle name="Normal 2 2 4 2 2 2 2 6 2 9 2" xfId="16221"/>
    <cellStyle name="Normal 2 2 4 2 2 2 2 6 3" xfId="16222"/>
    <cellStyle name="Normal 2 2 4 2 2 2 2 6 3 2" xfId="16223"/>
    <cellStyle name="Normal 2 2 4 2 2 2 2 6 4" xfId="16224"/>
    <cellStyle name="Normal 2 2 4 2 2 2 2 6 4 2" xfId="16225"/>
    <cellStyle name="Normal 2 2 4 2 2 2 2 6 5" xfId="16226"/>
    <cellStyle name="Normal 2 2 4 2 2 2 2 6 5 2" xfId="16227"/>
    <cellStyle name="Normal 2 2 4 2 2 2 2 6 6" xfId="16228"/>
    <cellStyle name="Normal 2 2 4 2 2 2 2 6 6 2" xfId="16229"/>
    <cellStyle name="Normal 2 2 4 2 2 2 2 6 7" xfId="16230"/>
    <cellStyle name="Normal 2 2 4 2 2 2 2 6 7 2" xfId="16231"/>
    <cellStyle name="Normal 2 2 4 2 2 2 2 6 8" xfId="16232"/>
    <cellStyle name="Normal 2 2 4 2 2 2 2 6 8 2" xfId="16233"/>
    <cellStyle name="Normal 2 2 4 2 2 2 2 6 9" xfId="16234"/>
    <cellStyle name="Normal 2 2 4 2 2 2 2 6 9 2" xfId="16235"/>
    <cellStyle name="Normal 2 2 4 2 2 2 2 7" xfId="16236"/>
    <cellStyle name="Normal 2 2 4 2 2 2 2 7 10" xfId="16237"/>
    <cellStyle name="Normal 2 2 4 2 2 2 2 7 10 2" xfId="16238"/>
    <cellStyle name="Normal 2 2 4 2 2 2 2 7 11" xfId="16239"/>
    <cellStyle name="Normal 2 2 4 2 2 2 2 7 2" xfId="16240"/>
    <cellStyle name="Normal 2 2 4 2 2 2 2 7 2 2" xfId="16241"/>
    <cellStyle name="Normal 2 2 4 2 2 2 2 7 3" xfId="16242"/>
    <cellStyle name="Normal 2 2 4 2 2 2 2 7 3 2" xfId="16243"/>
    <cellStyle name="Normal 2 2 4 2 2 2 2 7 4" xfId="16244"/>
    <cellStyle name="Normal 2 2 4 2 2 2 2 7 4 2" xfId="16245"/>
    <cellStyle name="Normal 2 2 4 2 2 2 2 7 5" xfId="16246"/>
    <cellStyle name="Normal 2 2 4 2 2 2 2 7 5 2" xfId="16247"/>
    <cellStyle name="Normal 2 2 4 2 2 2 2 7 6" xfId="16248"/>
    <cellStyle name="Normal 2 2 4 2 2 2 2 7 6 2" xfId="16249"/>
    <cellStyle name="Normal 2 2 4 2 2 2 2 7 7" xfId="16250"/>
    <cellStyle name="Normal 2 2 4 2 2 2 2 7 7 2" xfId="16251"/>
    <cellStyle name="Normal 2 2 4 2 2 2 2 7 8" xfId="16252"/>
    <cellStyle name="Normal 2 2 4 2 2 2 2 7 8 2" xfId="16253"/>
    <cellStyle name="Normal 2 2 4 2 2 2 2 7 9" xfId="16254"/>
    <cellStyle name="Normal 2 2 4 2 2 2 2 7 9 2" xfId="16255"/>
    <cellStyle name="Normal 2 2 4 2 2 2 2 8" xfId="16256"/>
    <cellStyle name="Normal 2 2 4 2 2 2 2 8 2" xfId="16257"/>
    <cellStyle name="Normal 2 2 4 2 2 2 2 9" xfId="16258"/>
    <cellStyle name="Normal 2 2 4 2 2 2 2 9 2" xfId="16259"/>
    <cellStyle name="Normal 2 2 4 2 2 2 3" xfId="395"/>
    <cellStyle name="Normal 2 2 4 2 2 2 3 10" xfId="16260"/>
    <cellStyle name="Normal 2 2 4 2 2 2 3 10 2" xfId="16261"/>
    <cellStyle name="Normal 2 2 4 2 2 2 3 11" xfId="16262"/>
    <cellStyle name="Normal 2 2 4 2 2 2 3 11 2" xfId="16263"/>
    <cellStyle name="Normal 2 2 4 2 2 2 3 12" xfId="16264"/>
    <cellStyle name="Normal 2 2 4 2 2 2 3 12 2" xfId="16265"/>
    <cellStyle name="Normal 2 2 4 2 2 2 3 13" xfId="16266"/>
    <cellStyle name="Normal 2 2 4 2 2 2 3 2" xfId="16267"/>
    <cellStyle name="Normal 2 2 4 2 2 2 3 2 10" xfId="16268"/>
    <cellStyle name="Normal 2 2 4 2 2 2 3 2 10 2" xfId="16269"/>
    <cellStyle name="Normal 2 2 4 2 2 2 3 2 11" xfId="16270"/>
    <cellStyle name="Normal 2 2 4 2 2 2 3 2 11 2" xfId="16271"/>
    <cellStyle name="Normal 2 2 4 2 2 2 3 2 12" xfId="16272"/>
    <cellStyle name="Normal 2 2 4 2 2 2 3 2 2" xfId="16273"/>
    <cellStyle name="Normal 2 2 4 2 2 2 3 2 2 10" xfId="16274"/>
    <cellStyle name="Normal 2 2 4 2 2 2 3 2 2 10 2" xfId="16275"/>
    <cellStyle name="Normal 2 2 4 2 2 2 3 2 2 11" xfId="16276"/>
    <cellStyle name="Normal 2 2 4 2 2 2 3 2 2 2" xfId="16277"/>
    <cellStyle name="Normal 2 2 4 2 2 2 3 2 2 2 2" xfId="16278"/>
    <cellStyle name="Normal 2 2 4 2 2 2 3 2 2 3" xfId="16279"/>
    <cellStyle name="Normal 2 2 4 2 2 2 3 2 2 3 2" xfId="16280"/>
    <cellStyle name="Normal 2 2 4 2 2 2 3 2 2 4" xfId="16281"/>
    <cellStyle name="Normal 2 2 4 2 2 2 3 2 2 4 2" xfId="16282"/>
    <cellStyle name="Normal 2 2 4 2 2 2 3 2 2 5" xfId="16283"/>
    <cellStyle name="Normal 2 2 4 2 2 2 3 2 2 5 2" xfId="16284"/>
    <cellStyle name="Normal 2 2 4 2 2 2 3 2 2 6" xfId="16285"/>
    <cellStyle name="Normal 2 2 4 2 2 2 3 2 2 6 2" xfId="16286"/>
    <cellStyle name="Normal 2 2 4 2 2 2 3 2 2 7" xfId="16287"/>
    <cellStyle name="Normal 2 2 4 2 2 2 3 2 2 7 2" xfId="16288"/>
    <cellStyle name="Normal 2 2 4 2 2 2 3 2 2 8" xfId="16289"/>
    <cellStyle name="Normal 2 2 4 2 2 2 3 2 2 8 2" xfId="16290"/>
    <cellStyle name="Normal 2 2 4 2 2 2 3 2 2 9" xfId="16291"/>
    <cellStyle name="Normal 2 2 4 2 2 2 3 2 2 9 2" xfId="16292"/>
    <cellStyle name="Normal 2 2 4 2 2 2 3 2 3" xfId="16293"/>
    <cellStyle name="Normal 2 2 4 2 2 2 3 2 3 2" xfId="16294"/>
    <cellStyle name="Normal 2 2 4 2 2 2 3 2 4" xfId="16295"/>
    <cellStyle name="Normal 2 2 4 2 2 2 3 2 4 2" xfId="16296"/>
    <cellStyle name="Normal 2 2 4 2 2 2 3 2 5" xfId="16297"/>
    <cellStyle name="Normal 2 2 4 2 2 2 3 2 5 2" xfId="16298"/>
    <cellStyle name="Normal 2 2 4 2 2 2 3 2 6" xfId="16299"/>
    <cellStyle name="Normal 2 2 4 2 2 2 3 2 6 2" xfId="16300"/>
    <cellStyle name="Normal 2 2 4 2 2 2 3 2 7" xfId="16301"/>
    <cellStyle name="Normal 2 2 4 2 2 2 3 2 7 2" xfId="16302"/>
    <cellStyle name="Normal 2 2 4 2 2 2 3 2 8" xfId="16303"/>
    <cellStyle name="Normal 2 2 4 2 2 2 3 2 8 2" xfId="16304"/>
    <cellStyle name="Normal 2 2 4 2 2 2 3 2 9" xfId="16305"/>
    <cellStyle name="Normal 2 2 4 2 2 2 3 2 9 2" xfId="16306"/>
    <cellStyle name="Normal 2 2 4 2 2 2 3 3" xfId="16307"/>
    <cellStyle name="Normal 2 2 4 2 2 2 3 3 10" xfId="16308"/>
    <cellStyle name="Normal 2 2 4 2 2 2 3 3 10 2" xfId="16309"/>
    <cellStyle name="Normal 2 2 4 2 2 2 3 3 11" xfId="16310"/>
    <cellStyle name="Normal 2 2 4 2 2 2 3 3 2" xfId="16311"/>
    <cellStyle name="Normal 2 2 4 2 2 2 3 3 2 2" xfId="16312"/>
    <cellStyle name="Normal 2 2 4 2 2 2 3 3 3" xfId="16313"/>
    <cellStyle name="Normal 2 2 4 2 2 2 3 3 3 2" xfId="16314"/>
    <cellStyle name="Normal 2 2 4 2 2 2 3 3 4" xfId="16315"/>
    <cellStyle name="Normal 2 2 4 2 2 2 3 3 4 2" xfId="16316"/>
    <cellStyle name="Normal 2 2 4 2 2 2 3 3 5" xfId="16317"/>
    <cellStyle name="Normal 2 2 4 2 2 2 3 3 5 2" xfId="16318"/>
    <cellStyle name="Normal 2 2 4 2 2 2 3 3 6" xfId="16319"/>
    <cellStyle name="Normal 2 2 4 2 2 2 3 3 6 2" xfId="16320"/>
    <cellStyle name="Normal 2 2 4 2 2 2 3 3 7" xfId="16321"/>
    <cellStyle name="Normal 2 2 4 2 2 2 3 3 7 2" xfId="16322"/>
    <cellStyle name="Normal 2 2 4 2 2 2 3 3 8" xfId="16323"/>
    <cellStyle name="Normal 2 2 4 2 2 2 3 3 8 2" xfId="16324"/>
    <cellStyle name="Normal 2 2 4 2 2 2 3 3 9" xfId="16325"/>
    <cellStyle name="Normal 2 2 4 2 2 2 3 3 9 2" xfId="16326"/>
    <cellStyle name="Normal 2 2 4 2 2 2 3 4" xfId="16327"/>
    <cellStyle name="Normal 2 2 4 2 2 2 3 4 2" xfId="16328"/>
    <cellStyle name="Normal 2 2 4 2 2 2 3 5" xfId="16329"/>
    <cellStyle name="Normal 2 2 4 2 2 2 3 5 2" xfId="16330"/>
    <cellStyle name="Normal 2 2 4 2 2 2 3 6" xfId="16331"/>
    <cellStyle name="Normal 2 2 4 2 2 2 3 6 2" xfId="16332"/>
    <cellStyle name="Normal 2 2 4 2 2 2 3 7" xfId="16333"/>
    <cellStyle name="Normal 2 2 4 2 2 2 3 7 2" xfId="16334"/>
    <cellStyle name="Normal 2 2 4 2 2 2 3 8" xfId="16335"/>
    <cellStyle name="Normal 2 2 4 2 2 2 3 8 2" xfId="16336"/>
    <cellStyle name="Normal 2 2 4 2 2 2 3 9" xfId="16337"/>
    <cellStyle name="Normal 2 2 4 2 2 2 3 9 2" xfId="16338"/>
    <cellStyle name="Normal 2 2 4 2 2 2 4" xfId="396"/>
    <cellStyle name="Normal 2 2 4 2 2 2 4 10" xfId="16339"/>
    <cellStyle name="Normal 2 2 4 2 2 2 4 10 2" xfId="16340"/>
    <cellStyle name="Normal 2 2 4 2 2 2 4 11" xfId="16341"/>
    <cellStyle name="Normal 2 2 4 2 2 2 4 11 2" xfId="16342"/>
    <cellStyle name="Normal 2 2 4 2 2 2 4 12" xfId="16343"/>
    <cellStyle name="Normal 2 2 4 2 2 2 4 12 2" xfId="16344"/>
    <cellStyle name="Normal 2 2 4 2 2 2 4 13" xfId="16345"/>
    <cellStyle name="Normal 2 2 4 2 2 2 4 2" xfId="16346"/>
    <cellStyle name="Normal 2 2 4 2 2 2 4 2 10" xfId="16347"/>
    <cellStyle name="Normal 2 2 4 2 2 2 4 2 10 2" xfId="16348"/>
    <cellStyle name="Normal 2 2 4 2 2 2 4 2 11" xfId="16349"/>
    <cellStyle name="Normal 2 2 4 2 2 2 4 2 11 2" xfId="16350"/>
    <cellStyle name="Normal 2 2 4 2 2 2 4 2 12" xfId="16351"/>
    <cellStyle name="Normal 2 2 4 2 2 2 4 2 2" xfId="16352"/>
    <cellStyle name="Normal 2 2 4 2 2 2 4 2 2 10" xfId="16353"/>
    <cellStyle name="Normal 2 2 4 2 2 2 4 2 2 10 2" xfId="16354"/>
    <cellStyle name="Normal 2 2 4 2 2 2 4 2 2 11" xfId="16355"/>
    <cellStyle name="Normal 2 2 4 2 2 2 4 2 2 2" xfId="16356"/>
    <cellStyle name="Normal 2 2 4 2 2 2 4 2 2 2 2" xfId="16357"/>
    <cellStyle name="Normal 2 2 4 2 2 2 4 2 2 3" xfId="16358"/>
    <cellStyle name="Normal 2 2 4 2 2 2 4 2 2 3 2" xfId="16359"/>
    <cellStyle name="Normal 2 2 4 2 2 2 4 2 2 4" xfId="16360"/>
    <cellStyle name="Normal 2 2 4 2 2 2 4 2 2 4 2" xfId="16361"/>
    <cellStyle name="Normal 2 2 4 2 2 2 4 2 2 5" xfId="16362"/>
    <cellStyle name="Normal 2 2 4 2 2 2 4 2 2 5 2" xfId="16363"/>
    <cellStyle name="Normal 2 2 4 2 2 2 4 2 2 6" xfId="16364"/>
    <cellStyle name="Normal 2 2 4 2 2 2 4 2 2 6 2" xfId="16365"/>
    <cellStyle name="Normal 2 2 4 2 2 2 4 2 2 7" xfId="16366"/>
    <cellStyle name="Normal 2 2 4 2 2 2 4 2 2 7 2" xfId="16367"/>
    <cellStyle name="Normal 2 2 4 2 2 2 4 2 2 8" xfId="16368"/>
    <cellStyle name="Normal 2 2 4 2 2 2 4 2 2 8 2" xfId="16369"/>
    <cellStyle name="Normal 2 2 4 2 2 2 4 2 2 9" xfId="16370"/>
    <cellStyle name="Normal 2 2 4 2 2 2 4 2 2 9 2" xfId="16371"/>
    <cellStyle name="Normal 2 2 4 2 2 2 4 2 3" xfId="16372"/>
    <cellStyle name="Normal 2 2 4 2 2 2 4 2 3 2" xfId="16373"/>
    <cellStyle name="Normal 2 2 4 2 2 2 4 2 4" xfId="16374"/>
    <cellStyle name="Normal 2 2 4 2 2 2 4 2 4 2" xfId="16375"/>
    <cellStyle name="Normal 2 2 4 2 2 2 4 2 5" xfId="16376"/>
    <cellStyle name="Normal 2 2 4 2 2 2 4 2 5 2" xfId="16377"/>
    <cellStyle name="Normal 2 2 4 2 2 2 4 2 6" xfId="16378"/>
    <cellStyle name="Normal 2 2 4 2 2 2 4 2 6 2" xfId="16379"/>
    <cellStyle name="Normal 2 2 4 2 2 2 4 2 7" xfId="16380"/>
    <cellStyle name="Normal 2 2 4 2 2 2 4 2 7 2" xfId="16381"/>
    <cellStyle name="Normal 2 2 4 2 2 2 4 2 8" xfId="16382"/>
    <cellStyle name="Normal 2 2 4 2 2 2 4 2 8 2" xfId="16383"/>
    <cellStyle name="Normal 2 2 4 2 2 2 4 2 9" xfId="16384"/>
    <cellStyle name="Normal 2 2 4 2 2 2 4 2 9 2" xfId="16385"/>
    <cellStyle name="Normal 2 2 4 2 2 2 4 3" xfId="16386"/>
    <cellStyle name="Normal 2 2 4 2 2 2 4 3 10" xfId="16387"/>
    <cellStyle name="Normal 2 2 4 2 2 2 4 3 10 2" xfId="16388"/>
    <cellStyle name="Normal 2 2 4 2 2 2 4 3 11" xfId="16389"/>
    <cellStyle name="Normal 2 2 4 2 2 2 4 3 2" xfId="16390"/>
    <cellStyle name="Normal 2 2 4 2 2 2 4 3 2 2" xfId="16391"/>
    <cellStyle name="Normal 2 2 4 2 2 2 4 3 3" xfId="16392"/>
    <cellStyle name="Normal 2 2 4 2 2 2 4 3 3 2" xfId="16393"/>
    <cellStyle name="Normal 2 2 4 2 2 2 4 3 4" xfId="16394"/>
    <cellStyle name="Normal 2 2 4 2 2 2 4 3 4 2" xfId="16395"/>
    <cellStyle name="Normal 2 2 4 2 2 2 4 3 5" xfId="16396"/>
    <cellStyle name="Normal 2 2 4 2 2 2 4 3 5 2" xfId="16397"/>
    <cellStyle name="Normal 2 2 4 2 2 2 4 3 6" xfId="16398"/>
    <cellStyle name="Normal 2 2 4 2 2 2 4 3 6 2" xfId="16399"/>
    <cellStyle name="Normal 2 2 4 2 2 2 4 3 7" xfId="16400"/>
    <cellStyle name="Normal 2 2 4 2 2 2 4 3 7 2" xfId="16401"/>
    <cellStyle name="Normal 2 2 4 2 2 2 4 3 8" xfId="16402"/>
    <cellStyle name="Normal 2 2 4 2 2 2 4 3 8 2" xfId="16403"/>
    <cellStyle name="Normal 2 2 4 2 2 2 4 3 9" xfId="16404"/>
    <cellStyle name="Normal 2 2 4 2 2 2 4 3 9 2" xfId="16405"/>
    <cellStyle name="Normal 2 2 4 2 2 2 4 4" xfId="16406"/>
    <cellStyle name="Normal 2 2 4 2 2 2 4 4 2" xfId="16407"/>
    <cellStyle name="Normal 2 2 4 2 2 2 4 5" xfId="16408"/>
    <cellStyle name="Normal 2 2 4 2 2 2 4 5 2" xfId="16409"/>
    <cellStyle name="Normal 2 2 4 2 2 2 4 6" xfId="16410"/>
    <cellStyle name="Normal 2 2 4 2 2 2 4 6 2" xfId="16411"/>
    <cellStyle name="Normal 2 2 4 2 2 2 4 7" xfId="16412"/>
    <cellStyle name="Normal 2 2 4 2 2 2 4 7 2" xfId="16413"/>
    <cellStyle name="Normal 2 2 4 2 2 2 4 8" xfId="16414"/>
    <cellStyle name="Normal 2 2 4 2 2 2 4 8 2" xfId="16415"/>
    <cellStyle name="Normal 2 2 4 2 2 2 4 9" xfId="16416"/>
    <cellStyle name="Normal 2 2 4 2 2 2 4 9 2" xfId="16417"/>
    <cellStyle name="Normal 2 2 4 2 2 2 5" xfId="397"/>
    <cellStyle name="Normal 2 2 4 2 2 2 5 10" xfId="16418"/>
    <cellStyle name="Normal 2 2 4 2 2 2 5 10 2" xfId="16419"/>
    <cellStyle name="Normal 2 2 4 2 2 2 5 11" xfId="16420"/>
    <cellStyle name="Normal 2 2 4 2 2 2 5 11 2" xfId="16421"/>
    <cellStyle name="Normal 2 2 4 2 2 2 5 12" xfId="16422"/>
    <cellStyle name="Normal 2 2 4 2 2 2 5 12 2" xfId="16423"/>
    <cellStyle name="Normal 2 2 4 2 2 2 5 13" xfId="16424"/>
    <cellStyle name="Normal 2 2 4 2 2 2 5 2" xfId="16425"/>
    <cellStyle name="Normal 2 2 4 2 2 2 5 2 10" xfId="16426"/>
    <cellStyle name="Normal 2 2 4 2 2 2 5 2 10 2" xfId="16427"/>
    <cellStyle name="Normal 2 2 4 2 2 2 5 2 11" xfId="16428"/>
    <cellStyle name="Normal 2 2 4 2 2 2 5 2 11 2" xfId="16429"/>
    <cellStyle name="Normal 2 2 4 2 2 2 5 2 12" xfId="16430"/>
    <cellStyle name="Normal 2 2 4 2 2 2 5 2 2" xfId="16431"/>
    <cellStyle name="Normal 2 2 4 2 2 2 5 2 2 10" xfId="16432"/>
    <cellStyle name="Normal 2 2 4 2 2 2 5 2 2 10 2" xfId="16433"/>
    <cellStyle name="Normal 2 2 4 2 2 2 5 2 2 11" xfId="16434"/>
    <cellStyle name="Normal 2 2 4 2 2 2 5 2 2 2" xfId="16435"/>
    <cellStyle name="Normal 2 2 4 2 2 2 5 2 2 2 2" xfId="16436"/>
    <cellStyle name="Normal 2 2 4 2 2 2 5 2 2 3" xfId="16437"/>
    <cellStyle name="Normal 2 2 4 2 2 2 5 2 2 3 2" xfId="16438"/>
    <cellStyle name="Normal 2 2 4 2 2 2 5 2 2 4" xfId="16439"/>
    <cellStyle name="Normal 2 2 4 2 2 2 5 2 2 4 2" xfId="16440"/>
    <cellStyle name="Normal 2 2 4 2 2 2 5 2 2 5" xfId="16441"/>
    <cellStyle name="Normal 2 2 4 2 2 2 5 2 2 5 2" xfId="16442"/>
    <cellStyle name="Normal 2 2 4 2 2 2 5 2 2 6" xfId="16443"/>
    <cellStyle name="Normal 2 2 4 2 2 2 5 2 2 6 2" xfId="16444"/>
    <cellStyle name="Normal 2 2 4 2 2 2 5 2 2 7" xfId="16445"/>
    <cellStyle name="Normal 2 2 4 2 2 2 5 2 2 7 2" xfId="16446"/>
    <cellStyle name="Normal 2 2 4 2 2 2 5 2 2 8" xfId="16447"/>
    <cellStyle name="Normal 2 2 4 2 2 2 5 2 2 8 2" xfId="16448"/>
    <cellStyle name="Normal 2 2 4 2 2 2 5 2 2 9" xfId="16449"/>
    <cellStyle name="Normal 2 2 4 2 2 2 5 2 2 9 2" xfId="16450"/>
    <cellStyle name="Normal 2 2 4 2 2 2 5 2 3" xfId="16451"/>
    <cellStyle name="Normal 2 2 4 2 2 2 5 2 3 2" xfId="16452"/>
    <cellStyle name="Normal 2 2 4 2 2 2 5 2 4" xfId="16453"/>
    <cellStyle name="Normal 2 2 4 2 2 2 5 2 4 2" xfId="16454"/>
    <cellStyle name="Normal 2 2 4 2 2 2 5 2 5" xfId="16455"/>
    <cellStyle name="Normal 2 2 4 2 2 2 5 2 5 2" xfId="16456"/>
    <cellStyle name="Normal 2 2 4 2 2 2 5 2 6" xfId="16457"/>
    <cellStyle name="Normal 2 2 4 2 2 2 5 2 6 2" xfId="16458"/>
    <cellStyle name="Normal 2 2 4 2 2 2 5 2 7" xfId="16459"/>
    <cellStyle name="Normal 2 2 4 2 2 2 5 2 7 2" xfId="16460"/>
    <cellStyle name="Normal 2 2 4 2 2 2 5 2 8" xfId="16461"/>
    <cellStyle name="Normal 2 2 4 2 2 2 5 2 8 2" xfId="16462"/>
    <cellStyle name="Normal 2 2 4 2 2 2 5 2 9" xfId="16463"/>
    <cellStyle name="Normal 2 2 4 2 2 2 5 2 9 2" xfId="16464"/>
    <cellStyle name="Normal 2 2 4 2 2 2 5 3" xfId="16465"/>
    <cellStyle name="Normal 2 2 4 2 2 2 5 3 10" xfId="16466"/>
    <cellStyle name="Normal 2 2 4 2 2 2 5 3 10 2" xfId="16467"/>
    <cellStyle name="Normal 2 2 4 2 2 2 5 3 11" xfId="16468"/>
    <cellStyle name="Normal 2 2 4 2 2 2 5 3 2" xfId="16469"/>
    <cellStyle name="Normal 2 2 4 2 2 2 5 3 2 2" xfId="16470"/>
    <cellStyle name="Normal 2 2 4 2 2 2 5 3 3" xfId="16471"/>
    <cellStyle name="Normal 2 2 4 2 2 2 5 3 3 2" xfId="16472"/>
    <cellStyle name="Normal 2 2 4 2 2 2 5 3 4" xfId="16473"/>
    <cellStyle name="Normal 2 2 4 2 2 2 5 3 4 2" xfId="16474"/>
    <cellStyle name="Normal 2 2 4 2 2 2 5 3 5" xfId="16475"/>
    <cellStyle name="Normal 2 2 4 2 2 2 5 3 5 2" xfId="16476"/>
    <cellStyle name="Normal 2 2 4 2 2 2 5 3 6" xfId="16477"/>
    <cellStyle name="Normal 2 2 4 2 2 2 5 3 6 2" xfId="16478"/>
    <cellStyle name="Normal 2 2 4 2 2 2 5 3 7" xfId="16479"/>
    <cellStyle name="Normal 2 2 4 2 2 2 5 3 7 2" xfId="16480"/>
    <cellStyle name="Normal 2 2 4 2 2 2 5 3 8" xfId="16481"/>
    <cellStyle name="Normal 2 2 4 2 2 2 5 3 8 2" xfId="16482"/>
    <cellStyle name="Normal 2 2 4 2 2 2 5 3 9" xfId="16483"/>
    <cellStyle name="Normal 2 2 4 2 2 2 5 3 9 2" xfId="16484"/>
    <cellStyle name="Normal 2 2 4 2 2 2 5 4" xfId="16485"/>
    <cellStyle name="Normal 2 2 4 2 2 2 5 4 2" xfId="16486"/>
    <cellStyle name="Normal 2 2 4 2 2 2 5 5" xfId="16487"/>
    <cellStyle name="Normal 2 2 4 2 2 2 5 5 2" xfId="16488"/>
    <cellStyle name="Normal 2 2 4 2 2 2 5 6" xfId="16489"/>
    <cellStyle name="Normal 2 2 4 2 2 2 5 6 2" xfId="16490"/>
    <cellStyle name="Normal 2 2 4 2 2 2 5 7" xfId="16491"/>
    <cellStyle name="Normal 2 2 4 2 2 2 5 7 2" xfId="16492"/>
    <cellStyle name="Normal 2 2 4 2 2 2 5 8" xfId="16493"/>
    <cellStyle name="Normal 2 2 4 2 2 2 5 8 2" xfId="16494"/>
    <cellStyle name="Normal 2 2 4 2 2 2 5 9" xfId="16495"/>
    <cellStyle name="Normal 2 2 4 2 2 2 5 9 2" xfId="16496"/>
    <cellStyle name="Normal 2 2 4 2 2 2 6" xfId="398"/>
    <cellStyle name="Normal 2 2 4 2 2 3" xfId="399"/>
    <cellStyle name="Normal 2 2 4 2 2 3 2" xfId="400"/>
    <cellStyle name="Normal 2 2 4 2 2 4" xfId="401"/>
    <cellStyle name="Normal 2 2 4 2 2 4 2" xfId="402"/>
    <cellStyle name="Normal 2 2 4 2 2 5" xfId="403"/>
    <cellStyle name="Normal 2 2 4 2 2 5 2" xfId="404"/>
    <cellStyle name="Normal 2 2 4 2 2 6" xfId="405"/>
    <cellStyle name="Normal 2 2 4 2 2 6 2" xfId="406"/>
    <cellStyle name="Normal 2 2 4 2 2 7" xfId="16497"/>
    <cellStyle name="Normal 2 2 4 2 2 7 10" xfId="16498"/>
    <cellStyle name="Normal 2 2 4 2 2 7 10 2" xfId="16499"/>
    <cellStyle name="Normal 2 2 4 2 2 7 11" xfId="16500"/>
    <cellStyle name="Normal 2 2 4 2 2 7 11 2" xfId="16501"/>
    <cellStyle name="Normal 2 2 4 2 2 7 12" xfId="16502"/>
    <cellStyle name="Normal 2 2 4 2 2 7 2" xfId="16503"/>
    <cellStyle name="Normal 2 2 4 2 2 7 2 10" xfId="16504"/>
    <cellStyle name="Normal 2 2 4 2 2 7 2 10 2" xfId="16505"/>
    <cellStyle name="Normal 2 2 4 2 2 7 2 11" xfId="16506"/>
    <cellStyle name="Normal 2 2 4 2 2 7 2 2" xfId="16507"/>
    <cellStyle name="Normal 2 2 4 2 2 7 2 2 2" xfId="16508"/>
    <cellStyle name="Normal 2 2 4 2 2 7 2 3" xfId="16509"/>
    <cellStyle name="Normal 2 2 4 2 2 7 2 3 2" xfId="16510"/>
    <cellStyle name="Normal 2 2 4 2 2 7 2 4" xfId="16511"/>
    <cellStyle name="Normal 2 2 4 2 2 7 2 4 2" xfId="16512"/>
    <cellStyle name="Normal 2 2 4 2 2 7 2 5" xfId="16513"/>
    <cellStyle name="Normal 2 2 4 2 2 7 2 5 2" xfId="16514"/>
    <cellStyle name="Normal 2 2 4 2 2 7 2 6" xfId="16515"/>
    <cellStyle name="Normal 2 2 4 2 2 7 2 6 2" xfId="16516"/>
    <cellStyle name="Normal 2 2 4 2 2 7 2 7" xfId="16517"/>
    <cellStyle name="Normal 2 2 4 2 2 7 2 7 2" xfId="16518"/>
    <cellStyle name="Normal 2 2 4 2 2 7 2 8" xfId="16519"/>
    <cellStyle name="Normal 2 2 4 2 2 7 2 8 2" xfId="16520"/>
    <cellStyle name="Normal 2 2 4 2 2 7 2 9" xfId="16521"/>
    <cellStyle name="Normal 2 2 4 2 2 7 2 9 2" xfId="16522"/>
    <cellStyle name="Normal 2 2 4 2 2 7 3" xfId="16523"/>
    <cellStyle name="Normal 2 2 4 2 2 7 3 2" xfId="16524"/>
    <cellStyle name="Normal 2 2 4 2 2 7 4" xfId="16525"/>
    <cellStyle name="Normal 2 2 4 2 2 7 4 2" xfId="16526"/>
    <cellStyle name="Normal 2 2 4 2 2 7 5" xfId="16527"/>
    <cellStyle name="Normal 2 2 4 2 2 7 5 2" xfId="16528"/>
    <cellStyle name="Normal 2 2 4 2 2 7 6" xfId="16529"/>
    <cellStyle name="Normal 2 2 4 2 2 7 6 2" xfId="16530"/>
    <cellStyle name="Normal 2 2 4 2 2 7 7" xfId="16531"/>
    <cellStyle name="Normal 2 2 4 2 2 7 7 2" xfId="16532"/>
    <cellStyle name="Normal 2 2 4 2 2 7 8" xfId="16533"/>
    <cellStyle name="Normal 2 2 4 2 2 7 8 2" xfId="16534"/>
    <cellStyle name="Normal 2 2 4 2 2 7 9" xfId="16535"/>
    <cellStyle name="Normal 2 2 4 2 2 7 9 2" xfId="16536"/>
    <cellStyle name="Normal 2 2 4 2 2 8" xfId="16537"/>
    <cellStyle name="Normal 2 2 4 2 2 8 10" xfId="16538"/>
    <cellStyle name="Normal 2 2 4 2 2 8 10 2" xfId="16539"/>
    <cellStyle name="Normal 2 2 4 2 2 8 11" xfId="16540"/>
    <cellStyle name="Normal 2 2 4 2 2 8 2" xfId="16541"/>
    <cellStyle name="Normal 2 2 4 2 2 8 2 2" xfId="16542"/>
    <cellStyle name="Normal 2 2 4 2 2 8 3" xfId="16543"/>
    <cellStyle name="Normal 2 2 4 2 2 8 3 2" xfId="16544"/>
    <cellStyle name="Normal 2 2 4 2 2 8 4" xfId="16545"/>
    <cellStyle name="Normal 2 2 4 2 2 8 4 2" xfId="16546"/>
    <cellStyle name="Normal 2 2 4 2 2 8 5" xfId="16547"/>
    <cellStyle name="Normal 2 2 4 2 2 8 5 2" xfId="16548"/>
    <cellStyle name="Normal 2 2 4 2 2 8 6" xfId="16549"/>
    <cellStyle name="Normal 2 2 4 2 2 8 6 2" xfId="16550"/>
    <cellStyle name="Normal 2 2 4 2 2 8 7" xfId="16551"/>
    <cellStyle name="Normal 2 2 4 2 2 8 7 2" xfId="16552"/>
    <cellStyle name="Normal 2 2 4 2 2 8 8" xfId="16553"/>
    <cellStyle name="Normal 2 2 4 2 2 8 8 2" xfId="16554"/>
    <cellStyle name="Normal 2 2 4 2 2 8 9" xfId="16555"/>
    <cellStyle name="Normal 2 2 4 2 2 8 9 2" xfId="16556"/>
    <cellStyle name="Normal 2 2 4 2 2 9" xfId="16557"/>
    <cellStyle name="Normal 2 2 4 2 2 9 2" xfId="16558"/>
    <cellStyle name="Normal 2 2 4 2 3" xfId="407"/>
    <cellStyle name="Normal 2 2 4 2 3 2" xfId="408"/>
    <cellStyle name="Normal 2 2 4 2 4" xfId="409"/>
    <cellStyle name="Normal 2 2 4 2 4 2" xfId="410"/>
    <cellStyle name="Normal 2 2 4 2 5" xfId="411"/>
    <cellStyle name="Normal 2 2 4 2 5 2" xfId="412"/>
    <cellStyle name="Normal 2 2 4 2 6" xfId="413"/>
    <cellStyle name="Normal 2 2 4 2 6 10" xfId="16559"/>
    <cellStyle name="Normal 2 2 4 2 6 10 2" xfId="16560"/>
    <cellStyle name="Normal 2 2 4 2 6 11" xfId="16561"/>
    <cellStyle name="Normal 2 2 4 2 6 11 2" xfId="16562"/>
    <cellStyle name="Normal 2 2 4 2 6 12" xfId="16563"/>
    <cellStyle name="Normal 2 2 4 2 6 12 2" xfId="16564"/>
    <cellStyle name="Normal 2 2 4 2 6 13" xfId="16565"/>
    <cellStyle name="Normal 2 2 4 2 6 13 2" xfId="16566"/>
    <cellStyle name="Normal 2 2 4 2 6 14" xfId="16567"/>
    <cellStyle name="Normal 2 2 4 2 6 14 2" xfId="16568"/>
    <cellStyle name="Normal 2 2 4 2 6 15" xfId="16569"/>
    <cellStyle name="Normal 2 2 4 2 6 15 2" xfId="16570"/>
    <cellStyle name="Normal 2 2 4 2 6 16" xfId="16571"/>
    <cellStyle name="Normal 2 2 4 2 6 16 2" xfId="16572"/>
    <cellStyle name="Normal 2 2 4 2 6 17" xfId="16573"/>
    <cellStyle name="Normal 2 2 4 2 6 2" xfId="414"/>
    <cellStyle name="Normal 2 2 4 2 6 2 2" xfId="415"/>
    <cellStyle name="Normal 2 2 4 2 6 3" xfId="416"/>
    <cellStyle name="Normal 2 2 4 2 6 3 2" xfId="417"/>
    <cellStyle name="Normal 2 2 4 2 6 4" xfId="418"/>
    <cellStyle name="Normal 2 2 4 2 6 4 2" xfId="419"/>
    <cellStyle name="Normal 2 2 4 2 6 5" xfId="420"/>
    <cellStyle name="Normal 2 2 4 2 6 5 2" xfId="421"/>
    <cellStyle name="Normal 2 2 4 2 6 6" xfId="16574"/>
    <cellStyle name="Normal 2 2 4 2 6 6 10" xfId="16575"/>
    <cellStyle name="Normal 2 2 4 2 6 6 10 2" xfId="16576"/>
    <cellStyle name="Normal 2 2 4 2 6 6 11" xfId="16577"/>
    <cellStyle name="Normal 2 2 4 2 6 6 11 2" xfId="16578"/>
    <cellStyle name="Normal 2 2 4 2 6 6 12" xfId="16579"/>
    <cellStyle name="Normal 2 2 4 2 6 6 2" xfId="16580"/>
    <cellStyle name="Normal 2 2 4 2 6 6 2 10" xfId="16581"/>
    <cellStyle name="Normal 2 2 4 2 6 6 2 10 2" xfId="16582"/>
    <cellStyle name="Normal 2 2 4 2 6 6 2 11" xfId="16583"/>
    <cellStyle name="Normal 2 2 4 2 6 6 2 2" xfId="16584"/>
    <cellStyle name="Normal 2 2 4 2 6 6 2 2 2" xfId="16585"/>
    <cellStyle name="Normal 2 2 4 2 6 6 2 3" xfId="16586"/>
    <cellStyle name="Normal 2 2 4 2 6 6 2 3 2" xfId="16587"/>
    <cellStyle name="Normal 2 2 4 2 6 6 2 4" xfId="16588"/>
    <cellStyle name="Normal 2 2 4 2 6 6 2 4 2" xfId="16589"/>
    <cellStyle name="Normal 2 2 4 2 6 6 2 5" xfId="16590"/>
    <cellStyle name="Normal 2 2 4 2 6 6 2 5 2" xfId="16591"/>
    <cellStyle name="Normal 2 2 4 2 6 6 2 6" xfId="16592"/>
    <cellStyle name="Normal 2 2 4 2 6 6 2 6 2" xfId="16593"/>
    <cellStyle name="Normal 2 2 4 2 6 6 2 7" xfId="16594"/>
    <cellStyle name="Normal 2 2 4 2 6 6 2 7 2" xfId="16595"/>
    <cellStyle name="Normal 2 2 4 2 6 6 2 8" xfId="16596"/>
    <cellStyle name="Normal 2 2 4 2 6 6 2 8 2" xfId="16597"/>
    <cellStyle name="Normal 2 2 4 2 6 6 2 9" xfId="16598"/>
    <cellStyle name="Normal 2 2 4 2 6 6 2 9 2" xfId="16599"/>
    <cellStyle name="Normal 2 2 4 2 6 6 3" xfId="16600"/>
    <cellStyle name="Normal 2 2 4 2 6 6 3 2" xfId="16601"/>
    <cellStyle name="Normal 2 2 4 2 6 6 4" xfId="16602"/>
    <cellStyle name="Normal 2 2 4 2 6 6 4 2" xfId="16603"/>
    <cellStyle name="Normal 2 2 4 2 6 6 5" xfId="16604"/>
    <cellStyle name="Normal 2 2 4 2 6 6 5 2" xfId="16605"/>
    <cellStyle name="Normal 2 2 4 2 6 6 6" xfId="16606"/>
    <cellStyle name="Normal 2 2 4 2 6 6 6 2" xfId="16607"/>
    <cellStyle name="Normal 2 2 4 2 6 6 7" xfId="16608"/>
    <cellStyle name="Normal 2 2 4 2 6 6 7 2" xfId="16609"/>
    <cellStyle name="Normal 2 2 4 2 6 6 8" xfId="16610"/>
    <cellStyle name="Normal 2 2 4 2 6 6 8 2" xfId="16611"/>
    <cellStyle name="Normal 2 2 4 2 6 6 9" xfId="16612"/>
    <cellStyle name="Normal 2 2 4 2 6 6 9 2" xfId="16613"/>
    <cellStyle name="Normal 2 2 4 2 6 7" xfId="16614"/>
    <cellStyle name="Normal 2 2 4 2 6 7 10" xfId="16615"/>
    <cellStyle name="Normal 2 2 4 2 6 7 10 2" xfId="16616"/>
    <cellStyle name="Normal 2 2 4 2 6 7 11" xfId="16617"/>
    <cellStyle name="Normal 2 2 4 2 6 7 2" xfId="16618"/>
    <cellStyle name="Normal 2 2 4 2 6 7 2 2" xfId="16619"/>
    <cellStyle name="Normal 2 2 4 2 6 7 3" xfId="16620"/>
    <cellStyle name="Normal 2 2 4 2 6 7 3 2" xfId="16621"/>
    <cellStyle name="Normal 2 2 4 2 6 7 4" xfId="16622"/>
    <cellStyle name="Normal 2 2 4 2 6 7 4 2" xfId="16623"/>
    <cellStyle name="Normal 2 2 4 2 6 7 5" xfId="16624"/>
    <cellStyle name="Normal 2 2 4 2 6 7 5 2" xfId="16625"/>
    <cellStyle name="Normal 2 2 4 2 6 7 6" xfId="16626"/>
    <cellStyle name="Normal 2 2 4 2 6 7 6 2" xfId="16627"/>
    <cellStyle name="Normal 2 2 4 2 6 7 7" xfId="16628"/>
    <cellStyle name="Normal 2 2 4 2 6 7 7 2" xfId="16629"/>
    <cellStyle name="Normal 2 2 4 2 6 7 8" xfId="16630"/>
    <cellStyle name="Normal 2 2 4 2 6 7 8 2" xfId="16631"/>
    <cellStyle name="Normal 2 2 4 2 6 7 9" xfId="16632"/>
    <cellStyle name="Normal 2 2 4 2 6 7 9 2" xfId="16633"/>
    <cellStyle name="Normal 2 2 4 2 6 8" xfId="16634"/>
    <cellStyle name="Normal 2 2 4 2 6 8 2" xfId="16635"/>
    <cellStyle name="Normal 2 2 4 2 6 9" xfId="16636"/>
    <cellStyle name="Normal 2 2 4 2 6 9 2" xfId="16637"/>
    <cellStyle name="Normal 2 2 4 2 7" xfId="422"/>
    <cellStyle name="Normal 2 2 4 2 7 10" xfId="16638"/>
    <cellStyle name="Normal 2 2 4 2 7 10 2" xfId="16639"/>
    <cellStyle name="Normal 2 2 4 2 7 11" xfId="16640"/>
    <cellStyle name="Normal 2 2 4 2 7 11 2" xfId="16641"/>
    <cellStyle name="Normal 2 2 4 2 7 12" xfId="16642"/>
    <cellStyle name="Normal 2 2 4 2 7 12 2" xfId="16643"/>
    <cellStyle name="Normal 2 2 4 2 7 13" xfId="16644"/>
    <cellStyle name="Normal 2 2 4 2 7 2" xfId="16645"/>
    <cellStyle name="Normal 2 2 4 2 7 2 10" xfId="16646"/>
    <cellStyle name="Normal 2 2 4 2 7 2 10 2" xfId="16647"/>
    <cellStyle name="Normal 2 2 4 2 7 2 11" xfId="16648"/>
    <cellStyle name="Normal 2 2 4 2 7 2 11 2" xfId="16649"/>
    <cellStyle name="Normal 2 2 4 2 7 2 12" xfId="16650"/>
    <cellStyle name="Normal 2 2 4 2 7 2 2" xfId="16651"/>
    <cellStyle name="Normal 2 2 4 2 7 2 2 10" xfId="16652"/>
    <cellStyle name="Normal 2 2 4 2 7 2 2 10 2" xfId="16653"/>
    <cellStyle name="Normal 2 2 4 2 7 2 2 11" xfId="16654"/>
    <cellStyle name="Normal 2 2 4 2 7 2 2 2" xfId="16655"/>
    <cellStyle name="Normal 2 2 4 2 7 2 2 2 2" xfId="16656"/>
    <cellStyle name="Normal 2 2 4 2 7 2 2 3" xfId="16657"/>
    <cellStyle name="Normal 2 2 4 2 7 2 2 3 2" xfId="16658"/>
    <cellStyle name="Normal 2 2 4 2 7 2 2 4" xfId="16659"/>
    <cellStyle name="Normal 2 2 4 2 7 2 2 4 2" xfId="16660"/>
    <cellStyle name="Normal 2 2 4 2 7 2 2 5" xfId="16661"/>
    <cellStyle name="Normal 2 2 4 2 7 2 2 5 2" xfId="16662"/>
    <cellStyle name="Normal 2 2 4 2 7 2 2 6" xfId="16663"/>
    <cellStyle name="Normal 2 2 4 2 7 2 2 6 2" xfId="16664"/>
    <cellStyle name="Normal 2 2 4 2 7 2 2 7" xfId="16665"/>
    <cellStyle name="Normal 2 2 4 2 7 2 2 7 2" xfId="16666"/>
    <cellStyle name="Normal 2 2 4 2 7 2 2 8" xfId="16667"/>
    <cellStyle name="Normal 2 2 4 2 7 2 2 8 2" xfId="16668"/>
    <cellStyle name="Normal 2 2 4 2 7 2 2 9" xfId="16669"/>
    <cellStyle name="Normal 2 2 4 2 7 2 2 9 2" xfId="16670"/>
    <cellStyle name="Normal 2 2 4 2 7 2 3" xfId="16671"/>
    <cellStyle name="Normal 2 2 4 2 7 2 3 2" xfId="16672"/>
    <cellStyle name="Normal 2 2 4 2 7 2 4" xfId="16673"/>
    <cellStyle name="Normal 2 2 4 2 7 2 4 2" xfId="16674"/>
    <cellStyle name="Normal 2 2 4 2 7 2 5" xfId="16675"/>
    <cellStyle name="Normal 2 2 4 2 7 2 5 2" xfId="16676"/>
    <cellStyle name="Normal 2 2 4 2 7 2 6" xfId="16677"/>
    <cellStyle name="Normal 2 2 4 2 7 2 6 2" xfId="16678"/>
    <cellStyle name="Normal 2 2 4 2 7 2 7" xfId="16679"/>
    <cellStyle name="Normal 2 2 4 2 7 2 7 2" xfId="16680"/>
    <cellStyle name="Normal 2 2 4 2 7 2 8" xfId="16681"/>
    <cellStyle name="Normal 2 2 4 2 7 2 8 2" xfId="16682"/>
    <cellStyle name="Normal 2 2 4 2 7 2 9" xfId="16683"/>
    <cellStyle name="Normal 2 2 4 2 7 2 9 2" xfId="16684"/>
    <cellStyle name="Normal 2 2 4 2 7 3" xfId="16685"/>
    <cellStyle name="Normal 2 2 4 2 7 3 10" xfId="16686"/>
    <cellStyle name="Normal 2 2 4 2 7 3 10 2" xfId="16687"/>
    <cellStyle name="Normal 2 2 4 2 7 3 11" xfId="16688"/>
    <cellStyle name="Normal 2 2 4 2 7 3 2" xfId="16689"/>
    <cellStyle name="Normal 2 2 4 2 7 3 2 2" xfId="16690"/>
    <cellStyle name="Normal 2 2 4 2 7 3 3" xfId="16691"/>
    <cellStyle name="Normal 2 2 4 2 7 3 3 2" xfId="16692"/>
    <cellStyle name="Normal 2 2 4 2 7 3 4" xfId="16693"/>
    <cellStyle name="Normal 2 2 4 2 7 3 4 2" xfId="16694"/>
    <cellStyle name="Normal 2 2 4 2 7 3 5" xfId="16695"/>
    <cellStyle name="Normal 2 2 4 2 7 3 5 2" xfId="16696"/>
    <cellStyle name="Normal 2 2 4 2 7 3 6" xfId="16697"/>
    <cellStyle name="Normal 2 2 4 2 7 3 6 2" xfId="16698"/>
    <cellStyle name="Normal 2 2 4 2 7 3 7" xfId="16699"/>
    <cellStyle name="Normal 2 2 4 2 7 3 7 2" xfId="16700"/>
    <cellStyle name="Normal 2 2 4 2 7 3 8" xfId="16701"/>
    <cellStyle name="Normal 2 2 4 2 7 3 8 2" xfId="16702"/>
    <cellStyle name="Normal 2 2 4 2 7 3 9" xfId="16703"/>
    <cellStyle name="Normal 2 2 4 2 7 3 9 2" xfId="16704"/>
    <cellStyle name="Normal 2 2 4 2 7 4" xfId="16705"/>
    <cellStyle name="Normal 2 2 4 2 7 4 2" xfId="16706"/>
    <cellStyle name="Normal 2 2 4 2 7 5" xfId="16707"/>
    <cellStyle name="Normal 2 2 4 2 7 5 2" xfId="16708"/>
    <cellStyle name="Normal 2 2 4 2 7 6" xfId="16709"/>
    <cellStyle name="Normal 2 2 4 2 7 6 2" xfId="16710"/>
    <cellStyle name="Normal 2 2 4 2 7 7" xfId="16711"/>
    <cellStyle name="Normal 2 2 4 2 7 7 2" xfId="16712"/>
    <cellStyle name="Normal 2 2 4 2 7 8" xfId="16713"/>
    <cellStyle name="Normal 2 2 4 2 7 8 2" xfId="16714"/>
    <cellStyle name="Normal 2 2 4 2 7 9" xfId="16715"/>
    <cellStyle name="Normal 2 2 4 2 7 9 2" xfId="16716"/>
    <cellStyle name="Normal 2 2 4 2 8" xfId="423"/>
    <cellStyle name="Normal 2 2 4 2 8 10" xfId="16717"/>
    <cellStyle name="Normal 2 2 4 2 8 10 2" xfId="16718"/>
    <cellStyle name="Normal 2 2 4 2 8 11" xfId="16719"/>
    <cellStyle name="Normal 2 2 4 2 8 11 2" xfId="16720"/>
    <cellStyle name="Normal 2 2 4 2 8 12" xfId="16721"/>
    <cellStyle name="Normal 2 2 4 2 8 12 2" xfId="16722"/>
    <cellStyle name="Normal 2 2 4 2 8 13" xfId="16723"/>
    <cellStyle name="Normal 2 2 4 2 8 2" xfId="16724"/>
    <cellStyle name="Normal 2 2 4 2 8 2 10" xfId="16725"/>
    <cellStyle name="Normal 2 2 4 2 8 2 10 2" xfId="16726"/>
    <cellStyle name="Normal 2 2 4 2 8 2 11" xfId="16727"/>
    <cellStyle name="Normal 2 2 4 2 8 2 11 2" xfId="16728"/>
    <cellStyle name="Normal 2 2 4 2 8 2 12" xfId="16729"/>
    <cellStyle name="Normal 2 2 4 2 8 2 2" xfId="16730"/>
    <cellStyle name="Normal 2 2 4 2 8 2 2 10" xfId="16731"/>
    <cellStyle name="Normal 2 2 4 2 8 2 2 10 2" xfId="16732"/>
    <cellStyle name="Normal 2 2 4 2 8 2 2 11" xfId="16733"/>
    <cellStyle name="Normal 2 2 4 2 8 2 2 2" xfId="16734"/>
    <cellStyle name="Normal 2 2 4 2 8 2 2 2 2" xfId="16735"/>
    <cellStyle name="Normal 2 2 4 2 8 2 2 3" xfId="16736"/>
    <cellStyle name="Normal 2 2 4 2 8 2 2 3 2" xfId="16737"/>
    <cellStyle name="Normal 2 2 4 2 8 2 2 4" xfId="16738"/>
    <cellStyle name="Normal 2 2 4 2 8 2 2 4 2" xfId="16739"/>
    <cellStyle name="Normal 2 2 4 2 8 2 2 5" xfId="16740"/>
    <cellStyle name="Normal 2 2 4 2 8 2 2 5 2" xfId="16741"/>
    <cellStyle name="Normal 2 2 4 2 8 2 2 6" xfId="16742"/>
    <cellStyle name="Normal 2 2 4 2 8 2 2 6 2" xfId="16743"/>
    <cellStyle name="Normal 2 2 4 2 8 2 2 7" xfId="16744"/>
    <cellStyle name="Normal 2 2 4 2 8 2 2 7 2" xfId="16745"/>
    <cellStyle name="Normal 2 2 4 2 8 2 2 8" xfId="16746"/>
    <cellStyle name="Normal 2 2 4 2 8 2 2 8 2" xfId="16747"/>
    <cellStyle name="Normal 2 2 4 2 8 2 2 9" xfId="16748"/>
    <cellStyle name="Normal 2 2 4 2 8 2 2 9 2" xfId="16749"/>
    <cellStyle name="Normal 2 2 4 2 8 2 3" xfId="16750"/>
    <cellStyle name="Normal 2 2 4 2 8 2 3 2" xfId="16751"/>
    <cellStyle name="Normal 2 2 4 2 8 2 4" xfId="16752"/>
    <cellStyle name="Normal 2 2 4 2 8 2 4 2" xfId="16753"/>
    <cellStyle name="Normal 2 2 4 2 8 2 5" xfId="16754"/>
    <cellStyle name="Normal 2 2 4 2 8 2 5 2" xfId="16755"/>
    <cellStyle name="Normal 2 2 4 2 8 2 6" xfId="16756"/>
    <cellStyle name="Normal 2 2 4 2 8 2 6 2" xfId="16757"/>
    <cellStyle name="Normal 2 2 4 2 8 2 7" xfId="16758"/>
    <cellStyle name="Normal 2 2 4 2 8 2 7 2" xfId="16759"/>
    <cellStyle name="Normal 2 2 4 2 8 2 8" xfId="16760"/>
    <cellStyle name="Normal 2 2 4 2 8 2 8 2" xfId="16761"/>
    <cellStyle name="Normal 2 2 4 2 8 2 9" xfId="16762"/>
    <cellStyle name="Normal 2 2 4 2 8 2 9 2" xfId="16763"/>
    <cellStyle name="Normal 2 2 4 2 8 3" xfId="16764"/>
    <cellStyle name="Normal 2 2 4 2 8 3 10" xfId="16765"/>
    <cellStyle name="Normal 2 2 4 2 8 3 10 2" xfId="16766"/>
    <cellStyle name="Normal 2 2 4 2 8 3 11" xfId="16767"/>
    <cellStyle name="Normal 2 2 4 2 8 3 2" xfId="16768"/>
    <cellStyle name="Normal 2 2 4 2 8 3 2 2" xfId="16769"/>
    <cellStyle name="Normal 2 2 4 2 8 3 3" xfId="16770"/>
    <cellStyle name="Normal 2 2 4 2 8 3 3 2" xfId="16771"/>
    <cellStyle name="Normal 2 2 4 2 8 3 4" xfId="16772"/>
    <cellStyle name="Normal 2 2 4 2 8 3 4 2" xfId="16773"/>
    <cellStyle name="Normal 2 2 4 2 8 3 5" xfId="16774"/>
    <cellStyle name="Normal 2 2 4 2 8 3 5 2" xfId="16775"/>
    <cellStyle name="Normal 2 2 4 2 8 3 6" xfId="16776"/>
    <cellStyle name="Normal 2 2 4 2 8 3 6 2" xfId="16777"/>
    <cellStyle name="Normal 2 2 4 2 8 3 7" xfId="16778"/>
    <cellStyle name="Normal 2 2 4 2 8 3 7 2" xfId="16779"/>
    <cellStyle name="Normal 2 2 4 2 8 3 8" xfId="16780"/>
    <cellStyle name="Normal 2 2 4 2 8 3 8 2" xfId="16781"/>
    <cellStyle name="Normal 2 2 4 2 8 3 9" xfId="16782"/>
    <cellStyle name="Normal 2 2 4 2 8 3 9 2" xfId="16783"/>
    <cellStyle name="Normal 2 2 4 2 8 4" xfId="16784"/>
    <cellStyle name="Normal 2 2 4 2 8 4 2" xfId="16785"/>
    <cellStyle name="Normal 2 2 4 2 8 5" xfId="16786"/>
    <cellStyle name="Normal 2 2 4 2 8 5 2" xfId="16787"/>
    <cellStyle name="Normal 2 2 4 2 8 6" xfId="16788"/>
    <cellStyle name="Normal 2 2 4 2 8 6 2" xfId="16789"/>
    <cellStyle name="Normal 2 2 4 2 8 7" xfId="16790"/>
    <cellStyle name="Normal 2 2 4 2 8 7 2" xfId="16791"/>
    <cellStyle name="Normal 2 2 4 2 8 8" xfId="16792"/>
    <cellStyle name="Normal 2 2 4 2 8 8 2" xfId="16793"/>
    <cellStyle name="Normal 2 2 4 2 8 9" xfId="16794"/>
    <cellStyle name="Normal 2 2 4 2 8 9 2" xfId="16795"/>
    <cellStyle name="Normal 2 2 4 2 9" xfId="424"/>
    <cellStyle name="Normal 2 2 4 2 9 10" xfId="16796"/>
    <cellStyle name="Normal 2 2 4 2 9 10 2" xfId="16797"/>
    <cellStyle name="Normal 2 2 4 2 9 11" xfId="16798"/>
    <cellStyle name="Normal 2 2 4 2 9 11 2" xfId="16799"/>
    <cellStyle name="Normal 2 2 4 2 9 12" xfId="16800"/>
    <cellStyle name="Normal 2 2 4 2 9 12 2" xfId="16801"/>
    <cellStyle name="Normal 2 2 4 2 9 13" xfId="16802"/>
    <cellStyle name="Normal 2 2 4 2 9 2" xfId="16803"/>
    <cellStyle name="Normal 2 2 4 2 9 2 10" xfId="16804"/>
    <cellStyle name="Normal 2 2 4 2 9 2 10 2" xfId="16805"/>
    <cellStyle name="Normal 2 2 4 2 9 2 11" xfId="16806"/>
    <cellStyle name="Normal 2 2 4 2 9 2 11 2" xfId="16807"/>
    <cellStyle name="Normal 2 2 4 2 9 2 12" xfId="16808"/>
    <cellStyle name="Normal 2 2 4 2 9 2 2" xfId="16809"/>
    <cellStyle name="Normal 2 2 4 2 9 2 2 10" xfId="16810"/>
    <cellStyle name="Normal 2 2 4 2 9 2 2 10 2" xfId="16811"/>
    <cellStyle name="Normal 2 2 4 2 9 2 2 11" xfId="16812"/>
    <cellStyle name="Normal 2 2 4 2 9 2 2 2" xfId="16813"/>
    <cellStyle name="Normal 2 2 4 2 9 2 2 2 2" xfId="16814"/>
    <cellStyle name="Normal 2 2 4 2 9 2 2 3" xfId="16815"/>
    <cellStyle name="Normal 2 2 4 2 9 2 2 3 2" xfId="16816"/>
    <cellStyle name="Normal 2 2 4 2 9 2 2 4" xfId="16817"/>
    <cellStyle name="Normal 2 2 4 2 9 2 2 4 2" xfId="16818"/>
    <cellStyle name="Normal 2 2 4 2 9 2 2 5" xfId="16819"/>
    <cellStyle name="Normal 2 2 4 2 9 2 2 5 2" xfId="16820"/>
    <cellStyle name="Normal 2 2 4 2 9 2 2 6" xfId="16821"/>
    <cellStyle name="Normal 2 2 4 2 9 2 2 6 2" xfId="16822"/>
    <cellStyle name="Normal 2 2 4 2 9 2 2 7" xfId="16823"/>
    <cellStyle name="Normal 2 2 4 2 9 2 2 7 2" xfId="16824"/>
    <cellStyle name="Normal 2 2 4 2 9 2 2 8" xfId="16825"/>
    <cellStyle name="Normal 2 2 4 2 9 2 2 8 2" xfId="16826"/>
    <cellStyle name="Normal 2 2 4 2 9 2 2 9" xfId="16827"/>
    <cellStyle name="Normal 2 2 4 2 9 2 2 9 2" xfId="16828"/>
    <cellStyle name="Normal 2 2 4 2 9 2 3" xfId="16829"/>
    <cellStyle name="Normal 2 2 4 2 9 2 3 2" xfId="16830"/>
    <cellStyle name="Normal 2 2 4 2 9 2 4" xfId="16831"/>
    <cellStyle name="Normal 2 2 4 2 9 2 4 2" xfId="16832"/>
    <cellStyle name="Normal 2 2 4 2 9 2 5" xfId="16833"/>
    <cellStyle name="Normal 2 2 4 2 9 2 5 2" xfId="16834"/>
    <cellStyle name="Normal 2 2 4 2 9 2 6" xfId="16835"/>
    <cellStyle name="Normal 2 2 4 2 9 2 6 2" xfId="16836"/>
    <cellStyle name="Normal 2 2 4 2 9 2 7" xfId="16837"/>
    <cellStyle name="Normal 2 2 4 2 9 2 7 2" xfId="16838"/>
    <cellStyle name="Normal 2 2 4 2 9 2 8" xfId="16839"/>
    <cellStyle name="Normal 2 2 4 2 9 2 8 2" xfId="16840"/>
    <cellStyle name="Normal 2 2 4 2 9 2 9" xfId="16841"/>
    <cellStyle name="Normal 2 2 4 2 9 2 9 2" xfId="16842"/>
    <cellStyle name="Normal 2 2 4 2 9 3" xfId="16843"/>
    <cellStyle name="Normal 2 2 4 2 9 3 10" xfId="16844"/>
    <cellStyle name="Normal 2 2 4 2 9 3 10 2" xfId="16845"/>
    <cellStyle name="Normal 2 2 4 2 9 3 11" xfId="16846"/>
    <cellStyle name="Normal 2 2 4 2 9 3 2" xfId="16847"/>
    <cellStyle name="Normal 2 2 4 2 9 3 2 2" xfId="16848"/>
    <cellStyle name="Normal 2 2 4 2 9 3 3" xfId="16849"/>
    <cellStyle name="Normal 2 2 4 2 9 3 3 2" xfId="16850"/>
    <cellStyle name="Normal 2 2 4 2 9 3 4" xfId="16851"/>
    <cellStyle name="Normal 2 2 4 2 9 3 4 2" xfId="16852"/>
    <cellStyle name="Normal 2 2 4 2 9 3 5" xfId="16853"/>
    <cellStyle name="Normal 2 2 4 2 9 3 5 2" xfId="16854"/>
    <cellStyle name="Normal 2 2 4 2 9 3 6" xfId="16855"/>
    <cellStyle name="Normal 2 2 4 2 9 3 6 2" xfId="16856"/>
    <cellStyle name="Normal 2 2 4 2 9 3 7" xfId="16857"/>
    <cellStyle name="Normal 2 2 4 2 9 3 7 2" xfId="16858"/>
    <cellStyle name="Normal 2 2 4 2 9 3 8" xfId="16859"/>
    <cellStyle name="Normal 2 2 4 2 9 3 8 2" xfId="16860"/>
    <cellStyle name="Normal 2 2 4 2 9 3 9" xfId="16861"/>
    <cellStyle name="Normal 2 2 4 2 9 3 9 2" xfId="16862"/>
    <cellStyle name="Normal 2 2 4 2 9 4" xfId="16863"/>
    <cellStyle name="Normal 2 2 4 2 9 4 2" xfId="16864"/>
    <cellStyle name="Normal 2 2 4 2 9 5" xfId="16865"/>
    <cellStyle name="Normal 2 2 4 2 9 5 2" xfId="16866"/>
    <cellStyle name="Normal 2 2 4 2 9 6" xfId="16867"/>
    <cellStyle name="Normal 2 2 4 2 9 6 2" xfId="16868"/>
    <cellStyle name="Normal 2 2 4 2 9 7" xfId="16869"/>
    <cellStyle name="Normal 2 2 4 2 9 7 2" xfId="16870"/>
    <cellStyle name="Normal 2 2 4 2 9 8" xfId="16871"/>
    <cellStyle name="Normal 2 2 4 2 9 8 2" xfId="16872"/>
    <cellStyle name="Normal 2 2 4 2 9 9" xfId="16873"/>
    <cellStyle name="Normal 2 2 4 2 9 9 2" xfId="16874"/>
    <cellStyle name="Normal 2 2 4 20" xfId="16875"/>
    <cellStyle name="Normal 2 2 4 20 2" xfId="16876"/>
    <cellStyle name="Normal 2 2 4 21" xfId="16877"/>
    <cellStyle name="Normal 2 2 4 3" xfId="425"/>
    <cellStyle name="Normal 2 2 4 3 2" xfId="426"/>
    <cellStyle name="Normal 2 2 4 3 2 10" xfId="16878"/>
    <cellStyle name="Normal 2 2 4 3 2 10 2" xfId="16879"/>
    <cellStyle name="Normal 2 2 4 3 2 11" xfId="16880"/>
    <cellStyle name="Normal 2 2 4 3 2 11 2" xfId="16881"/>
    <cellStyle name="Normal 2 2 4 3 2 12" xfId="16882"/>
    <cellStyle name="Normal 2 2 4 3 2 12 2" xfId="16883"/>
    <cellStyle name="Normal 2 2 4 3 2 13" xfId="16884"/>
    <cellStyle name="Normal 2 2 4 3 2 13 2" xfId="16885"/>
    <cellStyle name="Normal 2 2 4 3 2 14" xfId="16886"/>
    <cellStyle name="Normal 2 2 4 3 2 14 2" xfId="16887"/>
    <cellStyle name="Normal 2 2 4 3 2 15" xfId="16888"/>
    <cellStyle name="Normal 2 2 4 3 2 15 2" xfId="16889"/>
    <cellStyle name="Normal 2 2 4 3 2 16" xfId="16890"/>
    <cellStyle name="Normal 2 2 4 3 2 16 2" xfId="16891"/>
    <cellStyle name="Normal 2 2 4 3 2 17" xfId="16892"/>
    <cellStyle name="Normal 2 2 4 3 2 2" xfId="427"/>
    <cellStyle name="Normal 2 2 4 3 2 2 2" xfId="428"/>
    <cellStyle name="Normal 2 2 4 3 2 2 2 10" xfId="16893"/>
    <cellStyle name="Normal 2 2 4 3 2 2 2 10 2" xfId="16894"/>
    <cellStyle name="Normal 2 2 4 3 2 2 2 11" xfId="16895"/>
    <cellStyle name="Normal 2 2 4 3 2 2 2 11 2" xfId="16896"/>
    <cellStyle name="Normal 2 2 4 3 2 2 2 12" xfId="16897"/>
    <cellStyle name="Normal 2 2 4 3 2 2 2 12 2" xfId="16898"/>
    <cellStyle name="Normal 2 2 4 3 2 2 2 13" xfId="16899"/>
    <cellStyle name="Normal 2 2 4 3 2 2 2 2" xfId="16900"/>
    <cellStyle name="Normal 2 2 4 3 2 2 2 2 10" xfId="16901"/>
    <cellStyle name="Normal 2 2 4 3 2 2 2 2 10 2" xfId="16902"/>
    <cellStyle name="Normal 2 2 4 3 2 2 2 2 11" xfId="16903"/>
    <cellStyle name="Normal 2 2 4 3 2 2 2 2 11 2" xfId="16904"/>
    <cellStyle name="Normal 2 2 4 3 2 2 2 2 12" xfId="16905"/>
    <cellStyle name="Normal 2 2 4 3 2 2 2 2 2" xfId="16906"/>
    <cellStyle name="Normal 2 2 4 3 2 2 2 2 2 10" xfId="16907"/>
    <cellStyle name="Normal 2 2 4 3 2 2 2 2 2 10 2" xfId="16908"/>
    <cellStyle name="Normal 2 2 4 3 2 2 2 2 2 11" xfId="16909"/>
    <cellStyle name="Normal 2 2 4 3 2 2 2 2 2 2" xfId="16910"/>
    <cellStyle name="Normal 2 2 4 3 2 2 2 2 2 2 2" xfId="16911"/>
    <cellStyle name="Normal 2 2 4 3 2 2 2 2 2 3" xfId="16912"/>
    <cellStyle name="Normal 2 2 4 3 2 2 2 2 2 3 2" xfId="16913"/>
    <cellStyle name="Normal 2 2 4 3 2 2 2 2 2 4" xfId="16914"/>
    <cellStyle name="Normal 2 2 4 3 2 2 2 2 2 4 2" xfId="16915"/>
    <cellStyle name="Normal 2 2 4 3 2 2 2 2 2 5" xfId="16916"/>
    <cellStyle name="Normal 2 2 4 3 2 2 2 2 2 5 2" xfId="16917"/>
    <cellStyle name="Normal 2 2 4 3 2 2 2 2 2 6" xfId="16918"/>
    <cellStyle name="Normal 2 2 4 3 2 2 2 2 2 6 2" xfId="16919"/>
    <cellStyle name="Normal 2 2 4 3 2 2 2 2 2 7" xfId="16920"/>
    <cellStyle name="Normal 2 2 4 3 2 2 2 2 2 7 2" xfId="16921"/>
    <cellStyle name="Normal 2 2 4 3 2 2 2 2 2 8" xfId="16922"/>
    <cellStyle name="Normal 2 2 4 3 2 2 2 2 2 8 2" xfId="16923"/>
    <cellStyle name="Normal 2 2 4 3 2 2 2 2 2 9" xfId="16924"/>
    <cellStyle name="Normal 2 2 4 3 2 2 2 2 2 9 2" xfId="16925"/>
    <cellStyle name="Normal 2 2 4 3 2 2 2 2 3" xfId="16926"/>
    <cellStyle name="Normal 2 2 4 3 2 2 2 2 3 2" xfId="16927"/>
    <cellStyle name="Normal 2 2 4 3 2 2 2 2 4" xfId="16928"/>
    <cellStyle name="Normal 2 2 4 3 2 2 2 2 4 2" xfId="16929"/>
    <cellStyle name="Normal 2 2 4 3 2 2 2 2 5" xfId="16930"/>
    <cellStyle name="Normal 2 2 4 3 2 2 2 2 5 2" xfId="16931"/>
    <cellStyle name="Normal 2 2 4 3 2 2 2 2 6" xfId="16932"/>
    <cellStyle name="Normal 2 2 4 3 2 2 2 2 6 2" xfId="16933"/>
    <cellStyle name="Normal 2 2 4 3 2 2 2 2 7" xfId="16934"/>
    <cellStyle name="Normal 2 2 4 3 2 2 2 2 7 2" xfId="16935"/>
    <cellStyle name="Normal 2 2 4 3 2 2 2 2 8" xfId="16936"/>
    <cellStyle name="Normal 2 2 4 3 2 2 2 2 8 2" xfId="16937"/>
    <cellStyle name="Normal 2 2 4 3 2 2 2 2 9" xfId="16938"/>
    <cellStyle name="Normal 2 2 4 3 2 2 2 2 9 2" xfId="16939"/>
    <cellStyle name="Normal 2 2 4 3 2 2 2 3" xfId="16940"/>
    <cellStyle name="Normal 2 2 4 3 2 2 2 3 10" xfId="16941"/>
    <cellStyle name="Normal 2 2 4 3 2 2 2 3 10 2" xfId="16942"/>
    <cellStyle name="Normal 2 2 4 3 2 2 2 3 11" xfId="16943"/>
    <cellStyle name="Normal 2 2 4 3 2 2 2 3 2" xfId="16944"/>
    <cellStyle name="Normal 2 2 4 3 2 2 2 3 2 2" xfId="16945"/>
    <cellStyle name="Normal 2 2 4 3 2 2 2 3 3" xfId="16946"/>
    <cellStyle name="Normal 2 2 4 3 2 2 2 3 3 2" xfId="16947"/>
    <cellStyle name="Normal 2 2 4 3 2 2 2 3 4" xfId="16948"/>
    <cellStyle name="Normal 2 2 4 3 2 2 2 3 4 2" xfId="16949"/>
    <cellStyle name="Normal 2 2 4 3 2 2 2 3 5" xfId="16950"/>
    <cellStyle name="Normal 2 2 4 3 2 2 2 3 5 2" xfId="16951"/>
    <cellStyle name="Normal 2 2 4 3 2 2 2 3 6" xfId="16952"/>
    <cellStyle name="Normal 2 2 4 3 2 2 2 3 6 2" xfId="16953"/>
    <cellStyle name="Normal 2 2 4 3 2 2 2 3 7" xfId="16954"/>
    <cellStyle name="Normal 2 2 4 3 2 2 2 3 7 2" xfId="16955"/>
    <cellStyle name="Normal 2 2 4 3 2 2 2 3 8" xfId="16956"/>
    <cellStyle name="Normal 2 2 4 3 2 2 2 3 8 2" xfId="16957"/>
    <cellStyle name="Normal 2 2 4 3 2 2 2 3 9" xfId="16958"/>
    <cellStyle name="Normal 2 2 4 3 2 2 2 3 9 2" xfId="16959"/>
    <cellStyle name="Normal 2 2 4 3 2 2 2 4" xfId="16960"/>
    <cellStyle name="Normal 2 2 4 3 2 2 2 4 2" xfId="16961"/>
    <cellStyle name="Normal 2 2 4 3 2 2 2 5" xfId="16962"/>
    <cellStyle name="Normal 2 2 4 3 2 2 2 5 2" xfId="16963"/>
    <cellStyle name="Normal 2 2 4 3 2 2 2 6" xfId="16964"/>
    <cellStyle name="Normal 2 2 4 3 2 2 2 6 2" xfId="16965"/>
    <cellStyle name="Normal 2 2 4 3 2 2 2 7" xfId="16966"/>
    <cellStyle name="Normal 2 2 4 3 2 2 2 7 2" xfId="16967"/>
    <cellStyle name="Normal 2 2 4 3 2 2 2 8" xfId="16968"/>
    <cellStyle name="Normal 2 2 4 3 2 2 2 8 2" xfId="16969"/>
    <cellStyle name="Normal 2 2 4 3 2 2 2 9" xfId="16970"/>
    <cellStyle name="Normal 2 2 4 3 2 2 2 9 2" xfId="16971"/>
    <cellStyle name="Normal 2 2 4 3 2 2 3" xfId="429"/>
    <cellStyle name="Normal 2 2 4 3 2 2 3 10" xfId="16972"/>
    <cellStyle name="Normal 2 2 4 3 2 2 3 10 2" xfId="16973"/>
    <cellStyle name="Normal 2 2 4 3 2 2 3 11" xfId="16974"/>
    <cellStyle name="Normal 2 2 4 3 2 2 3 11 2" xfId="16975"/>
    <cellStyle name="Normal 2 2 4 3 2 2 3 12" xfId="16976"/>
    <cellStyle name="Normal 2 2 4 3 2 2 3 12 2" xfId="16977"/>
    <cellStyle name="Normal 2 2 4 3 2 2 3 13" xfId="16978"/>
    <cellStyle name="Normal 2 2 4 3 2 2 3 2" xfId="16979"/>
    <cellStyle name="Normal 2 2 4 3 2 2 3 2 10" xfId="16980"/>
    <cellStyle name="Normal 2 2 4 3 2 2 3 2 10 2" xfId="16981"/>
    <cellStyle name="Normal 2 2 4 3 2 2 3 2 11" xfId="16982"/>
    <cellStyle name="Normal 2 2 4 3 2 2 3 2 11 2" xfId="16983"/>
    <cellStyle name="Normal 2 2 4 3 2 2 3 2 12" xfId="16984"/>
    <cellStyle name="Normal 2 2 4 3 2 2 3 2 2" xfId="16985"/>
    <cellStyle name="Normal 2 2 4 3 2 2 3 2 2 10" xfId="16986"/>
    <cellStyle name="Normal 2 2 4 3 2 2 3 2 2 10 2" xfId="16987"/>
    <cellStyle name="Normal 2 2 4 3 2 2 3 2 2 11" xfId="16988"/>
    <cellStyle name="Normal 2 2 4 3 2 2 3 2 2 2" xfId="16989"/>
    <cellStyle name="Normal 2 2 4 3 2 2 3 2 2 2 2" xfId="16990"/>
    <cellStyle name="Normal 2 2 4 3 2 2 3 2 2 3" xfId="16991"/>
    <cellStyle name="Normal 2 2 4 3 2 2 3 2 2 3 2" xfId="16992"/>
    <cellStyle name="Normal 2 2 4 3 2 2 3 2 2 4" xfId="16993"/>
    <cellStyle name="Normal 2 2 4 3 2 2 3 2 2 4 2" xfId="16994"/>
    <cellStyle name="Normal 2 2 4 3 2 2 3 2 2 5" xfId="16995"/>
    <cellStyle name="Normal 2 2 4 3 2 2 3 2 2 5 2" xfId="16996"/>
    <cellStyle name="Normal 2 2 4 3 2 2 3 2 2 6" xfId="16997"/>
    <cellStyle name="Normal 2 2 4 3 2 2 3 2 2 6 2" xfId="16998"/>
    <cellStyle name="Normal 2 2 4 3 2 2 3 2 2 7" xfId="16999"/>
    <cellStyle name="Normal 2 2 4 3 2 2 3 2 2 7 2" xfId="17000"/>
    <cellStyle name="Normal 2 2 4 3 2 2 3 2 2 8" xfId="17001"/>
    <cellStyle name="Normal 2 2 4 3 2 2 3 2 2 8 2" xfId="17002"/>
    <cellStyle name="Normal 2 2 4 3 2 2 3 2 2 9" xfId="17003"/>
    <cellStyle name="Normal 2 2 4 3 2 2 3 2 2 9 2" xfId="17004"/>
    <cellStyle name="Normal 2 2 4 3 2 2 3 2 3" xfId="17005"/>
    <cellStyle name="Normal 2 2 4 3 2 2 3 2 3 2" xfId="17006"/>
    <cellStyle name="Normal 2 2 4 3 2 2 3 2 4" xfId="17007"/>
    <cellStyle name="Normal 2 2 4 3 2 2 3 2 4 2" xfId="17008"/>
    <cellStyle name="Normal 2 2 4 3 2 2 3 2 5" xfId="17009"/>
    <cellStyle name="Normal 2 2 4 3 2 2 3 2 5 2" xfId="17010"/>
    <cellStyle name="Normal 2 2 4 3 2 2 3 2 6" xfId="17011"/>
    <cellStyle name="Normal 2 2 4 3 2 2 3 2 6 2" xfId="17012"/>
    <cellStyle name="Normal 2 2 4 3 2 2 3 2 7" xfId="17013"/>
    <cellStyle name="Normal 2 2 4 3 2 2 3 2 7 2" xfId="17014"/>
    <cellStyle name="Normal 2 2 4 3 2 2 3 2 8" xfId="17015"/>
    <cellStyle name="Normal 2 2 4 3 2 2 3 2 8 2" xfId="17016"/>
    <cellStyle name="Normal 2 2 4 3 2 2 3 2 9" xfId="17017"/>
    <cellStyle name="Normal 2 2 4 3 2 2 3 2 9 2" xfId="17018"/>
    <cellStyle name="Normal 2 2 4 3 2 2 3 3" xfId="17019"/>
    <cellStyle name="Normal 2 2 4 3 2 2 3 3 10" xfId="17020"/>
    <cellStyle name="Normal 2 2 4 3 2 2 3 3 10 2" xfId="17021"/>
    <cellStyle name="Normal 2 2 4 3 2 2 3 3 11" xfId="17022"/>
    <cellStyle name="Normal 2 2 4 3 2 2 3 3 2" xfId="17023"/>
    <cellStyle name="Normal 2 2 4 3 2 2 3 3 2 2" xfId="17024"/>
    <cellStyle name="Normal 2 2 4 3 2 2 3 3 3" xfId="17025"/>
    <cellStyle name="Normal 2 2 4 3 2 2 3 3 3 2" xfId="17026"/>
    <cellStyle name="Normal 2 2 4 3 2 2 3 3 4" xfId="17027"/>
    <cellStyle name="Normal 2 2 4 3 2 2 3 3 4 2" xfId="17028"/>
    <cellStyle name="Normal 2 2 4 3 2 2 3 3 5" xfId="17029"/>
    <cellStyle name="Normal 2 2 4 3 2 2 3 3 5 2" xfId="17030"/>
    <cellStyle name="Normal 2 2 4 3 2 2 3 3 6" xfId="17031"/>
    <cellStyle name="Normal 2 2 4 3 2 2 3 3 6 2" xfId="17032"/>
    <cellStyle name="Normal 2 2 4 3 2 2 3 3 7" xfId="17033"/>
    <cellStyle name="Normal 2 2 4 3 2 2 3 3 7 2" xfId="17034"/>
    <cellStyle name="Normal 2 2 4 3 2 2 3 3 8" xfId="17035"/>
    <cellStyle name="Normal 2 2 4 3 2 2 3 3 8 2" xfId="17036"/>
    <cellStyle name="Normal 2 2 4 3 2 2 3 3 9" xfId="17037"/>
    <cellStyle name="Normal 2 2 4 3 2 2 3 3 9 2" xfId="17038"/>
    <cellStyle name="Normal 2 2 4 3 2 2 3 4" xfId="17039"/>
    <cellStyle name="Normal 2 2 4 3 2 2 3 4 2" xfId="17040"/>
    <cellStyle name="Normal 2 2 4 3 2 2 3 5" xfId="17041"/>
    <cellStyle name="Normal 2 2 4 3 2 2 3 5 2" xfId="17042"/>
    <cellStyle name="Normal 2 2 4 3 2 2 3 6" xfId="17043"/>
    <cellStyle name="Normal 2 2 4 3 2 2 3 6 2" xfId="17044"/>
    <cellStyle name="Normal 2 2 4 3 2 2 3 7" xfId="17045"/>
    <cellStyle name="Normal 2 2 4 3 2 2 3 7 2" xfId="17046"/>
    <cellStyle name="Normal 2 2 4 3 2 2 3 8" xfId="17047"/>
    <cellStyle name="Normal 2 2 4 3 2 2 3 8 2" xfId="17048"/>
    <cellStyle name="Normal 2 2 4 3 2 2 3 9" xfId="17049"/>
    <cellStyle name="Normal 2 2 4 3 2 2 3 9 2" xfId="17050"/>
    <cellStyle name="Normal 2 2 4 3 2 2 4" xfId="430"/>
    <cellStyle name="Normal 2 2 4 3 2 2 4 10" xfId="17051"/>
    <cellStyle name="Normal 2 2 4 3 2 2 4 10 2" xfId="17052"/>
    <cellStyle name="Normal 2 2 4 3 2 2 4 11" xfId="17053"/>
    <cellStyle name="Normal 2 2 4 3 2 2 4 11 2" xfId="17054"/>
    <cellStyle name="Normal 2 2 4 3 2 2 4 12" xfId="17055"/>
    <cellStyle name="Normal 2 2 4 3 2 2 4 12 2" xfId="17056"/>
    <cellStyle name="Normal 2 2 4 3 2 2 4 13" xfId="17057"/>
    <cellStyle name="Normal 2 2 4 3 2 2 4 2" xfId="17058"/>
    <cellStyle name="Normal 2 2 4 3 2 2 4 2 10" xfId="17059"/>
    <cellStyle name="Normal 2 2 4 3 2 2 4 2 10 2" xfId="17060"/>
    <cellStyle name="Normal 2 2 4 3 2 2 4 2 11" xfId="17061"/>
    <cellStyle name="Normal 2 2 4 3 2 2 4 2 11 2" xfId="17062"/>
    <cellStyle name="Normal 2 2 4 3 2 2 4 2 12" xfId="17063"/>
    <cellStyle name="Normal 2 2 4 3 2 2 4 2 2" xfId="17064"/>
    <cellStyle name="Normal 2 2 4 3 2 2 4 2 2 10" xfId="17065"/>
    <cellStyle name="Normal 2 2 4 3 2 2 4 2 2 10 2" xfId="17066"/>
    <cellStyle name="Normal 2 2 4 3 2 2 4 2 2 11" xfId="17067"/>
    <cellStyle name="Normal 2 2 4 3 2 2 4 2 2 2" xfId="17068"/>
    <cellStyle name="Normal 2 2 4 3 2 2 4 2 2 2 2" xfId="17069"/>
    <cellStyle name="Normal 2 2 4 3 2 2 4 2 2 3" xfId="17070"/>
    <cellStyle name="Normal 2 2 4 3 2 2 4 2 2 3 2" xfId="17071"/>
    <cellStyle name="Normal 2 2 4 3 2 2 4 2 2 4" xfId="17072"/>
    <cellStyle name="Normal 2 2 4 3 2 2 4 2 2 4 2" xfId="17073"/>
    <cellStyle name="Normal 2 2 4 3 2 2 4 2 2 5" xfId="17074"/>
    <cellStyle name="Normal 2 2 4 3 2 2 4 2 2 5 2" xfId="17075"/>
    <cellStyle name="Normal 2 2 4 3 2 2 4 2 2 6" xfId="17076"/>
    <cellStyle name="Normal 2 2 4 3 2 2 4 2 2 6 2" xfId="17077"/>
    <cellStyle name="Normal 2 2 4 3 2 2 4 2 2 7" xfId="17078"/>
    <cellStyle name="Normal 2 2 4 3 2 2 4 2 2 7 2" xfId="17079"/>
    <cellStyle name="Normal 2 2 4 3 2 2 4 2 2 8" xfId="17080"/>
    <cellStyle name="Normal 2 2 4 3 2 2 4 2 2 8 2" xfId="17081"/>
    <cellStyle name="Normal 2 2 4 3 2 2 4 2 2 9" xfId="17082"/>
    <cellStyle name="Normal 2 2 4 3 2 2 4 2 2 9 2" xfId="17083"/>
    <cellStyle name="Normal 2 2 4 3 2 2 4 2 3" xfId="17084"/>
    <cellStyle name="Normal 2 2 4 3 2 2 4 2 3 2" xfId="17085"/>
    <cellStyle name="Normal 2 2 4 3 2 2 4 2 4" xfId="17086"/>
    <cellStyle name="Normal 2 2 4 3 2 2 4 2 4 2" xfId="17087"/>
    <cellStyle name="Normal 2 2 4 3 2 2 4 2 5" xfId="17088"/>
    <cellStyle name="Normal 2 2 4 3 2 2 4 2 5 2" xfId="17089"/>
    <cellStyle name="Normal 2 2 4 3 2 2 4 2 6" xfId="17090"/>
    <cellStyle name="Normal 2 2 4 3 2 2 4 2 6 2" xfId="17091"/>
    <cellStyle name="Normal 2 2 4 3 2 2 4 2 7" xfId="17092"/>
    <cellStyle name="Normal 2 2 4 3 2 2 4 2 7 2" xfId="17093"/>
    <cellStyle name="Normal 2 2 4 3 2 2 4 2 8" xfId="17094"/>
    <cellStyle name="Normal 2 2 4 3 2 2 4 2 8 2" xfId="17095"/>
    <cellStyle name="Normal 2 2 4 3 2 2 4 2 9" xfId="17096"/>
    <cellStyle name="Normal 2 2 4 3 2 2 4 2 9 2" xfId="17097"/>
    <cellStyle name="Normal 2 2 4 3 2 2 4 3" xfId="17098"/>
    <cellStyle name="Normal 2 2 4 3 2 2 4 3 10" xfId="17099"/>
    <cellStyle name="Normal 2 2 4 3 2 2 4 3 10 2" xfId="17100"/>
    <cellStyle name="Normal 2 2 4 3 2 2 4 3 11" xfId="17101"/>
    <cellStyle name="Normal 2 2 4 3 2 2 4 3 2" xfId="17102"/>
    <cellStyle name="Normal 2 2 4 3 2 2 4 3 2 2" xfId="17103"/>
    <cellStyle name="Normal 2 2 4 3 2 2 4 3 3" xfId="17104"/>
    <cellStyle name="Normal 2 2 4 3 2 2 4 3 3 2" xfId="17105"/>
    <cellStyle name="Normal 2 2 4 3 2 2 4 3 4" xfId="17106"/>
    <cellStyle name="Normal 2 2 4 3 2 2 4 3 4 2" xfId="17107"/>
    <cellStyle name="Normal 2 2 4 3 2 2 4 3 5" xfId="17108"/>
    <cellStyle name="Normal 2 2 4 3 2 2 4 3 5 2" xfId="17109"/>
    <cellStyle name="Normal 2 2 4 3 2 2 4 3 6" xfId="17110"/>
    <cellStyle name="Normal 2 2 4 3 2 2 4 3 6 2" xfId="17111"/>
    <cellStyle name="Normal 2 2 4 3 2 2 4 3 7" xfId="17112"/>
    <cellStyle name="Normal 2 2 4 3 2 2 4 3 7 2" xfId="17113"/>
    <cellStyle name="Normal 2 2 4 3 2 2 4 3 8" xfId="17114"/>
    <cellStyle name="Normal 2 2 4 3 2 2 4 3 8 2" xfId="17115"/>
    <cellStyle name="Normal 2 2 4 3 2 2 4 3 9" xfId="17116"/>
    <cellStyle name="Normal 2 2 4 3 2 2 4 3 9 2" xfId="17117"/>
    <cellStyle name="Normal 2 2 4 3 2 2 4 4" xfId="17118"/>
    <cellStyle name="Normal 2 2 4 3 2 2 4 4 2" xfId="17119"/>
    <cellStyle name="Normal 2 2 4 3 2 2 4 5" xfId="17120"/>
    <cellStyle name="Normal 2 2 4 3 2 2 4 5 2" xfId="17121"/>
    <cellStyle name="Normal 2 2 4 3 2 2 4 6" xfId="17122"/>
    <cellStyle name="Normal 2 2 4 3 2 2 4 6 2" xfId="17123"/>
    <cellStyle name="Normal 2 2 4 3 2 2 4 7" xfId="17124"/>
    <cellStyle name="Normal 2 2 4 3 2 2 4 7 2" xfId="17125"/>
    <cellStyle name="Normal 2 2 4 3 2 2 4 8" xfId="17126"/>
    <cellStyle name="Normal 2 2 4 3 2 2 4 8 2" xfId="17127"/>
    <cellStyle name="Normal 2 2 4 3 2 2 4 9" xfId="17128"/>
    <cellStyle name="Normal 2 2 4 3 2 2 4 9 2" xfId="17129"/>
    <cellStyle name="Normal 2 2 4 3 2 2 5" xfId="431"/>
    <cellStyle name="Normal 2 2 4 3 2 2 5 10" xfId="17130"/>
    <cellStyle name="Normal 2 2 4 3 2 2 5 10 2" xfId="17131"/>
    <cellStyle name="Normal 2 2 4 3 2 2 5 11" xfId="17132"/>
    <cellStyle name="Normal 2 2 4 3 2 2 5 11 2" xfId="17133"/>
    <cellStyle name="Normal 2 2 4 3 2 2 5 12" xfId="17134"/>
    <cellStyle name="Normal 2 2 4 3 2 2 5 12 2" xfId="17135"/>
    <cellStyle name="Normal 2 2 4 3 2 2 5 13" xfId="17136"/>
    <cellStyle name="Normal 2 2 4 3 2 2 5 2" xfId="17137"/>
    <cellStyle name="Normal 2 2 4 3 2 2 5 2 10" xfId="17138"/>
    <cellStyle name="Normal 2 2 4 3 2 2 5 2 10 2" xfId="17139"/>
    <cellStyle name="Normal 2 2 4 3 2 2 5 2 11" xfId="17140"/>
    <cellStyle name="Normal 2 2 4 3 2 2 5 2 11 2" xfId="17141"/>
    <cellStyle name="Normal 2 2 4 3 2 2 5 2 12" xfId="17142"/>
    <cellStyle name="Normal 2 2 4 3 2 2 5 2 2" xfId="17143"/>
    <cellStyle name="Normal 2 2 4 3 2 2 5 2 2 10" xfId="17144"/>
    <cellStyle name="Normal 2 2 4 3 2 2 5 2 2 10 2" xfId="17145"/>
    <cellStyle name="Normal 2 2 4 3 2 2 5 2 2 11" xfId="17146"/>
    <cellStyle name="Normal 2 2 4 3 2 2 5 2 2 2" xfId="17147"/>
    <cellStyle name="Normal 2 2 4 3 2 2 5 2 2 2 2" xfId="17148"/>
    <cellStyle name="Normal 2 2 4 3 2 2 5 2 2 3" xfId="17149"/>
    <cellStyle name="Normal 2 2 4 3 2 2 5 2 2 3 2" xfId="17150"/>
    <cellStyle name="Normal 2 2 4 3 2 2 5 2 2 4" xfId="17151"/>
    <cellStyle name="Normal 2 2 4 3 2 2 5 2 2 4 2" xfId="17152"/>
    <cellStyle name="Normal 2 2 4 3 2 2 5 2 2 5" xfId="17153"/>
    <cellStyle name="Normal 2 2 4 3 2 2 5 2 2 5 2" xfId="17154"/>
    <cellStyle name="Normal 2 2 4 3 2 2 5 2 2 6" xfId="17155"/>
    <cellStyle name="Normal 2 2 4 3 2 2 5 2 2 6 2" xfId="17156"/>
    <cellStyle name="Normal 2 2 4 3 2 2 5 2 2 7" xfId="17157"/>
    <cellStyle name="Normal 2 2 4 3 2 2 5 2 2 7 2" xfId="17158"/>
    <cellStyle name="Normal 2 2 4 3 2 2 5 2 2 8" xfId="17159"/>
    <cellStyle name="Normal 2 2 4 3 2 2 5 2 2 8 2" xfId="17160"/>
    <cellStyle name="Normal 2 2 4 3 2 2 5 2 2 9" xfId="17161"/>
    <cellStyle name="Normal 2 2 4 3 2 2 5 2 2 9 2" xfId="17162"/>
    <cellStyle name="Normal 2 2 4 3 2 2 5 2 3" xfId="17163"/>
    <cellStyle name="Normal 2 2 4 3 2 2 5 2 3 2" xfId="17164"/>
    <cellStyle name="Normal 2 2 4 3 2 2 5 2 4" xfId="17165"/>
    <cellStyle name="Normal 2 2 4 3 2 2 5 2 4 2" xfId="17166"/>
    <cellStyle name="Normal 2 2 4 3 2 2 5 2 5" xfId="17167"/>
    <cellStyle name="Normal 2 2 4 3 2 2 5 2 5 2" xfId="17168"/>
    <cellStyle name="Normal 2 2 4 3 2 2 5 2 6" xfId="17169"/>
    <cellStyle name="Normal 2 2 4 3 2 2 5 2 6 2" xfId="17170"/>
    <cellStyle name="Normal 2 2 4 3 2 2 5 2 7" xfId="17171"/>
    <cellStyle name="Normal 2 2 4 3 2 2 5 2 7 2" xfId="17172"/>
    <cellStyle name="Normal 2 2 4 3 2 2 5 2 8" xfId="17173"/>
    <cellStyle name="Normal 2 2 4 3 2 2 5 2 8 2" xfId="17174"/>
    <cellStyle name="Normal 2 2 4 3 2 2 5 2 9" xfId="17175"/>
    <cellStyle name="Normal 2 2 4 3 2 2 5 2 9 2" xfId="17176"/>
    <cellStyle name="Normal 2 2 4 3 2 2 5 3" xfId="17177"/>
    <cellStyle name="Normal 2 2 4 3 2 2 5 3 10" xfId="17178"/>
    <cellStyle name="Normal 2 2 4 3 2 2 5 3 10 2" xfId="17179"/>
    <cellStyle name="Normal 2 2 4 3 2 2 5 3 11" xfId="17180"/>
    <cellStyle name="Normal 2 2 4 3 2 2 5 3 2" xfId="17181"/>
    <cellStyle name="Normal 2 2 4 3 2 2 5 3 2 2" xfId="17182"/>
    <cellStyle name="Normal 2 2 4 3 2 2 5 3 3" xfId="17183"/>
    <cellStyle name="Normal 2 2 4 3 2 2 5 3 3 2" xfId="17184"/>
    <cellStyle name="Normal 2 2 4 3 2 2 5 3 4" xfId="17185"/>
    <cellStyle name="Normal 2 2 4 3 2 2 5 3 4 2" xfId="17186"/>
    <cellStyle name="Normal 2 2 4 3 2 2 5 3 5" xfId="17187"/>
    <cellStyle name="Normal 2 2 4 3 2 2 5 3 5 2" xfId="17188"/>
    <cellStyle name="Normal 2 2 4 3 2 2 5 3 6" xfId="17189"/>
    <cellStyle name="Normal 2 2 4 3 2 2 5 3 6 2" xfId="17190"/>
    <cellStyle name="Normal 2 2 4 3 2 2 5 3 7" xfId="17191"/>
    <cellStyle name="Normal 2 2 4 3 2 2 5 3 7 2" xfId="17192"/>
    <cellStyle name="Normal 2 2 4 3 2 2 5 3 8" xfId="17193"/>
    <cellStyle name="Normal 2 2 4 3 2 2 5 3 8 2" xfId="17194"/>
    <cellStyle name="Normal 2 2 4 3 2 2 5 3 9" xfId="17195"/>
    <cellStyle name="Normal 2 2 4 3 2 2 5 3 9 2" xfId="17196"/>
    <cellStyle name="Normal 2 2 4 3 2 2 5 4" xfId="17197"/>
    <cellStyle name="Normal 2 2 4 3 2 2 5 4 2" xfId="17198"/>
    <cellStyle name="Normal 2 2 4 3 2 2 5 5" xfId="17199"/>
    <cellStyle name="Normal 2 2 4 3 2 2 5 5 2" xfId="17200"/>
    <cellStyle name="Normal 2 2 4 3 2 2 5 6" xfId="17201"/>
    <cellStyle name="Normal 2 2 4 3 2 2 5 6 2" xfId="17202"/>
    <cellStyle name="Normal 2 2 4 3 2 2 5 7" xfId="17203"/>
    <cellStyle name="Normal 2 2 4 3 2 2 5 7 2" xfId="17204"/>
    <cellStyle name="Normal 2 2 4 3 2 2 5 8" xfId="17205"/>
    <cellStyle name="Normal 2 2 4 3 2 2 5 8 2" xfId="17206"/>
    <cellStyle name="Normal 2 2 4 3 2 2 5 9" xfId="17207"/>
    <cellStyle name="Normal 2 2 4 3 2 2 5 9 2" xfId="17208"/>
    <cellStyle name="Normal 2 2 4 3 2 2 6" xfId="432"/>
    <cellStyle name="Normal 2 2 4 3 2 3" xfId="433"/>
    <cellStyle name="Normal 2 2 4 3 2 3 2" xfId="434"/>
    <cellStyle name="Normal 2 2 4 3 2 4" xfId="435"/>
    <cellStyle name="Normal 2 2 4 3 2 4 2" xfId="436"/>
    <cellStyle name="Normal 2 2 4 3 2 5" xfId="437"/>
    <cellStyle name="Normal 2 2 4 3 2 5 2" xfId="438"/>
    <cellStyle name="Normal 2 2 4 3 2 6" xfId="17209"/>
    <cellStyle name="Normal 2 2 4 3 2 6 10" xfId="17210"/>
    <cellStyle name="Normal 2 2 4 3 2 6 10 2" xfId="17211"/>
    <cellStyle name="Normal 2 2 4 3 2 6 11" xfId="17212"/>
    <cellStyle name="Normal 2 2 4 3 2 6 11 2" xfId="17213"/>
    <cellStyle name="Normal 2 2 4 3 2 6 12" xfId="17214"/>
    <cellStyle name="Normal 2 2 4 3 2 6 2" xfId="17215"/>
    <cellStyle name="Normal 2 2 4 3 2 6 2 10" xfId="17216"/>
    <cellStyle name="Normal 2 2 4 3 2 6 2 10 2" xfId="17217"/>
    <cellStyle name="Normal 2 2 4 3 2 6 2 11" xfId="17218"/>
    <cellStyle name="Normal 2 2 4 3 2 6 2 2" xfId="17219"/>
    <cellStyle name="Normal 2 2 4 3 2 6 2 2 2" xfId="17220"/>
    <cellStyle name="Normal 2 2 4 3 2 6 2 3" xfId="17221"/>
    <cellStyle name="Normal 2 2 4 3 2 6 2 3 2" xfId="17222"/>
    <cellStyle name="Normal 2 2 4 3 2 6 2 4" xfId="17223"/>
    <cellStyle name="Normal 2 2 4 3 2 6 2 4 2" xfId="17224"/>
    <cellStyle name="Normal 2 2 4 3 2 6 2 5" xfId="17225"/>
    <cellStyle name="Normal 2 2 4 3 2 6 2 5 2" xfId="17226"/>
    <cellStyle name="Normal 2 2 4 3 2 6 2 6" xfId="17227"/>
    <cellStyle name="Normal 2 2 4 3 2 6 2 6 2" xfId="17228"/>
    <cellStyle name="Normal 2 2 4 3 2 6 2 7" xfId="17229"/>
    <cellStyle name="Normal 2 2 4 3 2 6 2 7 2" xfId="17230"/>
    <cellStyle name="Normal 2 2 4 3 2 6 2 8" xfId="17231"/>
    <cellStyle name="Normal 2 2 4 3 2 6 2 8 2" xfId="17232"/>
    <cellStyle name="Normal 2 2 4 3 2 6 2 9" xfId="17233"/>
    <cellStyle name="Normal 2 2 4 3 2 6 2 9 2" xfId="17234"/>
    <cellStyle name="Normal 2 2 4 3 2 6 3" xfId="17235"/>
    <cellStyle name="Normal 2 2 4 3 2 6 3 2" xfId="17236"/>
    <cellStyle name="Normal 2 2 4 3 2 6 4" xfId="17237"/>
    <cellStyle name="Normal 2 2 4 3 2 6 4 2" xfId="17238"/>
    <cellStyle name="Normal 2 2 4 3 2 6 5" xfId="17239"/>
    <cellStyle name="Normal 2 2 4 3 2 6 5 2" xfId="17240"/>
    <cellStyle name="Normal 2 2 4 3 2 6 6" xfId="17241"/>
    <cellStyle name="Normal 2 2 4 3 2 6 6 2" xfId="17242"/>
    <cellStyle name="Normal 2 2 4 3 2 6 7" xfId="17243"/>
    <cellStyle name="Normal 2 2 4 3 2 6 7 2" xfId="17244"/>
    <cellStyle name="Normal 2 2 4 3 2 6 8" xfId="17245"/>
    <cellStyle name="Normal 2 2 4 3 2 6 8 2" xfId="17246"/>
    <cellStyle name="Normal 2 2 4 3 2 6 9" xfId="17247"/>
    <cellStyle name="Normal 2 2 4 3 2 6 9 2" xfId="17248"/>
    <cellStyle name="Normal 2 2 4 3 2 7" xfId="17249"/>
    <cellStyle name="Normal 2 2 4 3 2 7 10" xfId="17250"/>
    <cellStyle name="Normal 2 2 4 3 2 7 10 2" xfId="17251"/>
    <cellStyle name="Normal 2 2 4 3 2 7 11" xfId="17252"/>
    <cellStyle name="Normal 2 2 4 3 2 7 2" xfId="17253"/>
    <cellStyle name="Normal 2 2 4 3 2 7 2 2" xfId="17254"/>
    <cellStyle name="Normal 2 2 4 3 2 7 3" xfId="17255"/>
    <cellStyle name="Normal 2 2 4 3 2 7 3 2" xfId="17256"/>
    <cellStyle name="Normal 2 2 4 3 2 7 4" xfId="17257"/>
    <cellStyle name="Normal 2 2 4 3 2 7 4 2" xfId="17258"/>
    <cellStyle name="Normal 2 2 4 3 2 7 5" xfId="17259"/>
    <cellStyle name="Normal 2 2 4 3 2 7 5 2" xfId="17260"/>
    <cellStyle name="Normal 2 2 4 3 2 7 6" xfId="17261"/>
    <cellStyle name="Normal 2 2 4 3 2 7 6 2" xfId="17262"/>
    <cellStyle name="Normal 2 2 4 3 2 7 7" xfId="17263"/>
    <cellStyle name="Normal 2 2 4 3 2 7 7 2" xfId="17264"/>
    <cellStyle name="Normal 2 2 4 3 2 7 8" xfId="17265"/>
    <cellStyle name="Normal 2 2 4 3 2 7 8 2" xfId="17266"/>
    <cellStyle name="Normal 2 2 4 3 2 7 9" xfId="17267"/>
    <cellStyle name="Normal 2 2 4 3 2 7 9 2" xfId="17268"/>
    <cellStyle name="Normal 2 2 4 3 2 8" xfId="17269"/>
    <cellStyle name="Normal 2 2 4 3 2 8 2" xfId="17270"/>
    <cellStyle name="Normal 2 2 4 3 2 9" xfId="17271"/>
    <cellStyle name="Normal 2 2 4 3 2 9 2" xfId="17272"/>
    <cellStyle name="Normal 2 2 4 3 3" xfId="439"/>
    <cellStyle name="Normal 2 2 4 3 3 10" xfId="17273"/>
    <cellStyle name="Normal 2 2 4 3 3 10 2" xfId="17274"/>
    <cellStyle name="Normal 2 2 4 3 3 11" xfId="17275"/>
    <cellStyle name="Normal 2 2 4 3 3 11 2" xfId="17276"/>
    <cellStyle name="Normal 2 2 4 3 3 12" xfId="17277"/>
    <cellStyle name="Normal 2 2 4 3 3 12 2" xfId="17278"/>
    <cellStyle name="Normal 2 2 4 3 3 13" xfId="17279"/>
    <cellStyle name="Normal 2 2 4 3 3 2" xfId="17280"/>
    <cellStyle name="Normal 2 2 4 3 3 2 10" xfId="17281"/>
    <cellStyle name="Normal 2 2 4 3 3 2 10 2" xfId="17282"/>
    <cellStyle name="Normal 2 2 4 3 3 2 11" xfId="17283"/>
    <cellStyle name="Normal 2 2 4 3 3 2 11 2" xfId="17284"/>
    <cellStyle name="Normal 2 2 4 3 3 2 12" xfId="17285"/>
    <cellStyle name="Normal 2 2 4 3 3 2 2" xfId="17286"/>
    <cellStyle name="Normal 2 2 4 3 3 2 2 10" xfId="17287"/>
    <cellStyle name="Normal 2 2 4 3 3 2 2 10 2" xfId="17288"/>
    <cellStyle name="Normal 2 2 4 3 3 2 2 11" xfId="17289"/>
    <cellStyle name="Normal 2 2 4 3 3 2 2 2" xfId="17290"/>
    <cellStyle name="Normal 2 2 4 3 3 2 2 2 2" xfId="17291"/>
    <cellStyle name="Normal 2 2 4 3 3 2 2 3" xfId="17292"/>
    <cellStyle name="Normal 2 2 4 3 3 2 2 3 2" xfId="17293"/>
    <cellStyle name="Normal 2 2 4 3 3 2 2 4" xfId="17294"/>
    <cellStyle name="Normal 2 2 4 3 3 2 2 4 2" xfId="17295"/>
    <cellStyle name="Normal 2 2 4 3 3 2 2 5" xfId="17296"/>
    <cellStyle name="Normal 2 2 4 3 3 2 2 5 2" xfId="17297"/>
    <cellStyle name="Normal 2 2 4 3 3 2 2 6" xfId="17298"/>
    <cellStyle name="Normal 2 2 4 3 3 2 2 6 2" xfId="17299"/>
    <cellStyle name="Normal 2 2 4 3 3 2 2 7" xfId="17300"/>
    <cellStyle name="Normal 2 2 4 3 3 2 2 7 2" xfId="17301"/>
    <cellStyle name="Normal 2 2 4 3 3 2 2 8" xfId="17302"/>
    <cellStyle name="Normal 2 2 4 3 3 2 2 8 2" xfId="17303"/>
    <cellStyle name="Normal 2 2 4 3 3 2 2 9" xfId="17304"/>
    <cellStyle name="Normal 2 2 4 3 3 2 2 9 2" xfId="17305"/>
    <cellStyle name="Normal 2 2 4 3 3 2 3" xfId="17306"/>
    <cellStyle name="Normal 2 2 4 3 3 2 3 2" xfId="17307"/>
    <cellStyle name="Normal 2 2 4 3 3 2 4" xfId="17308"/>
    <cellStyle name="Normal 2 2 4 3 3 2 4 2" xfId="17309"/>
    <cellStyle name="Normal 2 2 4 3 3 2 5" xfId="17310"/>
    <cellStyle name="Normal 2 2 4 3 3 2 5 2" xfId="17311"/>
    <cellStyle name="Normal 2 2 4 3 3 2 6" xfId="17312"/>
    <cellStyle name="Normal 2 2 4 3 3 2 6 2" xfId="17313"/>
    <cellStyle name="Normal 2 2 4 3 3 2 7" xfId="17314"/>
    <cellStyle name="Normal 2 2 4 3 3 2 7 2" xfId="17315"/>
    <cellStyle name="Normal 2 2 4 3 3 2 8" xfId="17316"/>
    <cellStyle name="Normal 2 2 4 3 3 2 8 2" xfId="17317"/>
    <cellStyle name="Normal 2 2 4 3 3 2 9" xfId="17318"/>
    <cellStyle name="Normal 2 2 4 3 3 2 9 2" xfId="17319"/>
    <cellStyle name="Normal 2 2 4 3 3 3" xfId="17320"/>
    <cellStyle name="Normal 2 2 4 3 3 3 10" xfId="17321"/>
    <cellStyle name="Normal 2 2 4 3 3 3 10 2" xfId="17322"/>
    <cellStyle name="Normal 2 2 4 3 3 3 11" xfId="17323"/>
    <cellStyle name="Normal 2 2 4 3 3 3 2" xfId="17324"/>
    <cellStyle name="Normal 2 2 4 3 3 3 2 2" xfId="17325"/>
    <cellStyle name="Normal 2 2 4 3 3 3 3" xfId="17326"/>
    <cellStyle name="Normal 2 2 4 3 3 3 3 2" xfId="17327"/>
    <cellStyle name="Normal 2 2 4 3 3 3 4" xfId="17328"/>
    <cellStyle name="Normal 2 2 4 3 3 3 4 2" xfId="17329"/>
    <cellStyle name="Normal 2 2 4 3 3 3 5" xfId="17330"/>
    <cellStyle name="Normal 2 2 4 3 3 3 5 2" xfId="17331"/>
    <cellStyle name="Normal 2 2 4 3 3 3 6" xfId="17332"/>
    <cellStyle name="Normal 2 2 4 3 3 3 6 2" xfId="17333"/>
    <cellStyle name="Normal 2 2 4 3 3 3 7" xfId="17334"/>
    <cellStyle name="Normal 2 2 4 3 3 3 7 2" xfId="17335"/>
    <cellStyle name="Normal 2 2 4 3 3 3 8" xfId="17336"/>
    <cellStyle name="Normal 2 2 4 3 3 3 8 2" xfId="17337"/>
    <cellStyle name="Normal 2 2 4 3 3 3 9" xfId="17338"/>
    <cellStyle name="Normal 2 2 4 3 3 3 9 2" xfId="17339"/>
    <cellStyle name="Normal 2 2 4 3 3 4" xfId="17340"/>
    <cellStyle name="Normal 2 2 4 3 3 4 2" xfId="17341"/>
    <cellStyle name="Normal 2 2 4 3 3 5" xfId="17342"/>
    <cellStyle name="Normal 2 2 4 3 3 5 2" xfId="17343"/>
    <cellStyle name="Normal 2 2 4 3 3 6" xfId="17344"/>
    <cellStyle name="Normal 2 2 4 3 3 6 2" xfId="17345"/>
    <cellStyle name="Normal 2 2 4 3 3 7" xfId="17346"/>
    <cellStyle name="Normal 2 2 4 3 3 7 2" xfId="17347"/>
    <cellStyle name="Normal 2 2 4 3 3 8" xfId="17348"/>
    <cellStyle name="Normal 2 2 4 3 3 8 2" xfId="17349"/>
    <cellStyle name="Normal 2 2 4 3 3 9" xfId="17350"/>
    <cellStyle name="Normal 2 2 4 3 3 9 2" xfId="17351"/>
    <cellStyle name="Normal 2 2 4 3 4" xfId="440"/>
    <cellStyle name="Normal 2 2 4 3 4 10" xfId="17352"/>
    <cellStyle name="Normal 2 2 4 3 4 10 2" xfId="17353"/>
    <cellStyle name="Normal 2 2 4 3 4 11" xfId="17354"/>
    <cellStyle name="Normal 2 2 4 3 4 11 2" xfId="17355"/>
    <cellStyle name="Normal 2 2 4 3 4 12" xfId="17356"/>
    <cellStyle name="Normal 2 2 4 3 4 12 2" xfId="17357"/>
    <cellStyle name="Normal 2 2 4 3 4 13" xfId="17358"/>
    <cellStyle name="Normal 2 2 4 3 4 2" xfId="17359"/>
    <cellStyle name="Normal 2 2 4 3 4 2 10" xfId="17360"/>
    <cellStyle name="Normal 2 2 4 3 4 2 10 2" xfId="17361"/>
    <cellStyle name="Normal 2 2 4 3 4 2 11" xfId="17362"/>
    <cellStyle name="Normal 2 2 4 3 4 2 11 2" xfId="17363"/>
    <cellStyle name="Normal 2 2 4 3 4 2 12" xfId="17364"/>
    <cellStyle name="Normal 2 2 4 3 4 2 2" xfId="17365"/>
    <cellStyle name="Normal 2 2 4 3 4 2 2 10" xfId="17366"/>
    <cellStyle name="Normal 2 2 4 3 4 2 2 10 2" xfId="17367"/>
    <cellStyle name="Normal 2 2 4 3 4 2 2 11" xfId="17368"/>
    <cellStyle name="Normal 2 2 4 3 4 2 2 2" xfId="17369"/>
    <cellStyle name="Normal 2 2 4 3 4 2 2 2 2" xfId="17370"/>
    <cellStyle name="Normal 2 2 4 3 4 2 2 3" xfId="17371"/>
    <cellStyle name="Normal 2 2 4 3 4 2 2 3 2" xfId="17372"/>
    <cellStyle name="Normal 2 2 4 3 4 2 2 4" xfId="17373"/>
    <cellStyle name="Normal 2 2 4 3 4 2 2 4 2" xfId="17374"/>
    <cellStyle name="Normal 2 2 4 3 4 2 2 5" xfId="17375"/>
    <cellStyle name="Normal 2 2 4 3 4 2 2 5 2" xfId="17376"/>
    <cellStyle name="Normal 2 2 4 3 4 2 2 6" xfId="17377"/>
    <cellStyle name="Normal 2 2 4 3 4 2 2 6 2" xfId="17378"/>
    <cellStyle name="Normal 2 2 4 3 4 2 2 7" xfId="17379"/>
    <cellStyle name="Normal 2 2 4 3 4 2 2 7 2" xfId="17380"/>
    <cellStyle name="Normal 2 2 4 3 4 2 2 8" xfId="17381"/>
    <cellStyle name="Normal 2 2 4 3 4 2 2 8 2" xfId="17382"/>
    <cellStyle name="Normal 2 2 4 3 4 2 2 9" xfId="17383"/>
    <cellStyle name="Normal 2 2 4 3 4 2 2 9 2" xfId="17384"/>
    <cellStyle name="Normal 2 2 4 3 4 2 3" xfId="17385"/>
    <cellStyle name="Normal 2 2 4 3 4 2 3 2" xfId="17386"/>
    <cellStyle name="Normal 2 2 4 3 4 2 4" xfId="17387"/>
    <cellStyle name="Normal 2 2 4 3 4 2 4 2" xfId="17388"/>
    <cellStyle name="Normal 2 2 4 3 4 2 5" xfId="17389"/>
    <cellStyle name="Normal 2 2 4 3 4 2 5 2" xfId="17390"/>
    <cellStyle name="Normal 2 2 4 3 4 2 6" xfId="17391"/>
    <cellStyle name="Normal 2 2 4 3 4 2 6 2" xfId="17392"/>
    <cellStyle name="Normal 2 2 4 3 4 2 7" xfId="17393"/>
    <cellStyle name="Normal 2 2 4 3 4 2 7 2" xfId="17394"/>
    <cellStyle name="Normal 2 2 4 3 4 2 8" xfId="17395"/>
    <cellStyle name="Normal 2 2 4 3 4 2 8 2" xfId="17396"/>
    <cellStyle name="Normal 2 2 4 3 4 2 9" xfId="17397"/>
    <cellStyle name="Normal 2 2 4 3 4 2 9 2" xfId="17398"/>
    <cellStyle name="Normal 2 2 4 3 4 3" xfId="17399"/>
    <cellStyle name="Normal 2 2 4 3 4 3 10" xfId="17400"/>
    <cellStyle name="Normal 2 2 4 3 4 3 10 2" xfId="17401"/>
    <cellStyle name="Normal 2 2 4 3 4 3 11" xfId="17402"/>
    <cellStyle name="Normal 2 2 4 3 4 3 2" xfId="17403"/>
    <cellStyle name="Normal 2 2 4 3 4 3 2 2" xfId="17404"/>
    <cellStyle name="Normal 2 2 4 3 4 3 3" xfId="17405"/>
    <cellStyle name="Normal 2 2 4 3 4 3 3 2" xfId="17406"/>
    <cellStyle name="Normal 2 2 4 3 4 3 4" xfId="17407"/>
    <cellStyle name="Normal 2 2 4 3 4 3 4 2" xfId="17408"/>
    <cellStyle name="Normal 2 2 4 3 4 3 5" xfId="17409"/>
    <cellStyle name="Normal 2 2 4 3 4 3 5 2" xfId="17410"/>
    <cellStyle name="Normal 2 2 4 3 4 3 6" xfId="17411"/>
    <cellStyle name="Normal 2 2 4 3 4 3 6 2" xfId="17412"/>
    <cellStyle name="Normal 2 2 4 3 4 3 7" xfId="17413"/>
    <cellStyle name="Normal 2 2 4 3 4 3 7 2" xfId="17414"/>
    <cellStyle name="Normal 2 2 4 3 4 3 8" xfId="17415"/>
    <cellStyle name="Normal 2 2 4 3 4 3 8 2" xfId="17416"/>
    <cellStyle name="Normal 2 2 4 3 4 3 9" xfId="17417"/>
    <cellStyle name="Normal 2 2 4 3 4 3 9 2" xfId="17418"/>
    <cellStyle name="Normal 2 2 4 3 4 4" xfId="17419"/>
    <cellStyle name="Normal 2 2 4 3 4 4 2" xfId="17420"/>
    <cellStyle name="Normal 2 2 4 3 4 5" xfId="17421"/>
    <cellStyle name="Normal 2 2 4 3 4 5 2" xfId="17422"/>
    <cellStyle name="Normal 2 2 4 3 4 6" xfId="17423"/>
    <cellStyle name="Normal 2 2 4 3 4 6 2" xfId="17424"/>
    <cellStyle name="Normal 2 2 4 3 4 7" xfId="17425"/>
    <cellStyle name="Normal 2 2 4 3 4 7 2" xfId="17426"/>
    <cellStyle name="Normal 2 2 4 3 4 8" xfId="17427"/>
    <cellStyle name="Normal 2 2 4 3 4 8 2" xfId="17428"/>
    <cellStyle name="Normal 2 2 4 3 4 9" xfId="17429"/>
    <cellStyle name="Normal 2 2 4 3 4 9 2" xfId="17430"/>
    <cellStyle name="Normal 2 2 4 3 5" xfId="441"/>
    <cellStyle name="Normal 2 2 4 3 5 10" xfId="17431"/>
    <cellStyle name="Normal 2 2 4 3 5 10 2" xfId="17432"/>
    <cellStyle name="Normal 2 2 4 3 5 11" xfId="17433"/>
    <cellStyle name="Normal 2 2 4 3 5 11 2" xfId="17434"/>
    <cellStyle name="Normal 2 2 4 3 5 12" xfId="17435"/>
    <cellStyle name="Normal 2 2 4 3 5 12 2" xfId="17436"/>
    <cellStyle name="Normal 2 2 4 3 5 13" xfId="17437"/>
    <cellStyle name="Normal 2 2 4 3 5 2" xfId="17438"/>
    <cellStyle name="Normal 2 2 4 3 5 2 10" xfId="17439"/>
    <cellStyle name="Normal 2 2 4 3 5 2 10 2" xfId="17440"/>
    <cellStyle name="Normal 2 2 4 3 5 2 11" xfId="17441"/>
    <cellStyle name="Normal 2 2 4 3 5 2 11 2" xfId="17442"/>
    <cellStyle name="Normal 2 2 4 3 5 2 12" xfId="17443"/>
    <cellStyle name="Normal 2 2 4 3 5 2 2" xfId="17444"/>
    <cellStyle name="Normal 2 2 4 3 5 2 2 10" xfId="17445"/>
    <cellStyle name="Normal 2 2 4 3 5 2 2 10 2" xfId="17446"/>
    <cellStyle name="Normal 2 2 4 3 5 2 2 11" xfId="17447"/>
    <cellStyle name="Normal 2 2 4 3 5 2 2 2" xfId="17448"/>
    <cellStyle name="Normal 2 2 4 3 5 2 2 2 2" xfId="17449"/>
    <cellStyle name="Normal 2 2 4 3 5 2 2 3" xfId="17450"/>
    <cellStyle name="Normal 2 2 4 3 5 2 2 3 2" xfId="17451"/>
    <cellStyle name="Normal 2 2 4 3 5 2 2 4" xfId="17452"/>
    <cellStyle name="Normal 2 2 4 3 5 2 2 4 2" xfId="17453"/>
    <cellStyle name="Normal 2 2 4 3 5 2 2 5" xfId="17454"/>
    <cellStyle name="Normal 2 2 4 3 5 2 2 5 2" xfId="17455"/>
    <cellStyle name="Normal 2 2 4 3 5 2 2 6" xfId="17456"/>
    <cellStyle name="Normal 2 2 4 3 5 2 2 6 2" xfId="17457"/>
    <cellStyle name="Normal 2 2 4 3 5 2 2 7" xfId="17458"/>
    <cellStyle name="Normal 2 2 4 3 5 2 2 7 2" xfId="17459"/>
    <cellStyle name="Normal 2 2 4 3 5 2 2 8" xfId="17460"/>
    <cellStyle name="Normal 2 2 4 3 5 2 2 8 2" xfId="17461"/>
    <cellStyle name="Normal 2 2 4 3 5 2 2 9" xfId="17462"/>
    <cellStyle name="Normal 2 2 4 3 5 2 2 9 2" xfId="17463"/>
    <cellStyle name="Normal 2 2 4 3 5 2 3" xfId="17464"/>
    <cellStyle name="Normal 2 2 4 3 5 2 3 2" xfId="17465"/>
    <cellStyle name="Normal 2 2 4 3 5 2 4" xfId="17466"/>
    <cellStyle name="Normal 2 2 4 3 5 2 4 2" xfId="17467"/>
    <cellStyle name="Normal 2 2 4 3 5 2 5" xfId="17468"/>
    <cellStyle name="Normal 2 2 4 3 5 2 5 2" xfId="17469"/>
    <cellStyle name="Normal 2 2 4 3 5 2 6" xfId="17470"/>
    <cellStyle name="Normal 2 2 4 3 5 2 6 2" xfId="17471"/>
    <cellStyle name="Normal 2 2 4 3 5 2 7" xfId="17472"/>
    <cellStyle name="Normal 2 2 4 3 5 2 7 2" xfId="17473"/>
    <cellStyle name="Normal 2 2 4 3 5 2 8" xfId="17474"/>
    <cellStyle name="Normal 2 2 4 3 5 2 8 2" xfId="17475"/>
    <cellStyle name="Normal 2 2 4 3 5 2 9" xfId="17476"/>
    <cellStyle name="Normal 2 2 4 3 5 2 9 2" xfId="17477"/>
    <cellStyle name="Normal 2 2 4 3 5 3" xfId="17478"/>
    <cellStyle name="Normal 2 2 4 3 5 3 10" xfId="17479"/>
    <cellStyle name="Normal 2 2 4 3 5 3 10 2" xfId="17480"/>
    <cellStyle name="Normal 2 2 4 3 5 3 11" xfId="17481"/>
    <cellStyle name="Normal 2 2 4 3 5 3 2" xfId="17482"/>
    <cellStyle name="Normal 2 2 4 3 5 3 2 2" xfId="17483"/>
    <cellStyle name="Normal 2 2 4 3 5 3 3" xfId="17484"/>
    <cellStyle name="Normal 2 2 4 3 5 3 3 2" xfId="17485"/>
    <cellStyle name="Normal 2 2 4 3 5 3 4" xfId="17486"/>
    <cellStyle name="Normal 2 2 4 3 5 3 4 2" xfId="17487"/>
    <cellStyle name="Normal 2 2 4 3 5 3 5" xfId="17488"/>
    <cellStyle name="Normal 2 2 4 3 5 3 5 2" xfId="17489"/>
    <cellStyle name="Normal 2 2 4 3 5 3 6" xfId="17490"/>
    <cellStyle name="Normal 2 2 4 3 5 3 6 2" xfId="17491"/>
    <cellStyle name="Normal 2 2 4 3 5 3 7" xfId="17492"/>
    <cellStyle name="Normal 2 2 4 3 5 3 7 2" xfId="17493"/>
    <cellStyle name="Normal 2 2 4 3 5 3 8" xfId="17494"/>
    <cellStyle name="Normal 2 2 4 3 5 3 8 2" xfId="17495"/>
    <cellStyle name="Normal 2 2 4 3 5 3 9" xfId="17496"/>
    <cellStyle name="Normal 2 2 4 3 5 3 9 2" xfId="17497"/>
    <cellStyle name="Normal 2 2 4 3 5 4" xfId="17498"/>
    <cellStyle name="Normal 2 2 4 3 5 4 2" xfId="17499"/>
    <cellStyle name="Normal 2 2 4 3 5 5" xfId="17500"/>
    <cellStyle name="Normal 2 2 4 3 5 5 2" xfId="17501"/>
    <cellStyle name="Normal 2 2 4 3 5 6" xfId="17502"/>
    <cellStyle name="Normal 2 2 4 3 5 6 2" xfId="17503"/>
    <cellStyle name="Normal 2 2 4 3 5 7" xfId="17504"/>
    <cellStyle name="Normal 2 2 4 3 5 7 2" xfId="17505"/>
    <cellStyle name="Normal 2 2 4 3 5 8" xfId="17506"/>
    <cellStyle name="Normal 2 2 4 3 5 8 2" xfId="17507"/>
    <cellStyle name="Normal 2 2 4 3 5 9" xfId="17508"/>
    <cellStyle name="Normal 2 2 4 3 5 9 2" xfId="17509"/>
    <cellStyle name="Normal 2 2 4 3 6" xfId="442"/>
    <cellStyle name="Normal 2 2 4 3 6 10" xfId="17510"/>
    <cellStyle name="Normal 2 2 4 3 6 10 2" xfId="17511"/>
    <cellStyle name="Normal 2 2 4 3 6 11" xfId="17512"/>
    <cellStyle name="Normal 2 2 4 3 6 11 2" xfId="17513"/>
    <cellStyle name="Normal 2 2 4 3 6 12" xfId="17514"/>
    <cellStyle name="Normal 2 2 4 3 6 12 2" xfId="17515"/>
    <cellStyle name="Normal 2 2 4 3 6 13" xfId="17516"/>
    <cellStyle name="Normal 2 2 4 3 6 2" xfId="17517"/>
    <cellStyle name="Normal 2 2 4 3 6 2 10" xfId="17518"/>
    <cellStyle name="Normal 2 2 4 3 6 2 10 2" xfId="17519"/>
    <cellStyle name="Normal 2 2 4 3 6 2 11" xfId="17520"/>
    <cellStyle name="Normal 2 2 4 3 6 2 11 2" xfId="17521"/>
    <cellStyle name="Normal 2 2 4 3 6 2 12" xfId="17522"/>
    <cellStyle name="Normal 2 2 4 3 6 2 2" xfId="17523"/>
    <cellStyle name="Normal 2 2 4 3 6 2 2 10" xfId="17524"/>
    <cellStyle name="Normal 2 2 4 3 6 2 2 10 2" xfId="17525"/>
    <cellStyle name="Normal 2 2 4 3 6 2 2 11" xfId="17526"/>
    <cellStyle name="Normal 2 2 4 3 6 2 2 2" xfId="17527"/>
    <cellStyle name="Normal 2 2 4 3 6 2 2 2 2" xfId="17528"/>
    <cellStyle name="Normal 2 2 4 3 6 2 2 3" xfId="17529"/>
    <cellStyle name="Normal 2 2 4 3 6 2 2 3 2" xfId="17530"/>
    <cellStyle name="Normal 2 2 4 3 6 2 2 4" xfId="17531"/>
    <cellStyle name="Normal 2 2 4 3 6 2 2 4 2" xfId="17532"/>
    <cellStyle name="Normal 2 2 4 3 6 2 2 5" xfId="17533"/>
    <cellStyle name="Normal 2 2 4 3 6 2 2 5 2" xfId="17534"/>
    <cellStyle name="Normal 2 2 4 3 6 2 2 6" xfId="17535"/>
    <cellStyle name="Normal 2 2 4 3 6 2 2 6 2" xfId="17536"/>
    <cellStyle name="Normal 2 2 4 3 6 2 2 7" xfId="17537"/>
    <cellStyle name="Normal 2 2 4 3 6 2 2 7 2" xfId="17538"/>
    <cellStyle name="Normal 2 2 4 3 6 2 2 8" xfId="17539"/>
    <cellStyle name="Normal 2 2 4 3 6 2 2 8 2" xfId="17540"/>
    <cellStyle name="Normal 2 2 4 3 6 2 2 9" xfId="17541"/>
    <cellStyle name="Normal 2 2 4 3 6 2 2 9 2" xfId="17542"/>
    <cellStyle name="Normal 2 2 4 3 6 2 3" xfId="17543"/>
    <cellStyle name="Normal 2 2 4 3 6 2 3 2" xfId="17544"/>
    <cellStyle name="Normal 2 2 4 3 6 2 4" xfId="17545"/>
    <cellStyle name="Normal 2 2 4 3 6 2 4 2" xfId="17546"/>
    <cellStyle name="Normal 2 2 4 3 6 2 5" xfId="17547"/>
    <cellStyle name="Normal 2 2 4 3 6 2 5 2" xfId="17548"/>
    <cellStyle name="Normal 2 2 4 3 6 2 6" xfId="17549"/>
    <cellStyle name="Normal 2 2 4 3 6 2 6 2" xfId="17550"/>
    <cellStyle name="Normal 2 2 4 3 6 2 7" xfId="17551"/>
    <cellStyle name="Normal 2 2 4 3 6 2 7 2" xfId="17552"/>
    <cellStyle name="Normal 2 2 4 3 6 2 8" xfId="17553"/>
    <cellStyle name="Normal 2 2 4 3 6 2 8 2" xfId="17554"/>
    <cellStyle name="Normal 2 2 4 3 6 2 9" xfId="17555"/>
    <cellStyle name="Normal 2 2 4 3 6 2 9 2" xfId="17556"/>
    <cellStyle name="Normal 2 2 4 3 6 3" xfId="17557"/>
    <cellStyle name="Normal 2 2 4 3 6 3 10" xfId="17558"/>
    <cellStyle name="Normal 2 2 4 3 6 3 10 2" xfId="17559"/>
    <cellStyle name="Normal 2 2 4 3 6 3 11" xfId="17560"/>
    <cellStyle name="Normal 2 2 4 3 6 3 2" xfId="17561"/>
    <cellStyle name="Normal 2 2 4 3 6 3 2 2" xfId="17562"/>
    <cellStyle name="Normal 2 2 4 3 6 3 3" xfId="17563"/>
    <cellStyle name="Normal 2 2 4 3 6 3 3 2" xfId="17564"/>
    <cellStyle name="Normal 2 2 4 3 6 3 4" xfId="17565"/>
    <cellStyle name="Normal 2 2 4 3 6 3 4 2" xfId="17566"/>
    <cellStyle name="Normal 2 2 4 3 6 3 5" xfId="17567"/>
    <cellStyle name="Normal 2 2 4 3 6 3 5 2" xfId="17568"/>
    <cellStyle name="Normal 2 2 4 3 6 3 6" xfId="17569"/>
    <cellStyle name="Normal 2 2 4 3 6 3 6 2" xfId="17570"/>
    <cellStyle name="Normal 2 2 4 3 6 3 7" xfId="17571"/>
    <cellStyle name="Normal 2 2 4 3 6 3 7 2" xfId="17572"/>
    <cellStyle name="Normal 2 2 4 3 6 3 8" xfId="17573"/>
    <cellStyle name="Normal 2 2 4 3 6 3 8 2" xfId="17574"/>
    <cellStyle name="Normal 2 2 4 3 6 3 9" xfId="17575"/>
    <cellStyle name="Normal 2 2 4 3 6 3 9 2" xfId="17576"/>
    <cellStyle name="Normal 2 2 4 3 6 4" xfId="17577"/>
    <cellStyle name="Normal 2 2 4 3 6 4 2" xfId="17578"/>
    <cellStyle name="Normal 2 2 4 3 6 5" xfId="17579"/>
    <cellStyle name="Normal 2 2 4 3 6 5 2" xfId="17580"/>
    <cellStyle name="Normal 2 2 4 3 6 6" xfId="17581"/>
    <cellStyle name="Normal 2 2 4 3 6 6 2" xfId="17582"/>
    <cellStyle name="Normal 2 2 4 3 6 7" xfId="17583"/>
    <cellStyle name="Normal 2 2 4 3 6 7 2" xfId="17584"/>
    <cellStyle name="Normal 2 2 4 3 6 8" xfId="17585"/>
    <cellStyle name="Normal 2 2 4 3 6 8 2" xfId="17586"/>
    <cellStyle name="Normal 2 2 4 3 6 9" xfId="17587"/>
    <cellStyle name="Normal 2 2 4 3 6 9 2" xfId="17588"/>
    <cellStyle name="Normal 2 2 4 3 7" xfId="443"/>
    <cellStyle name="Normal 2 2 4 4" xfId="444"/>
    <cellStyle name="Normal 2 2 4 4 10" xfId="17589"/>
    <cellStyle name="Normal 2 2 4 4 10 2" xfId="17590"/>
    <cellStyle name="Normal 2 2 4 4 11" xfId="17591"/>
    <cellStyle name="Normal 2 2 4 4 11 2" xfId="17592"/>
    <cellStyle name="Normal 2 2 4 4 12" xfId="17593"/>
    <cellStyle name="Normal 2 2 4 4 12 2" xfId="17594"/>
    <cellStyle name="Normal 2 2 4 4 13" xfId="17595"/>
    <cellStyle name="Normal 2 2 4 4 2" xfId="17596"/>
    <cellStyle name="Normal 2 2 4 4 2 10" xfId="17597"/>
    <cellStyle name="Normal 2 2 4 4 2 10 2" xfId="17598"/>
    <cellStyle name="Normal 2 2 4 4 2 11" xfId="17599"/>
    <cellStyle name="Normal 2 2 4 4 2 11 2" xfId="17600"/>
    <cellStyle name="Normal 2 2 4 4 2 12" xfId="17601"/>
    <cellStyle name="Normal 2 2 4 4 2 2" xfId="17602"/>
    <cellStyle name="Normal 2 2 4 4 2 2 10" xfId="17603"/>
    <cellStyle name="Normal 2 2 4 4 2 2 10 2" xfId="17604"/>
    <cellStyle name="Normal 2 2 4 4 2 2 11" xfId="17605"/>
    <cellStyle name="Normal 2 2 4 4 2 2 2" xfId="17606"/>
    <cellStyle name="Normal 2 2 4 4 2 2 2 2" xfId="17607"/>
    <cellStyle name="Normal 2 2 4 4 2 2 3" xfId="17608"/>
    <cellStyle name="Normal 2 2 4 4 2 2 3 2" xfId="17609"/>
    <cellStyle name="Normal 2 2 4 4 2 2 4" xfId="17610"/>
    <cellStyle name="Normal 2 2 4 4 2 2 4 2" xfId="17611"/>
    <cellStyle name="Normal 2 2 4 4 2 2 5" xfId="17612"/>
    <cellStyle name="Normal 2 2 4 4 2 2 5 2" xfId="17613"/>
    <cellStyle name="Normal 2 2 4 4 2 2 6" xfId="17614"/>
    <cellStyle name="Normal 2 2 4 4 2 2 6 2" xfId="17615"/>
    <cellStyle name="Normal 2 2 4 4 2 2 7" xfId="17616"/>
    <cellStyle name="Normal 2 2 4 4 2 2 7 2" xfId="17617"/>
    <cellStyle name="Normal 2 2 4 4 2 2 8" xfId="17618"/>
    <cellStyle name="Normal 2 2 4 4 2 2 8 2" xfId="17619"/>
    <cellStyle name="Normal 2 2 4 4 2 2 9" xfId="17620"/>
    <cellStyle name="Normal 2 2 4 4 2 2 9 2" xfId="17621"/>
    <cellStyle name="Normal 2 2 4 4 2 3" xfId="17622"/>
    <cellStyle name="Normal 2 2 4 4 2 3 2" xfId="17623"/>
    <cellStyle name="Normal 2 2 4 4 2 4" xfId="17624"/>
    <cellStyle name="Normal 2 2 4 4 2 4 2" xfId="17625"/>
    <cellStyle name="Normal 2 2 4 4 2 5" xfId="17626"/>
    <cellStyle name="Normal 2 2 4 4 2 5 2" xfId="17627"/>
    <cellStyle name="Normal 2 2 4 4 2 6" xfId="17628"/>
    <cellStyle name="Normal 2 2 4 4 2 6 2" xfId="17629"/>
    <cellStyle name="Normal 2 2 4 4 2 7" xfId="17630"/>
    <cellStyle name="Normal 2 2 4 4 2 7 2" xfId="17631"/>
    <cellStyle name="Normal 2 2 4 4 2 8" xfId="17632"/>
    <cellStyle name="Normal 2 2 4 4 2 8 2" xfId="17633"/>
    <cellStyle name="Normal 2 2 4 4 2 9" xfId="17634"/>
    <cellStyle name="Normal 2 2 4 4 2 9 2" xfId="17635"/>
    <cellStyle name="Normal 2 2 4 4 3" xfId="17636"/>
    <cellStyle name="Normal 2 2 4 4 3 10" xfId="17637"/>
    <cellStyle name="Normal 2 2 4 4 3 10 2" xfId="17638"/>
    <cellStyle name="Normal 2 2 4 4 3 11" xfId="17639"/>
    <cellStyle name="Normal 2 2 4 4 3 2" xfId="17640"/>
    <cellStyle name="Normal 2 2 4 4 3 2 2" xfId="17641"/>
    <cellStyle name="Normal 2 2 4 4 3 3" xfId="17642"/>
    <cellStyle name="Normal 2 2 4 4 3 3 2" xfId="17643"/>
    <cellStyle name="Normal 2 2 4 4 3 4" xfId="17644"/>
    <cellStyle name="Normal 2 2 4 4 3 4 2" xfId="17645"/>
    <cellStyle name="Normal 2 2 4 4 3 5" xfId="17646"/>
    <cellStyle name="Normal 2 2 4 4 3 5 2" xfId="17647"/>
    <cellStyle name="Normal 2 2 4 4 3 6" xfId="17648"/>
    <cellStyle name="Normal 2 2 4 4 3 6 2" xfId="17649"/>
    <cellStyle name="Normal 2 2 4 4 3 7" xfId="17650"/>
    <cellStyle name="Normal 2 2 4 4 3 7 2" xfId="17651"/>
    <cellStyle name="Normal 2 2 4 4 3 8" xfId="17652"/>
    <cellStyle name="Normal 2 2 4 4 3 8 2" xfId="17653"/>
    <cellStyle name="Normal 2 2 4 4 3 9" xfId="17654"/>
    <cellStyle name="Normal 2 2 4 4 3 9 2" xfId="17655"/>
    <cellStyle name="Normal 2 2 4 4 4" xfId="17656"/>
    <cellStyle name="Normal 2 2 4 4 4 2" xfId="17657"/>
    <cellStyle name="Normal 2 2 4 4 5" xfId="17658"/>
    <cellStyle name="Normal 2 2 4 4 5 2" xfId="17659"/>
    <cellStyle name="Normal 2 2 4 4 6" xfId="17660"/>
    <cellStyle name="Normal 2 2 4 4 6 2" xfId="17661"/>
    <cellStyle name="Normal 2 2 4 4 7" xfId="17662"/>
    <cellStyle name="Normal 2 2 4 4 7 2" xfId="17663"/>
    <cellStyle name="Normal 2 2 4 4 8" xfId="17664"/>
    <cellStyle name="Normal 2 2 4 4 8 2" xfId="17665"/>
    <cellStyle name="Normal 2 2 4 4 9" xfId="17666"/>
    <cellStyle name="Normal 2 2 4 4 9 2" xfId="17667"/>
    <cellStyle name="Normal 2 2 4 5" xfId="445"/>
    <cellStyle name="Normal 2 2 4 5 10" xfId="17668"/>
    <cellStyle name="Normal 2 2 4 5 10 2" xfId="17669"/>
    <cellStyle name="Normal 2 2 4 5 11" xfId="17670"/>
    <cellStyle name="Normal 2 2 4 5 11 2" xfId="17671"/>
    <cellStyle name="Normal 2 2 4 5 12" xfId="17672"/>
    <cellStyle name="Normal 2 2 4 5 12 2" xfId="17673"/>
    <cellStyle name="Normal 2 2 4 5 13" xfId="17674"/>
    <cellStyle name="Normal 2 2 4 5 2" xfId="17675"/>
    <cellStyle name="Normal 2 2 4 5 2 10" xfId="17676"/>
    <cellStyle name="Normal 2 2 4 5 2 10 2" xfId="17677"/>
    <cellStyle name="Normal 2 2 4 5 2 11" xfId="17678"/>
    <cellStyle name="Normal 2 2 4 5 2 11 2" xfId="17679"/>
    <cellStyle name="Normal 2 2 4 5 2 12" xfId="17680"/>
    <cellStyle name="Normal 2 2 4 5 2 2" xfId="17681"/>
    <cellStyle name="Normal 2 2 4 5 2 2 10" xfId="17682"/>
    <cellStyle name="Normal 2 2 4 5 2 2 10 2" xfId="17683"/>
    <cellStyle name="Normal 2 2 4 5 2 2 11" xfId="17684"/>
    <cellStyle name="Normal 2 2 4 5 2 2 2" xfId="17685"/>
    <cellStyle name="Normal 2 2 4 5 2 2 2 2" xfId="17686"/>
    <cellStyle name="Normal 2 2 4 5 2 2 3" xfId="17687"/>
    <cellStyle name="Normal 2 2 4 5 2 2 3 2" xfId="17688"/>
    <cellStyle name="Normal 2 2 4 5 2 2 4" xfId="17689"/>
    <cellStyle name="Normal 2 2 4 5 2 2 4 2" xfId="17690"/>
    <cellStyle name="Normal 2 2 4 5 2 2 5" xfId="17691"/>
    <cellStyle name="Normal 2 2 4 5 2 2 5 2" xfId="17692"/>
    <cellStyle name="Normal 2 2 4 5 2 2 6" xfId="17693"/>
    <cellStyle name="Normal 2 2 4 5 2 2 6 2" xfId="17694"/>
    <cellStyle name="Normal 2 2 4 5 2 2 7" xfId="17695"/>
    <cellStyle name="Normal 2 2 4 5 2 2 7 2" xfId="17696"/>
    <cellStyle name="Normal 2 2 4 5 2 2 8" xfId="17697"/>
    <cellStyle name="Normal 2 2 4 5 2 2 8 2" xfId="17698"/>
    <cellStyle name="Normal 2 2 4 5 2 2 9" xfId="17699"/>
    <cellStyle name="Normal 2 2 4 5 2 2 9 2" xfId="17700"/>
    <cellStyle name="Normal 2 2 4 5 2 3" xfId="17701"/>
    <cellStyle name="Normal 2 2 4 5 2 3 2" xfId="17702"/>
    <cellStyle name="Normal 2 2 4 5 2 4" xfId="17703"/>
    <cellStyle name="Normal 2 2 4 5 2 4 2" xfId="17704"/>
    <cellStyle name="Normal 2 2 4 5 2 5" xfId="17705"/>
    <cellStyle name="Normal 2 2 4 5 2 5 2" xfId="17706"/>
    <cellStyle name="Normal 2 2 4 5 2 6" xfId="17707"/>
    <cellStyle name="Normal 2 2 4 5 2 6 2" xfId="17708"/>
    <cellStyle name="Normal 2 2 4 5 2 7" xfId="17709"/>
    <cellStyle name="Normal 2 2 4 5 2 7 2" xfId="17710"/>
    <cellStyle name="Normal 2 2 4 5 2 8" xfId="17711"/>
    <cellStyle name="Normal 2 2 4 5 2 8 2" xfId="17712"/>
    <cellStyle name="Normal 2 2 4 5 2 9" xfId="17713"/>
    <cellStyle name="Normal 2 2 4 5 2 9 2" xfId="17714"/>
    <cellStyle name="Normal 2 2 4 5 3" xfId="17715"/>
    <cellStyle name="Normal 2 2 4 5 3 10" xfId="17716"/>
    <cellStyle name="Normal 2 2 4 5 3 10 2" xfId="17717"/>
    <cellStyle name="Normal 2 2 4 5 3 11" xfId="17718"/>
    <cellStyle name="Normal 2 2 4 5 3 2" xfId="17719"/>
    <cellStyle name="Normal 2 2 4 5 3 2 2" xfId="17720"/>
    <cellStyle name="Normal 2 2 4 5 3 3" xfId="17721"/>
    <cellStyle name="Normal 2 2 4 5 3 3 2" xfId="17722"/>
    <cellStyle name="Normal 2 2 4 5 3 4" xfId="17723"/>
    <cellStyle name="Normal 2 2 4 5 3 4 2" xfId="17724"/>
    <cellStyle name="Normal 2 2 4 5 3 5" xfId="17725"/>
    <cellStyle name="Normal 2 2 4 5 3 5 2" xfId="17726"/>
    <cellStyle name="Normal 2 2 4 5 3 6" xfId="17727"/>
    <cellStyle name="Normal 2 2 4 5 3 6 2" xfId="17728"/>
    <cellStyle name="Normal 2 2 4 5 3 7" xfId="17729"/>
    <cellStyle name="Normal 2 2 4 5 3 7 2" xfId="17730"/>
    <cellStyle name="Normal 2 2 4 5 3 8" xfId="17731"/>
    <cellStyle name="Normal 2 2 4 5 3 8 2" xfId="17732"/>
    <cellStyle name="Normal 2 2 4 5 3 9" xfId="17733"/>
    <cellStyle name="Normal 2 2 4 5 3 9 2" xfId="17734"/>
    <cellStyle name="Normal 2 2 4 5 4" xfId="17735"/>
    <cellStyle name="Normal 2 2 4 5 4 2" xfId="17736"/>
    <cellStyle name="Normal 2 2 4 5 5" xfId="17737"/>
    <cellStyle name="Normal 2 2 4 5 5 2" xfId="17738"/>
    <cellStyle name="Normal 2 2 4 5 6" xfId="17739"/>
    <cellStyle name="Normal 2 2 4 5 6 2" xfId="17740"/>
    <cellStyle name="Normal 2 2 4 5 7" xfId="17741"/>
    <cellStyle name="Normal 2 2 4 5 7 2" xfId="17742"/>
    <cellStyle name="Normal 2 2 4 5 8" xfId="17743"/>
    <cellStyle name="Normal 2 2 4 5 8 2" xfId="17744"/>
    <cellStyle name="Normal 2 2 4 5 9" xfId="17745"/>
    <cellStyle name="Normal 2 2 4 5 9 2" xfId="17746"/>
    <cellStyle name="Normal 2 2 4 6" xfId="446"/>
    <cellStyle name="Normal 2 2 4 6 2" xfId="447"/>
    <cellStyle name="Normal 2 2 4 6 2 10" xfId="17747"/>
    <cellStyle name="Normal 2 2 4 6 2 10 2" xfId="17748"/>
    <cellStyle name="Normal 2 2 4 6 2 11" xfId="17749"/>
    <cellStyle name="Normal 2 2 4 6 2 11 2" xfId="17750"/>
    <cellStyle name="Normal 2 2 4 6 2 12" xfId="17751"/>
    <cellStyle name="Normal 2 2 4 6 2 12 2" xfId="17752"/>
    <cellStyle name="Normal 2 2 4 6 2 13" xfId="17753"/>
    <cellStyle name="Normal 2 2 4 6 2 2" xfId="17754"/>
    <cellStyle name="Normal 2 2 4 6 2 2 10" xfId="17755"/>
    <cellStyle name="Normal 2 2 4 6 2 2 10 2" xfId="17756"/>
    <cellStyle name="Normal 2 2 4 6 2 2 11" xfId="17757"/>
    <cellStyle name="Normal 2 2 4 6 2 2 11 2" xfId="17758"/>
    <cellStyle name="Normal 2 2 4 6 2 2 12" xfId="17759"/>
    <cellStyle name="Normal 2 2 4 6 2 2 2" xfId="17760"/>
    <cellStyle name="Normal 2 2 4 6 2 2 2 10" xfId="17761"/>
    <cellStyle name="Normal 2 2 4 6 2 2 2 10 2" xfId="17762"/>
    <cellStyle name="Normal 2 2 4 6 2 2 2 11" xfId="17763"/>
    <cellStyle name="Normal 2 2 4 6 2 2 2 2" xfId="17764"/>
    <cellStyle name="Normal 2 2 4 6 2 2 2 2 2" xfId="17765"/>
    <cellStyle name="Normal 2 2 4 6 2 2 2 3" xfId="17766"/>
    <cellStyle name="Normal 2 2 4 6 2 2 2 3 2" xfId="17767"/>
    <cellStyle name="Normal 2 2 4 6 2 2 2 4" xfId="17768"/>
    <cellStyle name="Normal 2 2 4 6 2 2 2 4 2" xfId="17769"/>
    <cellStyle name="Normal 2 2 4 6 2 2 2 5" xfId="17770"/>
    <cellStyle name="Normal 2 2 4 6 2 2 2 5 2" xfId="17771"/>
    <cellStyle name="Normal 2 2 4 6 2 2 2 6" xfId="17772"/>
    <cellStyle name="Normal 2 2 4 6 2 2 2 6 2" xfId="17773"/>
    <cellStyle name="Normal 2 2 4 6 2 2 2 7" xfId="17774"/>
    <cellStyle name="Normal 2 2 4 6 2 2 2 7 2" xfId="17775"/>
    <cellStyle name="Normal 2 2 4 6 2 2 2 8" xfId="17776"/>
    <cellStyle name="Normal 2 2 4 6 2 2 2 8 2" xfId="17777"/>
    <cellStyle name="Normal 2 2 4 6 2 2 2 9" xfId="17778"/>
    <cellStyle name="Normal 2 2 4 6 2 2 2 9 2" xfId="17779"/>
    <cellStyle name="Normal 2 2 4 6 2 2 3" xfId="17780"/>
    <cellStyle name="Normal 2 2 4 6 2 2 3 2" xfId="17781"/>
    <cellStyle name="Normal 2 2 4 6 2 2 4" xfId="17782"/>
    <cellStyle name="Normal 2 2 4 6 2 2 4 2" xfId="17783"/>
    <cellStyle name="Normal 2 2 4 6 2 2 5" xfId="17784"/>
    <cellStyle name="Normal 2 2 4 6 2 2 5 2" xfId="17785"/>
    <cellStyle name="Normal 2 2 4 6 2 2 6" xfId="17786"/>
    <cellStyle name="Normal 2 2 4 6 2 2 6 2" xfId="17787"/>
    <cellStyle name="Normal 2 2 4 6 2 2 7" xfId="17788"/>
    <cellStyle name="Normal 2 2 4 6 2 2 7 2" xfId="17789"/>
    <cellStyle name="Normal 2 2 4 6 2 2 8" xfId="17790"/>
    <cellStyle name="Normal 2 2 4 6 2 2 8 2" xfId="17791"/>
    <cellStyle name="Normal 2 2 4 6 2 2 9" xfId="17792"/>
    <cellStyle name="Normal 2 2 4 6 2 2 9 2" xfId="17793"/>
    <cellStyle name="Normal 2 2 4 6 2 3" xfId="17794"/>
    <cellStyle name="Normal 2 2 4 6 2 3 10" xfId="17795"/>
    <cellStyle name="Normal 2 2 4 6 2 3 10 2" xfId="17796"/>
    <cellStyle name="Normal 2 2 4 6 2 3 11" xfId="17797"/>
    <cellStyle name="Normal 2 2 4 6 2 3 2" xfId="17798"/>
    <cellStyle name="Normal 2 2 4 6 2 3 2 2" xfId="17799"/>
    <cellStyle name="Normal 2 2 4 6 2 3 3" xfId="17800"/>
    <cellStyle name="Normal 2 2 4 6 2 3 3 2" xfId="17801"/>
    <cellStyle name="Normal 2 2 4 6 2 3 4" xfId="17802"/>
    <cellStyle name="Normal 2 2 4 6 2 3 4 2" xfId="17803"/>
    <cellStyle name="Normal 2 2 4 6 2 3 5" xfId="17804"/>
    <cellStyle name="Normal 2 2 4 6 2 3 5 2" xfId="17805"/>
    <cellStyle name="Normal 2 2 4 6 2 3 6" xfId="17806"/>
    <cellStyle name="Normal 2 2 4 6 2 3 6 2" xfId="17807"/>
    <cellStyle name="Normal 2 2 4 6 2 3 7" xfId="17808"/>
    <cellStyle name="Normal 2 2 4 6 2 3 7 2" xfId="17809"/>
    <cellStyle name="Normal 2 2 4 6 2 3 8" xfId="17810"/>
    <cellStyle name="Normal 2 2 4 6 2 3 8 2" xfId="17811"/>
    <cellStyle name="Normal 2 2 4 6 2 3 9" xfId="17812"/>
    <cellStyle name="Normal 2 2 4 6 2 3 9 2" xfId="17813"/>
    <cellStyle name="Normal 2 2 4 6 2 4" xfId="17814"/>
    <cellStyle name="Normal 2 2 4 6 2 4 2" xfId="17815"/>
    <cellStyle name="Normal 2 2 4 6 2 5" xfId="17816"/>
    <cellStyle name="Normal 2 2 4 6 2 5 2" xfId="17817"/>
    <cellStyle name="Normal 2 2 4 6 2 6" xfId="17818"/>
    <cellStyle name="Normal 2 2 4 6 2 6 2" xfId="17819"/>
    <cellStyle name="Normal 2 2 4 6 2 7" xfId="17820"/>
    <cellStyle name="Normal 2 2 4 6 2 7 2" xfId="17821"/>
    <cellStyle name="Normal 2 2 4 6 2 8" xfId="17822"/>
    <cellStyle name="Normal 2 2 4 6 2 8 2" xfId="17823"/>
    <cellStyle name="Normal 2 2 4 6 2 9" xfId="17824"/>
    <cellStyle name="Normal 2 2 4 6 2 9 2" xfId="17825"/>
    <cellStyle name="Normal 2 2 4 6 3" xfId="448"/>
    <cellStyle name="Normal 2 2 4 6 3 10" xfId="17826"/>
    <cellStyle name="Normal 2 2 4 6 3 10 2" xfId="17827"/>
    <cellStyle name="Normal 2 2 4 6 3 11" xfId="17828"/>
    <cellStyle name="Normal 2 2 4 6 3 11 2" xfId="17829"/>
    <cellStyle name="Normal 2 2 4 6 3 12" xfId="17830"/>
    <cellStyle name="Normal 2 2 4 6 3 12 2" xfId="17831"/>
    <cellStyle name="Normal 2 2 4 6 3 13" xfId="17832"/>
    <cellStyle name="Normal 2 2 4 6 3 2" xfId="17833"/>
    <cellStyle name="Normal 2 2 4 6 3 2 10" xfId="17834"/>
    <cellStyle name="Normal 2 2 4 6 3 2 10 2" xfId="17835"/>
    <cellStyle name="Normal 2 2 4 6 3 2 11" xfId="17836"/>
    <cellStyle name="Normal 2 2 4 6 3 2 11 2" xfId="17837"/>
    <cellStyle name="Normal 2 2 4 6 3 2 12" xfId="17838"/>
    <cellStyle name="Normal 2 2 4 6 3 2 2" xfId="17839"/>
    <cellStyle name="Normal 2 2 4 6 3 2 2 10" xfId="17840"/>
    <cellStyle name="Normal 2 2 4 6 3 2 2 10 2" xfId="17841"/>
    <cellStyle name="Normal 2 2 4 6 3 2 2 11" xfId="17842"/>
    <cellStyle name="Normal 2 2 4 6 3 2 2 2" xfId="17843"/>
    <cellStyle name="Normal 2 2 4 6 3 2 2 2 2" xfId="17844"/>
    <cellStyle name="Normal 2 2 4 6 3 2 2 3" xfId="17845"/>
    <cellStyle name="Normal 2 2 4 6 3 2 2 3 2" xfId="17846"/>
    <cellStyle name="Normal 2 2 4 6 3 2 2 4" xfId="17847"/>
    <cellStyle name="Normal 2 2 4 6 3 2 2 4 2" xfId="17848"/>
    <cellStyle name="Normal 2 2 4 6 3 2 2 5" xfId="17849"/>
    <cellStyle name="Normal 2 2 4 6 3 2 2 5 2" xfId="17850"/>
    <cellStyle name="Normal 2 2 4 6 3 2 2 6" xfId="17851"/>
    <cellStyle name="Normal 2 2 4 6 3 2 2 6 2" xfId="17852"/>
    <cellStyle name="Normal 2 2 4 6 3 2 2 7" xfId="17853"/>
    <cellStyle name="Normal 2 2 4 6 3 2 2 7 2" xfId="17854"/>
    <cellStyle name="Normal 2 2 4 6 3 2 2 8" xfId="17855"/>
    <cellStyle name="Normal 2 2 4 6 3 2 2 8 2" xfId="17856"/>
    <cellStyle name="Normal 2 2 4 6 3 2 2 9" xfId="17857"/>
    <cellStyle name="Normal 2 2 4 6 3 2 2 9 2" xfId="17858"/>
    <cellStyle name="Normal 2 2 4 6 3 2 3" xfId="17859"/>
    <cellStyle name="Normal 2 2 4 6 3 2 3 2" xfId="17860"/>
    <cellStyle name="Normal 2 2 4 6 3 2 4" xfId="17861"/>
    <cellStyle name="Normal 2 2 4 6 3 2 4 2" xfId="17862"/>
    <cellStyle name="Normal 2 2 4 6 3 2 5" xfId="17863"/>
    <cellStyle name="Normal 2 2 4 6 3 2 5 2" xfId="17864"/>
    <cellStyle name="Normal 2 2 4 6 3 2 6" xfId="17865"/>
    <cellStyle name="Normal 2 2 4 6 3 2 6 2" xfId="17866"/>
    <cellStyle name="Normal 2 2 4 6 3 2 7" xfId="17867"/>
    <cellStyle name="Normal 2 2 4 6 3 2 7 2" xfId="17868"/>
    <cellStyle name="Normal 2 2 4 6 3 2 8" xfId="17869"/>
    <cellStyle name="Normal 2 2 4 6 3 2 8 2" xfId="17870"/>
    <cellStyle name="Normal 2 2 4 6 3 2 9" xfId="17871"/>
    <cellStyle name="Normal 2 2 4 6 3 2 9 2" xfId="17872"/>
    <cellStyle name="Normal 2 2 4 6 3 3" xfId="17873"/>
    <cellStyle name="Normal 2 2 4 6 3 3 10" xfId="17874"/>
    <cellStyle name="Normal 2 2 4 6 3 3 10 2" xfId="17875"/>
    <cellStyle name="Normal 2 2 4 6 3 3 11" xfId="17876"/>
    <cellStyle name="Normal 2 2 4 6 3 3 2" xfId="17877"/>
    <cellStyle name="Normal 2 2 4 6 3 3 2 2" xfId="17878"/>
    <cellStyle name="Normal 2 2 4 6 3 3 3" xfId="17879"/>
    <cellStyle name="Normal 2 2 4 6 3 3 3 2" xfId="17880"/>
    <cellStyle name="Normal 2 2 4 6 3 3 4" xfId="17881"/>
    <cellStyle name="Normal 2 2 4 6 3 3 4 2" xfId="17882"/>
    <cellStyle name="Normal 2 2 4 6 3 3 5" xfId="17883"/>
    <cellStyle name="Normal 2 2 4 6 3 3 5 2" xfId="17884"/>
    <cellStyle name="Normal 2 2 4 6 3 3 6" xfId="17885"/>
    <cellStyle name="Normal 2 2 4 6 3 3 6 2" xfId="17886"/>
    <cellStyle name="Normal 2 2 4 6 3 3 7" xfId="17887"/>
    <cellStyle name="Normal 2 2 4 6 3 3 7 2" xfId="17888"/>
    <cellStyle name="Normal 2 2 4 6 3 3 8" xfId="17889"/>
    <cellStyle name="Normal 2 2 4 6 3 3 8 2" xfId="17890"/>
    <cellStyle name="Normal 2 2 4 6 3 3 9" xfId="17891"/>
    <cellStyle name="Normal 2 2 4 6 3 3 9 2" xfId="17892"/>
    <cellStyle name="Normal 2 2 4 6 3 4" xfId="17893"/>
    <cellStyle name="Normal 2 2 4 6 3 4 2" xfId="17894"/>
    <cellStyle name="Normal 2 2 4 6 3 5" xfId="17895"/>
    <cellStyle name="Normal 2 2 4 6 3 5 2" xfId="17896"/>
    <cellStyle name="Normal 2 2 4 6 3 6" xfId="17897"/>
    <cellStyle name="Normal 2 2 4 6 3 6 2" xfId="17898"/>
    <cellStyle name="Normal 2 2 4 6 3 7" xfId="17899"/>
    <cellStyle name="Normal 2 2 4 6 3 7 2" xfId="17900"/>
    <cellStyle name="Normal 2 2 4 6 3 8" xfId="17901"/>
    <cellStyle name="Normal 2 2 4 6 3 8 2" xfId="17902"/>
    <cellStyle name="Normal 2 2 4 6 3 9" xfId="17903"/>
    <cellStyle name="Normal 2 2 4 6 3 9 2" xfId="17904"/>
    <cellStyle name="Normal 2 2 4 6 4" xfId="449"/>
    <cellStyle name="Normal 2 2 4 6 4 10" xfId="17905"/>
    <cellStyle name="Normal 2 2 4 6 4 10 2" xfId="17906"/>
    <cellStyle name="Normal 2 2 4 6 4 11" xfId="17907"/>
    <cellStyle name="Normal 2 2 4 6 4 11 2" xfId="17908"/>
    <cellStyle name="Normal 2 2 4 6 4 12" xfId="17909"/>
    <cellStyle name="Normal 2 2 4 6 4 12 2" xfId="17910"/>
    <cellStyle name="Normal 2 2 4 6 4 13" xfId="17911"/>
    <cellStyle name="Normal 2 2 4 6 4 2" xfId="17912"/>
    <cellStyle name="Normal 2 2 4 6 4 2 10" xfId="17913"/>
    <cellStyle name="Normal 2 2 4 6 4 2 10 2" xfId="17914"/>
    <cellStyle name="Normal 2 2 4 6 4 2 11" xfId="17915"/>
    <cellStyle name="Normal 2 2 4 6 4 2 11 2" xfId="17916"/>
    <cellStyle name="Normal 2 2 4 6 4 2 12" xfId="17917"/>
    <cellStyle name="Normal 2 2 4 6 4 2 2" xfId="17918"/>
    <cellStyle name="Normal 2 2 4 6 4 2 2 10" xfId="17919"/>
    <cellStyle name="Normal 2 2 4 6 4 2 2 10 2" xfId="17920"/>
    <cellStyle name="Normal 2 2 4 6 4 2 2 11" xfId="17921"/>
    <cellStyle name="Normal 2 2 4 6 4 2 2 2" xfId="17922"/>
    <cellStyle name="Normal 2 2 4 6 4 2 2 2 2" xfId="17923"/>
    <cellStyle name="Normal 2 2 4 6 4 2 2 3" xfId="17924"/>
    <cellStyle name="Normal 2 2 4 6 4 2 2 3 2" xfId="17925"/>
    <cellStyle name="Normal 2 2 4 6 4 2 2 4" xfId="17926"/>
    <cellStyle name="Normal 2 2 4 6 4 2 2 4 2" xfId="17927"/>
    <cellStyle name="Normal 2 2 4 6 4 2 2 5" xfId="17928"/>
    <cellStyle name="Normal 2 2 4 6 4 2 2 5 2" xfId="17929"/>
    <cellStyle name="Normal 2 2 4 6 4 2 2 6" xfId="17930"/>
    <cellStyle name="Normal 2 2 4 6 4 2 2 6 2" xfId="17931"/>
    <cellStyle name="Normal 2 2 4 6 4 2 2 7" xfId="17932"/>
    <cellStyle name="Normal 2 2 4 6 4 2 2 7 2" xfId="17933"/>
    <cellStyle name="Normal 2 2 4 6 4 2 2 8" xfId="17934"/>
    <cellStyle name="Normal 2 2 4 6 4 2 2 8 2" xfId="17935"/>
    <cellStyle name="Normal 2 2 4 6 4 2 2 9" xfId="17936"/>
    <cellStyle name="Normal 2 2 4 6 4 2 2 9 2" xfId="17937"/>
    <cellStyle name="Normal 2 2 4 6 4 2 3" xfId="17938"/>
    <cellStyle name="Normal 2 2 4 6 4 2 3 2" xfId="17939"/>
    <cellStyle name="Normal 2 2 4 6 4 2 4" xfId="17940"/>
    <cellStyle name="Normal 2 2 4 6 4 2 4 2" xfId="17941"/>
    <cellStyle name="Normal 2 2 4 6 4 2 5" xfId="17942"/>
    <cellStyle name="Normal 2 2 4 6 4 2 5 2" xfId="17943"/>
    <cellStyle name="Normal 2 2 4 6 4 2 6" xfId="17944"/>
    <cellStyle name="Normal 2 2 4 6 4 2 6 2" xfId="17945"/>
    <cellStyle name="Normal 2 2 4 6 4 2 7" xfId="17946"/>
    <cellStyle name="Normal 2 2 4 6 4 2 7 2" xfId="17947"/>
    <cellStyle name="Normal 2 2 4 6 4 2 8" xfId="17948"/>
    <cellStyle name="Normal 2 2 4 6 4 2 8 2" xfId="17949"/>
    <cellStyle name="Normal 2 2 4 6 4 2 9" xfId="17950"/>
    <cellStyle name="Normal 2 2 4 6 4 2 9 2" xfId="17951"/>
    <cellStyle name="Normal 2 2 4 6 4 3" xfId="17952"/>
    <cellStyle name="Normal 2 2 4 6 4 3 10" xfId="17953"/>
    <cellStyle name="Normal 2 2 4 6 4 3 10 2" xfId="17954"/>
    <cellStyle name="Normal 2 2 4 6 4 3 11" xfId="17955"/>
    <cellStyle name="Normal 2 2 4 6 4 3 2" xfId="17956"/>
    <cellStyle name="Normal 2 2 4 6 4 3 2 2" xfId="17957"/>
    <cellStyle name="Normal 2 2 4 6 4 3 3" xfId="17958"/>
    <cellStyle name="Normal 2 2 4 6 4 3 3 2" xfId="17959"/>
    <cellStyle name="Normal 2 2 4 6 4 3 4" xfId="17960"/>
    <cellStyle name="Normal 2 2 4 6 4 3 4 2" xfId="17961"/>
    <cellStyle name="Normal 2 2 4 6 4 3 5" xfId="17962"/>
    <cellStyle name="Normal 2 2 4 6 4 3 5 2" xfId="17963"/>
    <cellStyle name="Normal 2 2 4 6 4 3 6" xfId="17964"/>
    <cellStyle name="Normal 2 2 4 6 4 3 6 2" xfId="17965"/>
    <cellStyle name="Normal 2 2 4 6 4 3 7" xfId="17966"/>
    <cellStyle name="Normal 2 2 4 6 4 3 7 2" xfId="17967"/>
    <cellStyle name="Normal 2 2 4 6 4 3 8" xfId="17968"/>
    <cellStyle name="Normal 2 2 4 6 4 3 8 2" xfId="17969"/>
    <cellStyle name="Normal 2 2 4 6 4 3 9" xfId="17970"/>
    <cellStyle name="Normal 2 2 4 6 4 3 9 2" xfId="17971"/>
    <cellStyle name="Normal 2 2 4 6 4 4" xfId="17972"/>
    <cellStyle name="Normal 2 2 4 6 4 4 2" xfId="17973"/>
    <cellStyle name="Normal 2 2 4 6 4 5" xfId="17974"/>
    <cellStyle name="Normal 2 2 4 6 4 5 2" xfId="17975"/>
    <cellStyle name="Normal 2 2 4 6 4 6" xfId="17976"/>
    <cellStyle name="Normal 2 2 4 6 4 6 2" xfId="17977"/>
    <cellStyle name="Normal 2 2 4 6 4 7" xfId="17978"/>
    <cellStyle name="Normal 2 2 4 6 4 7 2" xfId="17979"/>
    <cellStyle name="Normal 2 2 4 6 4 8" xfId="17980"/>
    <cellStyle name="Normal 2 2 4 6 4 8 2" xfId="17981"/>
    <cellStyle name="Normal 2 2 4 6 4 9" xfId="17982"/>
    <cellStyle name="Normal 2 2 4 6 4 9 2" xfId="17983"/>
    <cellStyle name="Normal 2 2 4 6 5" xfId="450"/>
    <cellStyle name="Normal 2 2 4 6 5 10" xfId="17984"/>
    <cellStyle name="Normal 2 2 4 6 5 10 2" xfId="17985"/>
    <cellStyle name="Normal 2 2 4 6 5 11" xfId="17986"/>
    <cellStyle name="Normal 2 2 4 6 5 11 2" xfId="17987"/>
    <cellStyle name="Normal 2 2 4 6 5 12" xfId="17988"/>
    <cellStyle name="Normal 2 2 4 6 5 12 2" xfId="17989"/>
    <cellStyle name="Normal 2 2 4 6 5 13" xfId="17990"/>
    <cellStyle name="Normal 2 2 4 6 5 2" xfId="17991"/>
    <cellStyle name="Normal 2 2 4 6 5 2 10" xfId="17992"/>
    <cellStyle name="Normal 2 2 4 6 5 2 10 2" xfId="17993"/>
    <cellStyle name="Normal 2 2 4 6 5 2 11" xfId="17994"/>
    <cellStyle name="Normal 2 2 4 6 5 2 11 2" xfId="17995"/>
    <cellStyle name="Normal 2 2 4 6 5 2 12" xfId="17996"/>
    <cellStyle name="Normal 2 2 4 6 5 2 2" xfId="17997"/>
    <cellStyle name="Normal 2 2 4 6 5 2 2 10" xfId="17998"/>
    <cellStyle name="Normal 2 2 4 6 5 2 2 10 2" xfId="17999"/>
    <cellStyle name="Normal 2 2 4 6 5 2 2 11" xfId="18000"/>
    <cellStyle name="Normal 2 2 4 6 5 2 2 2" xfId="18001"/>
    <cellStyle name="Normal 2 2 4 6 5 2 2 2 2" xfId="18002"/>
    <cellStyle name="Normal 2 2 4 6 5 2 2 3" xfId="18003"/>
    <cellStyle name="Normal 2 2 4 6 5 2 2 3 2" xfId="18004"/>
    <cellStyle name="Normal 2 2 4 6 5 2 2 4" xfId="18005"/>
    <cellStyle name="Normal 2 2 4 6 5 2 2 4 2" xfId="18006"/>
    <cellStyle name="Normal 2 2 4 6 5 2 2 5" xfId="18007"/>
    <cellStyle name="Normal 2 2 4 6 5 2 2 5 2" xfId="18008"/>
    <cellStyle name="Normal 2 2 4 6 5 2 2 6" xfId="18009"/>
    <cellStyle name="Normal 2 2 4 6 5 2 2 6 2" xfId="18010"/>
    <cellStyle name="Normal 2 2 4 6 5 2 2 7" xfId="18011"/>
    <cellStyle name="Normal 2 2 4 6 5 2 2 7 2" xfId="18012"/>
    <cellStyle name="Normal 2 2 4 6 5 2 2 8" xfId="18013"/>
    <cellStyle name="Normal 2 2 4 6 5 2 2 8 2" xfId="18014"/>
    <cellStyle name="Normal 2 2 4 6 5 2 2 9" xfId="18015"/>
    <cellStyle name="Normal 2 2 4 6 5 2 2 9 2" xfId="18016"/>
    <cellStyle name="Normal 2 2 4 6 5 2 3" xfId="18017"/>
    <cellStyle name="Normal 2 2 4 6 5 2 3 2" xfId="18018"/>
    <cellStyle name="Normal 2 2 4 6 5 2 4" xfId="18019"/>
    <cellStyle name="Normal 2 2 4 6 5 2 4 2" xfId="18020"/>
    <cellStyle name="Normal 2 2 4 6 5 2 5" xfId="18021"/>
    <cellStyle name="Normal 2 2 4 6 5 2 5 2" xfId="18022"/>
    <cellStyle name="Normal 2 2 4 6 5 2 6" xfId="18023"/>
    <cellStyle name="Normal 2 2 4 6 5 2 6 2" xfId="18024"/>
    <cellStyle name="Normal 2 2 4 6 5 2 7" xfId="18025"/>
    <cellStyle name="Normal 2 2 4 6 5 2 7 2" xfId="18026"/>
    <cellStyle name="Normal 2 2 4 6 5 2 8" xfId="18027"/>
    <cellStyle name="Normal 2 2 4 6 5 2 8 2" xfId="18028"/>
    <cellStyle name="Normal 2 2 4 6 5 2 9" xfId="18029"/>
    <cellStyle name="Normal 2 2 4 6 5 2 9 2" xfId="18030"/>
    <cellStyle name="Normal 2 2 4 6 5 3" xfId="18031"/>
    <cellStyle name="Normal 2 2 4 6 5 3 10" xfId="18032"/>
    <cellStyle name="Normal 2 2 4 6 5 3 10 2" xfId="18033"/>
    <cellStyle name="Normal 2 2 4 6 5 3 11" xfId="18034"/>
    <cellStyle name="Normal 2 2 4 6 5 3 2" xfId="18035"/>
    <cellStyle name="Normal 2 2 4 6 5 3 2 2" xfId="18036"/>
    <cellStyle name="Normal 2 2 4 6 5 3 3" xfId="18037"/>
    <cellStyle name="Normal 2 2 4 6 5 3 3 2" xfId="18038"/>
    <cellStyle name="Normal 2 2 4 6 5 3 4" xfId="18039"/>
    <cellStyle name="Normal 2 2 4 6 5 3 4 2" xfId="18040"/>
    <cellStyle name="Normal 2 2 4 6 5 3 5" xfId="18041"/>
    <cellStyle name="Normal 2 2 4 6 5 3 5 2" xfId="18042"/>
    <cellStyle name="Normal 2 2 4 6 5 3 6" xfId="18043"/>
    <cellStyle name="Normal 2 2 4 6 5 3 6 2" xfId="18044"/>
    <cellStyle name="Normal 2 2 4 6 5 3 7" xfId="18045"/>
    <cellStyle name="Normal 2 2 4 6 5 3 7 2" xfId="18046"/>
    <cellStyle name="Normal 2 2 4 6 5 3 8" xfId="18047"/>
    <cellStyle name="Normal 2 2 4 6 5 3 8 2" xfId="18048"/>
    <cellStyle name="Normal 2 2 4 6 5 3 9" xfId="18049"/>
    <cellStyle name="Normal 2 2 4 6 5 3 9 2" xfId="18050"/>
    <cellStyle name="Normal 2 2 4 6 5 4" xfId="18051"/>
    <cellStyle name="Normal 2 2 4 6 5 4 2" xfId="18052"/>
    <cellStyle name="Normal 2 2 4 6 5 5" xfId="18053"/>
    <cellStyle name="Normal 2 2 4 6 5 5 2" xfId="18054"/>
    <cellStyle name="Normal 2 2 4 6 5 6" xfId="18055"/>
    <cellStyle name="Normal 2 2 4 6 5 6 2" xfId="18056"/>
    <cellStyle name="Normal 2 2 4 6 5 7" xfId="18057"/>
    <cellStyle name="Normal 2 2 4 6 5 7 2" xfId="18058"/>
    <cellStyle name="Normal 2 2 4 6 5 8" xfId="18059"/>
    <cellStyle name="Normal 2 2 4 6 5 8 2" xfId="18060"/>
    <cellStyle name="Normal 2 2 4 6 5 9" xfId="18061"/>
    <cellStyle name="Normal 2 2 4 6 5 9 2" xfId="18062"/>
    <cellStyle name="Normal 2 2 4 6 6" xfId="451"/>
    <cellStyle name="Normal 2 2 4 7" xfId="452"/>
    <cellStyle name="Normal 2 2 4 7 2" xfId="453"/>
    <cellStyle name="Normal 2 2 4 8" xfId="454"/>
    <cellStyle name="Normal 2 2 4 8 2" xfId="455"/>
    <cellStyle name="Normal 2 2 4 9" xfId="456"/>
    <cellStyle name="Normal 2 2 4 9 2" xfId="457"/>
    <cellStyle name="Normal 2 2 5" xfId="458"/>
    <cellStyle name="Normal 2 2 5 2" xfId="459"/>
    <cellStyle name="Normal 2 2 6" xfId="460"/>
    <cellStyle name="Normal 2 2 6 2" xfId="461"/>
    <cellStyle name="Normal 2 2 7" xfId="462"/>
    <cellStyle name="Normal 2 2 7 2" xfId="463"/>
    <cellStyle name="Normal 2 2 8" xfId="464"/>
    <cellStyle name="Normal 2 2 8 2" xfId="465"/>
    <cellStyle name="Normal 2 2 9" xfId="466"/>
    <cellStyle name="Normal 2 2 9 2" xfId="467"/>
    <cellStyle name="Normal 2 20" xfId="937"/>
    <cellStyle name="Normal 2 20 2" xfId="18063"/>
    <cellStyle name="Normal 2 21" xfId="936"/>
    <cellStyle name="Normal 2 22" xfId="935"/>
    <cellStyle name="Normal 2 22 2" xfId="18064"/>
    <cellStyle name="Normal 2 3" xfId="468"/>
    <cellStyle name="Normal 2 3 10" xfId="469"/>
    <cellStyle name="Normal 2 3 10 2" xfId="470"/>
    <cellStyle name="Normal 2 3 11" xfId="471"/>
    <cellStyle name="Normal 2 3 11 2" xfId="472"/>
    <cellStyle name="Normal 2 3 12" xfId="473"/>
    <cellStyle name="Normal 2 3 12 2" xfId="474"/>
    <cellStyle name="Normal 2 3 13" xfId="475"/>
    <cellStyle name="Normal 2 3 13 10" xfId="18065"/>
    <cellStyle name="Normal 2 3 13 10 2" xfId="18066"/>
    <cellStyle name="Normal 2 3 13 11" xfId="18067"/>
    <cellStyle name="Normal 2 3 13 11 2" xfId="18068"/>
    <cellStyle name="Normal 2 3 13 12" xfId="18069"/>
    <cellStyle name="Normal 2 3 13 12 2" xfId="18070"/>
    <cellStyle name="Normal 2 3 13 13" xfId="18071"/>
    <cellStyle name="Normal 2 3 13 13 2" xfId="18072"/>
    <cellStyle name="Normal 2 3 13 14" xfId="18073"/>
    <cellStyle name="Normal 2 3 13 14 2" xfId="18074"/>
    <cellStyle name="Normal 2 3 13 15" xfId="18075"/>
    <cellStyle name="Normal 2 3 13 15 2" xfId="18076"/>
    <cellStyle name="Normal 2 3 13 16" xfId="18077"/>
    <cellStyle name="Normal 2 3 13 16 2" xfId="18078"/>
    <cellStyle name="Normal 2 3 13 17" xfId="18079"/>
    <cellStyle name="Normal 2 3 13 2" xfId="476"/>
    <cellStyle name="Normal 2 3 13 2 2" xfId="477"/>
    <cellStyle name="Normal 2 3 13 3" xfId="478"/>
    <cellStyle name="Normal 2 3 13 3 2" xfId="479"/>
    <cellStyle name="Normal 2 3 13 4" xfId="480"/>
    <cellStyle name="Normal 2 3 13 4 2" xfId="481"/>
    <cellStyle name="Normal 2 3 13 5" xfId="482"/>
    <cellStyle name="Normal 2 3 13 5 2" xfId="483"/>
    <cellStyle name="Normal 2 3 13 6" xfId="18080"/>
    <cellStyle name="Normal 2 3 13 6 10" xfId="18081"/>
    <cellStyle name="Normal 2 3 13 6 10 2" xfId="18082"/>
    <cellStyle name="Normal 2 3 13 6 11" xfId="18083"/>
    <cellStyle name="Normal 2 3 13 6 11 2" xfId="18084"/>
    <cellStyle name="Normal 2 3 13 6 12" xfId="18085"/>
    <cellStyle name="Normal 2 3 13 6 2" xfId="18086"/>
    <cellStyle name="Normal 2 3 13 6 2 10" xfId="18087"/>
    <cellStyle name="Normal 2 3 13 6 2 10 2" xfId="18088"/>
    <cellStyle name="Normal 2 3 13 6 2 11" xfId="18089"/>
    <cellStyle name="Normal 2 3 13 6 2 2" xfId="18090"/>
    <cellStyle name="Normal 2 3 13 6 2 2 2" xfId="18091"/>
    <cellStyle name="Normal 2 3 13 6 2 3" xfId="18092"/>
    <cellStyle name="Normal 2 3 13 6 2 3 2" xfId="18093"/>
    <cellStyle name="Normal 2 3 13 6 2 4" xfId="18094"/>
    <cellStyle name="Normal 2 3 13 6 2 4 2" xfId="18095"/>
    <cellStyle name="Normal 2 3 13 6 2 5" xfId="18096"/>
    <cellStyle name="Normal 2 3 13 6 2 5 2" xfId="18097"/>
    <cellStyle name="Normal 2 3 13 6 2 6" xfId="18098"/>
    <cellStyle name="Normal 2 3 13 6 2 6 2" xfId="18099"/>
    <cellStyle name="Normal 2 3 13 6 2 7" xfId="18100"/>
    <cellStyle name="Normal 2 3 13 6 2 7 2" xfId="18101"/>
    <cellStyle name="Normal 2 3 13 6 2 8" xfId="18102"/>
    <cellStyle name="Normal 2 3 13 6 2 8 2" xfId="18103"/>
    <cellStyle name="Normal 2 3 13 6 2 9" xfId="18104"/>
    <cellStyle name="Normal 2 3 13 6 2 9 2" xfId="18105"/>
    <cellStyle name="Normal 2 3 13 6 3" xfId="18106"/>
    <cellStyle name="Normal 2 3 13 6 3 2" xfId="18107"/>
    <cellStyle name="Normal 2 3 13 6 4" xfId="18108"/>
    <cellStyle name="Normal 2 3 13 6 4 2" xfId="18109"/>
    <cellStyle name="Normal 2 3 13 6 5" xfId="18110"/>
    <cellStyle name="Normal 2 3 13 6 5 2" xfId="18111"/>
    <cellStyle name="Normal 2 3 13 6 6" xfId="18112"/>
    <cellStyle name="Normal 2 3 13 6 6 2" xfId="18113"/>
    <cellStyle name="Normal 2 3 13 6 7" xfId="18114"/>
    <cellStyle name="Normal 2 3 13 6 7 2" xfId="18115"/>
    <cellStyle name="Normal 2 3 13 6 8" xfId="18116"/>
    <cellStyle name="Normal 2 3 13 6 8 2" xfId="18117"/>
    <cellStyle name="Normal 2 3 13 6 9" xfId="18118"/>
    <cellStyle name="Normal 2 3 13 6 9 2" xfId="18119"/>
    <cellStyle name="Normal 2 3 13 7" xfId="18120"/>
    <cellStyle name="Normal 2 3 13 7 10" xfId="18121"/>
    <cellStyle name="Normal 2 3 13 7 10 2" xfId="18122"/>
    <cellStyle name="Normal 2 3 13 7 11" xfId="18123"/>
    <cellStyle name="Normal 2 3 13 7 2" xfId="18124"/>
    <cellStyle name="Normal 2 3 13 7 2 2" xfId="18125"/>
    <cellStyle name="Normal 2 3 13 7 3" xfId="18126"/>
    <cellStyle name="Normal 2 3 13 7 3 2" xfId="18127"/>
    <cellStyle name="Normal 2 3 13 7 4" xfId="18128"/>
    <cellStyle name="Normal 2 3 13 7 4 2" xfId="18129"/>
    <cellStyle name="Normal 2 3 13 7 5" xfId="18130"/>
    <cellStyle name="Normal 2 3 13 7 5 2" xfId="18131"/>
    <cellStyle name="Normal 2 3 13 7 6" xfId="18132"/>
    <cellStyle name="Normal 2 3 13 7 6 2" xfId="18133"/>
    <cellStyle name="Normal 2 3 13 7 7" xfId="18134"/>
    <cellStyle name="Normal 2 3 13 7 7 2" xfId="18135"/>
    <cellStyle name="Normal 2 3 13 7 8" xfId="18136"/>
    <cellStyle name="Normal 2 3 13 7 8 2" xfId="18137"/>
    <cellStyle name="Normal 2 3 13 7 9" xfId="18138"/>
    <cellStyle name="Normal 2 3 13 7 9 2" xfId="18139"/>
    <cellStyle name="Normal 2 3 13 8" xfId="18140"/>
    <cellStyle name="Normal 2 3 13 8 2" xfId="18141"/>
    <cellStyle name="Normal 2 3 13 9" xfId="18142"/>
    <cellStyle name="Normal 2 3 13 9 2" xfId="18143"/>
    <cellStyle name="Normal 2 3 14" xfId="484"/>
    <cellStyle name="Normal 2 3 14 10" xfId="18144"/>
    <cellStyle name="Normal 2 3 14 10 2" xfId="18145"/>
    <cellStyle name="Normal 2 3 14 11" xfId="18146"/>
    <cellStyle name="Normal 2 3 14 11 2" xfId="18147"/>
    <cellStyle name="Normal 2 3 14 12" xfId="18148"/>
    <cellStyle name="Normal 2 3 14 12 2" xfId="18149"/>
    <cellStyle name="Normal 2 3 14 13" xfId="18150"/>
    <cellStyle name="Normal 2 3 14 2" xfId="18151"/>
    <cellStyle name="Normal 2 3 14 2 10" xfId="18152"/>
    <cellStyle name="Normal 2 3 14 2 10 2" xfId="18153"/>
    <cellStyle name="Normal 2 3 14 2 11" xfId="18154"/>
    <cellStyle name="Normal 2 3 14 2 11 2" xfId="18155"/>
    <cellStyle name="Normal 2 3 14 2 12" xfId="18156"/>
    <cellStyle name="Normal 2 3 14 2 2" xfId="18157"/>
    <cellStyle name="Normal 2 3 14 2 2 10" xfId="18158"/>
    <cellStyle name="Normal 2 3 14 2 2 10 2" xfId="18159"/>
    <cellStyle name="Normal 2 3 14 2 2 11" xfId="18160"/>
    <cellStyle name="Normal 2 3 14 2 2 2" xfId="18161"/>
    <cellStyle name="Normal 2 3 14 2 2 2 2" xfId="18162"/>
    <cellStyle name="Normal 2 3 14 2 2 3" xfId="18163"/>
    <cellStyle name="Normal 2 3 14 2 2 3 2" xfId="18164"/>
    <cellStyle name="Normal 2 3 14 2 2 4" xfId="18165"/>
    <cellStyle name="Normal 2 3 14 2 2 4 2" xfId="18166"/>
    <cellStyle name="Normal 2 3 14 2 2 5" xfId="18167"/>
    <cellStyle name="Normal 2 3 14 2 2 5 2" xfId="18168"/>
    <cellStyle name="Normal 2 3 14 2 2 6" xfId="18169"/>
    <cellStyle name="Normal 2 3 14 2 2 6 2" xfId="18170"/>
    <cellStyle name="Normal 2 3 14 2 2 7" xfId="18171"/>
    <cellStyle name="Normal 2 3 14 2 2 7 2" xfId="18172"/>
    <cellStyle name="Normal 2 3 14 2 2 8" xfId="18173"/>
    <cellStyle name="Normal 2 3 14 2 2 8 2" xfId="18174"/>
    <cellStyle name="Normal 2 3 14 2 2 9" xfId="18175"/>
    <cellStyle name="Normal 2 3 14 2 2 9 2" xfId="18176"/>
    <cellStyle name="Normal 2 3 14 2 3" xfId="18177"/>
    <cellStyle name="Normal 2 3 14 2 3 2" xfId="18178"/>
    <cellStyle name="Normal 2 3 14 2 4" xfId="18179"/>
    <cellStyle name="Normal 2 3 14 2 4 2" xfId="18180"/>
    <cellStyle name="Normal 2 3 14 2 5" xfId="18181"/>
    <cellStyle name="Normal 2 3 14 2 5 2" xfId="18182"/>
    <cellStyle name="Normal 2 3 14 2 6" xfId="18183"/>
    <cellStyle name="Normal 2 3 14 2 6 2" xfId="18184"/>
    <cellStyle name="Normal 2 3 14 2 7" xfId="18185"/>
    <cellStyle name="Normal 2 3 14 2 7 2" xfId="18186"/>
    <cellStyle name="Normal 2 3 14 2 8" xfId="18187"/>
    <cellStyle name="Normal 2 3 14 2 8 2" xfId="18188"/>
    <cellStyle name="Normal 2 3 14 2 9" xfId="18189"/>
    <cellStyle name="Normal 2 3 14 2 9 2" xfId="18190"/>
    <cellStyle name="Normal 2 3 14 3" xfId="18191"/>
    <cellStyle name="Normal 2 3 14 3 10" xfId="18192"/>
    <cellStyle name="Normal 2 3 14 3 10 2" xfId="18193"/>
    <cellStyle name="Normal 2 3 14 3 11" xfId="18194"/>
    <cellStyle name="Normal 2 3 14 3 2" xfId="18195"/>
    <cellStyle name="Normal 2 3 14 3 2 2" xfId="18196"/>
    <cellStyle name="Normal 2 3 14 3 3" xfId="18197"/>
    <cellStyle name="Normal 2 3 14 3 3 2" xfId="18198"/>
    <cellStyle name="Normal 2 3 14 3 4" xfId="18199"/>
    <cellStyle name="Normal 2 3 14 3 4 2" xfId="18200"/>
    <cellStyle name="Normal 2 3 14 3 5" xfId="18201"/>
    <cellStyle name="Normal 2 3 14 3 5 2" xfId="18202"/>
    <cellStyle name="Normal 2 3 14 3 6" xfId="18203"/>
    <cellStyle name="Normal 2 3 14 3 6 2" xfId="18204"/>
    <cellStyle name="Normal 2 3 14 3 7" xfId="18205"/>
    <cellStyle name="Normal 2 3 14 3 7 2" xfId="18206"/>
    <cellStyle name="Normal 2 3 14 3 8" xfId="18207"/>
    <cellStyle name="Normal 2 3 14 3 8 2" xfId="18208"/>
    <cellStyle name="Normal 2 3 14 3 9" xfId="18209"/>
    <cellStyle name="Normal 2 3 14 3 9 2" xfId="18210"/>
    <cellStyle name="Normal 2 3 14 4" xfId="18211"/>
    <cellStyle name="Normal 2 3 14 4 2" xfId="18212"/>
    <cellStyle name="Normal 2 3 14 5" xfId="18213"/>
    <cellStyle name="Normal 2 3 14 5 2" xfId="18214"/>
    <cellStyle name="Normal 2 3 14 6" xfId="18215"/>
    <cellStyle name="Normal 2 3 14 6 2" xfId="18216"/>
    <cellStyle name="Normal 2 3 14 7" xfId="18217"/>
    <cellStyle name="Normal 2 3 14 7 2" xfId="18218"/>
    <cellStyle name="Normal 2 3 14 8" xfId="18219"/>
    <cellStyle name="Normal 2 3 14 8 2" xfId="18220"/>
    <cellStyle name="Normal 2 3 14 9" xfId="18221"/>
    <cellStyle name="Normal 2 3 14 9 2" xfId="18222"/>
    <cellStyle name="Normal 2 3 15" xfId="485"/>
    <cellStyle name="Normal 2 3 15 10" xfId="18223"/>
    <cellStyle name="Normal 2 3 15 10 2" xfId="18224"/>
    <cellStyle name="Normal 2 3 15 11" xfId="18225"/>
    <cellStyle name="Normal 2 3 15 11 2" xfId="18226"/>
    <cellStyle name="Normal 2 3 15 12" xfId="18227"/>
    <cellStyle name="Normal 2 3 15 12 2" xfId="18228"/>
    <cellStyle name="Normal 2 3 15 13" xfId="18229"/>
    <cellStyle name="Normal 2 3 15 2" xfId="18230"/>
    <cellStyle name="Normal 2 3 15 2 10" xfId="18231"/>
    <cellStyle name="Normal 2 3 15 2 10 2" xfId="18232"/>
    <cellStyle name="Normal 2 3 15 2 11" xfId="18233"/>
    <cellStyle name="Normal 2 3 15 2 11 2" xfId="18234"/>
    <cellStyle name="Normal 2 3 15 2 12" xfId="18235"/>
    <cellStyle name="Normal 2 3 15 2 2" xfId="18236"/>
    <cellStyle name="Normal 2 3 15 2 2 10" xfId="18237"/>
    <cellStyle name="Normal 2 3 15 2 2 10 2" xfId="18238"/>
    <cellStyle name="Normal 2 3 15 2 2 11" xfId="18239"/>
    <cellStyle name="Normal 2 3 15 2 2 2" xfId="18240"/>
    <cellStyle name="Normal 2 3 15 2 2 2 2" xfId="18241"/>
    <cellStyle name="Normal 2 3 15 2 2 3" xfId="18242"/>
    <cellStyle name="Normal 2 3 15 2 2 3 2" xfId="18243"/>
    <cellStyle name="Normal 2 3 15 2 2 4" xfId="18244"/>
    <cellStyle name="Normal 2 3 15 2 2 4 2" xfId="18245"/>
    <cellStyle name="Normal 2 3 15 2 2 5" xfId="18246"/>
    <cellStyle name="Normal 2 3 15 2 2 5 2" xfId="18247"/>
    <cellStyle name="Normal 2 3 15 2 2 6" xfId="18248"/>
    <cellStyle name="Normal 2 3 15 2 2 6 2" xfId="18249"/>
    <cellStyle name="Normal 2 3 15 2 2 7" xfId="18250"/>
    <cellStyle name="Normal 2 3 15 2 2 7 2" xfId="18251"/>
    <cellStyle name="Normal 2 3 15 2 2 8" xfId="18252"/>
    <cellStyle name="Normal 2 3 15 2 2 8 2" xfId="18253"/>
    <cellStyle name="Normal 2 3 15 2 2 9" xfId="18254"/>
    <cellStyle name="Normal 2 3 15 2 2 9 2" xfId="18255"/>
    <cellStyle name="Normal 2 3 15 2 3" xfId="18256"/>
    <cellStyle name="Normal 2 3 15 2 3 2" xfId="18257"/>
    <cellStyle name="Normal 2 3 15 2 4" xfId="18258"/>
    <cellStyle name="Normal 2 3 15 2 4 2" xfId="18259"/>
    <cellStyle name="Normal 2 3 15 2 5" xfId="18260"/>
    <cellStyle name="Normal 2 3 15 2 5 2" xfId="18261"/>
    <cellStyle name="Normal 2 3 15 2 6" xfId="18262"/>
    <cellStyle name="Normal 2 3 15 2 6 2" xfId="18263"/>
    <cellStyle name="Normal 2 3 15 2 7" xfId="18264"/>
    <cellStyle name="Normal 2 3 15 2 7 2" xfId="18265"/>
    <cellStyle name="Normal 2 3 15 2 8" xfId="18266"/>
    <cellStyle name="Normal 2 3 15 2 8 2" xfId="18267"/>
    <cellStyle name="Normal 2 3 15 2 9" xfId="18268"/>
    <cellStyle name="Normal 2 3 15 2 9 2" xfId="18269"/>
    <cellStyle name="Normal 2 3 15 3" xfId="18270"/>
    <cellStyle name="Normal 2 3 15 3 10" xfId="18271"/>
    <cellStyle name="Normal 2 3 15 3 10 2" xfId="18272"/>
    <cellStyle name="Normal 2 3 15 3 11" xfId="18273"/>
    <cellStyle name="Normal 2 3 15 3 2" xfId="18274"/>
    <cellStyle name="Normal 2 3 15 3 2 2" xfId="18275"/>
    <cellStyle name="Normal 2 3 15 3 3" xfId="18276"/>
    <cellStyle name="Normal 2 3 15 3 3 2" xfId="18277"/>
    <cellStyle name="Normal 2 3 15 3 4" xfId="18278"/>
    <cellStyle name="Normal 2 3 15 3 4 2" xfId="18279"/>
    <cellStyle name="Normal 2 3 15 3 5" xfId="18280"/>
    <cellStyle name="Normal 2 3 15 3 5 2" xfId="18281"/>
    <cellStyle name="Normal 2 3 15 3 6" xfId="18282"/>
    <cellStyle name="Normal 2 3 15 3 6 2" xfId="18283"/>
    <cellStyle name="Normal 2 3 15 3 7" xfId="18284"/>
    <cellStyle name="Normal 2 3 15 3 7 2" xfId="18285"/>
    <cellStyle name="Normal 2 3 15 3 8" xfId="18286"/>
    <cellStyle name="Normal 2 3 15 3 8 2" xfId="18287"/>
    <cellStyle name="Normal 2 3 15 3 9" xfId="18288"/>
    <cellStyle name="Normal 2 3 15 3 9 2" xfId="18289"/>
    <cellStyle name="Normal 2 3 15 4" xfId="18290"/>
    <cellStyle name="Normal 2 3 15 4 2" xfId="18291"/>
    <cellStyle name="Normal 2 3 15 5" xfId="18292"/>
    <cellStyle name="Normal 2 3 15 5 2" xfId="18293"/>
    <cellStyle name="Normal 2 3 15 6" xfId="18294"/>
    <cellStyle name="Normal 2 3 15 6 2" xfId="18295"/>
    <cellStyle name="Normal 2 3 15 7" xfId="18296"/>
    <cellStyle name="Normal 2 3 15 7 2" xfId="18297"/>
    <cellStyle name="Normal 2 3 15 8" xfId="18298"/>
    <cellStyle name="Normal 2 3 15 8 2" xfId="18299"/>
    <cellStyle name="Normal 2 3 15 9" xfId="18300"/>
    <cellStyle name="Normal 2 3 15 9 2" xfId="18301"/>
    <cellStyle name="Normal 2 3 16" xfId="486"/>
    <cellStyle name="Normal 2 3 16 10" xfId="18302"/>
    <cellStyle name="Normal 2 3 16 10 2" xfId="18303"/>
    <cellStyle name="Normal 2 3 16 11" xfId="18304"/>
    <cellStyle name="Normal 2 3 16 11 2" xfId="18305"/>
    <cellStyle name="Normal 2 3 16 12" xfId="18306"/>
    <cellStyle name="Normal 2 3 16 12 2" xfId="18307"/>
    <cellStyle name="Normal 2 3 16 13" xfId="18308"/>
    <cellStyle name="Normal 2 3 16 2" xfId="18309"/>
    <cellStyle name="Normal 2 3 16 2 10" xfId="18310"/>
    <cellStyle name="Normal 2 3 16 2 10 2" xfId="18311"/>
    <cellStyle name="Normal 2 3 16 2 11" xfId="18312"/>
    <cellStyle name="Normal 2 3 16 2 11 2" xfId="18313"/>
    <cellStyle name="Normal 2 3 16 2 12" xfId="18314"/>
    <cellStyle name="Normal 2 3 16 2 2" xfId="18315"/>
    <cellStyle name="Normal 2 3 16 2 2 10" xfId="18316"/>
    <cellStyle name="Normal 2 3 16 2 2 10 2" xfId="18317"/>
    <cellStyle name="Normal 2 3 16 2 2 11" xfId="18318"/>
    <cellStyle name="Normal 2 3 16 2 2 2" xfId="18319"/>
    <cellStyle name="Normal 2 3 16 2 2 2 2" xfId="18320"/>
    <cellStyle name="Normal 2 3 16 2 2 3" xfId="18321"/>
    <cellStyle name="Normal 2 3 16 2 2 3 2" xfId="18322"/>
    <cellStyle name="Normal 2 3 16 2 2 4" xfId="18323"/>
    <cellStyle name="Normal 2 3 16 2 2 4 2" xfId="18324"/>
    <cellStyle name="Normal 2 3 16 2 2 5" xfId="18325"/>
    <cellStyle name="Normal 2 3 16 2 2 5 2" xfId="18326"/>
    <cellStyle name="Normal 2 3 16 2 2 6" xfId="18327"/>
    <cellStyle name="Normal 2 3 16 2 2 6 2" xfId="18328"/>
    <cellStyle name="Normal 2 3 16 2 2 7" xfId="18329"/>
    <cellStyle name="Normal 2 3 16 2 2 7 2" xfId="18330"/>
    <cellStyle name="Normal 2 3 16 2 2 8" xfId="18331"/>
    <cellStyle name="Normal 2 3 16 2 2 8 2" xfId="18332"/>
    <cellStyle name="Normal 2 3 16 2 2 9" xfId="18333"/>
    <cellStyle name="Normal 2 3 16 2 2 9 2" xfId="18334"/>
    <cellStyle name="Normal 2 3 16 2 3" xfId="18335"/>
    <cellStyle name="Normal 2 3 16 2 3 2" xfId="18336"/>
    <cellStyle name="Normal 2 3 16 2 4" xfId="18337"/>
    <cellStyle name="Normal 2 3 16 2 4 2" xfId="18338"/>
    <cellStyle name="Normal 2 3 16 2 5" xfId="18339"/>
    <cellStyle name="Normal 2 3 16 2 5 2" xfId="18340"/>
    <cellStyle name="Normal 2 3 16 2 6" xfId="18341"/>
    <cellStyle name="Normal 2 3 16 2 6 2" xfId="18342"/>
    <cellStyle name="Normal 2 3 16 2 7" xfId="18343"/>
    <cellStyle name="Normal 2 3 16 2 7 2" xfId="18344"/>
    <cellStyle name="Normal 2 3 16 2 8" xfId="18345"/>
    <cellStyle name="Normal 2 3 16 2 8 2" xfId="18346"/>
    <cellStyle name="Normal 2 3 16 2 9" xfId="18347"/>
    <cellStyle name="Normal 2 3 16 2 9 2" xfId="18348"/>
    <cellStyle name="Normal 2 3 16 3" xfId="18349"/>
    <cellStyle name="Normal 2 3 16 3 10" xfId="18350"/>
    <cellStyle name="Normal 2 3 16 3 10 2" xfId="18351"/>
    <cellStyle name="Normal 2 3 16 3 11" xfId="18352"/>
    <cellStyle name="Normal 2 3 16 3 2" xfId="18353"/>
    <cellStyle name="Normal 2 3 16 3 2 2" xfId="18354"/>
    <cellStyle name="Normal 2 3 16 3 3" xfId="18355"/>
    <cellStyle name="Normal 2 3 16 3 3 2" xfId="18356"/>
    <cellStyle name="Normal 2 3 16 3 4" xfId="18357"/>
    <cellStyle name="Normal 2 3 16 3 4 2" xfId="18358"/>
    <cellStyle name="Normal 2 3 16 3 5" xfId="18359"/>
    <cellStyle name="Normal 2 3 16 3 5 2" xfId="18360"/>
    <cellStyle name="Normal 2 3 16 3 6" xfId="18361"/>
    <cellStyle name="Normal 2 3 16 3 6 2" xfId="18362"/>
    <cellStyle name="Normal 2 3 16 3 7" xfId="18363"/>
    <cellStyle name="Normal 2 3 16 3 7 2" xfId="18364"/>
    <cellStyle name="Normal 2 3 16 3 8" xfId="18365"/>
    <cellStyle name="Normal 2 3 16 3 8 2" xfId="18366"/>
    <cellStyle name="Normal 2 3 16 3 9" xfId="18367"/>
    <cellStyle name="Normal 2 3 16 3 9 2" xfId="18368"/>
    <cellStyle name="Normal 2 3 16 4" xfId="18369"/>
    <cellStyle name="Normal 2 3 16 4 2" xfId="18370"/>
    <cellStyle name="Normal 2 3 16 5" xfId="18371"/>
    <cellStyle name="Normal 2 3 16 5 2" xfId="18372"/>
    <cellStyle name="Normal 2 3 16 6" xfId="18373"/>
    <cellStyle name="Normal 2 3 16 6 2" xfId="18374"/>
    <cellStyle name="Normal 2 3 16 7" xfId="18375"/>
    <cellStyle name="Normal 2 3 16 7 2" xfId="18376"/>
    <cellStyle name="Normal 2 3 16 8" xfId="18377"/>
    <cellStyle name="Normal 2 3 16 8 2" xfId="18378"/>
    <cellStyle name="Normal 2 3 16 9" xfId="18379"/>
    <cellStyle name="Normal 2 3 16 9 2" xfId="18380"/>
    <cellStyle name="Normal 2 3 17" xfId="487"/>
    <cellStyle name="Normal 2 3 18" xfId="18381"/>
    <cellStyle name="Normal 2 3 19" xfId="18382"/>
    <cellStyle name="Normal 2 3 2" xfId="488"/>
    <cellStyle name="Normal 2 3 2 10" xfId="489"/>
    <cellStyle name="Normal 2 3 2 10 10" xfId="18383"/>
    <cellStyle name="Normal 2 3 2 10 10 2" xfId="18384"/>
    <cellStyle name="Normal 2 3 2 10 11" xfId="18385"/>
    <cellStyle name="Normal 2 3 2 10 11 2" xfId="18386"/>
    <cellStyle name="Normal 2 3 2 10 12" xfId="18387"/>
    <cellStyle name="Normal 2 3 2 10 12 2" xfId="18388"/>
    <cellStyle name="Normal 2 3 2 10 13" xfId="18389"/>
    <cellStyle name="Normal 2 3 2 10 2" xfId="18390"/>
    <cellStyle name="Normal 2 3 2 10 2 10" xfId="18391"/>
    <cellStyle name="Normal 2 3 2 10 2 10 2" xfId="18392"/>
    <cellStyle name="Normal 2 3 2 10 2 11" xfId="18393"/>
    <cellStyle name="Normal 2 3 2 10 2 11 2" xfId="18394"/>
    <cellStyle name="Normal 2 3 2 10 2 12" xfId="18395"/>
    <cellStyle name="Normal 2 3 2 10 2 2" xfId="18396"/>
    <cellStyle name="Normal 2 3 2 10 2 2 10" xfId="18397"/>
    <cellStyle name="Normal 2 3 2 10 2 2 10 2" xfId="18398"/>
    <cellStyle name="Normal 2 3 2 10 2 2 11" xfId="18399"/>
    <cellStyle name="Normal 2 3 2 10 2 2 2" xfId="18400"/>
    <cellStyle name="Normal 2 3 2 10 2 2 2 2" xfId="18401"/>
    <cellStyle name="Normal 2 3 2 10 2 2 3" xfId="18402"/>
    <cellStyle name="Normal 2 3 2 10 2 2 3 2" xfId="18403"/>
    <cellStyle name="Normal 2 3 2 10 2 2 4" xfId="18404"/>
    <cellStyle name="Normal 2 3 2 10 2 2 4 2" xfId="18405"/>
    <cellStyle name="Normal 2 3 2 10 2 2 5" xfId="18406"/>
    <cellStyle name="Normal 2 3 2 10 2 2 5 2" xfId="18407"/>
    <cellStyle name="Normal 2 3 2 10 2 2 6" xfId="18408"/>
    <cellStyle name="Normal 2 3 2 10 2 2 6 2" xfId="18409"/>
    <cellStyle name="Normal 2 3 2 10 2 2 7" xfId="18410"/>
    <cellStyle name="Normal 2 3 2 10 2 2 7 2" xfId="18411"/>
    <cellStyle name="Normal 2 3 2 10 2 2 8" xfId="18412"/>
    <cellStyle name="Normal 2 3 2 10 2 2 8 2" xfId="18413"/>
    <cellStyle name="Normal 2 3 2 10 2 2 9" xfId="18414"/>
    <cellStyle name="Normal 2 3 2 10 2 2 9 2" xfId="18415"/>
    <cellStyle name="Normal 2 3 2 10 2 3" xfId="18416"/>
    <cellStyle name="Normal 2 3 2 10 2 3 2" xfId="18417"/>
    <cellStyle name="Normal 2 3 2 10 2 4" xfId="18418"/>
    <cellStyle name="Normal 2 3 2 10 2 4 2" xfId="18419"/>
    <cellStyle name="Normal 2 3 2 10 2 5" xfId="18420"/>
    <cellStyle name="Normal 2 3 2 10 2 5 2" xfId="18421"/>
    <cellStyle name="Normal 2 3 2 10 2 6" xfId="18422"/>
    <cellStyle name="Normal 2 3 2 10 2 6 2" xfId="18423"/>
    <cellStyle name="Normal 2 3 2 10 2 7" xfId="18424"/>
    <cellStyle name="Normal 2 3 2 10 2 7 2" xfId="18425"/>
    <cellStyle name="Normal 2 3 2 10 2 8" xfId="18426"/>
    <cellStyle name="Normal 2 3 2 10 2 8 2" xfId="18427"/>
    <cellStyle name="Normal 2 3 2 10 2 9" xfId="18428"/>
    <cellStyle name="Normal 2 3 2 10 2 9 2" xfId="18429"/>
    <cellStyle name="Normal 2 3 2 10 3" xfId="18430"/>
    <cellStyle name="Normal 2 3 2 10 3 10" xfId="18431"/>
    <cellStyle name="Normal 2 3 2 10 3 10 2" xfId="18432"/>
    <cellStyle name="Normal 2 3 2 10 3 11" xfId="18433"/>
    <cellStyle name="Normal 2 3 2 10 3 2" xfId="18434"/>
    <cellStyle name="Normal 2 3 2 10 3 2 2" xfId="18435"/>
    <cellStyle name="Normal 2 3 2 10 3 3" xfId="18436"/>
    <cellStyle name="Normal 2 3 2 10 3 3 2" xfId="18437"/>
    <cellStyle name="Normal 2 3 2 10 3 4" xfId="18438"/>
    <cellStyle name="Normal 2 3 2 10 3 4 2" xfId="18439"/>
    <cellStyle name="Normal 2 3 2 10 3 5" xfId="18440"/>
    <cellStyle name="Normal 2 3 2 10 3 5 2" xfId="18441"/>
    <cellStyle name="Normal 2 3 2 10 3 6" xfId="18442"/>
    <cellStyle name="Normal 2 3 2 10 3 6 2" xfId="18443"/>
    <cellStyle name="Normal 2 3 2 10 3 7" xfId="18444"/>
    <cellStyle name="Normal 2 3 2 10 3 7 2" xfId="18445"/>
    <cellStyle name="Normal 2 3 2 10 3 8" xfId="18446"/>
    <cellStyle name="Normal 2 3 2 10 3 8 2" xfId="18447"/>
    <cellStyle name="Normal 2 3 2 10 3 9" xfId="18448"/>
    <cellStyle name="Normal 2 3 2 10 3 9 2" xfId="18449"/>
    <cellStyle name="Normal 2 3 2 10 4" xfId="18450"/>
    <cellStyle name="Normal 2 3 2 10 4 2" xfId="18451"/>
    <cellStyle name="Normal 2 3 2 10 5" xfId="18452"/>
    <cellStyle name="Normal 2 3 2 10 5 2" xfId="18453"/>
    <cellStyle name="Normal 2 3 2 10 6" xfId="18454"/>
    <cellStyle name="Normal 2 3 2 10 6 2" xfId="18455"/>
    <cellStyle name="Normal 2 3 2 10 7" xfId="18456"/>
    <cellStyle name="Normal 2 3 2 10 7 2" xfId="18457"/>
    <cellStyle name="Normal 2 3 2 10 8" xfId="18458"/>
    <cellStyle name="Normal 2 3 2 10 8 2" xfId="18459"/>
    <cellStyle name="Normal 2 3 2 10 9" xfId="18460"/>
    <cellStyle name="Normal 2 3 2 10 9 2" xfId="18461"/>
    <cellStyle name="Normal 2 3 2 11" xfId="490"/>
    <cellStyle name="Normal 2 3 2 11 10" xfId="18462"/>
    <cellStyle name="Normal 2 3 2 11 10 2" xfId="18463"/>
    <cellStyle name="Normal 2 3 2 11 11" xfId="18464"/>
    <cellStyle name="Normal 2 3 2 11 11 2" xfId="18465"/>
    <cellStyle name="Normal 2 3 2 11 12" xfId="18466"/>
    <cellStyle name="Normal 2 3 2 11 12 2" xfId="18467"/>
    <cellStyle name="Normal 2 3 2 11 13" xfId="18468"/>
    <cellStyle name="Normal 2 3 2 11 2" xfId="18469"/>
    <cellStyle name="Normal 2 3 2 11 2 10" xfId="18470"/>
    <cellStyle name="Normal 2 3 2 11 2 10 2" xfId="18471"/>
    <cellStyle name="Normal 2 3 2 11 2 11" xfId="18472"/>
    <cellStyle name="Normal 2 3 2 11 2 11 2" xfId="18473"/>
    <cellStyle name="Normal 2 3 2 11 2 12" xfId="18474"/>
    <cellStyle name="Normal 2 3 2 11 2 2" xfId="18475"/>
    <cellStyle name="Normal 2 3 2 11 2 2 10" xfId="18476"/>
    <cellStyle name="Normal 2 3 2 11 2 2 10 2" xfId="18477"/>
    <cellStyle name="Normal 2 3 2 11 2 2 11" xfId="18478"/>
    <cellStyle name="Normal 2 3 2 11 2 2 2" xfId="18479"/>
    <cellStyle name="Normal 2 3 2 11 2 2 2 2" xfId="18480"/>
    <cellStyle name="Normal 2 3 2 11 2 2 3" xfId="18481"/>
    <cellStyle name="Normal 2 3 2 11 2 2 3 2" xfId="18482"/>
    <cellStyle name="Normal 2 3 2 11 2 2 4" xfId="18483"/>
    <cellStyle name="Normal 2 3 2 11 2 2 4 2" xfId="18484"/>
    <cellStyle name="Normal 2 3 2 11 2 2 5" xfId="18485"/>
    <cellStyle name="Normal 2 3 2 11 2 2 5 2" xfId="18486"/>
    <cellStyle name="Normal 2 3 2 11 2 2 6" xfId="18487"/>
    <cellStyle name="Normal 2 3 2 11 2 2 6 2" xfId="18488"/>
    <cellStyle name="Normal 2 3 2 11 2 2 7" xfId="18489"/>
    <cellStyle name="Normal 2 3 2 11 2 2 7 2" xfId="18490"/>
    <cellStyle name="Normal 2 3 2 11 2 2 8" xfId="18491"/>
    <cellStyle name="Normal 2 3 2 11 2 2 8 2" xfId="18492"/>
    <cellStyle name="Normal 2 3 2 11 2 2 9" xfId="18493"/>
    <cellStyle name="Normal 2 3 2 11 2 2 9 2" xfId="18494"/>
    <cellStyle name="Normal 2 3 2 11 2 3" xfId="18495"/>
    <cellStyle name="Normal 2 3 2 11 2 3 2" xfId="18496"/>
    <cellStyle name="Normal 2 3 2 11 2 4" xfId="18497"/>
    <cellStyle name="Normal 2 3 2 11 2 4 2" xfId="18498"/>
    <cellStyle name="Normal 2 3 2 11 2 5" xfId="18499"/>
    <cellStyle name="Normal 2 3 2 11 2 5 2" xfId="18500"/>
    <cellStyle name="Normal 2 3 2 11 2 6" xfId="18501"/>
    <cellStyle name="Normal 2 3 2 11 2 6 2" xfId="18502"/>
    <cellStyle name="Normal 2 3 2 11 2 7" xfId="18503"/>
    <cellStyle name="Normal 2 3 2 11 2 7 2" xfId="18504"/>
    <cellStyle name="Normal 2 3 2 11 2 8" xfId="18505"/>
    <cellStyle name="Normal 2 3 2 11 2 8 2" xfId="18506"/>
    <cellStyle name="Normal 2 3 2 11 2 9" xfId="18507"/>
    <cellStyle name="Normal 2 3 2 11 2 9 2" xfId="18508"/>
    <cellStyle name="Normal 2 3 2 11 3" xfId="18509"/>
    <cellStyle name="Normal 2 3 2 11 3 10" xfId="18510"/>
    <cellStyle name="Normal 2 3 2 11 3 10 2" xfId="18511"/>
    <cellStyle name="Normal 2 3 2 11 3 11" xfId="18512"/>
    <cellStyle name="Normal 2 3 2 11 3 2" xfId="18513"/>
    <cellStyle name="Normal 2 3 2 11 3 2 2" xfId="18514"/>
    <cellStyle name="Normal 2 3 2 11 3 3" xfId="18515"/>
    <cellStyle name="Normal 2 3 2 11 3 3 2" xfId="18516"/>
    <cellStyle name="Normal 2 3 2 11 3 4" xfId="18517"/>
    <cellStyle name="Normal 2 3 2 11 3 4 2" xfId="18518"/>
    <cellStyle name="Normal 2 3 2 11 3 5" xfId="18519"/>
    <cellStyle name="Normal 2 3 2 11 3 5 2" xfId="18520"/>
    <cellStyle name="Normal 2 3 2 11 3 6" xfId="18521"/>
    <cellStyle name="Normal 2 3 2 11 3 6 2" xfId="18522"/>
    <cellStyle name="Normal 2 3 2 11 3 7" xfId="18523"/>
    <cellStyle name="Normal 2 3 2 11 3 7 2" xfId="18524"/>
    <cellStyle name="Normal 2 3 2 11 3 8" xfId="18525"/>
    <cellStyle name="Normal 2 3 2 11 3 8 2" xfId="18526"/>
    <cellStyle name="Normal 2 3 2 11 3 9" xfId="18527"/>
    <cellStyle name="Normal 2 3 2 11 3 9 2" xfId="18528"/>
    <cellStyle name="Normal 2 3 2 11 4" xfId="18529"/>
    <cellStyle name="Normal 2 3 2 11 4 2" xfId="18530"/>
    <cellStyle name="Normal 2 3 2 11 5" xfId="18531"/>
    <cellStyle name="Normal 2 3 2 11 5 2" xfId="18532"/>
    <cellStyle name="Normal 2 3 2 11 6" xfId="18533"/>
    <cellStyle name="Normal 2 3 2 11 6 2" xfId="18534"/>
    <cellStyle name="Normal 2 3 2 11 7" xfId="18535"/>
    <cellStyle name="Normal 2 3 2 11 7 2" xfId="18536"/>
    <cellStyle name="Normal 2 3 2 11 8" xfId="18537"/>
    <cellStyle name="Normal 2 3 2 11 8 2" xfId="18538"/>
    <cellStyle name="Normal 2 3 2 11 9" xfId="18539"/>
    <cellStyle name="Normal 2 3 2 11 9 2" xfId="18540"/>
    <cellStyle name="Normal 2 3 2 12" xfId="491"/>
    <cellStyle name="Normal 2 3 2 12 10" xfId="18541"/>
    <cellStyle name="Normal 2 3 2 12 10 2" xfId="18542"/>
    <cellStyle name="Normal 2 3 2 12 11" xfId="18543"/>
    <cellStyle name="Normal 2 3 2 12 11 2" xfId="18544"/>
    <cellStyle name="Normal 2 3 2 12 12" xfId="18545"/>
    <cellStyle name="Normal 2 3 2 12 12 2" xfId="18546"/>
    <cellStyle name="Normal 2 3 2 12 13" xfId="18547"/>
    <cellStyle name="Normal 2 3 2 12 2" xfId="18548"/>
    <cellStyle name="Normal 2 3 2 12 2 10" xfId="18549"/>
    <cellStyle name="Normal 2 3 2 12 2 10 2" xfId="18550"/>
    <cellStyle name="Normal 2 3 2 12 2 11" xfId="18551"/>
    <cellStyle name="Normal 2 3 2 12 2 11 2" xfId="18552"/>
    <cellStyle name="Normal 2 3 2 12 2 12" xfId="18553"/>
    <cellStyle name="Normal 2 3 2 12 2 2" xfId="18554"/>
    <cellStyle name="Normal 2 3 2 12 2 2 10" xfId="18555"/>
    <cellStyle name="Normal 2 3 2 12 2 2 10 2" xfId="18556"/>
    <cellStyle name="Normal 2 3 2 12 2 2 11" xfId="18557"/>
    <cellStyle name="Normal 2 3 2 12 2 2 2" xfId="18558"/>
    <cellStyle name="Normal 2 3 2 12 2 2 2 2" xfId="18559"/>
    <cellStyle name="Normal 2 3 2 12 2 2 3" xfId="18560"/>
    <cellStyle name="Normal 2 3 2 12 2 2 3 2" xfId="18561"/>
    <cellStyle name="Normal 2 3 2 12 2 2 4" xfId="18562"/>
    <cellStyle name="Normal 2 3 2 12 2 2 4 2" xfId="18563"/>
    <cellStyle name="Normal 2 3 2 12 2 2 5" xfId="18564"/>
    <cellStyle name="Normal 2 3 2 12 2 2 5 2" xfId="18565"/>
    <cellStyle name="Normal 2 3 2 12 2 2 6" xfId="18566"/>
    <cellStyle name="Normal 2 3 2 12 2 2 6 2" xfId="18567"/>
    <cellStyle name="Normal 2 3 2 12 2 2 7" xfId="18568"/>
    <cellStyle name="Normal 2 3 2 12 2 2 7 2" xfId="18569"/>
    <cellStyle name="Normal 2 3 2 12 2 2 8" xfId="18570"/>
    <cellStyle name="Normal 2 3 2 12 2 2 8 2" xfId="18571"/>
    <cellStyle name="Normal 2 3 2 12 2 2 9" xfId="18572"/>
    <cellStyle name="Normal 2 3 2 12 2 2 9 2" xfId="18573"/>
    <cellStyle name="Normal 2 3 2 12 2 3" xfId="18574"/>
    <cellStyle name="Normal 2 3 2 12 2 3 2" xfId="18575"/>
    <cellStyle name="Normal 2 3 2 12 2 4" xfId="18576"/>
    <cellStyle name="Normal 2 3 2 12 2 4 2" xfId="18577"/>
    <cellStyle name="Normal 2 3 2 12 2 5" xfId="18578"/>
    <cellStyle name="Normal 2 3 2 12 2 5 2" xfId="18579"/>
    <cellStyle name="Normal 2 3 2 12 2 6" xfId="18580"/>
    <cellStyle name="Normal 2 3 2 12 2 6 2" xfId="18581"/>
    <cellStyle name="Normal 2 3 2 12 2 7" xfId="18582"/>
    <cellStyle name="Normal 2 3 2 12 2 7 2" xfId="18583"/>
    <cellStyle name="Normal 2 3 2 12 2 8" xfId="18584"/>
    <cellStyle name="Normal 2 3 2 12 2 8 2" xfId="18585"/>
    <cellStyle name="Normal 2 3 2 12 2 9" xfId="18586"/>
    <cellStyle name="Normal 2 3 2 12 2 9 2" xfId="18587"/>
    <cellStyle name="Normal 2 3 2 12 3" xfId="18588"/>
    <cellStyle name="Normal 2 3 2 12 3 10" xfId="18589"/>
    <cellStyle name="Normal 2 3 2 12 3 10 2" xfId="18590"/>
    <cellStyle name="Normal 2 3 2 12 3 11" xfId="18591"/>
    <cellStyle name="Normal 2 3 2 12 3 2" xfId="18592"/>
    <cellStyle name="Normal 2 3 2 12 3 2 2" xfId="18593"/>
    <cellStyle name="Normal 2 3 2 12 3 3" xfId="18594"/>
    <cellStyle name="Normal 2 3 2 12 3 3 2" xfId="18595"/>
    <cellStyle name="Normal 2 3 2 12 3 4" xfId="18596"/>
    <cellStyle name="Normal 2 3 2 12 3 4 2" xfId="18597"/>
    <cellStyle name="Normal 2 3 2 12 3 5" xfId="18598"/>
    <cellStyle name="Normal 2 3 2 12 3 5 2" xfId="18599"/>
    <cellStyle name="Normal 2 3 2 12 3 6" xfId="18600"/>
    <cellStyle name="Normal 2 3 2 12 3 6 2" xfId="18601"/>
    <cellStyle name="Normal 2 3 2 12 3 7" xfId="18602"/>
    <cellStyle name="Normal 2 3 2 12 3 7 2" xfId="18603"/>
    <cellStyle name="Normal 2 3 2 12 3 8" xfId="18604"/>
    <cellStyle name="Normal 2 3 2 12 3 8 2" xfId="18605"/>
    <cellStyle name="Normal 2 3 2 12 3 9" xfId="18606"/>
    <cellStyle name="Normal 2 3 2 12 3 9 2" xfId="18607"/>
    <cellStyle name="Normal 2 3 2 12 4" xfId="18608"/>
    <cellStyle name="Normal 2 3 2 12 4 2" xfId="18609"/>
    <cellStyle name="Normal 2 3 2 12 5" xfId="18610"/>
    <cellStyle name="Normal 2 3 2 12 5 2" xfId="18611"/>
    <cellStyle name="Normal 2 3 2 12 6" xfId="18612"/>
    <cellStyle name="Normal 2 3 2 12 6 2" xfId="18613"/>
    <cellStyle name="Normal 2 3 2 12 7" xfId="18614"/>
    <cellStyle name="Normal 2 3 2 12 7 2" xfId="18615"/>
    <cellStyle name="Normal 2 3 2 12 8" xfId="18616"/>
    <cellStyle name="Normal 2 3 2 12 8 2" xfId="18617"/>
    <cellStyle name="Normal 2 3 2 12 9" xfId="18618"/>
    <cellStyle name="Normal 2 3 2 12 9 2" xfId="18619"/>
    <cellStyle name="Normal 2 3 2 13" xfId="492"/>
    <cellStyle name="Normal 2 3 2 13 2" xfId="493"/>
    <cellStyle name="Normal 2 3 2 13 2 10" xfId="18620"/>
    <cellStyle name="Normal 2 3 2 13 2 10 2" xfId="18621"/>
    <cellStyle name="Normal 2 3 2 13 2 11" xfId="18622"/>
    <cellStyle name="Normal 2 3 2 13 2 11 2" xfId="18623"/>
    <cellStyle name="Normal 2 3 2 13 2 12" xfId="18624"/>
    <cellStyle name="Normal 2 3 2 13 2 12 2" xfId="18625"/>
    <cellStyle name="Normal 2 3 2 13 2 13" xfId="18626"/>
    <cellStyle name="Normal 2 3 2 13 2 2" xfId="18627"/>
    <cellStyle name="Normal 2 3 2 13 2 2 10" xfId="18628"/>
    <cellStyle name="Normal 2 3 2 13 2 2 10 2" xfId="18629"/>
    <cellStyle name="Normal 2 3 2 13 2 2 11" xfId="18630"/>
    <cellStyle name="Normal 2 3 2 13 2 2 11 2" xfId="18631"/>
    <cellStyle name="Normal 2 3 2 13 2 2 12" xfId="18632"/>
    <cellStyle name="Normal 2 3 2 13 2 2 2" xfId="18633"/>
    <cellStyle name="Normal 2 3 2 13 2 2 2 10" xfId="18634"/>
    <cellStyle name="Normal 2 3 2 13 2 2 2 10 2" xfId="18635"/>
    <cellStyle name="Normal 2 3 2 13 2 2 2 11" xfId="18636"/>
    <cellStyle name="Normal 2 3 2 13 2 2 2 2" xfId="18637"/>
    <cellStyle name="Normal 2 3 2 13 2 2 2 2 2" xfId="18638"/>
    <cellStyle name="Normal 2 3 2 13 2 2 2 3" xfId="18639"/>
    <cellStyle name="Normal 2 3 2 13 2 2 2 3 2" xfId="18640"/>
    <cellStyle name="Normal 2 3 2 13 2 2 2 4" xfId="18641"/>
    <cellStyle name="Normal 2 3 2 13 2 2 2 4 2" xfId="18642"/>
    <cellStyle name="Normal 2 3 2 13 2 2 2 5" xfId="18643"/>
    <cellStyle name="Normal 2 3 2 13 2 2 2 5 2" xfId="18644"/>
    <cellStyle name="Normal 2 3 2 13 2 2 2 6" xfId="18645"/>
    <cellStyle name="Normal 2 3 2 13 2 2 2 6 2" xfId="18646"/>
    <cellStyle name="Normal 2 3 2 13 2 2 2 7" xfId="18647"/>
    <cellStyle name="Normal 2 3 2 13 2 2 2 7 2" xfId="18648"/>
    <cellStyle name="Normal 2 3 2 13 2 2 2 8" xfId="18649"/>
    <cellStyle name="Normal 2 3 2 13 2 2 2 8 2" xfId="18650"/>
    <cellStyle name="Normal 2 3 2 13 2 2 2 9" xfId="18651"/>
    <cellStyle name="Normal 2 3 2 13 2 2 2 9 2" xfId="18652"/>
    <cellStyle name="Normal 2 3 2 13 2 2 3" xfId="18653"/>
    <cellStyle name="Normal 2 3 2 13 2 2 3 2" xfId="18654"/>
    <cellStyle name="Normal 2 3 2 13 2 2 4" xfId="18655"/>
    <cellStyle name="Normal 2 3 2 13 2 2 4 2" xfId="18656"/>
    <cellStyle name="Normal 2 3 2 13 2 2 5" xfId="18657"/>
    <cellStyle name="Normal 2 3 2 13 2 2 5 2" xfId="18658"/>
    <cellStyle name="Normal 2 3 2 13 2 2 6" xfId="18659"/>
    <cellStyle name="Normal 2 3 2 13 2 2 6 2" xfId="18660"/>
    <cellStyle name="Normal 2 3 2 13 2 2 7" xfId="18661"/>
    <cellStyle name="Normal 2 3 2 13 2 2 7 2" xfId="18662"/>
    <cellStyle name="Normal 2 3 2 13 2 2 8" xfId="18663"/>
    <cellStyle name="Normal 2 3 2 13 2 2 8 2" xfId="18664"/>
    <cellStyle name="Normal 2 3 2 13 2 2 9" xfId="18665"/>
    <cellStyle name="Normal 2 3 2 13 2 2 9 2" xfId="18666"/>
    <cellStyle name="Normal 2 3 2 13 2 3" xfId="18667"/>
    <cellStyle name="Normal 2 3 2 13 2 3 10" xfId="18668"/>
    <cellStyle name="Normal 2 3 2 13 2 3 10 2" xfId="18669"/>
    <cellStyle name="Normal 2 3 2 13 2 3 11" xfId="18670"/>
    <cellStyle name="Normal 2 3 2 13 2 3 2" xfId="18671"/>
    <cellStyle name="Normal 2 3 2 13 2 3 2 2" xfId="18672"/>
    <cellStyle name="Normal 2 3 2 13 2 3 3" xfId="18673"/>
    <cellStyle name="Normal 2 3 2 13 2 3 3 2" xfId="18674"/>
    <cellStyle name="Normal 2 3 2 13 2 3 4" xfId="18675"/>
    <cellStyle name="Normal 2 3 2 13 2 3 4 2" xfId="18676"/>
    <cellStyle name="Normal 2 3 2 13 2 3 5" xfId="18677"/>
    <cellStyle name="Normal 2 3 2 13 2 3 5 2" xfId="18678"/>
    <cellStyle name="Normal 2 3 2 13 2 3 6" xfId="18679"/>
    <cellStyle name="Normal 2 3 2 13 2 3 6 2" xfId="18680"/>
    <cellStyle name="Normal 2 3 2 13 2 3 7" xfId="18681"/>
    <cellStyle name="Normal 2 3 2 13 2 3 7 2" xfId="18682"/>
    <cellStyle name="Normal 2 3 2 13 2 3 8" xfId="18683"/>
    <cellStyle name="Normal 2 3 2 13 2 3 8 2" xfId="18684"/>
    <cellStyle name="Normal 2 3 2 13 2 3 9" xfId="18685"/>
    <cellStyle name="Normal 2 3 2 13 2 3 9 2" xfId="18686"/>
    <cellStyle name="Normal 2 3 2 13 2 4" xfId="18687"/>
    <cellStyle name="Normal 2 3 2 13 2 4 2" xfId="18688"/>
    <cellStyle name="Normal 2 3 2 13 2 5" xfId="18689"/>
    <cellStyle name="Normal 2 3 2 13 2 5 2" xfId="18690"/>
    <cellStyle name="Normal 2 3 2 13 2 6" xfId="18691"/>
    <cellStyle name="Normal 2 3 2 13 2 6 2" xfId="18692"/>
    <cellStyle name="Normal 2 3 2 13 2 7" xfId="18693"/>
    <cellStyle name="Normal 2 3 2 13 2 7 2" xfId="18694"/>
    <cellStyle name="Normal 2 3 2 13 2 8" xfId="18695"/>
    <cellStyle name="Normal 2 3 2 13 2 8 2" xfId="18696"/>
    <cellStyle name="Normal 2 3 2 13 2 9" xfId="18697"/>
    <cellStyle name="Normal 2 3 2 13 2 9 2" xfId="18698"/>
    <cellStyle name="Normal 2 3 2 13 3" xfId="494"/>
    <cellStyle name="Normal 2 3 2 13 3 10" xfId="18699"/>
    <cellStyle name="Normal 2 3 2 13 3 10 2" xfId="18700"/>
    <cellStyle name="Normal 2 3 2 13 3 11" xfId="18701"/>
    <cellStyle name="Normal 2 3 2 13 3 11 2" xfId="18702"/>
    <cellStyle name="Normal 2 3 2 13 3 12" xfId="18703"/>
    <cellStyle name="Normal 2 3 2 13 3 12 2" xfId="18704"/>
    <cellStyle name="Normal 2 3 2 13 3 13" xfId="18705"/>
    <cellStyle name="Normal 2 3 2 13 3 2" xfId="18706"/>
    <cellStyle name="Normal 2 3 2 13 3 2 10" xfId="18707"/>
    <cellStyle name="Normal 2 3 2 13 3 2 10 2" xfId="18708"/>
    <cellStyle name="Normal 2 3 2 13 3 2 11" xfId="18709"/>
    <cellStyle name="Normal 2 3 2 13 3 2 11 2" xfId="18710"/>
    <cellStyle name="Normal 2 3 2 13 3 2 12" xfId="18711"/>
    <cellStyle name="Normal 2 3 2 13 3 2 2" xfId="18712"/>
    <cellStyle name="Normal 2 3 2 13 3 2 2 10" xfId="18713"/>
    <cellStyle name="Normal 2 3 2 13 3 2 2 10 2" xfId="18714"/>
    <cellStyle name="Normal 2 3 2 13 3 2 2 11" xfId="18715"/>
    <cellStyle name="Normal 2 3 2 13 3 2 2 2" xfId="18716"/>
    <cellStyle name="Normal 2 3 2 13 3 2 2 2 2" xfId="18717"/>
    <cellStyle name="Normal 2 3 2 13 3 2 2 3" xfId="18718"/>
    <cellStyle name="Normal 2 3 2 13 3 2 2 3 2" xfId="18719"/>
    <cellStyle name="Normal 2 3 2 13 3 2 2 4" xfId="18720"/>
    <cellStyle name="Normal 2 3 2 13 3 2 2 4 2" xfId="18721"/>
    <cellStyle name="Normal 2 3 2 13 3 2 2 5" xfId="18722"/>
    <cellStyle name="Normal 2 3 2 13 3 2 2 5 2" xfId="18723"/>
    <cellStyle name="Normal 2 3 2 13 3 2 2 6" xfId="18724"/>
    <cellStyle name="Normal 2 3 2 13 3 2 2 6 2" xfId="18725"/>
    <cellStyle name="Normal 2 3 2 13 3 2 2 7" xfId="18726"/>
    <cellStyle name="Normal 2 3 2 13 3 2 2 7 2" xfId="18727"/>
    <cellStyle name="Normal 2 3 2 13 3 2 2 8" xfId="18728"/>
    <cellStyle name="Normal 2 3 2 13 3 2 2 8 2" xfId="18729"/>
    <cellStyle name="Normal 2 3 2 13 3 2 2 9" xfId="18730"/>
    <cellStyle name="Normal 2 3 2 13 3 2 2 9 2" xfId="18731"/>
    <cellStyle name="Normal 2 3 2 13 3 2 3" xfId="18732"/>
    <cellStyle name="Normal 2 3 2 13 3 2 3 2" xfId="18733"/>
    <cellStyle name="Normal 2 3 2 13 3 2 4" xfId="18734"/>
    <cellStyle name="Normal 2 3 2 13 3 2 4 2" xfId="18735"/>
    <cellStyle name="Normal 2 3 2 13 3 2 5" xfId="18736"/>
    <cellStyle name="Normal 2 3 2 13 3 2 5 2" xfId="18737"/>
    <cellStyle name="Normal 2 3 2 13 3 2 6" xfId="18738"/>
    <cellStyle name="Normal 2 3 2 13 3 2 6 2" xfId="18739"/>
    <cellStyle name="Normal 2 3 2 13 3 2 7" xfId="18740"/>
    <cellStyle name="Normal 2 3 2 13 3 2 7 2" xfId="18741"/>
    <cellStyle name="Normal 2 3 2 13 3 2 8" xfId="18742"/>
    <cellStyle name="Normal 2 3 2 13 3 2 8 2" xfId="18743"/>
    <cellStyle name="Normal 2 3 2 13 3 2 9" xfId="18744"/>
    <cellStyle name="Normal 2 3 2 13 3 2 9 2" xfId="18745"/>
    <cellStyle name="Normal 2 3 2 13 3 3" xfId="18746"/>
    <cellStyle name="Normal 2 3 2 13 3 3 10" xfId="18747"/>
    <cellStyle name="Normal 2 3 2 13 3 3 10 2" xfId="18748"/>
    <cellStyle name="Normal 2 3 2 13 3 3 11" xfId="18749"/>
    <cellStyle name="Normal 2 3 2 13 3 3 2" xfId="18750"/>
    <cellStyle name="Normal 2 3 2 13 3 3 2 2" xfId="18751"/>
    <cellStyle name="Normal 2 3 2 13 3 3 3" xfId="18752"/>
    <cellStyle name="Normal 2 3 2 13 3 3 3 2" xfId="18753"/>
    <cellStyle name="Normal 2 3 2 13 3 3 4" xfId="18754"/>
    <cellStyle name="Normal 2 3 2 13 3 3 4 2" xfId="18755"/>
    <cellStyle name="Normal 2 3 2 13 3 3 5" xfId="18756"/>
    <cellStyle name="Normal 2 3 2 13 3 3 5 2" xfId="18757"/>
    <cellStyle name="Normal 2 3 2 13 3 3 6" xfId="18758"/>
    <cellStyle name="Normal 2 3 2 13 3 3 6 2" xfId="18759"/>
    <cellStyle name="Normal 2 3 2 13 3 3 7" xfId="18760"/>
    <cellStyle name="Normal 2 3 2 13 3 3 7 2" xfId="18761"/>
    <cellStyle name="Normal 2 3 2 13 3 3 8" xfId="18762"/>
    <cellStyle name="Normal 2 3 2 13 3 3 8 2" xfId="18763"/>
    <cellStyle name="Normal 2 3 2 13 3 3 9" xfId="18764"/>
    <cellStyle name="Normal 2 3 2 13 3 3 9 2" xfId="18765"/>
    <cellStyle name="Normal 2 3 2 13 3 4" xfId="18766"/>
    <cellStyle name="Normal 2 3 2 13 3 4 2" xfId="18767"/>
    <cellStyle name="Normal 2 3 2 13 3 5" xfId="18768"/>
    <cellStyle name="Normal 2 3 2 13 3 5 2" xfId="18769"/>
    <cellStyle name="Normal 2 3 2 13 3 6" xfId="18770"/>
    <cellStyle name="Normal 2 3 2 13 3 6 2" xfId="18771"/>
    <cellStyle name="Normal 2 3 2 13 3 7" xfId="18772"/>
    <cellStyle name="Normal 2 3 2 13 3 7 2" xfId="18773"/>
    <cellStyle name="Normal 2 3 2 13 3 8" xfId="18774"/>
    <cellStyle name="Normal 2 3 2 13 3 8 2" xfId="18775"/>
    <cellStyle name="Normal 2 3 2 13 3 9" xfId="18776"/>
    <cellStyle name="Normal 2 3 2 13 3 9 2" xfId="18777"/>
    <cellStyle name="Normal 2 3 2 13 4" xfId="495"/>
    <cellStyle name="Normal 2 3 2 13 4 10" xfId="18778"/>
    <cellStyle name="Normal 2 3 2 13 4 10 2" xfId="18779"/>
    <cellStyle name="Normal 2 3 2 13 4 11" xfId="18780"/>
    <cellStyle name="Normal 2 3 2 13 4 11 2" xfId="18781"/>
    <cellStyle name="Normal 2 3 2 13 4 12" xfId="18782"/>
    <cellStyle name="Normal 2 3 2 13 4 12 2" xfId="18783"/>
    <cellStyle name="Normal 2 3 2 13 4 13" xfId="18784"/>
    <cellStyle name="Normal 2 3 2 13 4 2" xfId="18785"/>
    <cellStyle name="Normal 2 3 2 13 4 2 10" xfId="18786"/>
    <cellStyle name="Normal 2 3 2 13 4 2 10 2" xfId="18787"/>
    <cellStyle name="Normal 2 3 2 13 4 2 11" xfId="18788"/>
    <cellStyle name="Normal 2 3 2 13 4 2 11 2" xfId="18789"/>
    <cellStyle name="Normal 2 3 2 13 4 2 12" xfId="18790"/>
    <cellStyle name="Normal 2 3 2 13 4 2 2" xfId="18791"/>
    <cellStyle name="Normal 2 3 2 13 4 2 2 10" xfId="18792"/>
    <cellStyle name="Normal 2 3 2 13 4 2 2 10 2" xfId="18793"/>
    <cellStyle name="Normal 2 3 2 13 4 2 2 11" xfId="18794"/>
    <cellStyle name="Normal 2 3 2 13 4 2 2 2" xfId="18795"/>
    <cellStyle name="Normal 2 3 2 13 4 2 2 2 2" xfId="18796"/>
    <cellStyle name="Normal 2 3 2 13 4 2 2 3" xfId="18797"/>
    <cellStyle name="Normal 2 3 2 13 4 2 2 3 2" xfId="18798"/>
    <cellStyle name="Normal 2 3 2 13 4 2 2 4" xfId="18799"/>
    <cellStyle name="Normal 2 3 2 13 4 2 2 4 2" xfId="18800"/>
    <cellStyle name="Normal 2 3 2 13 4 2 2 5" xfId="18801"/>
    <cellStyle name="Normal 2 3 2 13 4 2 2 5 2" xfId="18802"/>
    <cellStyle name="Normal 2 3 2 13 4 2 2 6" xfId="18803"/>
    <cellStyle name="Normal 2 3 2 13 4 2 2 6 2" xfId="18804"/>
    <cellStyle name="Normal 2 3 2 13 4 2 2 7" xfId="18805"/>
    <cellStyle name="Normal 2 3 2 13 4 2 2 7 2" xfId="18806"/>
    <cellStyle name="Normal 2 3 2 13 4 2 2 8" xfId="18807"/>
    <cellStyle name="Normal 2 3 2 13 4 2 2 8 2" xfId="18808"/>
    <cellStyle name="Normal 2 3 2 13 4 2 2 9" xfId="18809"/>
    <cellStyle name="Normal 2 3 2 13 4 2 2 9 2" xfId="18810"/>
    <cellStyle name="Normal 2 3 2 13 4 2 3" xfId="18811"/>
    <cellStyle name="Normal 2 3 2 13 4 2 3 2" xfId="18812"/>
    <cellStyle name="Normal 2 3 2 13 4 2 4" xfId="18813"/>
    <cellStyle name="Normal 2 3 2 13 4 2 4 2" xfId="18814"/>
    <cellStyle name="Normal 2 3 2 13 4 2 5" xfId="18815"/>
    <cellStyle name="Normal 2 3 2 13 4 2 5 2" xfId="18816"/>
    <cellStyle name="Normal 2 3 2 13 4 2 6" xfId="18817"/>
    <cellStyle name="Normal 2 3 2 13 4 2 6 2" xfId="18818"/>
    <cellStyle name="Normal 2 3 2 13 4 2 7" xfId="18819"/>
    <cellStyle name="Normal 2 3 2 13 4 2 7 2" xfId="18820"/>
    <cellStyle name="Normal 2 3 2 13 4 2 8" xfId="18821"/>
    <cellStyle name="Normal 2 3 2 13 4 2 8 2" xfId="18822"/>
    <cellStyle name="Normal 2 3 2 13 4 2 9" xfId="18823"/>
    <cellStyle name="Normal 2 3 2 13 4 2 9 2" xfId="18824"/>
    <cellStyle name="Normal 2 3 2 13 4 3" xfId="18825"/>
    <cellStyle name="Normal 2 3 2 13 4 3 10" xfId="18826"/>
    <cellStyle name="Normal 2 3 2 13 4 3 10 2" xfId="18827"/>
    <cellStyle name="Normal 2 3 2 13 4 3 11" xfId="18828"/>
    <cellStyle name="Normal 2 3 2 13 4 3 2" xfId="18829"/>
    <cellStyle name="Normal 2 3 2 13 4 3 2 2" xfId="18830"/>
    <cellStyle name="Normal 2 3 2 13 4 3 3" xfId="18831"/>
    <cellStyle name="Normal 2 3 2 13 4 3 3 2" xfId="18832"/>
    <cellStyle name="Normal 2 3 2 13 4 3 4" xfId="18833"/>
    <cellStyle name="Normal 2 3 2 13 4 3 4 2" xfId="18834"/>
    <cellStyle name="Normal 2 3 2 13 4 3 5" xfId="18835"/>
    <cellStyle name="Normal 2 3 2 13 4 3 5 2" xfId="18836"/>
    <cellStyle name="Normal 2 3 2 13 4 3 6" xfId="18837"/>
    <cellStyle name="Normal 2 3 2 13 4 3 6 2" xfId="18838"/>
    <cellStyle name="Normal 2 3 2 13 4 3 7" xfId="18839"/>
    <cellStyle name="Normal 2 3 2 13 4 3 7 2" xfId="18840"/>
    <cellStyle name="Normal 2 3 2 13 4 3 8" xfId="18841"/>
    <cellStyle name="Normal 2 3 2 13 4 3 8 2" xfId="18842"/>
    <cellStyle name="Normal 2 3 2 13 4 3 9" xfId="18843"/>
    <cellStyle name="Normal 2 3 2 13 4 3 9 2" xfId="18844"/>
    <cellStyle name="Normal 2 3 2 13 4 4" xfId="18845"/>
    <cellStyle name="Normal 2 3 2 13 4 4 2" xfId="18846"/>
    <cellStyle name="Normal 2 3 2 13 4 5" xfId="18847"/>
    <cellStyle name="Normal 2 3 2 13 4 5 2" xfId="18848"/>
    <cellStyle name="Normal 2 3 2 13 4 6" xfId="18849"/>
    <cellStyle name="Normal 2 3 2 13 4 6 2" xfId="18850"/>
    <cellStyle name="Normal 2 3 2 13 4 7" xfId="18851"/>
    <cellStyle name="Normal 2 3 2 13 4 7 2" xfId="18852"/>
    <cellStyle name="Normal 2 3 2 13 4 8" xfId="18853"/>
    <cellStyle name="Normal 2 3 2 13 4 8 2" xfId="18854"/>
    <cellStyle name="Normal 2 3 2 13 4 9" xfId="18855"/>
    <cellStyle name="Normal 2 3 2 13 4 9 2" xfId="18856"/>
    <cellStyle name="Normal 2 3 2 13 5" xfId="496"/>
    <cellStyle name="Normal 2 3 2 13 5 10" xfId="18857"/>
    <cellStyle name="Normal 2 3 2 13 5 10 2" xfId="18858"/>
    <cellStyle name="Normal 2 3 2 13 5 11" xfId="18859"/>
    <cellStyle name="Normal 2 3 2 13 5 11 2" xfId="18860"/>
    <cellStyle name="Normal 2 3 2 13 5 12" xfId="18861"/>
    <cellStyle name="Normal 2 3 2 13 5 12 2" xfId="18862"/>
    <cellStyle name="Normal 2 3 2 13 5 13" xfId="18863"/>
    <cellStyle name="Normal 2 3 2 13 5 2" xfId="18864"/>
    <cellStyle name="Normal 2 3 2 13 5 2 10" xfId="18865"/>
    <cellStyle name="Normal 2 3 2 13 5 2 10 2" xfId="18866"/>
    <cellStyle name="Normal 2 3 2 13 5 2 11" xfId="18867"/>
    <cellStyle name="Normal 2 3 2 13 5 2 11 2" xfId="18868"/>
    <cellStyle name="Normal 2 3 2 13 5 2 12" xfId="18869"/>
    <cellStyle name="Normal 2 3 2 13 5 2 2" xfId="18870"/>
    <cellStyle name="Normal 2 3 2 13 5 2 2 10" xfId="18871"/>
    <cellStyle name="Normal 2 3 2 13 5 2 2 10 2" xfId="18872"/>
    <cellStyle name="Normal 2 3 2 13 5 2 2 11" xfId="18873"/>
    <cellStyle name="Normal 2 3 2 13 5 2 2 2" xfId="18874"/>
    <cellStyle name="Normal 2 3 2 13 5 2 2 2 2" xfId="18875"/>
    <cellStyle name="Normal 2 3 2 13 5 2 2 3" xfId="18876"/>
    <cellStyle name="Normal 2 3 2 13 5 2 2 3 2" xfId="18877"/>
    <cellStyle name="Normal 2 3 2 13 5 2 2 4" xfId="18878"/>
    <cellStyle name="Normal 2 3 2 13 5 2 2 4 2" xfId="18879"/>
    <cellStyle name="Normal 2 3 2 13 5 2 2 5" xfId="18880"/>
    <cellStyle name="Normal 2 3 2 13 5 2 2 5 2" xfId="18881"/>
    <cellStyle name="Normal 2 3 2 13 5 2 2 6" xfId="18882"/>
    <cellStyle name="Normal 2 3 2 13 5 2 2 6 2" xfId="18883"/>
    <cellStyle name="Normal 2 3 2 13 5 2 2 7" xfId="18884"/>
    <cellStyle name="Normal 2 3 2 13 5 2 2 7 2" xfId="18885"/>
    <cellStyle name="Normal 2 3 2 13 5 2 2 8" xfId="18886"/>
    <cellStyle name="Normal 2 3 2 13 5 2 2 8 2" xfId="18887"/>
    <cellStyle name="Normal 2 3 2 13 5 2 2 9" xfId="18888"/>
    <cellStyle name="Normal 2 3 2 13 5 2 2 9 2" xfId="18889"/>
    <cellStyle name="Normal 2 3 2 13 5 2 3" xfId="18890"/>
    <cellStyle name="Normal 2 3 2 13 5 2 3 2" xfId="18891"/>
    <cellStyle name="Normal 2 3 2 13 5 2 4" xfId="18892"/>
    <cellStyle name="Normal 2 3 2 13 5 2 4 2" xfId="18893"/>
    <cellStyle name="Normal 2 3 2 13 5 2 5" xfId="18894"/>
    <cellStyle name="Normal 2 3 2 13 5 2 5 2" xfId="18895"/>
    <cellStyle name="Normal 2 3 2 13 5 2 6" xfId="18896"/>
    <cellStyle name="Normal 2 3 2 13 5 2 6 2" xfId="18897"/>
    <cellStyle name="Normal 2 3 2 13 5 2 7" xfId="18898"/>
    <cellStyle name="Normal 2 3 2 13 5 2 7 2" xfId="18899"/>
    <cellStyle name="Normal 2 3 2 13 5 2 8" xfId="18900"/>
    <cellStyle name="Normal 2 3 2 13 5 2 8 2" xfId="18901"/>
    <cellStyle name="Normal 2 3 2 13 5 2 9" xfId="18902"/>
    <cellStyle name="Normal 2 3 2 13 5 2 9 2" xfId="18903"/>
    <cellStyle name="Normal 2 3 2 13 5 3" xfId="18904"/>
    <cellStyle name="Normal 2 3 2 13 5 3 10" xfId="18905"/>
    <cellStyle name="Normal 2 3 2 13 5 3 10 2" xfId="18906"/>
    <cellStyle name="Normal 2 3 2 13 5 3 11" xfId="18907"/>
    <cellStyle name="Normal 2 3 2 13 5 3 2" xfId="18908"/>
    <cellStyle name="Normal 2 3 2 13 5 3 2 2" xfId="18909"/>
    <cellStyle name="Normal 2 3 2 13 5 3 3" xfId="18910"/>
    <cellStyle name="Normal 2 3 2 13 5 3 3 2" xfId="18911"/>
    <cellStyle name="Normal 2 3 2 13 5 3 4" xfId="18912"/>
    <cellStyle name="Normal 2 3 2 13 5 3 4 2" xfId="18913"/>
    <cellStyle name="Normal 2 3 2 13 5 3 5" xfId="18914"/>
    <cellStyle name="Normal 2 3 2 13 5 3 5 2" xfId="18915"/>
    <cellStyle name="Normal 2 3 2 13 5 3 6" xfId="18916"/>
    <cellStyle name="Normal 2 3 2 13 5 3 6 2" xfId="18917"/>
    <cellStyle name="Normal 2 3 2 13 5 3 7" xfId="18918"/>
    <cellStyle name="Normal 2 3 2 13 5 3 7 2" xfId="18919"/>
    <cellStyle name="Normal 2 3 2 13 5 3 8" xfId="18920"/>
    <cellStyle name="Normal 2 3 2 13 5 3 8 2" xfId="18921"/>
    <cellStyle name="Normal 2 3 2 13 5 3 9" xfId="18922"/>
    <cellStyle name="Normal 2 3 2 13 5 3 9 2" xfId="18923"/>
    <cellStyle name="Normal 2 3 2 13 5 4" xfId="18924"/>
    <cellStyle name="Normal 2 3 2 13 5 4 2" xfId="18925"/>
    <cellStyle name="Normal 2 3 2 13 5 5" xfId="18926"/>
    <cellStyle name="Normal 2 3 2 13 5 5 2" xfId="18927"/>
    <cellStyle name="Normal 2 3 2 13 5 6" xfId="18928"/>
    <cellStyle name="Normal 2 3 2 13 5 6 2" xfId="18929"/>
    <cellStyle name="Normal 2 3 2 13 5 7" xfId="18930"/>
    <cellStyle name="Normal 2 3 2 13 5 7 2" xfId="18931"/>
    <cellStyle name="Normal 2 3 2 13 5 8" xfId="18932"/>
    <cellStyle name="Normal 2 3 2 13 5 8 2" xfId="18933"/>
    <cellStyle name="Normal 2 3 2 13 5 9" xfId="18934"/>
    <cellStyle name="Normal 2 3 2 13 5 9 2" xfId="18935"/>
    <cellStyle name="Normal 2 3 2 13 6" xfId="497"/>
    <cellStyle name="Normal 2 3 2 14" xfId="498"/>
    <cellStyle name="Normal 2 3 2 14 2" xfId="499"/>
    <cellStyle name="Normal 2 3 2 15" xfId="500"/>
    <cellStyle name="Normal 2 3 2 15 2" xfId="501"/>
    <cellStyle name="Normal 2 3 2 16" xfId="502"/>
    <cellStyle name="Normal 2 3 2 16 2" xfId="503"/>
    <cellStyle name="Normal 2 3 2 17" xfId="18936"/>
    <cellStyle name="Normal 2 3 2 17 10" xfId="18937"/>
    <cellStyle name="Normal 2 3 2 17 10 2" xfId="18938"/>
    <cellStyle name="Normal 2 3 2 17 11" xfId="18939"/>
    <cellStyle name="Normal 2 3 2 17 11 2" xfId="18940"/>
    <cellStyle name="Normal 2 3 2 17 12" xfId="18941"/>
    <cellStyle name="Normal 2 3 2 17 12 2" xfId="18942"/>
    <cellStyle name="Normal 2 3 2 17 13" xfId="18943"/>
    <cellStyle name="Normal 2 3 2 17 2" xfId="18944"/>
    <cellStyle name="Normal 2 3 2 17 2 10" xfId="18945"/>
    <cellStyle name="Normal 2 3 2 17 2 10 2" xfId="18946"/>
    <cellStyle name="Normal 2 3 2 17 2 11" xfId="18947"/>
    <cellStyle name="Normal 2 3 2 17 2 11 2" xfId="18948"/>
    <cellStyle name="Normal 2 3 2 17 2 12" xfId="18949"/>
    <cellStyle name="Normal 2 3 2 17 2 2" xfId="18950"/>
    <cellStyle name="Normal 2 3 2 17 2 2 10" xfId="18951"/>
    <cellStyle name="Normal 2 3 2 17 2 2 10 2" xfId="18952"/>
    <cellStyle name="Normal 2 3 2 17 2 2 11" xfId="18953"/>
    <cellStyle name="Normal 2 3 2 17 2 2 2" xfId="18954"/>
    <cellStyle name="Normal 2 3 2 17 2 2 2 2" xfId="18955"/>
    <cellStyle name="Normal 2 3 2 17 2 2 3" xfId="18956"/>
    <cellStyle name="Normal 2 3 2 17 2 2 3 2" xfId="18957"/>
    <cellStyle name="Normal 2 3 2 17 2 2 4" xfId="18958"/>
    <cellStyle name="Normal 2 3 2 17 2 2 4 2" xfId="18959"/>
    <cellStyle name="Normal 2 3 2 17 2 2 5" xfId="18960"/>
    <cellStyle name="Normal 2 3 2 17 2 2 5 2" xfId="18961"/>
    <cellStyle name="Normal 2 3 2 17 2 2 6" xfId="18962"/>
    <cellStyle name="Normal 2 3 2 17 2 2 6 2" xfId="18963"/>
    <cellStyle name="Normal 2 3 2 17 2 2 7" xfId="18964"/>
    <cellStyle name="Normal 2 3 2 17 2 2 7 2" xfId="18965"/>
    <cellStyle name="Normal 2 3 2 17 2 2 8" xfId="18966"/>
    <cellStyle name="Normal 2 3 2 17 2 2 8 2" xfId="18967"/>
    <cellStyle name="Normal 2 3 2 17 2 2 9" xfId="18968"/>
    <cellStyle name="Normal 2 3 2 17 2 2 9 2" xfId="18969"/>
    <cellStyle name="Normal 2 3 2 17 2 3" xfId="18970"/>
    <cellStyle name="Normal 2 3 2 17 2 3 2" xfId="18971"/>
    <cellStyle name="Normal 2 3 2 17 2 4" xfId="18972"/>
    <cellStyle name="Normal 2 3 2 17 2 4 2" xfId="18973"/>
    <cellStyle name="Normal 2 3 2 17 2 5" xfId="18974"/>
    <cellStyle name="Normal 2 3 2 17 2 5 2" xfId="18975"/>
    <cellStyle name="Normal 2 3 2 17 2 6" xfId="18976"/>
    <cellStyle name="Normal 2 3 2 17 2 6 2" xfId="18977"/>
    <cellStyle name="Normal 2 3 2 17 2 7" xfId="18978"/>
    <cellStyle name="Normal 2 3 2 17 2 7 2" xfId="18979"/>
    <cellStyle name="Normal 2 3 2 17 2 8" xfId="18980"/>
    <cellStyle name="Normal 2 3 2 17 2 8 2" xfId="18981"/>
    <cellStyle name="Normal 2 3 2 17 2 9" xfId="18982"/>
    <cellStyle name="Normal 2 3 2 17 2 9 2" xfId="18983"/>
    <cellStyle name="Normal 2 3 2 17 3" xfId="18984"/>
    <cellStyle name="Normal 2 3 2 17 3 10" xfId="18985"/>
    <cellStyle name="Normal 2 3 2 17 3 10 2" xfId="18986"/>
    <cellStyle name="Normal 2 3 2 17 3 11" xfId="18987"/>
    <cellStyle name="Normal 2 3 2 17 3 2" xfId="18988"/>
    <cellStyle name="Normal 2 3 2 17 3 2 2" xfId="18989"/>
    <cellStyle name="Normal 2 3 2 17 3 3" xfId="18990"/>
    <cellStyle name="Normal 2 3 2 17 3 3 2" xfId="18991"/>
    <cellStyle name="Normal 2 3 2 17 3 4" xfId="18992"/>
    <cellStyle name="Normal 2 3 2 17 3 4 2" xfId="18993"/>
    <cellStyle name="Normal 2 3 2 17 3 5" xfId="18994"/>
    <cellStyle name="Normal 2 3 2 17 3 5 2" xfId="18995"/>
    <cellStyle name="Normal 2 3 2 17 3 6" xfId="18996"/>
    <cellStyle name="Normal 2 3 2 17 3 6 2" xfId="18997"/>
    <cellStyle name="Normal 2 3 2 17 3 7" xfId="18998"/>
    <cellStyle name="Normal 2 3 2 17 3 7 2" xfId="18999"/>
    <cellStyle name="Normal 2 3 2 17 3 8" xfId="19000"/>
    <cellStyle name="Normal 2 3 2 17 3 8 2" xfId="19001"/>
    <cellStyle name="Normal 2 3 2 17 3 9" xfId="19002"/>
    <cellStyle name="Normal 2 3 2 17 3 9 2" xfId="19003"/>
    <cellStyle name="Normal 2 3 2 17 4" xfId="19004"/>
    <cellStyle name="Normal 2 3 2 17 4 2" xfId="19005"/>
    <cellStyle name="Normal 2 3 2 17 5" xfId="19006"/>
    <cellStyle name="Normal 2 3 2 17 5 2" xfId="19007"/>
    <cellStyle name="Normal 2 3 2 17 6" xfId="19008"/>
    <cellStyle name="Normal 2 3 2 17 6 2" xfId="19009"/>
    <cellStyle name="Normal 2 3 2 17 7" xfId="19010"/>
    <cellStyle name="Normal 2 3 2 17 7 2" xfId="19011"/>
    <cellStyle name="Normal 2 3 2 17 8" xfId="19012"/>
    <cellStyle name="Normal 2 3 2 17 8 2" xfId="19013"/>
    <cellStyle name="Normal 2 3 2 17 9" xfId="19014"/>
    <cellStyle name="Normal 2 3 2 17 9 2" xfId="19015"/>
    <cellStyle name="Normal 2 3 2 18" xfId="19016"/>
    <cellStyle name="Normal 2 3 2 19" xfId="19017"/>
    <cellStyle name="Normal 2 3 2 2" xfId="504"/>
    <cellStyle name="Normal 2 3 2 2 10" xfId="505"/>
    <cellStyle name="Normal 2 3 2 2 2" xfId="506"/>
    <cellStyle name="Normal 2 3 2 2 2 10" xfId="19018"/>
    <cellStyle name="Normal 2 3 2 2 2 10 10" xfId="19019"/>
    <cellStyle name="Normal 2 3 2 2 2 10 10 2" xfId="19020"/>
    <cellStyle name="Normal 2 3 2 2 2 10 11" xfId="19021"/>
    <cellStyle name="Normal 2 3 2 2 2 10 11 2" xfId="19022"/>
    <cellStyle name="Normal 2 3 2 2 2 10 12" xfId="19023"/>
    <cellStyle name="Normal 2 3 2 2 2 10 2" xfId="19024"/>
    <cellStyle name="Normal 2 3 2 2 2 10 2 10" xfId="19025"/>
    <cellStyle name="Normal 2 3 2 2 2 10 2 10 2" xfId="19026"/>
    <cellStyle name="Normal 2 3 2 2 2 10 2 11" xfId="19027"/>
    <cellStyle name="Normal 2 3 2 2 2 10 2 2" xfId="19028"/>
    <cellStyle name="Normal 2 3 2 2 2 10 2 2 2" xfId="19029"/>
    <cellStyle name="Normal 2 3 2 2 2 10 2 3" xfId="19030"/>
    <cellStyle name="Normal 2 3 2 2 2 10 2 3 2" xfId="19031"/>
    <cellStyle name="Normal 2 3 2 2 2 10 2 4" xfId="19032"/>
    <cellStyle name="Normal 2 3 2 2 2 10 2 4 2" xfId="19033"/>
    <cellStyle name="Normal 2 3 2 2 2 10 2 5" xfId="19034"/>
    <cellStyle name="Normal 2 3 2 2 2 10 2 5 2" xfId="19035"/>
    <cellStyle name="Normal 2 3 2 2 2 10 2 6" xfId="19036"/>
    <cellStyle name="Normal 2 3 2 2 2 10 2 6 2" xfId="19037"/>
    <cellStyle name="Normal 2 3 2 2 2 10 2 7" xfId="19038"/>
    <cellStyle name="Normal 2 3 2 2 2 10 2 7 2" xfId="19039"/>
    <cellStyle name="Normal 2 3 2 2 2 10 2 8" xfId="19040"/>
    <cellStyle name="Normal 2 3 2 2 2 10 2 8 2" xfId="19041"/>
    <cellStyle name="Normal 2 3 2 2 2 10 2 9" xfId="19042"/>
    <cellStyle name="Normal 2 3 2 2 2 10 2 9 2" xfId="19043"/>
    <cellStyle name="Normal 2 3 2 2 2 10 3" xfId="19044"/>
    <cellStyle name="Normal 2 3 2 2 2 10 3 2" xfId="19045"/>
    <cellStyle name="Normal 2 3 2 2 2 10 4" xfId="19046"/>
    <cellStyle name="Normal 2 3 2 2 2 10 4 2" xfId="19047"/>
    <cellStyle name="Normal 2 3 2 2 2 10 5" xfId="19048"/>
    <cellStyle name="Normal 2 3 2 2 2 10 5 2" xfId="19049"/>
    <cellStyle name="Normal 2 3 2 2 2 10 6" xfId="19050"/>
    <cellStyle name="Normal 2 3 2 2 2 10 6 2" xfId="19051"/>
    <cellStyle name="Normal 2 3 2 2 2 10 7" xfId="19052"/>
    <cellStyle name="Normal 2 3 2 2 2 10 7 2" xfId="19053"/>
    <cellStyle name="Normal 2 3 2 2 2 10 8" xfId="19054"/>
    <cellStyle name="Normal 2 3 2 2 2 10 8 2" xfId="19055"/>
    <cellStyle name="Normal 2 3 2 2 2 10 9" xfId="19056"/>
    <cellStyle name="Normal 2 3 2 2 2 10 9 2" xfId="19057"/>
    <cellStyle name="Normal 2 3 2 2 2 11" xfId="19058"/>
    <cellStyle name="Normal 2 3 2 2 2 11 10" xfId="19059"/>
    <cellStyle name="Normal 2 3 2 2 2 11 10 2" xfId="19060"/>
    <cellStyle name="Normal 2 3 2 2 2 11 11" xfId="19061"/>
    <cellStyle name="Normal 2 3 2 2 2 11 2" xfId="19062"/>
    <cellStyle name="Normal 2 3 2 2 2 11 2 2" xfId="19063"/>
    <cellStyle name="Normal 2 3 2 2 2 11 3" xfId="19064"/>
    <cellStyle name="Normal 2 3 2 2 2 11 3 2" xfId="19065"/>
    <cellStyle name="Normal 2 3 2 2 2 11 4" xfId="19066"/>
    <cellStyle name="Normal 2 3 2 2 2 11 4 2" xfId="19067"/>
    <cellStyle name="Normal 2 3 2 2 2 11 5" xfId="19068"/>
    <cellStyle name="Normal 2 3 2 2 2 11 5 2" xfId="19069"/>
    <cellStyle name="Normal 2 3 2 2 2 11 6" xfId="19070"/>
    <cellStyle name="Normal 2 3 2 2 2 11 6 2" xfId="19071"/>
    <cellStyle name="Normal 2 3 2 2 2 11 7" xfId="19072"/>
    <cellStyle name="Normal 2 3 2 2 2 11 7 2" xfId="19073"/>
    <cellStyle name="Normal 2 3 2 2 2 11 8" xfId="19074"/>
    <cellStyle name="Normal 2 3 2 2 2 11 8 2" xfId="19075"/>
    <cellStyle name="Normal 2 3 2 2 2 11 9" xfId="19076"/>
    <cellStyle name="Normal 2 3 2 2 2 11 9 2" xfId="19077"/>
    <cellStyle name="Normal 2 3 2 2 2 12" xfId="19078"/>
    <cellStyle name="Normal 2 3 2 2 2 12 2" xfId="19079"/>
    <cellStyle name="Normal 2 3 2 2 2 13" xfId="19080"/>
    <cellStyle name="Normal 2 3 2 2 2 13 2" xfId="19081"/>
    <cellStyle name="Normal 2 3 2 2 2 14" xfId="19082"/>
    <cellStyle name="Normal 2 3 2 2 2 14 2" xfId="19083"/>
    <cellStyle name="Normal 2 3 2 2 2 15" xfId="19084"/>
    <cellStyle name="Normal 2 3 2 2 2 15 2" xfId="19085"/>
    <cellStyle name="Normal 2 3 2 2 2 16" xfId="19086"/>
    <cellStyle name="Normal 2 3 2 2 2 16 2" xfId="19087"/>
    <cellStyle name="Normal 2 3 2 2 2 17" xfId="19088"/>
    <cellStyle name="Normal 2 3 2 2 2 17 2" xfId="19089"/>
    <cellStyle name="Normal 2 3 2 2 2 18" xfId="19090"/>
    <cellStyle name="Normal 2 3 2 2 2 18 2" xfId="19091"/>
    <cellStyle name="Normal 2 3 2 2 2 19" xfId="19092"/>
    <cellStyle name="Normal 2 3 2 2 2 19 2" xfId="19093"/>
    <cellStyle name="Normal 2 3 2 2 2 2" xfId="507"/>
    <cellStyle name="Normal 2 3 2 2 2 2 2" xfId="508"/>
    <cellStyle name="Normal 2 3 2 2 2 2 2 10" xfId="19094"/>
    <cellStyle name="Normal 2 3 2 2 2 2 2 10 2" xfId="19095"/>
    <cellStyle name="Normal 2 3 2 2 2 2 2 11" xfId="19096"/>
    <cellStyle name="Normal 2 3 2 2 2 2 2 11 2" xfId="19097"/>
    <cellStyle name="Normal 2 3 2 2 2 2 2 12" xfId="19098"/>
    <cellStyle name="Normal 2 3 2 2 2 2 2 12 2" xfId="19099"/>
    <cellStyle name="Normal 2 3 2 2 2 2 2 13" xfId="19100"/>
    <cellStyle name="Normal 2 3 2 2 2 2 2 13 2" xfId="19101"/>
    <cellStyle name="Normal 2 3 2 2 2 2 2 14" xfId="19102"/>
    <cellStyle name="Normal 2 3 2 2 2 2 2 14 2" xfId="19103"/>
    <cellStyle name="Normal 2 3 2 2 2 2 2 15" xfId="19104"/>
    <cellStyle name="Normal 2 3 2 2 2 2 2 15 2" xfId="19105"/>
    <cellStyle name="Normal 2 3 2 2 2 2 2 16" xfId="19106"/>
    <cellStyle name="Normal 2 3 2 2 2 2 2 16 2" xfId="19107"/>
    <cellStyle name="Normal 2 3 2 2 2 2 2 17" xfId="19108"/>
    <cellStyle name="Normal 2 3 2 2 2 2 2 2" xfId="509"/>
    <cellStyle name="Normal 2 3 2 2 2 2 2 2 2" xfId="510"/>
    <cellStyle name="Normal 2 3 2 2 2 2 2 2 2 10" xfId="19109"/>
    <cellStyle name="Normal 2 3 2 2 2 2 2 2 2 10 2" xfId="19110"/>
    <cellStyle name="Normal 2 3 2 2 2 2 2 2 2 11" xfId="19111"/>
    <cellStyle name="Normal 2 3 2 2 2 2 2 2 2 11 2" xfId="19112"/>
    <cellStyle name="Normal 2 3 2 2 2 2 2 2 2 12" xfId="19113"/>
    <cellStyle name="Normal 2 3 2 2 2 2 2 2 2 12 2" xfId="19114"/>
    <cellStyle name="Normal 2 3 2 2 2 2 2 2 2 13" xfId="19115"/>
    <cellStyle name="Normal 2 3 2 2 2 2 2 2 2 2" xfId="19116"/>
    <cellStyle name="Normal 2 3 2 2 2 2 2 2 2 2 10" xfId="19117"/>
    <cellStyle name="Normal 2 3 2 2 2 2 2 2 2 2 10 2" xfId="19118"/>
    <cellStyle name="Normal 2 3 2 2 2 2 2 2 2 2 11" xfId="19119"/>
    <cellStyle name="Normal 2 3 2 2 2 2 2 2 2 2 11 2" xfId="19120"/>
    <cellStyle name="Normal 2 3 2 2 2 2 2 2 2 2 12" xfId="19121"/>
    <cellStyle name="Normal 2 3 2 2 2 2 2 2 2 2 2" xfId="19122"/>
    <cellStyle name="Normal 2 3 2 2 2 2 2 2 2 2 2 10" xfId="19123"/>
    <cellStyle name="Normal 2 3 2 2 2 2 2 2 2 2 2 10 2" xfId="19124"/>
    <cellStyle name="Normal 2 3 2 2 2 2 2 2 2 2 2 11" xfId="19125"/>
    <cellStyle name="Normal 2 3 2 2 2 2 2 2 2 2 2 2" xfId="19126"/>
    <cellStyle name="Normal 2 3 2 2 2 2 2 2 2 2 2 2 2" xfId="19127"/>
    <cellStyle name="Normal 2 3 2 2 2 2 2 2 2 2 2 3" xfId="19128"/>
    <cellStyle name="Normal 2 3 2 2 2 2 2 2 2 2 2 3 2" xfId="19129"/>
    <cellStyle name="Normal 2 3 2 2 2 2 2 2 2 2 2 4" xfId="19130"/>
    <cellStyle name="Normal 2 3 2 2 2 2 2 2 2 2 2 4 2" xfId="19131"/>
    <cellStyle name="Normal 2 3 2 2 2 2 2 2 2 2 2 5" xfId="19132"/>
    <cellStyle name="Normal 2 3 2 2 2 2 2 2 2 2 2 5 2" xfId="19133"/>
    <cellStyle name="Normal 2 3 2 2 2 2 2 2 2 2 2 6" xfId="19134"/>
    <cellStyle name="Normal 2 3 2 2 2 2 2 2 2 2 2 6 2" xfId="19135"/>
    <cellStyle name="Normal 2 3 2 2 2 2 2 2 2 2 2 7" xfId="19136"/>
    <cellStyle name="Normal 2 3 2 2 2 2 2 2 2 2 2 7 2" xfId="19137"/>
    <cellStyle name="Normal 2 3 2 2 2 2 2 2 2 2 2 8" xfId="19138"/>
    <cellStyle name="Normal 2 3 2 2 2 2 2 2 2 2 2 8 2" xfId="19139"/>
    <cellStyle name="Normal 2 3 2 2 2 2 2 2 2 2 2 9" xfId="19140"/>
    <cellStyle name="Normal 2 3 2 2 2 2 2 2 2 2 2 9 2" xfId="19141"/>
    <cellStyle name="Normal 2 3 2 2 2 2 2 2 2 2 3" xfId="19142"/>
    <cellStyle name="Normal 2 3 2 2 2 2 2 2 2 2 3 2" xfId="19143"/>
    <cellStyle name="Normal 2 3 2 2 2 2 2 2 2 2 4" xfId="19144"/>
    <cellStyle name="Normal 2 3 2 2 2 2 2 2 2 2 4 2" xfId="19145"/>
    <cellStyle name="Normal 2 3 2 2 2 2 2 2 2 2 5" xfId="19146"/>
    <cellStyle name="Normal 2 3 2 2 2 2 2 2 2 2 5 2" xfId="19147"/>
    <cellStyle name="Normal 2 3 2 2 2 2 2 2 2 2 6" xfId="19148"/>
    <cellStyle name="Normal 2 3 2 2 2 2 2 2 2 2 6 2" xfId="19149"/>
    <cellStyle name="Normal 2 3 2 2 2 2 2 2 2 2 7" xfId="19150"/>
    <cellStyle name="Normal 2 3 2 2 2 2 2 2 2 2 7 2" xfId="19151"/>
    <cellStyle name="Normal 2 3 2 2 2 2 2 2 2 2 8" xfId="19152"/>
    <cellStyle name="Normal 2 3 2 2 2 2 2 2 2 2 8 2" xfId="19153"/>
    <cellStyle name="Normal 2 3 2 2 2 2 2 2 2 2 9" xfId="19154"/>
    <cellStyle name="Normal 2 3 2 2 2 2 2 2 2 2 9 2" xfId="19155"/>
    <cellStyle name="Normal 2 3 2 2 2 2 2 2 2 3" xfId="19156"/>
    <cellStyle name="Normal 2 3 2 2 2 2 2 2 2 3 10" xfId="19157"/>
    <cellStyle name="Normal 2 3 2 2 2 2 2 2 2 3 10 2" xfId="19158"/>
    <cellStyle name="Normal 2 3 2 2 2 2 2 2 2 3 11" xfId="19159"/>
    <cellStyle name="Normal 2 3 2 2 2 2 2 2 2 3 2" xfId="19160"/>
    <cellStyle name="Normal 2 3 2 2 2 2 2 2 2 3 2 2" xfId="19161"/>
    <cellStyle name="Normal 2 3 2 2 2 2 2 2 2 3 3" xfId="19162"/>
    <cellStyle name="Normal 2 3 2 2 2 2 2 2 2 3 3 2" xfId="19163"/>
    <cellStyle name="Normal 2 3 2 2 2 2 2 2 2 3 4" xfId="19164"/>
    <cellStyle name="Normal 2 3 2 2 2 2 2 2 2 3 4 2" xfId="19165"/>
    <cellStyle name="Normal 2 3 2 2 2 2 2 2 2 3 5" xfId="19166"/>
    <cellStyle name="Normal 2 3 2 2 2 2 2 2 2 3 5 2" xfId="19167"/>
    <cellStyle name="Normal 2 3 2 2 2 2 2 2 2 3 6" xfId="19168"/>
    <cellStyle name="Normal 2 3 2 2 2 2 2 2 2 3 6 2" xfId="19169"/>
    <cellStyle name="Normal 2 3 2 2 2 2 2 2 2 3 7" xfId="19170"/>
    <cellStyle name="Normal 2 3 2 2 2 2 2 2 2 3 7 2" xfId="19171"/>
    <cellStyle name="Normal 2 3 2 2 2 2 2 2 2 3 8" xfId="19172"/>
    <cellStyle name="Normal 2 3 2 2 2 2 2 2 2 3 8 2" xfId="19173"/>
    <cellStyle name="Normal 2 3 2 2 2 2 2 2 2 3 9" xfId="19174"/>
    <cellStyle name="Normal 2 3 2 2 2 2 2 2 2 3 9 2" xfId="19175"/>
    <cellStyle name="Normal 2 3 2 2 2 2 2 2 2 4" xfId="19176"/>
    <cellStyle name="Normal 2 3 2 2 2 2 2 2 2 4 2" xfId="19177"/>
    <cellStyle name="Normal 2 3 2 2 2 2 2 2 2 5" xfId="19178"/>
    <cellStyle name="Normal 2 3 2 2 2 2 2 2 2 5 2" xfId="19179"/>
    <cellStyle name="Normal 2 3 2 2 2 2 2 2 2 6" xfId="19180"/>
    <cellStyle name="Normal 2 3 2 2 2 2 2 2 2 6 2" xfId="19181"/>
    <cellStyle name="Normal 2 3 2 2 2 2 2 2 2 7" xfId="19182"/>
    <cellStyle name="Normal 2 3 2 2 2 2 2 2 2 7 2" xfId="19183"/>
    <cellStyle name="Normal 2 3 2 2 2 2 2 2 2 8" xfId="19184"/>
    <cellStyle name="Normal 2 3 2 2 2 2 2 2 2 8 2" xfId="19185"/>
    <cellStyle name="Normal 2 3 2 2 2 2 2 2 2 9" xfId="19186"/>
    <cellStyle name="Normal 2 3 2 2 2 2 2 2 2 9 2" xfId="19187"/>
    <cellStyle name="Normal 2 3 2 2 2 2 2 2 3" xfId="511"/>
    <cellStyle name="Normal 2 3 2 2 2 2 2 2 3 10" xfId="19188"/>
    <cellStyle name="Normal 2 3 2 2 2 2 2 2 3 10 2" xfId="19189"/>
    <cellStyle name="Normal 2 3 2 2 2 2 2 2 3 11" xfId="19190"/>
    <cellStyle name="Normal 2 3 2 2 2 2 2 2 3 11 2" xfId="19191"/>
    <cellStyle name="Normal 2 3 2 2 2 2 2 2 3 12" xfId="19192"/>
    <cellStyle name="Normal 2 3 2 2 2 2 2 2 3 12 2" xfId="19193"/>
    <cellStyle name="Normal 2 3 2 2 2 2 2 2 3 13" xfId="19194"/>
    <cellStyle name="Normal 2 3 2 2 2 2 2 2 3 2" xfId="19195"/>
    <cellStyle name="Normal 2 3 2 2 2 2 2 2 3 2 10" xfId="19196"/>
    <cellStyle name="Normal 2 3 2 2 2 2 2 2 3 2 10 2" xfId="19197"/>
    <cellStyle name="Normal 2 3 2 2 2 2 2 2 3 2 11" xfId="19198"/>
    <cellStyle name="Normal 2 3 2 2 2 2 2 2 3 2 11 2" xfId="19199"/>
    <cellStyle name="Normal 2 3 2 2 2 2 2 2 3 2 12" xfId="19200"/>
    <cellStyle name="Normal 2 3 2 2 2 2 2 2 3 2 2" xfId="19201"/>
    <cellStyle name="Normal 2 3 2 2 2 2 2 2 3 2 2 10" xfId="19202"/>
    <cellStyle name="Normal 2 3 2 2 2 2 2 2 3 2 2 10 2" xfId="19203"/>
    <cellStyle name="Normal 2 3 2 2 2 2 2 2 3 2 2 11" xfId="19204"/>
    <cellStyle name="Normal 2 3 2 2 2 2 2 2 3 2 2 2" xfId="19205"/>
    <cellStyle name="Normal 2 3 2 2 2 2 2 2 3 2 2 2 2" xfId="19206"/>
    <cellStyle name="Normal 2 3 2 2 2 2 2 2 3 2 2 3" xfId="19207"/>
    <cellStyle name="Normal 2 3 2 2 2 2 2 2 3 2 2 3 2" xfId="19208"/>
    <cellStyle name="Normal 2 3 2 2 2 2 2 2 3 2 2 4" xfId="19209"/>
    <cellStyle name="Normal 2 3 2 2 2 2 2 2 3 2 2 4 2" xfId="19210"/>
    <cellStyle name="Normal 2 3 2 2 2 2 2 2 3 2 2 5" xfId="19211"/>
    <cellStyle name="Normal 2 3 2 2 2 2 2 2 3 2 2 5 2" xfId="19212"/>
    <cellStyle name="Normal 2 3 2 2 2 2 2 2 3 2 2 6" xfId="19213"/>
    <cellStyle name="Normal 2 3 2 2 2 2 2 2 3 2 2 6 2" xfId="19214"/>
    <cellStyle name="Normal 2 3 2 2 2 2 2 2 3 2 2 7" xfId="19215"/>
    <cellStyle name="Normal 2 3 2 2 2 2 2 2 3 2 2 7 2" xfId="19216"/>
    <cellStyle name="Normal 2 3 2 2 2 2 2 2 3 2 2 8" xfId="19217"/>
    <cellStyle name="Normal 2 3 2 2 2 2 2 2 3 2 2 8 2" xfId="19218"/>
    <cellStyle name="Normal 2 3 2 2 2 2 2 2 3 2 2 9" xfId="19219"/>
    <cellStyle name="Normal 2 3 2 2 2 2 2 2 3 2 2 9 2" xfId="19220"/>
    <cellStyle name="Normal 2 3 2 2 2 2 2 2 3 2 3" xfId="19221"/>
    <cellStyle name="Normal 2 3 2 2 2 2 2 2 3 2 3 2" xfId="19222"/>
    <cellStyle name="Normal 2 3 2 2 2 2 2 2 3 2 4" xfId="19223"/>
    <cellStyle name="Normal 2 3 2 2 2 2 2 2 3 2 4 2" xfId="19224"/>
    <cellStyle name="Normal 2 3 2 2 2 2 2 2 3 2 5" xfId="19225"/>
    <cellStyle name="Normal 2 3 2 2 2 2 2 2 3 2 5 2" xfId="19226"/>
    <cellStyle name="Normal 2 3 2 2 2 2 2 2 3 2 6" xfId="19227"/>
    <cellStyle name="Normal 2 3 2 2 2 2 2 2 3 2 6 2" xfId="19228"/>
    <cellStyle name="Normal 2 3 2 2 2 2 2 2 3 2 7" xfId="19229"/>
    <cellStyle name="Normal 2 3 2 2 2 2 2 2 3 2 7 2" xfId="19230"/>
    <cellStyle name="Normal 2 3 2 2 2 2 2 2 3 2 8" xfId="19231"/>
    <cellStyle name="Normal 2 3 2 2 2 2 2 2 3 2 8 2" xfId="19232"/>
    <cellStyle name="Normal 2 3 2 2 2 2 2 2 3 2 9" xfId="19233"/>
    <cellStyle name="Normal 2 3 2 2 2 2 2 2 3 2 9 2" xfId="19234"/>
    <cellStyle name="Normal 2 3 2 2 2 2 2 2 3 3" xfId="19235"/>
    <cellStyle name="Normal 2 3 2 2 2 2 2 2 3 3 10" xfId="19236"/>
    <cellStyle name="Normal 2 3 2 2 2 2 2 2 3 3 10 2" xfId="19237"/>
    <cellStyle name="Normal 2 3 2 2 2 2 2 2 3 3 11" xfId="19238"/>
    <cellStyle name="Normal 2 3 2 2 2 2 2 2 3 3 2" xfId="19239"/>
    <cellStyle name="Normal 2 3 2 2 2 2 2 2 3 3 2 2" xfId="19240"/>
    <cellStyle name="Normal 2 3 2 2 2 2 2 2 3 3 3" xfId="19241"/>
    <cellStyle name="Normal 2 3 2 2 2 2 2 2 3 3 3 2" xfId="19242"/>
    <cellStyle name="Normal 2 3 2 2 2 2 2 2 3 3 4" xfId="19243"/>
    <cellStyle name="Normal 2 3 2 2 2 2 2 2 3 3 4 2" xfId="19244"/>
    <cellStyle name="Normal 2 3 2 2 2 2 2 2 3 3 5" xfId="19245"/>
    <cellStyle name="Normal 2 3 2 2 2 2 2 2 3 3 5 2" xfId="19246"/>
    <cellStyle name="Normal 2 3 2 2 2 2 2 2 3 3 6" xfId="19247"/>
    <cellStyle name="Normal 2 3 2 2 2 2 2 2 3 3 6 2" xfId="19248"/>
    <cellStyle name="Normal 2 3 2 2 2 2 2 2 3 3 7" xfId="19249"/>
    <cellStyle name="Normal 2 3 2 2 2 2 2 2 3 3 7 2" xfId="19250"/>
    <cellStyle name="Normal 2 3 2 2 2 2 2 2 3 3 8" xfId="19251"/>
    <cellStyle name="Normal 2 3 2 2 2 2 2 2 3 3 8 2" xfId="19252"/>
    <cellStyle name="Normal 2 3 2 2 2 2 2 2 3 3 9" xfId="19253"/>
    <cellStyle name="Normal 2 3 2 2 2 2 2 2 3 3 9 2" xfId="19254"/>
    <cellStyle name="Normal 2 3 2 2 2 2 2 2 3 4" xfId="19255"/>
    <cellStyle name="Normal 2 3 2 2 2 2 2 2 3 4 2" xfId="19256"/>
    <cellStyle name="Normal 2 3 2 2 2 2 2 2 3 5" xfId="19257"/>
    <cellStyle name="Normal 2 3 2 2 2 2 2 2 3 5 2" xfId="19258"/>
    <cellStyle name="Normal 2 3 2 2 2 2 2 2 3 6" xfId="19259"/>
    <cellStyle name="Normal 2 3 2 2 2 2 2 2 3 6 2" xfId="19260"/>
    <cellStyle name="Normal 2 3 2 2 2 2 2 2 3 7" xfId="19261"/>
    <cellStyle name="Normal 2 3 2 2 2 2 2 2 3 7 2" xfId="19262"/>
    <cellStyle name="Normal 2 3 2 2 2 2 2 2 3 8" xfId="19263"/>
    <cellStyle name="Normal 2 3 2 2 2 2 2 2 3 8 2" xfId="19264"/>
    <cellStyle name="Normal 2 3 2 2 2 2 2 2 3 9" xfId="19265"/>
    <cellStyle name="Normal 2 3 2 2 2 2 2 2 3 9 2" xfId="19266"/>
    <cellStyle name="Normal 2 3 2 2 2 2 2 2 4" xfId="512"/>
    <cellStyle name="Normal 2 3 2 2 2 2 2 2 4 10" xfId="19267"/>
    <cellStyle name="Normal 2 3 2 2 2 2 2 2 4 10 2" xfId="19268"/>
    <cellStyle name="Normal 2 3 2 2 2 2 2 2 4 11" xfId="19269"/>
    <cellStyle name="Normal 2 3 2 2 2 2 2 2 4 11 2" xfId="19270"/>
    <cellStyle name="Normal 2 3 2 2 2 2 2 2 4 12" xfId="19271"/>
    <cellStyle name="Normal 2 3 2 2 2 2 2 2 4 12 2" xfId="19272"/>
    <cellStyle name="Normal 2 3 2 2 2 2 2 2 4 13" xfId="19273"/>
    <cellStyle name="Normal 2 3 2 2 2 2 2 2 4 2" xfId="19274"/>
    <cellStyle name="Normal 2 3 2 2 2 2 2 2 4 2 10" xfId="19275"/>
    <cellStyle name="Normal 2 3 2 2 2 2 2 2 4 2 10 2" xfId="19276"/>
    <cellStyle name="Normal 2 3 2 2 2 2 2 2 4 2 11" xfId="19277"/>
    <cellStyle name="Normal 2 3 2 2 2 2 2 2 4 2 11 2" xfId="19278"/>
    <cellStyle name="Normal 2 3 2 2 2 2 2 2 4 2 12" xfId="19279"/>
    <cellStyle name="Normal 2 3 2 2 2 2 2 2 4 2 2" xfId="19280"/>
    <cellStyle name="Normal 2 3 2 2 2 2 2 2 4 2 2 10" xfId="19281"/>
    <cellStyle name="Normal 2 3 2 2 2 2 2 2 4 2 2 10 2" xfId="19282"/>
    <cellStyle name="Normal 2 3 2 2 2 2 2 2 4 2 2 11" xfId="19283"/>
    <cellStyle name="Normal 2 3 2 2 2 2 2 2 4 2 2 2" xfId="19284"/>
    <cellStyle name="Normal 2 3 2 2 2 2 2 2 4 2 2 2 2" xfId="19285"/>
    <cellStyle name="Normal 2 3 2 2 2 2 2 2 4 2 2 3" xfId="19286"/>
    <cellStyle name="Normal 2 3 2 2 2 2 2 2 4 2 2 3 2" xfId="19287"/>
    <cellStyle name="Normal 2 3 2 2 2 2 2 2 4 2 2 4" xfId="19288"/>
    <cellStyle name="Normal 2 3 2 2 2 2 2 2 4 2 2 4 2" xfId="19289"/>
    <cellStyle name="Normal 2 3 2 2 2 2 2 2 4 2 2 5" xfId="19290"/>
    <cellStyle name="Normal 2 3 2 2 2 2 2 2 4 2 2 5 2" xfId="19291"/>
    <cellStyle name="Normal 2 3 2 2 2 2 2 2 4 2 2 6" xfId="19292"/>
    <cellStyle name="Normal 2 3 2 2 2 2 2 2 4 2 2 6 2" xfId="19293"/>
    <cellStyle name="Normal 2 3 2 2 2 2 2 2 4 2 2 7" xfId="19294"/>
    <cellStyle name="Normal 2 3 2 2 2 2 2 2 4 2 2 7 2" xfId="19295"/>
    <cellStyle name="Normal 2 3 2 2 2 2 2 2 4 2 2 8" xfId="19296"/>
    <cellStyle name="Normal 2 3 2 2 2 2 2 2 4 2 2 8 2" xfId="19297"/>
    <cellStyle name="Normal 2 3 2 2 2 2 2 2 4 2 2 9" xfId="19298"/>
    <cellStyle name="Normal 2 3 2 2 2 2 2 2 4 2 2 9 2" xfId="19299"/>
    <cellStyle name="Normal 2 3 2 2 2 2 2 2 4 2 3" xfId="19300"/>
    <cellStyle name="Normal 2 3 2 2 2 2 2 2 4 2 3 2" xfId="19301"/>
    <cellStyle name="Normal 2 3 2 2 2 2 2 2 4 2 4" xfId="19302"/>
    <cellStyle name="Normal 2 3 2 2 2 2 2 2 4 2 4 2" xfId="19303"/>
    <cellStyle name="Normal 2 3 2 2 2 2 2 2 4 2 5" xfId="19304"/>
    <cellStyle name="Normal 2 3 2 2 2 2 2 2 4 2 5 2" xfId="19305"/>
    <cellStyle name="Normal 2 3 2 2 2 2 2 2 4 2 6" xfId="19306"/>
    <cellStyle name="Normal 2 3 2 2 2 2 2 2 4 2 6 2" xfId="19307"/>
    <cellStyle name="Normal 2 3 2 2 2 2 2 2 4 2 7" xfId="19308"/>
    <cellStyle name="Normal 2 3 2 2 2 2 2 2 4 2 7 2" xfId="19309"/>
    <cellStyle name="Normal 2 3 2 2 2 2 2 2 4 2 8" xfId="19310"/>
    <cellStyle name="Normal 2 3 2 2 2 2 2 2 4 2 8 2" xfId="19311"/>
    <cellStyle name="Normal 2 3 2 2 2 2 2 2 4 2 9" xfId="19312"/>
    <cellStyle name="Normal 2 3 2 2 2 2 2 2 4 2 9 2" xfId="19313"/>
    <cellStyle name="Normal 2 3 2 2 2 2 2 2 4 3" xfId="19314"/>
    <cellStyle name="Normal 2 3 2 2 2 2 2 2 4 3 10" xfId="19315"/>
    <cellStyle name="Normal 2 3 2 2 2 2 2 2 4 3 10 2" xfId="19316"/>
    <cellStyle name="Normal 2 3 2 2 2 2 2 2 4 3 11" xfId="19317"/>
    <cellStyle name="Normal 2 3 2 2 2 2 2 2 4 3 2" xfId="19318"/>
    <cellStyle name="Normal 2 3 2 2 2 2 2 2 4 3 2 2" xfId="19319"/>
    <cellStyle name="Normal 2 3 2 2 2 2 2 2 4 3 3" xfId="19320"/>
    <cellStyle name="Normal 2 3 2 2 2 2 2 2 4 3 3 2" xfId="19321"/>
    <cellStyle name="Normal 2 3 2 2 2 2 2 2 4 3 4" xfId="19322"/>
    <cellStyle name="Normal 2 3 2 2 2 2 2 2 4 3 4 2" xfId="19323"/>
    <cellStyle name="Normal 2 3 2 2 2 2 2 2 4 3 5" xfId="19324"/>
    <cellStyle name="Normal 2 3 2 2 2 2 2 2 4 3 5 2" xfId="19325"/>
    <cellStyle name="Normal 2 3 2 2 2 2 2 2 4 3 6" xfId="19326"/>
    <cellStyle name="Normal 2 3 2 2 2 2 2 2 4 3 6 2" xfId="19327"/>
    <cellStyle name="Normal 2 3 2 2 2 2 2 2 4 3 7" xfId="19328"/>
    <cellStyle name="Normal 2 3 2 2 2 2 2 2 4 3 7 2" xfId="19329"/>
    <cellStyle name="Normal 2 3 2 2 2 2 2 2 4 3 8" xfId="19330"/>
    <cellStyle name="Normal 2 3 2 2 2 2 2 2 4 3 8 2" xfId="19331"/>
    <cellStyle name="Normal 2 3 2 2 2 2 2 2 4 3 9" xfId="19332"/>
    <cellStyle name="Normal 2 3 2 2 2 2 2 2 4 3 9 2" xfId="19333"/>
    <cellStyle name="Normal 2 3 2 2 2 2 2 2 4 4" xfId="19334"/>
    <cellStyle name="Normal 2 3 2 2 2 2 2 2 4 4 2" xfId="19335"/>
    <cellStyle name="Normal 2 3 2 2 2 2 2 2 4 5" xfId="19336"/>
    <cellStyle name="Normal 2 3 2 2 2 2 2 2 4 5 2" xfId="19337"/>
    <cellStyle name="Normal 2 3 2 2 2 2 2 2 4 6" xfId="19338"/>
    <cellStyle name="Normal 2 3 2 2 2 2 2 2 4 6 2" xfId="19339"/>
    <cellStyle name="Normal 2 3 2 2 2 2 2 2 4 7" xfId="19340"/>
    <cellStyle name="Normal 2 3 2 2 2 2 2 2 4 7 2" xfId="19341"/>
    <cellStyle name="Normal 2 3 2 2 2 2 2 2 4 8" xfId="19342"/>
    <cellStyle name="Normal 2 3 2 2 2 2 2 2 4 8 2" xfId="19343"/>
    <cellStyle name="Normal 2 3 2 2 2 2 2 2 4 9" xfId="19344"/>
    <cellStyle name="Normal 2 3 2 2 2 2 2 2 4 9 2" xfId="19345"/>
    <cellStyle name="Normal 2 3 2 2 2 2 2 2 5" xfId="513"/>
    <cellStyle name="Normal 2 3 2 2 2 2 2 2 5 10" xfId="19346"/>
    <cellStyle name="Normal 2 3 2 2 2 2 2 2 5 10 2" xfId="19347"/>
    <cellStyle name="Normal 2 3 2 2 2 2 2 2 5 11" xfId="19348"/>
    <cellStyle name="Normal 2 3 2 2 2 2 2 2 5 11 2" xfId="19349"/>
    <cellStyle name="Normal 2 3 2 2 2 2 2 2 5 12" xfId="19350"/>
    <cellStyle name="Normal 2 3 2 2 2 2 2 2 5 12 2" xfId="19351"/>
    <cellStyle name="Normal 2 3 2 2 2 2 2 2 5 13" xfId="19352"/>
    <cellStyle name="Normal 2 3 2 2 2 2 2 2 5 2" xfId="19353"/>
    <cellStyle name="Normal 2 3 2 2 2 2 2 2 5 2 10" xfId="19354"/>
    <cellStyle name="Normal 2 3 2 2 2 2 2 2 5 2 10 2" xfId="19355"/>
    <cellStyle name="Normal 2 3 2 2 2 2 2 2 5 2 11" xfId="19356"/>
    <cellStyle name="Normal 2 3 2 2 2 2 2 2 5 2 11 2" xfId="19357"/>
    <cellStyle name="Normal 2 3 2 2 2 2 2 2 5 2 12" xfId="19358"/>
    <cellStyle name="Normal 2 3 2 2 2 2 2 2 5 2 2" xfId="19359"/>
    <cellStyle name="Normal 2 3 2 2 2 2 2 2 5 2 2 10" xfId="19360"/>
    <cellStyle name="Normal 2 3 2 2 2 2 2 2 5 2 2 10 2" xfId="19361"/>
    <cellStyle name="Normal 2 3 2 2 2 2 2 2 5 2 2 11" xfId="19362"/>
    <cellStyle name="Normal 2 3 2 2 2 2 2 2 5 2 2 2" xfId="19363"/>
    <cellStyle name="Normal 2 3 2 2 2 2 2 2 5 2 2 2 2" xfId="19364"/>
    <cellStyle name="Normal 2 3 2 2 2 2 2 2 5 2 2 3" xfId="19365"/>
    <cellStyle name="Normal 2 3 2 2 2 2 2 2 5 2 2 3 2" xfId="19366"/>
    <cellStyle name="Normal 2 3 2 2 2 2 2 2 5 2 2 4" xfId="19367"/>
    <cellStyle name="Normal 2 3 2 2 2 2 2 2 5 2 2 4 2" xfId="19368"/>
    <cellStyle name="Normal 2 3 2 2 2 2 2 2 5 2 2 5" xfId="19369"/>
    <cellStyle name="Normal 2 3 2 2 2 2 2 2 5 2 2 5 2" xfId="19370"/>
    <cellStyle name="Normal 2 3 2 2 2 2 2 2 5 2 2 6" xfId="19371"/>
    <cellStyle name="Normal 2 3 2 2 2 2 2 2 5 2 2 6 2" xfId="19372"/>
    <cellStyle name="Normal 2 3 2 2 2 2 2 2 5 2 2 7" xfId="19373"/>
    <cellStyle name="Normal 2 3 2 2 2 2 2 2 5 2 2 7 2" xfId="19374"/>
    <cellStyle name="Normal 2 3 2 2 2 2 2 2 5 2 2 8" xfId="19375"/>
    <cellStyle name="Normal 2 3 2 2 2 2 2 2 5 2 2 8 2" xfId="19376"/>
    <cellStyle name="Normal 2 3 2 2 2 2 2 2 5 2 2 9" xfId="19377"/>
    <cellStyle name="Normal 2 3 2 2 2 2 2 2 5 2 2 9 2" xfId="19378"/>
    <cellStyle name="Normal 2 3 2 2 2 2 2 2 5 2 3" xfId="19379"/>
    <cellStyle name="Normal 2 3 2 2 2 2 2 2 5 2 3 2" xfId="19380"/>
    <cellStyle name="Normal 2 3 2 2 2 2 2 2 5 2 4" xfId="19381"/>
    <cellStyle name="Normal 2 3 2 2 2 2 2 2 5 2 4 2" xfId="19382"/>
    <cellStyle name="Normal 2 3 2 2 2 2 2 2 5 2 5" xfId="19383"/>
    <cellStyle name="Normal 2 3 2 2 2 2 2 2 5 2 5 2" xfId="19384"/>
    <cellStyle name="Normal 2 3 2 2 2 2 2 2 5 2 6" xfId="19385"/>
    <cellStyle name="Normal 2 3 2 2 2 2 2 2 5 2 6 2" xfId="19386"/>
    <cellStyle name="Normal 2 3 2 2 2 2 2 2 5 2 7" xfId="19387"/>
    <cellStyle name="Normal 2 3 2 2 2 2 2 2 5 2 7 2" xfId="19388"/>
    <cellStyle name="Normal 2 3 2 2 2 2 2 2 5 2 8" xfId="19389"/>
    <cellStyle name="Normal 2 3 2 2 2 2 2 2 5 2 8 2" xfId="19390"/>
    <cellStyle name="Normal 2 3 2 2 2 2 2 2 5 2 9" xfId="19391"/>
    <cellStyle name="Normal 2 3 2 2 2 2 2 2 5 2 9 2" xfId="19392"/>
    <cellStyle name="Normal 2 3 2 2 2 2 2 2 5 3" xfId="19393"/>
    <cellStyle name="Normal 2 3 2 2 2 2 2 2 5 3 10" xfId="19394"/>
    <cellStyle name="Normal 2 3 2 2 2 2 2 2 5 3 10 2" xfId="19395"/>
    <cellStyle name="Normal 2 3 2 2 2 2 2 2 5 3 11" xfId="19396"/>
    <cellStyle name="Normal 2 3 2 2 2 2 2 2 5 3 2" xfId="19397"/>
    <cellStyle name="Normal 2 3 2 2 2 2 2 2 5 3 2 2" xfId="19398"/>
    <cellStyle name="Normal 2 3 2 2 2 2 2 2 5 3 3" xfId="19399"/>
    <cellStyle name="Normal 2 3 2 2 2 2 2 2 5 3 3 2" xfId="19400"/>
    <cellStyle name="Normal 2 3 2 2 2 2 2 2 5 3 4" xfId="19401"/>
    <cellStyle name="Normal 2 3 2 2 2 2 2 2 5 3 4 2" xfId="19402"/>
    <cellStyle name="Normal 2 3 2 2 2 2 2 2 5 3 5" xfId="19403"/>
    <cellStyle name="Normal 2 3 2 2 2 2 2 2 5 3 5 2" xfId="19404"/>
    <cellStyle name="Normal 2 3 2 2 2 2 2 2 5 3 6" xfId="19405"/>
    <cellStyle name="Normal 2 3 2 2 2 2 2 2 5 3 6 2" xfId="19406"/>
    <cellStyle name="Normal 2 3 2 2 2 2 2 2 5 3 7" xfId="19407"/>
    <cellStyle name="Normal 2 3 2 2 2 2 2 2 5 3 7 2" xfId="19408"/>
    <cellStyle name="Normal 2 3 2 2 2 2 2 2 5 3 8" xfId="19409"/>
    <cellStyle name="Normal 2 3 2 2 2 2 2 2 5 3 8 2" xfId="19410"/>
    <cellStyle name="Normal 2 3 2 2 2 2 2 2 5 3 9" xfId="19411"/>
    <cellStyle name="Normal 2 3 2 2 2 2 2 2 5 3 9 2" xfId="19412"/>
    <cellStyle name="Normal 2 3 2 2 2 2 2 2 5 4" xfId="19413"/>
    <cellStyle name="Normal 2 3 2 2 2 2 2 2 5 4 2" xfId="19414"/>
    <cellStyle name="Normal 2 3 2 2 2 2 2 2 5 5" xfId="19415"/>
    <cellStyle name="Normal 2 3 2 2 2 2 2 2 5 5 2" xfId="19416"/>
    <cellStyle name="Normal 2 3 2 2 2 2 2 2 5 6" xfId="19417"/>
    <cellStyle name="Normal 2 3 2 2 2 2 2 2 5 6 2" xfId="19418"/>
    <cellStyle name="Normal 2 3 2 2 2 2 2 2 5 7" xfId="19419"/>
    <cellStyle name="Normal 2 3 2 2 2 2 2 2 5 7 2" xfId="19420"/>
    <cellStyle name="Normal 2 3 2 2 2 2 2 2 5 8" xfId="19421"/>
    <cellStyle name="Normal 2 3 2 2 2 2 2 2 5 8 2" xfId="19422"/>
    <cellStyle name="Normal 2 3 2 2 2 2 2 2 5 9" xfId="19423"/>
    <cellStyle name="Normal 2 3 2 2 2 2 2 2 5 9 2" xfId="19424"/>
    <cellStyle name="Normal 2 3 2 2 2 2 2 2 6" xfId="514"/>
    <cellStyle name="Normal 2 3 2 2 2 2 2 3" xfId="515"/>
    <cellStyle name="Normal 2 3 2 2 2 2 2 3 2" xfId="516"/>
    <cellStyle name="Normal 2 3 2 2 2 2 2 4" xfId="517"/>
    <cellStyle name="Normal 2 3 2 2 2 2 2 4 2" xfId="518"/>
    <cellStyle name="Normal 2 3 2 2 2 2 2 5" xfId="519"/>
    <cellStyle name="Normal 2 3 2 2 2 2 2 5 2" xfId="520"/>
    <cellStyle name="Normal 2 3 2 2 2 2 2 6" xfId="19425"/>
    <cellStyle name="Normal 2 3 2 2 2 2 2 6 10" xfId="19426"/>
    <cellStyle name="Normal 2 3 2 2 2 2 2 6 10 2" xfId="19427"/>
    <cellStyle name="Normal 2 3 2 2 2 2 2 6 11" xfId="19428"/>
    <cellStyle name="Normal 2 3 2 2 2 2 2 6 11 2" xfId="19429"/>
    <cellStyle name="Normal 2 3 2 2 2 2 2 6 12" xfId="19430"/>
    <cellStyle name="Normal 2 3 2 2 2 2 2 6 2" xfId="19431"/>
    <cellStyle name="Normal 2 3 2 2 2 2 2 6 2 10" xfId="19432"/>
    <cellStyle name="Normal 2 3 2 2 2 2 2 6 2 10 2" xfId="19433"/>
    <cellStyle name="Normal 2 3 2 2 2 2 2 6 2 11" xfId="19434"/>
    <cellStyle name="Normal 2 3 2 2 2 2 2 6 2 2" xfId="19435"/>
    <cellStyle name="Normal 2 3 2 2 2 2 2 6 2 2 2" xfId="19436"/>
    <cellStyle name="Normal 2 3 2 2 2 2 2 6 2 3" xfId="19437"/>
    <cellStyle name="Normal 2 3 2 2 2 2 2 6 2 3 2" xfId="19438"/>
    <cellStyle name="Normal 2 3 2 2 2 2 2 6 2 4" xfId="19439"/>
    <cellStyle name="Normal 2 3 2 2 2 2 2 6 2 4 2" xfId="19440"/>
    <cellStyle name="Normal 2 3 2 2 2 2 2 6 2 5" xfId="19441"/>
    <cellStyle name="Normal 2 3 2 2 2 2 2 6 2 5 2" xfId="19442"/>
    <cellStyle name="Normal 2 3 2 2 2 2 2 6 2 6" xfId="19443"/>
    <cellStyle name="Normal 2 3 2 2 2 2 2 6 2 6 2" xfId="19444"/>
    <cellStyle name="Normal 2 3 2 2 2 2 2 6 2 7" xfId="19445"/>
    <cellStyle name="Normal 2 3 2 2 2 2 2 6 2 7 2" xfId="19446"/>
    <cellStyle name="Normal 2 3 2 2 2 2 2 6 2 8" xfId="19447"/>
    <cellStyle name="Normal 2 3 2 2 2 2 2 6 2 8 2" xfId="19448"/>
    <cellStyle name="Normal 2 3 2 2 2 2 2 6 2 9" xfId="19449"/>
    <cellStyle name="Normal 2 3 2 2 2 2 2 6 2 9 2" xfId="19450"/>
    <cellStyle name="Normal 2 3 2 2 2 2 2 6 3" xfId="19451"/>
    <cellStyle name="Normal 2 3 2 2 2 2 2 6 3 2" xfId="19452"/>
    <cellStyle name="Normal 2 3 2 2 2 2 2 6 4" xfId="19453"/>
    <cellStyle name="Normal 2 3 2 2 2 2 2 6 4 2" xfId="19454"/>
    <cellStyle name="Normal 2 3 2 2 2 2 2 6 5" xfId="19455"/>
    <cellStyle name="Normal 2 3 2 2 2 2 2 6 5 2" xfId="19456"/>
    <cellStyle name="Normal 2 3 2 2 2 2 2 6 6" xfId="19457"/>
    <cellStyle name="Normal 2 3 2 2 2 2 2 6 6 2" xfId="19458"/>
    <cellStyle name="Normal 2 3 2 2 2 2 2 6 7" xfId="19459"/>
    <cellStyle name="Normal 2 3 2 2 2 2 2 6 7 2" xfId="19460"/>
    <cellStyle name="Normal 2 3 2 2 2 2 2 6 8" xfId="19461"/>
    <cellStyle name="Normal 2 3 2 2 2 2 2 6 8 2" xfId="19462"/>
    <cellStyle name="Normal 2 3 2 2 2 2 2 6 9" xfId="19463"/>
    <cellStyle name="Normal 2 3 2 2 2 2 2 6 9 2" xfId="19464"/>
    <cellStyle name="Normal 2 3 2 2 2 2 2 7" xfId="19465"/>
    <cellStyle name="Normal 2 3 2 2 2 2 2 7 10" xfId="19466"/>
    <cellStyle name="Normal 2 3 2 2 2 2 2 7 10 2" xfId="19467"/>
    <cellStyle name="Normal 2 3 2 2 2 2 2 7 11" xfId="19468"/>
    <cellStyle name="Normal 2 3 2 2 2 2 2 7 2" xfId="19469"/>
    <cellStyle name="Normal 2 3 2 2 2 2 2 7 2 2" xfId="19470"/>
    <cellStyle name="Normal 2 3 2 2 2 2 2 7 3" xfId="19471"/>
    <cellStyle name="Normal 2 3 2 2 2 2 2 7 3 2" xfId="19472"/>
    <cellStyle name="Normal 2 3 2 2 2 2 2 7 4" xfId="19473"/>
    <cellStyle name="Normal 2 3 2 2 2 2 2 7 4 2" xfId="19474"/>
    <cellStyle name="Normal 2 3 2 2 2 2 2 7 5" xfId="19475"/>
    <cellStyle name="Normal 2 3 2 2 2 2 2 7 5 2" xfId="19476"/>
    <cellStyle name="Normal 2 3 2 2 2 2 2 7 6" xfId="19477"/>
    <cellStyle name="Normal 2 3 2 2 2 2 2 7 6 2" xfId="19478"/>
    <cellStyle name="Normal 2 3 2 2 2 2 2 7 7" xfId="19479"/>
    <cellStyle name="Normal 2 3 2 2 2 2 2 7 7 2" xfId="19480"/>
    <cellStyle name="Normal 2 3 2 2 2 2 2 7 8" xfId="19481"/>
    <cellStyle name="Normal 2 3 2 2 2 2 2 7 8 2" xfId="19482"/>
    <cellStyle name="Normal 2 3 2 2 2 2 2 7 9" xfId="19483"/>
    <cellStyle name="Normal 2 3 2 2 2 2 2 7 9 2" xfId="19484"/>
    <cellStyle name="Normal 2 3 2 2 2 2 2 8" xfId="19485"/>
    <cellStyle name="Normal 2 3 2 2 2 2 2 8 2" xfId="19486"/>
    <cellStyle name="Normal 2 3 2 2 2 2 2 9" xfId="19487"/>
    <cellStyle name="Normal 2 3 2 2 2 2 2 9 2" xfId="19488"/>
    <cellStyle name="Normal 2 3 2 2 2 2 3" xfId="521"/>
    <cellStyle name="Normal 2 3 2 2 2 2 3 10" xfId="19489"/>
    <cellStyle name="Normal 2 3 2 2 2 2 3 10 2" xfId="19490"/>
    <cellStyle name="Normal 2 3 2 2 2 2 3 11" xfId="19491"/>
    <cellStyle name="Normal 2 3 2 2 2 2 3 11 2" xfId="19492"/>
    <cellStyle name="Normal 2 3 2 2 2 2 3 12" xfId="19493"/>
    <cellStyle name="Normal 2 3 2 2 2 2 3 12 2" xfId="19494"/>
    <cellStyle name="Normal 2 3 2 2 2 2 3 13" xfId="19495"/>
    <cellStyle name="Normal 2 3 2 2 2 2 3 2" xfId="19496"/>
    <cellStyle name="Normal 2 3 2 2 2 2 3 2 10" xfId="19497"/>
    <cellStyle name="Normal 2 3 2 2 2 2 3 2 10 2" xfId="19498"/>
    <cellStyle name="Normal 2 3 2 2 2 2 3 2 11" xfId="19499"/>
    <cellStyle name="Normal 2 3 2 2 2 2 3 2 11 2" xfId="19500"/>
    <cellStyle name="Normal 2 3 2 2 2 2 3 2 12" xfId="19501"/>
    <cellStyle name="Normal 2 3 2 2 2 2 3 2 2" xfId="19502"/>
    <cellStyle name="Normal 2 3 2 2 2 2 3 2 2 10" xfId="19503"/>
    <cellStyle name="Normal 2 3 2 2 2 2 3 2 2 10 2" xfId="19504"/>
    <cellStyle name="Normal 2 3 2 2 2 2 3 2 2 11" xfId="19505"/>
    <cellStyle name="Normal 2 3 2 2 2 2 3 2 2 2" xfId="19506"/>
    <cellStyle name="Normal 2 3 2 2 2 2 3 2 2 2 2" xfId="19507"/>
    <cellStyle name="Normal 2 3 2 2 2 2 3 2 2 3" xfId="19508"/>
    <cellStyle name="Normal 2 3 2 2 2 2 3 2 2 3 2" xfId="19509"/>
    <cellStyle name="Normal 2 3 2 2 2 2 3 2 2 4" xfId="19510"/>
    <cellStyle name="Normal 2 3 2 2 2 2 3 2 2 4 2" xfId="19511"/>
    <cellStyle name="Normal 2 3 2 2 2 2 3 2 2 5" xfId="19512"/>
    <cellStyle name="Normal 2 3 2 2 2 2 3 2 2 5 2" xfId="19513"/>
    <cellStyle name="Normal 2 3 2 2 2 2 3 2 2 6" xfId="19514"/>
    <cellStyle name="Normal 2 3 2 2 2 2 3 2 2 6 2" xfId="19515"/>
    <cellStyle name="Normal 2 3 2 2 2 2 3 2 2 7" xfId="19516"/>
    <cellStyle name="Normal 2 3 2 2 2 2 3 2 2 7 2" xfId="19517"/>
    <cellStyle name="Normal 2 3 2 2 2 2 3 2 2 8" xfId="19518"/>
    <cellStyle name="Normal 2 3 2 2 2 2 3 2 2 8 2" xfId="19519"/>
    <cellStyle name="Normal 2 3 2 2 2 2 3 2 2 9" xfId="19520"/>
    <cellStyle name="Normal 2 3 2 2 2 2 3 2 2 9 2" xfId="19521"/>
    <cellStyle name="Normal 2 3 2 2 2 2 3 2 3" xfId="19522"/>
    <cellStyle name="Normal 2 3 2 2 2 2 3 2 3 2" xfId="19523"/>
    <cellStyle name="Normal 2 3 2 2 2 2 3 2 4" xfId="19524"/>
    <cellStyle name="Normal 2 3 2 2 2 2 3 2 4 2" xfId="19525"/>
    <cellStyle name="Normal 2 3 2 2 2 2 3 2 5" xfId="19526"/>
    <cellStyle name="Normal 2 3 2 2 2 2 3 2 5 2" xfId="19527"/>
    <cellStyle name="Normal 2 3 2 2 2 2 3 2 6" xfId="19528"/>
    <cellStyle name="Normal 2 3 2 2 2 2 3 2 6 2" xfId="19529"/>
    <cellStyle name="Normal 2 3 2 2 2 2 3 2 7" xfId="19530"/>
    <cellStyle name="Normal 2 3 2 2 2 2 3 2 7 2" xfId="19531"/>
    <cellStyle name="Normal 2 3 2 2 2 2 3 2 8" xfId="19532"/>
    <cellStyle name="Normal 2 3 2 2 2 2 3 2 8 2" xfId="19533"/>
    <cellStyle name="Normal 2 3 2 2 2 2 3 2 9" xfId="19534"/>
    <cellStyle name="Normal 2 3 2 2 2 2 3 2 9 2" xfId="19535"/>
    <cellStyle name="Normal 2 3 2 2 2 2 3 3" xfId="19536"/>
    <cellStyle name="Normal 2 3 2 2 2 2 3 3 10" xfId="19537"/>
    <cellStyle name="Normal 2 3 2 2 2 2 3 3 10 2" xfId="19538"/>
    <cellStyle name="Normal 2 3 2 2 2 2 3 3 11" xfId="19539"/>
    <cellStyle name="Normal 2 3 2 2 2 2 3 3 2" xfId="19540"/>
    <cellStyle name="Normal 2 3 2 2 2 2 3 3 2 2" xfId="19541"/>
    <cellStyle name="Normal 2 3 2 2 2 2 3 3 3" xfId="19542"/>
    <cellStyle name="Normal 2 3 2 2 2 2 3 3 3 2" xfId="19543"/>
    <cellStyle name="Normal 2 3 2 2 2 2 3 3 4" xfId="19544"/>
    <cellStyle name="Normal 2 3 2 2 2 2 3 3 4 2" xfId="19545"/>
    <cellStyle name="Normal 2 3 2 2 2 2 3 3 5" xfId="19546"/>
    <cellStyle name="Normal 2 3 2 2 2 2 3 3 5 2" xfId="19547"/>
    <cellStyle name="Normal 2 3 2 2 2 2 3 3 6" xfId="19548"/>
    <cellStyle name="Normal 2 3 2 2 2 2 3 3 6 2" xfId="19549"/>
    <cellStyle name="Normal 2 3 2 2 2 2 3 3 7" xfId="19550"/>
    <cellStyle name="Normal 2 3 2 2 2 2 3 3 7 2" xfId="19551"/>
    <cellStyle name="Normal 2 3 2 2 2 2 3 3 8" xfId="19552"/>
    <cellStyle name="Normal 2 3 2 2 2 2 3 3 8 2" xfId="19553"/>
    <cellStyle name="Normal 2 3 2 2 2 2 3 3 9" xfId="19554"/>
    <cellStyle name="Normal 2 3 2 2 2 2 3 3 9 2" xfId="19555"/>
    <cellStyle name="Normal 2 3 2 2 2 2 3 4" xfId="19556"/>
    <cellStyle name="Normal 2 3 2 2 2 2 3 4 2" xfId="19557"/>
    <cellStyle name="Normal 2 3 2 2 2 2 3 5" xfId="19558"/>
    <cellStyle name="Normal 2 3 2 2 2 2 3 5 2" xfId="19559"/>
    <cellStyle name="Normal 2 3 2 2 2 2 3 6" xfId="19560"/>
    <cellStyle name="Normal 2 3 2 2 2 2 3 6 2" xfId="19561"/>
    <cellStyle name="Normal 2 3 2 2 2 2 3 7" xfId="19562"/>
    <cellStyle name="Normal 2 3 2 2 2 2 3 7 2" xfId="19563"/>
    <cellStyle name="Normal 2 3 2 2 2 2 3 8" xfId="19564"/>
    <cellStyle name="Normal 2 3 2 2 2 2 3 8 2" xfId="19565"/>
    <cellStyle name="Normal 2 3 2 2 2 2 3 9" xfId="19566"/>
    <cellStyle name="Normal 2 3 2 2 2 2 3 9 2" xfId="19567"/>
    <cellStyle name="Normal 2 3 2 2 2 2 4" xfId="522"/>
    <cellStyle name="Normal 2 3 2 2 2 2 4 10" xfId="19568"/>
    <cellStyle name="Normal 2 3 2 2 2 2 4 10 2" xfId="19569"/>
    <cellStyle name="Normal 2 3 2 2 2 2 4 11" xfId="19570"/>
    <cellStyle name="Normal 2 3 2 2 2 2 4 11 2" xfId="19571"/>
    <cellStyle name="Normal 2 3 2 2 2 2 4 12" xfId="19572"/>
    <cellStyle name="Normal 2 3 2 2 2 2 4 12 2" xfId="19573"/>
    <cellStyle name="Normal 2 3 2 2 2 2 4 13" xfId="19574"/>
    <cellStyle name="Normal 2 3 2 2 2 2 4 2" xfId="19575"/>
    <cellStyle name="Normal 2 3 2 2 2 2 4 2 10" xfId="19576"/>
    <cellStyle name="Normal 2 3 2 2 2 2 4 2 10 2" xfId="19577"/>
    <cellStyle name="Normal 2 3 2 2 2 2 4 2 11" xfId="19578"/>
    <cellStyle name="Normal 2 3 2 2 2 2 4 2 11 2" xfId="19579"/>
    <cellStyle name="Normal 2 3 2 2 2 2 4 2 12" xfId="19580"/>
    <cellStyle name="Normal 2 3 2 2 2 2 4 2 2" xfId="19581"/>
    <cellStyle name="Normal 2 3 2 2 2 2 4 2 2 10" xfId="19582"/>
    <cellStyle name="Normal 2 3 2 2 2 2 4 2 2 10 2" xfId="19583"/>
    <cellStyle name="Normal 2 3 2 2 2 2 4 2 2 11" xfId="19584"/>
    <cellStyle name="Normal 2 3 2 2 2 2 4 2 2 2" xfId="19585"/>
    <cellStyle name="Normal 2 3 2 2 2 2 4 2 2 2 2" xfId="19586"/>
    <cellStyle name="Normal 2 3 2 2 2 2 4 2 2 3" xfId="19587"/>
    <cellStyle name="Normal 2 3 2 2 2 2 4 2 2 3 2" xfId="19588"/>
    <cellStyle name="Normal 2 3 2 2 2 2 4 2 2 4" xfId="19589"/>
    <cellStyle name="Normal 2 3 2 2 2 2 4 2 2 4 2" xfId="19590"/>
    <cellStyle name="Normal 2 3 2 2 2 2 4 2 2 5" xfId="19591"/>
    <cellStyle name="Normal 2 3 2 2 2 2 4 2 2 5 2" xfId="19592"/>
    <cellStyle name="Normal 2 3 2 2 2 2 4 2 2 6" xfId="19593"/>
    <cellStyle name="Normal 2 3 2 2 2 2 4 2 2 6 2" xfId="19594"/>
    <cellStyle name="Normal 2 3 2 2 2 2 4 2 2 7" xfId="19595"/>
    <cellStyle name="Normal 2 3 2 2 2 2 4 2 2 7 2" xfId="19596"/>
    <cellStyle name="Normal 2 3 2 2 2 2 4 2 2 8" xfId="19597"/>
    <cellStyle name="Normal 2 3 2 2 2 2 4 2 2 8 2" xfId="19598"/>
    <cellStyle name="Normal 2 3 2 2 2 2 4 2 2 9" xfId="19599"/>
    <cellStyle name="Normal 2 3 2 2 2 2 4 2 2 9 2" xfId="19600"/>
    <cellStyle name="Normal 2 3 2 2 2 2 4 2 3" xfId="19601"/>
    <cellStyle name="Normal 2 3 2 2 2 2 4 2 3 2" xfId="19602"/>
    <cellStyle name="Normal 2 3 2 2 2 2 4 2 4" xfId="19603"/>
    <cellStyle name="Normal 2 3 2 2 2 2 4 2 4 2" xfId="19604"/>
    <cellStyle name="Normal 2 3 2 2 2 2 4 2 5" xfId="19605"/>
    <cellStyle name="Normal 2 3 2 2 2 2 4 2 5 2" xfId="19606"/>
    <cellStyle name="Normal 2 3 2 2 2 2 4 2 6" xfId="19607"/>
    <cellStyle name="Normal 2 3 2 2 2 2 4 2 6 2" xfId="19608"/>
    <cellStyle name="Normal 2 3 2 2 2 2 4 2 7" xfId="19609"/>
    <cellStyle name="Normal 2 3 2 2 2 2 4 2 7 2" xfId="19610"/>
    <cellStyle name="Normal 2 3 2 2 2 2 4 2 8" xfId="19611"/>
    <cellStyle name="Normal 2 3 2 2 2 2 4 2 8 2" xfId="19612"/>
    <cellStyle name="Normal 2 3 2 2 2 2 4 2 9" xfId="19613"/>
    <cellStyle name="Normal 2 3 2 2 2 2 4 2 9 2" xfId="19614"/>
    <cellStyle name="Normal 2 3 2 2 2 2 4 3" xfId="19615"/>
    <cellStyle name="Normal 2 3 2 2 2 2 4 3 10" xfId="19616"/>
    <cellStyle name="Normal 2 3 2 2 2 2 4 3 10 2" xfId="19617"/>
    <cellStyle name="Normal 2 3 2 2 2 2 4 3 11" xfId="19618"/>
    <cellStyle name="Normal 2 3 2 2 2 2 4 3 2" xfId="19619"/>
    <cellStyle name="Normal 2 3 2 2 2 2 4 3 2 2" xfId="19620"/>
    <cellStyle name="Normal 2 3 2 2 2 2 4 3 3" xfId="19621"/>
    <cellStyle name="Normal 2 3 2 2 2 2 4 3 3 2" xfId="19622"/>
    <cellStyle name="Normal 2 3 2 2 2 2 4 3 4" xfId="19623"/>
    <cellStyle name="Normal 2 3 2 2 2 2 4 3 4 2" xfId="19624"/>
    <cellStyle name="Normal 2 3 2 2 2 2 4 3 5" xfId="19625"/>
    <cellStyle name="Normal 2 3 2 2 2 2 4 3 5 2" xfId="19626"/>
    <cellStyle name="Normal 2 3 2 2 2 2 4 3 6" xfId="19627"/>
    <cellStyle name="Normal 2 3 2 2 2 2 4 3 6 2" xfId="19628"/>
    <cellStyle name="Normal 2 3 2 2 2 2 4 3 7" xfId="19629"/>
    <cellStyle name="Normal 2 3 2 2 2 2 4 3 7 2" xfId="19630"/>
    <cellStyle name="Normal 2 3 2 2 2 2 4 3 8" xfId="19631"/>
    <cellStyle name="Normal 2 3 2 2 2 2 4 3 8 2" xfId="19632"/>
    <cellStyle name="Normal 2 3 2 2 2 2 4 3 9" xfId="19633"/>
    <cellStyle name="Normal 2 3 2 2 2 2 4 3 9 2" xfId="19634"/>
    <cellStyle name="Normal 2 3 2 2 2 2 4 4" xfId="19635"/>
    <cellStyle name="Normal 2 3 2 2 2 2 4 4 2" xfId="19636"/>
    <cellStyle name="Normal 2 3 2 2 2 2 4 5" xfId="19637"/>
    <cellStyle name="Normal 2 3 2 2 2 2 4 5 2" xfId="19638"/>
    <cellStyle name="Normal 2 3 2 2 2 2 4 6" xfId="19639"/>
    <cellStyle name="Normal 2 3 2 2 2 2 4 6 2" xfId="19640"/>
    <cellStyle name="Normal 2 3 2 2 2 2 4 7" xfId="19641"/>
    <cellStyle name="Normal 2 3 2 2 2 2 4 7 2" xfId="19642"/>
    <cellStyle name="Normal 2 3 2 2 2 2 4 8" xfId="19643"/>
    <cellStyle name="Normal 2 3 2 2 2 2 4 8 2" xfId="19644"/>
    <cellStyle name="Normal 2 3 2 2 2 2 4 9" xfId="19645"/>
    <cellStyle name="Normal 2 3 2 2 2 2 4 9 2" xfId="19646"/>
    <cellStyle name="Normal 2 3 2 2 2 2 5" xfId="523"/>
    <cellStyle name="Normal 2 3 2 2 2 2 5 10" xfId="19647"/>
    <cellStyle name="Normal 2 3 2 2 2 2 5 10 2" xfId="19648"/>
    <cellStyle name="Normal 2 3 2 2 2 2 5 11" xfId="19649"/>
    <cellStyle name="Normal 2 3 2 2 2 2 5 11 2" xfId="19650"/>
    <cellStyle name="Normal 2 3 2 2 2 2 5 12" xfId="19651"/>
    <cellStyle name="Normal 2 3 2 2 2 2 5 12 2" xfId="19652"/>
    <cellStyle name="Normal 2 3 2 2 2 2 5 13" xfId="19653"/>
    <cellStyle name="Normal 2 3 2 2 2 2 5 2" xfId="19654"/>
    <cellStyle name="Normal 2 3 2 2 2 2 5 2 10" xfId="19655"/>
    <cellStyle name="Normal 2 3 2 2 2 2 5 2 10 2" xfId="19656"/>
    <cellStyle name="Normal 2 3 2 2 2 2 5 2 11" xfId="19657"/>
    <cellStyle name="Normal 2 3 2 2 2 2 5 2 11 2" xfId="19658"/>
    <cellStyle name="Normal 2 3 2 2 2 2 5 2 12" xfId="19659"/>
    <cellStyle name="Normal 2 3 2 2 2 2 5 2 2" xfId="19660"/>
    <cellStyle name="Normal 2 3 2 2 2 2 5 2 2 10" xfId="19661"/>
    <cellStyle name="Normal 2 3 2 2 2 2 5 2 2 10 2" xfId="19662"/>
    <cellStyle name="Normal 2 3 2 2 2 2 5 2 2 11" xfId="19663"/>
    <cellStyle name="Normal 2 3 2 2 2 2 5 2 2 2" xfId="19664"/>
    <cellStyle name="Normal 2 3 2 2 2 2 5 2 2 2 2" xfId="19665"/>
    <cellStyle name="Normal 2 3 2 2 2 2 5 2 2 3" xfId="19666"/>
    <cellStyle name="Normal 2 3 2 2 2 2 5 2 2 3 2" xfId="19667"/>
    <cellStyle name="Normal 2 3 2 2 2 2 5 2 2 4" xfId="19668"/>
    <cellStyle name="Normal 2 3 2 2 2 2 5 2 2 4 2" xfId="19669"/>
    <cellStyle name="Normal 2 3 2 2 2 2 5 2 2 5" xfId="19670"/>
    <cellStyle name="Normal 2 3 2 2 2 2 5 2 2 5 2" xfId="19671"/>
    <cellStyle name="Normal 2 3 2 2 2 2 5 2 2 6" xfId="19672"/>
    <cellStyle name="Normal 2 3 2 2 2 2 5 2 2 6 2" xfId="19673"/>
    <cellStyle name="Normal 2 3 2 2 2 2 5 2 2 7" xfId="19674"/>
    <cellStyle name="Normal 2 3 2 2 2 2 5 2 2 7 2" xfId="19675"/>
    <cellStyle name="Normal 2 3 2 2 2 2 5 2 2 8" xfId="19676"/>
    <cellStyle name="Normal 2 3 2 2 2 2 5 2 2 8 2" xfId="19677"/>
    <cellStyle name="Normal 2 3 2 2 2 2 5 2 2 9" xfId="19678"/>
    <cellStyle name="Normal 2 3 2 2 2 2 5 2 2 9 2" xfId="19679"/>
    <cellStyle name="Normal 2 3 2 2 2 2 5 2 3" xfId="19680"/>
    <cellStyle name="Normal 2 3 2 2 2 2 5 2 3 2" xfId="19681"/>
    <cellStyle name="Normal 2 3 2 2 2 2 5 2 4" xfId="19682"/>
    <cellStyle name="Normal 2 3 2 2 2 2 5 2 4 2" xfId="19683"/>
    <cellStyle name="Normal 2 3 2 2 2 2 5 2 5" xfId="19684"/>
    <cellStyle name="Normal 2 3 2 2 2 2 5 2 5 2" xfId="19685"/>
    <cellStyle name="Normal 2 3 2 2 2 2 5 2 6" xfId="19686"/>
    <cellStyle name="Normal 2 3 2 2 2 2 5 2 6 2" xfId="19687"/>
    <cellStyle name="Normal 2 3 2 2 2 2 5 2 7" xfId="19688"/>
    <cellStyle name="Normal 2 3 2 2 2 2 5 2 7 2" xfId="19689"/>
    <cellStyle name="Normal 2 3 2 2 2 2 5 2 8" xfId="19690"/>
    <cellStyle name="Normal 2 3 2 2 2 2 5 2 8 2" xfId="19691"/>
    <cellStyle name="Normal 2 3 2 2 2 2 5 2 9" xfId="19692"/>
    <cellStyle name="Normal 2 3 2 2 2 2 5 2 9 2" xfId="19693"/>
    <cellStyle name="Normal 2 3 2 2 2 2 5 3" xfId="19694"/>
    <cellStyle name="Normal 2 3 2 2 2 2 5 3 10" xfId="19695"/>
    <cellStyle name="Normal 2 3 2 2 2 2 5 3 10 2" xfId="19696"/>
    <cellStyle name="Normal 2 3 2 2 2 2 5 3 11" xfId="19697"/>
    <cellStyle name="Normal 2 3 2 2 2 2 5 3 2" xfId="19698"/>
    <cellStyle name="Normal 2 3 2 2 2 2 5 3 2 2" xfId="19699"/>
    <cellStyle name="Normal 2 3 2 2 2 2 5 3 3" xfId="19700"/>
    <cellStyle name="Normal 2 3 2 2 2 2 5 3 3 2" xfId="19701"/>
    <cellStyle name="Normal 2 3 2 2 2 2 5 3 4" xfId="19702"/>
    <cellStyle name="Normal 2 3 2 2 2 2 5 3 4 2" xfId="19703"/>
    <cellStyle name="Normal 2 3 2 2 2 2 5 3 5" xfId="19704"/>
    <cellStyle name="Normal 2 3 2 2 2 2 5 3 5 2" xfId="19705"/>
    <cellStyle name="Normal 2 3 2 2 2 2 5 3 6" xfId="19706"/>
    <cellStyle name="Normal 2 3 2 2 2 2 5 3 6 2" xfId="19707"/>
    <cellStyle name="Normal 2 3 2 2 2 2 5 3 7" xfId="19708"/>
    <cellStyle name="Normal 2 3 2 2 2 2 5 3 7 2" xfId="19709"/>
    <cellStyle name="Normal 2 3 2 2 2 2 5 3 8" xfId="19710"/>
    <cellStyle name="Normal 2 3 2 2 2 2 5 3 8 2" xfId="19711"/>
    <cellStyle name="Normal 2 3 2 2 2 2 5 3 9" xfId="19712"/>
    <cellStyle name="Normal 2 3 2 2 2 2 5 3 9 2" xfId="19713"/>
    <cellStyle name="Normal 2 3 2 2 2 2 5 4" xfId="19714"/>
    <cellStyle name="Normal 2 3 2 2 2 2 5 4 2" xfId="19715"/>
    <cellStyle name="Normal 2 3 2 2 2 2 5 5" xfId="19716"/>
    <cellStyle name="Normal 2 3 2 2 2 2 5 5 2" xfId="19717"/>
    <cellStyle name="Normal 2 3 2 2 2 2 5 6" xfId="19718"/>
    <cellStyle name="Normal 2 3 2 2 2 2 5 6 2" xfId="19719"/>
    <cellStyle name="Normal 2 3 2 2 2 2 5 7" xfId="19720"/>
    <cellStyle name="Normal 2 3 2 2 2 2 5 7 2" xfId="19721"/>
    <cellStyle name="Normal 2 3 2 2 2 2 5 8" xfId="19722"/>
    <cellStyle name="Normal 2 3 2 2 2 2 5 8 2" xfId="19723"/>
    <cellStyle name="Normal 2 3 2 2 2 2 5 9" xfId="19724"/>
    <cellStyle name="Normal 2 3 2 2 2 2 5 9 2" xfId="19725"/>
    <cellStyle name="Normal 2 3 2 2 2 2 6" xfId="524"/>
    <cellStyle name="Normal 2 3 2 2 2 2 6 10" xfId="19726"/>
    <cellStyle name="Normal 2 3 2 2 2 2 6 10 2" xfId="19727"/>
    <cellStyle name="Normal 2 3 2 2 2 2 6 11" xfId="19728"/>
    <cellStyle name="Normal 2 3 2 2 2 2 6 11 2" xfId="19729"/>
    <cellStyle name="Normal 2 3 2 2 2 2 6 12" xfId="19730"/>
    <cellStyle name="Normal 2 3 2 2 2 2 6 12 2" xfId="19731"/>
    <cellStyle name="Normal 2 3 2 2 2 2 6 13" xfId="19732"/>
    <cellStyle name="Normal 2 3 2 2 2 2 6 2" xfId="19733"/>
    <cellStyle name="Normal 2 3 2 2 2 2 6 2 10" xfId="19734"/>
    <cellStyle name="Normal 2 3 2 2 2 2 6 2 10 2" xfId="19735"/>
    <cellStyle name="Normal 2 3 2 2 2 2 6 2 11" xfId="19736"/>
    <cellStyle name="Normal 2 3 2 2 2 2 6 2 11 2" xfId="19737"/>
    <cellStyle name="Normal 2 3 2 2 2 2 6 2 12" xfId="19738"/>
    <cellStyle name="Normal 2 3 2 2 2 2 6 2 2" xfId="19739"/>
    <cellStyle name="Normal 2 3 2 2 2 2 6 2 2 10" xfId="19740"/>
    <cellStyle name="Normal 2 3 2 2 2 2 6 2 2 10 2" xfId="19741"/>
    <cellStyle name="Normal 2 3 2 2 2 2 6 2 2 11" xfId="19742"/>
    <cellStyle name="Normal 2 3 2 2 2 2 6 2 2 2" xfId="19743"/>
    <cellStyle name="Normal 2 3 2 2 2 2 6 2 2 2 2" xfId="19744"/>
    <cellStyle name="Normal 2 3 2 2 2 2 6 2 2 3" xfId="19745"/>
    <cellStyle name="Normal 2 3 2 2 2 2 6 2 2 3 2" xfId="19746"/>
    <cellStyle name="Normal 2 3 2 2 2 2 6 2 2 4" xfId="19747"/>
    <cellStyle name="Normal 2 3 2 2 2 2 6 2 2 4 2" xfId="19748"/>
    <cellStyle name="Normal 2 3 2 2 2 2 6 2 2 5" xfId="19749"/>
    <cellStyle name="Normal 2 3 2 2 2 2 6 2 2 5 2" xfId="19750"/>
    <cellStyle name="Normal 2 3 2 2 2 2 6 2 2 6" xfId="19751"/>
    <cellStyle name="Normal 2 3 2 2 2 2 6 2 2 6 2" xfId="19752"/>
    <cellStyle name="Normal 2 3 2 2 2 2 6 2 2 7" xfId="19753"/>
    <cellStyle name="Normal 2 3 2 2 2 2 6 2 2 7 2" xfId="19754"/>
    <cellStyle name="Normal 2 3 2 2 2 2 6 2 2 8" xfId="19755"/>
    <cellStyle name="Normal 2 3 2 2 2 2 6 2 2 8 2" xfId="19756"/>
    <cellStyle name="Normal 2 3 2 2 2 2 6 2 2 9" xfId="19757"/>
    <cellStyle name="Normal 2 3 2 2 2 2 6 2 2 9 2" xfId="19758"/>
    <cellStyle name="Normal 2 3 2 2 2 2 6 2 3" xfId="19759"/>
    <cellStyle name="Normal 2 3 2 2 2 2 6 2 3 2" xfId="19760"/>
    <cellStyle name="Normal 2 3 2 2 2 2 6 2 4" xfId="19761"/>
    <cellStyle name="Normal 2 3 2 2 2 2 6 2 4 2" xfId="19762"/>
    <cellStyle name="Normal 2 3 2 2 2 2 6 2 5" xfId="19763"/>
    <cellStyle name="Normal 2 3 2 2 2 2 6 2 5 2" xfId="19764"/>
    <cellStyle name="Normal 2 3 2 2 2 2 6 2 6" xfId="19765"/>
    <cellStyle name="Normal 2 3 2 2 2 2 6 2 6 2" xfId="19766"/>
    <cellStyle name="Normal 2 3 2 2 2 2 6 2 7" xfId="19767"/>
    <cellStyle name="Normal 2 3 2 2 2 2 6 2 7 2" xfId="19768"/>
    <cellStyle name="Normal 2 3 2 2 2 2 6 2 8" xfId="19769"/>
    <cellStyle name="Normal 2 3 2 2 2 2 6 2 8 2" xfId="19770"/>
    <cellStyle name="Normal 2 3 2 2 2 2 6 2 9" xfId="19771"/>
    <cellStyle name="Normal 2 3 2 2 2 2 6 2 9 2" xfId="19772"/>
    <cellStyle name="Normal 2 3 2 2 2 2 6 3" xfId="19773"/>
    <cellStyle name="Normal 2 3 2 2 2 2 6 3 10" xfId="19774"/>
    <cellStyle name="Normal 2 3 2 2 2 2 6 3 10 2" xfId="19775"/>
    <cellStyle name="Normal 2 3 2 2 2 2 6 3 11" xfId="19776"/>
    <cellStyle name="Normal 2 3 2 2 2 2 6 3 2" xfId="19777"/>
    <cellStyle name="Normal 2 3 2 2 2 2 6 3 2 2" xfId="19778"/>
    <cellStyle name="Normal 2 3 2 2 2 2 6 3 3" xfId="19779"/>
    <cellStyle name="Normal 2 3 2 2 2 2 6 3 3 2" xfId="19780"/>
    <cellStyle name="Normal 2 3 2 2 2 2 6 3 4" xfId="19781"/>
    <cellStyle name="Normal 2 3 2 2 2 2 6 3 4 2" xfId="19782"/>
    <cellStyle name="Normal 2 3 2 2 2 2 6 3 5" xfId="19783"/>
    <cellStyle name="Normal 2 3 2 2 2 2 6 3 5 2" xfId="19784"/>
    <cellStyle name="Normal 2 3 2 2 2 2 6 3 6" xfId="19785"/>
    <cellStyle name="Normal 2 3 2 2 2 2 6 3 6 2" xfId="19786"/>
    <cellStyle name="Normal 2 3 2 2 2 2 6 3 7" xfId="19787"/>
    <cellStyle name="Normal 2 3 2 2 2 2 6 3 7 2" xfId="19788"/>
    <cellStyle name="Normal 2 3 2 2 2 2 6 3 8" xfId="19789"/>
    <cellStyle name="Normal 2 3 2 2 2 2 6 3 8 2" xfId="19790"/>
    <cellStyle name="Normal 2 3 2 2 2 2 6 3 9" xfId="19791"/>
    <cellStyle name="Normal 2 3 2 2 2 2 6 3 9 2" xfId="19792"/>
    <cellStyle name="Normal 2 3 2 2 2 2 6 4" xfId="19793"/>
    <cellStyle name="Normal 2 3 2 2 2 2 6 4 2" xfId="19794"/>
    <cellStyle name="Normal 2 3 2 2 2 2 6 5" xfId="19795"/>
    <cellStyle name="Normal 2 3 2 2 2 2 6 5 2" xfId="19796"/>
    <cellStyle name="Normal 2 3 2 2 2 2 6 6" xfId="19797"/>
    <cellStyle name="Normal 2 3 2 2 2 2 6 6 2" xfId="19798"/>
    <cellStyle name="Normal 2 3 2 2 2 2 6 7" xfId="19799"/>
    <cellStyle name="Normal 2 3 2 2 2 2 6 7 2" xfId="19800"/>
    <cellStyle name="Normal 2 3 2 2 2 2 6 8" xfId="19801"/>
    <cellStyle name="Normal 2 3 2 2 2 2 6 8 2" xfId="19802"/>
    <cellStyle name="Normal 2 3 2 2 2 2 6 9" xfId="19803"/>
    <cellStyle name="Normal 2 3 2 2 2 2 6 9 2" xfId="19804"/>
    <cellStyle name="Normal 2 3 2 2 2 2 7" xfId="525"/>
    <cellStyle name="Normal 2 3 2 2 2 20" xfId="19805"/>
    <cellStyle name="Normal 2 3 2 2 2 20 2" xfId="19806"/>
    <cellStyle name="Normal 2 3 2 2 2 21" xfId="19807"/>
    <cellStyle name="Normal 2 3 2 2 2 3" xfId="526"/>
    <cellStyle name="Normal 2 3 2 2 2 3 10" xfId="19808"/>
    <cellStyle name="Normal 2 3 2 2 2 3 10 2" xfId="19809"/>
    <cellStyle name="Normal 2 3 2 2 2 3 11" xfId="19810"/>
    <cellStyle name="Normal 2 3 2 2 2 3 11 2" xfId="19811"/>
    <cellStyle name="Normal 2 3 2 2 2 3 12" xfId="19812"/>
    <cellStyle name="Normal 2 3 2 2 2 3 12 2" xfId="19813"/>
    <cellStyle name="Normal 2 3 2 2 2 3 13" xfId="19814"/>
    <cellStyle name="Normal 2 3 2 2 2 3 2" xfId="19815"/>
    <cellStyle name="Normal 2 3 2 2 2 3 2 10" xfId="19816"/>
    <cellStyle name="Normal 2 3 2 2 2 3 2 10 2" xfId="19817"/>
    <cellStyle name="Normal 2 3 2 2 2 3 2 11" xfId="19818"/>
    <cellStyle name="Normal 2 3 2 2 2 3 2 11 2" xfId="19819"/>
    <cellStyle name="Normal 2 3 2 2 2 3 2 12" xfId="19820"/>
    <cellStyle name="Normal 2 3 2 2 2 3 2 2" xfId="19821"/>
    <cellStyle name="Normal 2 3 2 2 2 3 2 2 10" xfId="19822"/>
    <cellStyle name="Normal 2 3 2 2 2 3 2 2 10 2" xfId="19823"/>
    <cellStyle name="Normal 2 3 2 2 2 3 2 2 11" xfId="19824"/>
    <cellStyle name="Normal 2 3 2 2 2 3 2 2 2" xfId="19825"/>
    <cellStyle name="Normal 2 3 2 2 2 3 2 2 2 2" xfId="19826"/>
    <cellStyle name="Normal 2 3 2 2 2 3 2 2 3" xfId="19827"/>
    <cellStyle name="Normal 2 3 2 2 2 3 2 2 3 2" xfId="19828"/>
    <cellStyle name="Normal 2 3 2 2 2 3 2 2 4" xfId="19829"/>
    <cellStyle name="Normal 2 3 2 2 2 3 2 2 4 2" xfId="19830"/>
    <cellStyle name="Normal 2 3 2 2 2 3 2 2 5" xfId="19831"/>
    <cellStyle name="Normal 2 3 2 2 2 3 2 2 5 2" xfId="19832"/>
    <cellStyle name="Normal 2 3 2 2 2 3 2 2 6" xfId="19833"/>
    <cellStyle name="Normal 2 3 2 2 2 3 2 2 6 2" xfId="19834"/>
    <cellStyle name="Normal 2 3 2 2 2 3 2 2 7" xfId="19835"/>
    <cellStyle name="Normal 2 3 2 2 2 3 2 2 7 2" xfId="19836"/>
    <cellStyle name="Normal 2 3 2 2 2 3 2 2 8" xfId="19837"/>
    <cellStyle name="Normal 2 3 2 2 2 3 2 2 8 2" xfId="19838"/>
    <cellStyle name="Normal 2 3 2 2 2 3 2 2 9" xfId="19839"/>
    <cellStyle name="Normal 2 3 2 2 2 3 2 2 9 2" xfId="19840"/>
    <cellStyle name="Normal 2 3 2 2 2 3 2 3" xfId="19841"/>
    <cellStyle name="Normal 2 3 2 2 2 3 2 3 2" xfId="19842"/>
    <cellStyle name="Normal 2 3 2 2 2 3 2 4" xfId="19843"/>
    <cellStyle name="Normal 2 3 2 2 2 3 2 4 2" xfId="19844"/>
    <cellStyle name="Normal 2 3 2 2 2 3 2 5" xfId="19845"/>
    <cellStyle name="Normal 2 3 2 2 2 3 2 5 2" xfId="19846"/>
    <cellStyle name="Normal 2 3 2 2 2 3 2 6" xfId="19847"/>
    <cellStyle name="Normal 2 3 2 2 2 3 2 6 2" xfId="19848"/>
    <cellStyle name="Normal 2 3 2 2 2 3 2 7" xfId="19849"/>
    <cellStyle name="Normal 2 3 2 2 2 3 2 7 2" xfId="19850"/>
    <cellStyle name="Normal 2 3 2 2 2 3 2 8" xfId="19851"/>
    <cellStyle name="Normal 2 3 2 2 2 3 2 8 2" xfId="19852"/>
    <cellStyle name="Normal 2 3 2 2 2 3 2 9" xfId="19853"/>
    <cellStyle name="Normal 2 3 2 2 2 3 2 9 2" xfId="19854"/>
    <cellStyle name="Normal 2 3 2 2 2 3 3" xfId="19855"/>
    <cellStyle name="Normal 2 3 2 2 2 3 3 10" xfId="19856"/>
    <cellStyle name="Normal 2 3 2 2 2 3 3 10 2" xfId="19857"/>
    <cellStyle name="Normal 2 3 2 2 2 3 3 11" xfId="19858"/>
    <cellStyle name="Normal 2 3 2 2 2 3 3 2" xfId="19859"/>
    <cellStyle name="Normal 2 3 2 2 2 3 3 2 2" xfId="19860"/>
    <cellStyle name="Normal 2 3 2 2 2 3 3 3" xfId="19861"/>
    <cellStyle name="Normal 2 3 2 2 2 3 3 3 2" xfId="19862"/>
    <cellStyle name="Normal 2 3 2 2 2 3 3 4" xfId="19863"/>
    <cellStyle name="Normal 2 3 2 2 2 3 3 4 2" xfId="19864"/>
    <cellStyle name="Normal 2 3 2 2 2 3 3 5" xfId="19865"/>
    <cellStyle name="Normal 2 3 2 2 2 3 3 5 2" xfId="19866"/>
    <cellStyle name="Normal 2 3 2 2 2 3 3 6" xfId="19867"/>
    <cellStyle name="Normal 2 3 2 2 2 3 3 6 2" xfId="19868"/>
    <cellStyle name="Normal 2 3 2 2 2 3 3 7" xfId="19869"/>
    <cellStyle name="Normal 2 3 2 2 2 3 3 7 2" xfId="19870"/>
    <cellStyle name="Normal 2 3 2 2 2 3 3 8" xfId="19871"/>
    <cellStyle name="Normal 2 3 2 2 2 3 3 8 2" xfId="19872"/>
    <cellStyle name="Normal 2 3 2 2 2 3 3 9" xfId="19873"/>
    <cellStyle name="Normal 2 3 2 2 2 3 3 9 2" xfId="19874"/>
    <cellStyle name="Normal 2 3 2 2 2 3 4" xfId="19875"/>
    <cellStyle name="Normal 2 3 2 2 2 3 4 2" xfId="19876"/>
    <cellStyle name="Normal 2 3 2 2 2 3 5" xfId="19877"/>
    <cellStyle name="Normal 2 3 2 2 2 3 5 2" xfId="19878"/>
    <cellStyle name="Normal 2 3 2 2 2 3 6" xfId="19879"/>
    <cellStyle name="Normal 2 3 2 2 2 3 6 2" xfId="19880"/>
    <cellStyle name="Normal 2 3 2 2 2 3 7" xfId="19881"/>
    <cellStyle name="Normal 2 3 2 2 2 3 7 2" xfId="19882"/>
    <cellStyle name="Normal 2 3 2 2 2 3 8" xfId="19883"/>
    <cellStyle name="Normal 2 3 2 2 2 3 8 2" xfId="19884"/>
    <cellStyle name="Normal 2 3 2 2 2 3 9" xfId="19885"/>
    <cellStyle name="Normal 2 3 2 2 2 3 9 2" xfId="19886"/>
    <cellStyle name="Normal 2 3 2 2 2 4" xfId="527"/>
    <cellStyle name="Normal 2 3 2 2 2 4 10" xfId="19887"/>
    <cellStyle name="Normal 2 3 2 2 2 4 10 2" xfId="19888"/>
    <cellStyle name="Normal 2 3 2 2 2 4 11" xfId="19889"/>
    <cellStyle name="Normal 2 3 2 2 2 4 11 2" xfId="19890"/>
    <cellStyle name="Normal 2 3 2 2 2 4 12" xfId="19891"/>
    <cellStyle name="Normal 2 3 2 2 2 4 12 2" xfId="19892"/>
    <cellStyle name="Normal 2 3 2 2 2 4 13" xfId="19893"/>
    <cellStyle name="Normal 2 3 2 2 2 4 2" xfId="19894"/>
    <cellStyle name="Normal 2 3 2 2 2 4 2 10" xfId="19895"/>
    <cellStyle name="Normal 2 3 2 2 2 4 2 10 2" xfId="19896"/>
    <cellStyle name="Normal 2 3 2 2 2 4 2 11" xfId="19897"/>
    <cellStyle name="Normal 2 3 2 2 2 4 2 11 2" xfId="19898"/>
    <cellStyle name="Normal 2 3 2 2 2 4 2 12" xfId="19899"/>
    <cellStyle name="Normal 2 3 2 2 2 4 2 2" xfId="19900"/>
    <cellStyle name="Normal 2 3 2 2 2 4 2 2 10" xfId="19901"/>
    <cellStyle name="Normal 2 3 2 2 2 4 2 2 10 2" xfId="19902"/>
    <cellStyle name="Normal 2 3 2 2 2 4 2 2 11" xfId="19903"/>
    <cellStyle name="Normal 2 3 2 2 2 4 2 2 2" xfId="19904"/>
    <cellStyle name="Normal 2 3 2 2 2 4 2 2 2 2" xfId="19905"/>
    <cellStyle name="Normal 2 3 2 2 2 4 2 2 3" xfId="19906"/>
    <cellStyle name="Normal 2 3 2 2 2 4 2 2 3 2" xfId="19907"/>
    <cellStyle name="Normal 2 3 2 2 2 4 2 2 4" xfId="19908"/>
    <cellStyle name="Normal 2 3 2 2 2 4 2 2 4 2" xfId="19909"/>
    <cellStyle name="Normal 2 3 2 2 2 4 2 2 5" xfId="19910"/>
    <cellStyle name="Normal 2 3 2 2 2 4 2 2 5 2" xfId="19911"/>
    <cellStyle name="Normal 2 3 2 2 2 4 2 2 6" xfId="19912"/>
    <cellStyle name="Normal 2 3 2 2 2 4 2 2 6 2" xfId="19913"/>
    <cellStyle name="Normal 2 3 2 2 2 4 2 2 7" xfId="19914"/>
    <cellStyle name="Normal 2 3 2 2 2 4 2 2 7 2" xfId="19915"/>
    <cellStyle name="Normal 2 3 2 2 2 4 2 2 8" xfId="19916"/>
    <cellStyle name="Normal 2 3 2 2 2 4 2 2 8 2" xfId="19917"/>
    <cellStyle name="Normal 2 3 2 2 2 4 2 2 9" xfId="19918"/>
    <cellStyle name="Normal 2 3 2 2 2 4 2 2 9 2" xfId="19919"/>
    <cellStyle name="Normal 2 3 2 2 2 4 2 3" xfId="19920"/>
    <cellStyle name="Normal 2 3 2 2 2 4 2 3 2" xfId="19921"/>
    <cellStyle name="Normal 2 3 2 2 2 4 2 4" xfId="19922"/>
    <cellStyle name="Normal 2 3 2 2 2 4 2 4 2" xfId="19923"/>
    <cellStyle name="Normal 2 3 2 2 2 4 2 5" xfId="19924"/>
    <cellStyle name="Normal 2 3 2 2 2 4 2 5 2" xfId="19925"/>
    <cellStyle name="Normal 2 3 2 2 2 4 2 6" xfId="19926"/>
    <cellStyle name="Normal 2 3 2 2 2 4 2 6 2" xfId="19927"/>
    <cellStyle name="Normal 2 3 2 2 2 4 2 7" xfId="19928"/>
    <cellStyle name="Normal 2 3 2 2 2 4 2 7 2" xfId="19929"/>
    <cellStyle name="Normal 2 3 2 2 2 4 2 8" xfId="19930"/>
    <cellStyle name="Normal 2 3 2 2 2 4 2 8 2" xfId="19931"/>
    <cellStyle name="Normal 2 3 2 2 2 4 2 9" xfId="19932"/>
    <cellStyle name="Normal 2 3 2 2 2 4 2 9 2" xfId="19933"/>
    <cellStyle name="Normal 2 3 2 2 2 4 3" xfId="19934"/>
    <cellStyle name="Normal 2 3 2 2 2 4 3 10" xfId="19935"/>
    <cellStyle name="Normal 2 3 2 2 2 4 3 10 2" xfId="19936"/>
    <cellStyle name="Normal 2 3 2 2 2 4 3 11" xfId="19937"/>
    <cellStyle name="Normal 2 3 2 2 2 4 3 2" xfId="19938"/>
    <cellStyle name="Normal 2 3 2 2 2 4 3 2 2" xfId="19939"/>
    <cellStyle name="Normal 2 3 2 2 2 4 3 3" xfId="19940"/>
    <cellStyle name="Normal 2 3 2 2 2 4 3 3 2" xfId="19941"/>
    <cellStyle name="Normal 2 3 2 2 2 4 3 4" xfId="19942"/>
    <cellStyle name="Normal 2 3 2 2 2 4 3 4 2" xfId="19943"/>
    <cellStyle name="Normal 2 3 2 2 2 4 3 5" xfId="19944"/>
    <cellStyle name="Normal 2 3 2 2 2 4 3 5 2" xfId="19945"/>
    <cellStyle name="Normal 2 3 2 2 2 4 3 6" xfId="19946"/>
    <cellStyle name="Normal 2 3 2 2 2 4 3 6 2" xfId="19947"/>
    <cellStyle name="Normal 2 3 2 2 2 4 3 7" xfId="19948"/>
    <cellStyle name="Normal 2 3 2 2 2 4 3 7 2" xfId="19949"/>
    <cellStyle name="Normal 2 3 2 2 2 4 3 8" xfId="19950"/>
    <cellStyle name="Normal 2 3 2 2 2 4 3 8 2" xfId="19951"/>
    <cellStyle name="Normal 2 3 2 2 2 4 3 9" xfId="19952"/>
    <cellStyle name="Normal 2 3 2 2 2 4 3 9 2" xfId="19953"/>
    <cellStyle name="Normal 2 3 2 2 2 4 4" xfId="19954"/>
    <cellStyle name="Normal 2 3 2 2 2 4 4 2" xfId="19955"/>
    <cellStyle name="Normal 2 3 2 2 2 4 5" xfId="19956"/>
    <cellStyle name="Normal 2 3 2 2 2 4 5 2" xfId="19957"/>
    <cellStyle name="Normal 2 3 2 2 2 4 6" xfId="19958"/>
    <cellStyle name="Normal 2 3 2 2 2 4 6 2" xfId="19959"/>
    <cellStyle name="Normal 2 3 2 2 2 4 7" xfId="19960"/>
    <cellStyle name="Normal 2 3 2 2 2 4 7 2" xfId="19961"/>
    <cellStyle name="Normal 2 3 2 2 2 4 8" xfId="19962"/>
    <cellStyle name="Normal 2 3 2 2 2 4 8 2" xfId="19963"/>
    <cellStyle name="Normal 2 3 2 2 2 4 9" xfId="19964"/>
    <cellStyle name="Normal 2 3 2 2 2 4 9 2" xfId="19965"/>
    <cellStyle name="Normal 2 3 2 2 2 5" xfId="528"/>
    <cellStyle name="Normal 2 3 2 2 2 5 10" xfId="19966"/>
    <cellStyle name="Normal 2 3 2 2 2 5 10 2" xfId="19967"/>
    <cellStyle name="Normal 2 3 2 2 2 5 11" xfId="19968"/>
    <cellStyle name="Normal 2 3 2 2 2 5 11 2" xfId="19969"/>
    <cellStyle name="Normal 2 3 2 2 2 5 12" xfId="19970"/>
    <cellStyle name="Normal 2 3 2 2 2 5 12 2" xfId="19971"/>
    <cellStyle name="Normal 2 3 2 2 2 5 13" xfId="19972"/>
    <cellStyle name="Normal 2 3 2 2 2 5 2" xfId="19973"/>
    <cellStyle name="Normal 2 3 2 2 2 5 2 10" xfId="19974"/>
    <cellStyle name="Normal 2 3 2 2 2 5 2 10 2" xfId="19975"/>
    <cellStyle name="Normal 2 3 2 2 2 5 2 11" xfId="19976"/>
    <cellStyle name="Normal 2 3 2 2 2 5 2 11 2" xfId="19977"/>
    <cellStyle name="Normal 2 3 2 2 2 5 2 12" xfId="19978"/>
    <cellStyle name="Normal 2 3 2 2 2 5 2 2" xfId="19979"/>
    <cellStyle name="Normal 2 3 2 2 2 5 2 2 10" xfId="19980"/>
    <cellStyle name="Normal 2 3 2 2 2 5 2 2 10 2" xfId="19981"/>
    <cellStyle name="Normal 2 3 2 2 2 5 2 2 11" xfId="19982"/>
    <cellStyle name="Normal 2 3 2 2 2 5 2 2 2" xfId="19983"/>
    <cellStyle name="Normal 2 3 2 2 2 5 2 2 2 2" xfId="19984"/>
    <cellStyle name="Normal 2 3 2 2 2 5 2 2 3" xfId="19985"/>
    <cellStyle name="Normal 2 3 2 2 2 5 2 2 3 2" xfId="19986"/>
    <cellStyle name="Normal 2 3 2 2 2 5 2 2 4" xfId="19987"/>
    <cellStyle name="Normal 2 3 2 2 2 5 2 2 4 2" xfId="19988"/>
    <cellStyle name="Normal 2 3 2 2 2 5 2 2 5" xfId="19989"/>
    <cellStyle name="Normal 2 3 2 2 2 5 2 2 5 2" xfId="19990"/>
    <cellStyle name="Normal 2 3 2 2 2 5 2 2 6" xfId="19991"/>
    <cellStyle name="Normal 2 3 2 2 2 5 2 2 6 2" xfId="19992"/>
    <cellStyle name="Normal 2 3 2 2 2 5 2 2 7" xfId="19993"/>
    <cellStyle name="Normal 2 3 2 2 2 5 2 2 7 2" xfId="19994"/>
    <cellStyle name="Normal 2 3 2 2 2 5 2 2 8" xfId="19995"/>
    <cellStyle name="Normal 2 3 2 2 2 5 2 2 8 2" xfId="19996"/>
    <cellStyle name="Normal 2 3 2 2 2 5 2 2 9" xfId="19997"/>
    <cellStyle name="Normal 2 3 2 2 2 5 2 2 9 2" xfId="19998"/>
    <cellStyle name="Normal 2 3 2 2 2 5 2 3" xfId="19999"/>
    <cellStyle name="Normal 2 3 2 2 2 5 2 3 2" xfId="20000"/>
    <cellStyle name="Normal 2 3 2 2 2 5 2 4" xfId="20001"/>
    <cellStyle name="Normal 2 3 2 2 2 5 2 4 2" xfId="20002"/>
    <cellStyle name="Normal 2 3 2 2 2 5 2 5" xfId="20003"/>
    <cellStyle name="Normal 2 3 2 2 2 5 2 5 2" xfId="20004"/>
    <cellStyle name="Normal 2 3 2 2 2 5 2 6" xfId="20005"/>
    <cellStyle name="Normal 2 3 2 2 2 5 2 6 2" xfId="20006"/>
    <cellStyle name="Normal 2 3 2 2 2 5 2 7" xfId="20007"/>
    <cellStyle name="Normal 2 3 2 2 2 5 2 7 2" xfId="20008"/>
    <cellStyle name="Normal 2 3 2 2 2 5 2 8" xfId="20009"/>
    <cellStyle name="Normal 2 3 2 2 2 5 2 8 2" xfId="20010"/>
    <cellStyle name="Normal 2 3 2 2 2 5 2 9" xfId="20011"/>
    <cellStyle name="Normal 2 3 2 2 2 5 2 9 2" xfId="20012"/>
    <cellStyle name="Normal 2 3 2 2 2 5 3" xfId="20013"/>
    <cellStyle name="Normal 2 3 2 2 2 5 3 10" xfId="20014"/>
    <cellStyle name="Normal 2 3 2 2 2 5 3 10 2" xfId="20015"/>
    <cellStyle name="Normal 2 3 2 2 2 5 3 11" xfId="20016"/>
    <cellStyle name="Normal 2 3 2 2 2 5 3 2" xfId="20017"/>
    <cellStyle name="Normal 2 3 2 2 2 5 3 2 2" xfId="20018"/>
    <cellStyle name="Normal 2 3 2 2 2 5 3 3" xfId="20019"/>
    <cellStyle name="Normal 2 3 2 2 2 5 3 3 2" xfId="20020"/>
    <cellStyle name="Normal 2 3 2 2 2 5 3 4" xfId="20021"/>
    <cellStyle name="Normal 2 3 2 2 2 5 3 4 2" xfId="20022"/>
    <cellStyle name="Normal 2 3 2 2 2 5 3 5" xfId="20023"/>
    <cellStyle name="Normal 2 3 2 2 2 5 3 5 2" xfId="20024"/>
    <cellStyle name="Normal 2 3 2 2 2 5 3 6" xfId="20025"/>
    <cellStyle name="Normal 2 3 2 2 2 5 3 6 2" xfId="20026"/>
    <cellStyle name="Normal 2 3 2 2 2 5 3 7" xfId="20027"/>
    <cellStyle name="Normal 2 3 2 2 2 5 3 7 2" xfId="20028"/>
    <cellStyle name="Normal 2 3 2 2 2 5 3 8" xfId="20029"/>
    <cellStyle name="Normal 2 3 2 2 2 5 3 8 2" xfId="20030"/>
    <cellStyle name="Normal 2 3 2 2 2 5 3 9" xfId="20031"/>
    <cellStyle name="Normal 2 3 2 2 2 5 3 9 2" xfId="20032"/>
    <cellStyle name="Normal 2 3 2 2 2 5 4" xfId="20033"/>
    <cellStyle name="Normal 2 3 2 2 2 5 4 2" xfId="20034"/>
    <cellStyle name="Normal 2 3 2 2 2 5 5" xfId="20035"/>
    <cellStyle name="Normal 2 3 2 2 2 5 5 2" xfId="20036"/>
    <cellStyle name="Normal 2 3 2 2 2 5 6" xfId="20037"/>
    <cellStyle name="Normal 2 3 2 2 2 5 6 2" xfId="20038"/>
    <cellStyle name="Normal 2 3 2 2 2 5 7" xfId="20039"/>
    <cellStyle name="Normal 2 3 2 2 2 5 7 2" xfId="20040"/>
    <cellStyle name="Normal 2 3 2 2 2 5 8" xfId="20041"/>
    <cellStyle name="Normal 2 3 2 2 2 5 8 2" xfId="20042"/>
    <cellStyle name="Normal 2 3 2 2 2 5 9" xfId="20043"/>
    <cellStyle name="Normal 2 3 2 2 2 5 9 2" xfId="20044"/>
    <cellStyle name="Normal 2 3 2 2 2 6" xfId="529"/>
    <cellStyle name="Normal 2 3 2 2 2 6 2" xfId="530"/>
    <cellStyle name="Normal 2 3 2 2 2 6 2 10" xfId="20045"/>
    <cellStyle name="Normal 2 3 2 2 2 6 2 10 2" xfId="20046"/>
    <cellStyle name="Normal 2 3 2 2 2 6 2 11" xfId="20047"/>
    <cellStyle name="Normal 2 3 2 2 2 6 2 11 2" xfId="20048"/>
    <cellStyle name="Normal 2 3 2 2 2 6 2 12" xfId="20049"/>
    <cellStyle name="Normal 2 3 2 2 2 6 2 12 2" xfId="20050"/>
    <cellStyle name="Normal 2 3 2 2 2 6 2 13" xfId="20051"/>
    <cellStyle name="Normal 2 3 2 2 2 6 2 2" xfId="20052"/>
    <cellStyle name="Normal 2 3 2 2 2 6 2 2 10" xfId="20053"/>
    <cellStyle name="Normal 2 3 2 2 2 6 2 2 10 2" xfId="20054"/>
    <cellStyle name="Normal 2 3 2 2 2 6 2 2 11" xfId="20055"/>
    <cellStyle name="Normal 2 3 2 2 2 6 2 2 11 2" xfId="20056"/>
    <cellStyle name="Normal 2 3 2 2 2 6 2 2 12" xfId="20057"/>
    <cellStyle name="Normal 2 3 2 2 2 6 2 2 2" xfId="20058"/>
    <cellStyle name="Normal 2 3 2 2 2 6 2 2 2 10" xfId="20059"/>
    <cellStyle name="Normal 2 3 2 2 2 6 2 2 2 10 2" xfId="20060"/>
    <cellStyle name="Normal 2 3 2 2 2 6 2 2 2 11" xfId="20061"/>
    <cellStyle name="Normal 2 3 2 2 2 6 2 2 2 2" xfId="20062"/>
    <cellStyle name="Normal 2 3 2 2 2 6 2 2 2 2 2" xfId="20063"/>
    <cellStyle name="Normal 2 3 2 2 2 6 2 2 2 3" xfId="20064"/>
    <cellStyle name="Normal 2 3 2 2 2 6 2 2 2 3 2" xfId="20065"/>
    <cellStyle name="Normal 2 3 2 2 2 6 2 2 2 4" xfId="20066"/>
    <cellStyle name="Normal 2 3 2 2 2 6 2 2 2 4 2" xfId="20067"/>
    <cellStyle name="Normal 2 3 2 2 2 6 2 2 2 5" xfId="20068"/>
    <cellStyle name="Normal 2 3 2 2 2 6 2 2 2 5 2" xfId="20069"/>
    <cellStyle name="Normal 2 3 2 2 2 6 2 2 2 6" xfId="20070"/>
    <cellStyle name="Normal 2 3 2 2 2 6 2 2 2 6 2" xfId="20071"/>
    <cellStyle name="Normal 2 3 2 2 2 6 2 2 2 7" xfId="20072"/>
    <cellStyle name="Normal 2 3 2 2 2 6 2 2 2 7 2" xfId="20073"/>
    <cellStyle name="Normal 2 3 2 2 2 6 2 2 2 8" xfId="20074"/>
    <cellStyle name="Normal 2 3 2 2 2 6 2 2 2 8 2" xfId="20075"/>
    <cellStyle name="Normal 2 3 2 2 2 6 2 2 2 9" xfId="20076"/>
    <cellStyle name="Normal 2 3 2 2 2 6 2 2 2 9 2" xfId="20077"/>
    <cellStyle name="Normal 2 3 2 2 2 6 2 2 3" xfId="20078"/>
    <cellStyle name="Normal 2 3 2 2 2 6 2 2 3 2" xfId="20079"/>
    <cellStyle name="Normal 2 3 2 2 2 6 2 2 4" xfId="20080"/>
    <cellStyle name="Normal 2 3 2 2 2 6 2 2 4 2" xfId="20081"/>
    <cellStyle name="Normal 2 3 2 2 2 6 2 2 5" xfId="20082"/>
    <cellStyle name="Normal 2 3 2 2 2 6 2 2 5 2" xfId="20083"/>
    <cellStyle name="Normal 2 3 2 2 2 6 2 2 6" xfId="20084"/>
    <cellStyle name="Normal 2 3 2 2 2 6 2 2 6 2" xfId="20085"/>
    <cellStyle name="Normal 2 3 2 2 2 6 2 2 7" xfId="20086"/>
    <cellStyle name="Normal 2 3 2 2 2 6 2 2 7 2" xfId="20087"/>
    <cellStyle name="Normal 2 3 2 2 2 6 2 2 8" xfId="20088"/>
    <cellStyle name="Normal 2 3 2 2 2 6 2 2 8 2" xfId="20089"/>
    <cellStyle name="Normal 2 3 2 2 2 6 2 2 9" xfId="20090"/>
    <cellStyle name="Normal 2 3 2 2 2 6 2 2 9 2" xfId="20091"/>
    <cellStyle name="Normal 2 3 2 2 2 6 2 3" xfId="20092"/>
    <cellStyle name="Normal 2 3 2 2 2 6 2 3 10" xfId="20093"/>
    <cellStyle name="Normal 2 3 2 2 2 6 2 3 10 2" xfId="20094"/>
    <cellStyle name="Normal 2 3 2 2 2 6 2 3 11" xfId="20095"/>
    <cellStyle name="Normal 2 3 2 2 2 6 2 3 2" xfId="20096"/>
    <cellStyle name="Normal 2 3 2 2 2 6 2 3 2 2" xfId="20097"/>
    <cellStyle name="Normal 2 3 2 2 2 6 2 3 3" xfId="20098"/>
    <cellStyle name="Normal 2 3 2 2 2 6 2 3 3 2" xfId="20099"/>
    <cellStyle name="Normal 2 3 2 2 2 6 2 3 4" xfId="20100"/>
    <cellStyle name="Normal 2 3 2 2 2 6 2 3 4 2" xfId="20101"/>
    <cellStyle name="Normal 2 3 2 2 2 6 2 3 5" xfId="20102"/>
    <cellStyle name="Normal 2 3 2 2 2 6 2 3 5 2" xfId="20103"/>
    <cellStyle name="Normal 2 3 2 2 2 6 2 3 6" xfId="20104"/>
    <cellStyle name="Normal 2 3 2 2 2 6 2 3 6 2" xfId="20105"/>
    <cellStyle name="Normal 2 3 2 2 2 6 2 3 7" xfId="20106"/>
    <cellStyle name="Normal 2 3 2 2 2 6 2 3 7 2" xfId="20107"/>
    <cellStyle name="Normal 2 3 2 2 2 6 2 3 8" xfId="20108"/>
    <cellStyle name="Normal 2 3 2 2 2 6 2 3 8 2" xfId="20109"/>
    <cellStyle name="Normal 2 3 2 2 2 6 2 3 9" xfId="20110"/>
    <cellStyle name="Normal 2 3 2 2 2 6 2 3 9 2" xfId="20111"/>
    <cellStyle name="Normal 2 3 2 2 2 6 2 4" xfId="20112"/>
    <cellStyle name="Normal 2 3 2 2 2 6 2 4 2" xfId="20113"/>
    <cellStyle name="Normal 2 3 2 2 2 6 2 5" xfId="20114"/>
    <cellStyle name="Normal 2 3 2 2 2 6 2 5 2" xfId="20115"/>
    <cellStyle name="Normal 2 3 2 2 2 6 2 6" xfId="20116"/>
    <cellStyle name="Normal 2 3 2 2 2 6 2 6 2" xfId="20117"/>
    <cellStyle name="Normal 2 3 2 2 2 6 2 7" xfId="20118"/>
    <cellStyle name="Normal 2 3 2 2 2 6 2 7 2" xfId="20119"/>
    <cellStyle name="Normal 2 3 2 2 2 6 2 8" xfId="20120"/>
    <cellStyle name="Normal 2 3 2 2 2 6 2 8 2" xfId="20121"/>
    <cellStyle name="Normal 2 3 2 2 2 6 2 9" xfId="20122"/>
    <cellStyle name="Normal 2 3 2 2 2 6 2 9 2" xfId="20123"/>
    <cellStyle name="Normal 2 3 2 2 2 6 3" xfId="531"/>
    <cellStyle name="Normal 2 3 2 2 2 6 3 10" xfId="20124"/>
    <cellStyle name="Normal 2 3 2 2 2 6 3 10 2" xfId="20125"/>
    <cellStyle name="Normal 2 3 2 2 2 6 3 11" xfId="20126"/>
    <cellStyle name="Normal 2 3 2 2 2 6 3 11 2" xfId="20127"/>
    <cellStyle name="Normal 2 3 2 2 2 6 3 12" xfId="20128"/>
    <cellStyle name="Normal 2 3 2 2 2 6 3 12 2" xfId="20129"/>
    <cellStyle name="Normal 2 3 2 2 2 6 3 13" xfId="20130"/>
    <cellStyle name="Normal 2 3 2 2 2 6 3 2" xfId="20131"/>
    <cellStyle name="Normal 2 3 2 2 2 6 3 2 10" xfId="20132"/>
    <cellStyle name="Normal 2 3 2 2 2 6 3 2 10 2" xfId="20133"/>
    <cellStyle name="Normal 2 3 2 2 2 6 3 2 11" xfId="20134"/>
    <cellStyle name="Normal 2 3 2 2 2 6 3 2 11 2" xfId="20135"/>
    <cellStyle name="Normal 2 3 2 2 2 6 3 2 12" xfId="20136"/>
    <cellStyle name="Normal 2 3 2 2 2 6 3 2 2" xfId="20137"/>
    <cellStyle name="Normal 2 3 2 2 2 6 3 2 2 10" xfId="20138"/>
    <cellStyle name="Normal 2 3 2 2 2 6 3 2 2 10 2" xfId="20139"/>
    <cellStyle name="Normal 2 3 2 2 2 6 3 2 2 11" xfId="20140"/>
    <cellStyle name="Normal 2 3 2 2 2 6 3 2 2 2" xfId="20141"/>
    <cellStyle name="Normal 2 3 2 2 2 6 3 2 2 2 2" xfId="20142"/>
    <cellStyle name="Normal 2 3 2 2 2 6 3 2 2 3" xfId="20143"/>
    <cellStyle name="Normal 2 3 2 2 2 6 3 2 2 3 2" xfId="20144"/>
    <cellStyle name="Normal 2 3 2 2 2 6 3 2 2 4" xfId="20145"/>
    <cellStyle name="Normal 2 3 2 2 2 6 3 2 2 4 2" xfId="20146"/>
    <cellStyle name="Normal 2 3 2 2 2 6 3 2 2 5" xfId="20147"/>
    <cellStyle name="Normal 2 3 2 2 2 6 3 2 2 5 2" xfId="20148"/>
    <cellStyle name="Normal 2 3 2 2 2 6 3 2 2 6" xfId="20149"/>
    <cellStyle name="Normal 2 3 2 2 2 6 3 2 2 6 2" xfId="20150"/>
    <cellStyle name="Normal 2 3 2 2 2 6 3 2 2 7" xfId="20151"/>
    <cellStyle name="Normal 2 3 2 2 2 6 3 2 2 7 2" xfId="20152"/>
    <cellStyle name="Normal 2 3 2 2 2 6 3 2 2 8" xfId="20153"/>
    <cellStyle name="Normal 2 3 2 2 2 6 3 2 2 8 2" xfId="20154"/>
    <cellStyle name="Normal 2 3 2 2 2 6 3 2 2 9" xfId="20155"/>
    <cellStyle name="Normal 2 3 2 2 2 6 3 2 2 9 2" xfId="20156"/>
    <cellStyle name="Normal 2 3 2 2 2 6 3 2 3" xfId="20157"/>
    <cellStyle name="Normal 2 3 2 2 2 6 3 2 3 2" xfId="20158"/>
    <cellStyle name="Normal 2 3 2 2 2 6 3 2 4" xfId="20159"/>
    <cellStyle name="Normal 2 3 2 2 2 6 3 2 4 2" xfId="20160"/>
    <cellStyle name="Normal 2 3 2 2 2 6 3 2 5" xfId="20161"/>
    <cellStyle name="Normal 2 3 2 2 2 6 3 2 5 2" xfId="20162"/>
    <cellStyle name="Normal 2 3 2 2 2 6 3 2 6" xfId="20163"/>
    <cellStyle name="Normal 2 3 2 2 2 6 3 2 6 2" xfId="20164"/>
    <cellStyle name="Normal 2 3 2 2 2 6 3 2 7" xfId="20165"/>
    <cellStyle name="Normal 2 3 2 2 2 6 3 2 7 2" xfId="20166"/>
    <cellStyle name="Normal 2 3 2 2 2 6 3 2 8" xfId="20167"/>
    <cellStyle name="Normal 2 3 2 2 2 6 3 2 8 2" xfId="20168"/>
    <cellStyle name="Normal 2 3 2 2 2 6 3 2 9" xfId="20169"/>
    <cellStyle name="Normal 2 3 2 2 2 6 3 2 9 2" xfId="20170"/>
    <cellStyle name="Normal 2 3 2 2 2 6 3 3" xfId="20171"/>
    <cellStyle name="Normal 2 3 2 2 2 6 3 3 10" xfId="20172"/>
    <cellStyle name="Normal 2 3 2 2 2 6 3 3 10 2" xfId="20173"/>
    <cellStyle name="Normal 2 3 2 2 2 6 3 3 11" xfId="20174"/>
    <cellStyle name="Normal 2 3 2 2 2 6 3 3 2" xfId="20175"/>
    <cellStyle name="Normal 2 3 2 2 2 6 3 3 2 2" xfId="20176"/>
    <cellStyle name="Normal 2 3 2 2 2 6 3 3 3" xfId="20177"/>
    <cellStyle name="Normal 2 3 2 2 2 6 3 3 3 2" xfId="20178"/>
    <cellStyle name="Normal 2 3 2 2 2 6 3 3 4" xfId="20179"/>
    <cellStyle name="Normal 2 3 2 2 2 6 3 3 4 2" xfId="20180"/>
    <cellStyle name="Normal 2 3 2 2 2 6 3 3 5" xfId="20181"/>
    <cellStyle name="Normal 2 3 2 2 2 6 3 3 5 2" xfId="20182"/>
    <cellStyle name="Normal 2 3 2 2 2 6 3 3 6" xfId="20183"/>
    <cellStyle name="Normal 2 3 2 2 2 6 3 3 6 2" xfId="20184"/>
    <cellStyle name="Normal 2 3 2 2 2 6 3 3 7" xfId="20185"/>
    <cellStyle name="Normal 2 3 2 2 2 6 3 3 7 2" xfId="20186"/>
    <cellStyle name="Normal 2 3 2 2 2 6 3 3 8" xfId="20187"/>
    <cellStyle name="Normal 2 3 2 2 2 6 3 3 8 2" xfId="20188"/>
    <cellStyle name="Normal 2 3 2 2 2 6 3 3 9" xfId="20189"/>
    <cellStyle name="Normal 2 3 2 2 2 6 3 3 9 2" xfId="20190"/>
    <cellStyle name="Normal 2 3 2 2 2 6 3 4" xfId="20191"/>
    <cellStyle name="Normal 2 3 2 2 2 6 3 4 2" xfId="20192"/>
    <cellStyle name="Normal 2 3 2 2 2 6 3 5" xfId="20193"/>
    <cellStyle name="Normal 2 3 2 2 2 6 3 5 2" xfId="20194"/>
    <cellStyle name="Normal 2 3 2 2 2 6 3 6" xfId="20195"/>
    <cellStyle name="Normal 2 3 2 2 2 6 3 6 2" xfId="20196"/>
    <cellStyle name="Normal 2 3 2 2 2 6 3 7" xfId="20197"/>
    <cellStyle name="Normal 2 3 2 2 2 6 3 7 2" xfId="20198"/>
    <cellStyle name="Normal 2 3 2 2 2 6 3 8" xfId="20199"/>
    <cellStyle name="Normal 2 3 2 2 2 6 3 8 2" xfId="20200"/>
    <cellStyle name="Normal 2 3 2 2 2 6 3 9" xfId="20201"/>
    <cellStyle name="Normal 2 3 2 2 2 6 3 9 2" xfId="20202"/>
    <cellStyle name="Normal 2 3 2 2 2 6 4" xfId="532"/>
    <cellStyle name="Normal 2 3 2 2 2 6 4 10" xfId="20203"/>
    <cellStyle name="Normal 2 3 2 2 2 6 4 10 2" xfId="20204"/>
    <cellStyle name="Normal 2 3 2 2 2 6 4 11" xfId="20205"/>
    <cellStyle name="Normal 2 3 2 2 2 6 4 11 2" xfId="20206"/>
    <cellStyle name="Normal 2 3 2 2 2 6 4 12" xfId="20207"/>
    <cellStyle name="Normal 2 3 2 2 2 6 4 12 2" xfId="20208"/>
    <cellStyle name="Normal 2 3 2 2 2 6 4 13" xfId="20209"/>
    <cellStyle name="Normal 2 3 2 2 2 6 4 2" xfId="20210"/>
    <cellStyle name="Normal 2 3 2 2 2 6 4 2 10" xfId="20211"/>
    <cellStyle name="Normal 2 3 2 2 2 6 4 2 10 2" xfId="20212"/>
    <cellStyle name="Normal 2 3 2 2 2 6 4 2 11" xfId="20213"/>
    <cellStyle name="Normal 2 3 2 2 2 6 4 2 11 2" xfId="20214"/>
    <cellStyle name="Normal 2 3 2 2 2 6 4 2 12" xfId="20215"/>
    <cellStyle name="Normal 2 3 2 2 2 6 4 2 2" xfId="20216"/>
    <cellStyle name="Normal 2 3 2 2 2 6 4 2 2 10" xfId="20217"/>
    <cellStyle name="Normal 2 3 2 2 2 6 4 2 2 10 2" xfId="20218"/>
    <cellStyle name="Normal 2 3 2 2 2 6 4 2 2 11" xfId="20219"/>
    <cellStyle name="Normal 2 3 2 2 2 6 4 2 2 2" xfId="20220"/>
    <cellStyle name="Normal 2 3 2 2 2 6 4 2 2 2 2" xfId="20221"/>
    <cellStyle name="Normal 2 3 2 2 2 6 4 2 2 3" xfId="20222"/>
    <cellStyle name="Normal 2 3 2 2 2 6 4 2 2 3 2" xfId="20223"/>
    <cellStyle name="Normal 2 3 2 2 2 6 4 2 2 4" xfId="20224"/>
    <cellStyle name="Normal 2 3 2 2 2 6 4 2 2 4 2" xfId="20225"/>
    <cellStyle name="Normal 2 3 2 2 2 6 4 2 2 5" xfId="20226"/>
    <cellStyle name="Normal 2 3 2 2 2 6 4 2 2 5 2" xfId="20227"/>
    <cellStyle name="Normal 2 3 2 2 2 6 4 2 2 6" xfId="20228"/>
    <cellStyle name="Normal 2 3 2 2 2 6 4 2 2 6 2" xfId="20229"/>
    <cellStyle name="Normal 2 3 2 2 2 6 4 2 2 7" xfId="20230"/>
    <cellStyle name="Normal 2 3 2 2 2 6 4 2 2 7 2" xfId="20231"/>
    <cellStyle name="Normal 2 3 2 2 2 6 4 2 2 8" xfId="20232"/>
    <cellStyle name="Normal 2 3 2 2 2 6 4 2 2 8 2" xfId="20233"/>
    <cellStyle name="Normal 2 3 2 2 2 6 4 2 2 9" xfId="20234"/>
    <cellStyle name="Normal 2 3 2 2 2 6 4 2 2 9 2" xfId="20235"/>
    <cellStyle name="Normal 2 3 2 2 2 6 4 2 3" xfId="20236"/>
    <cellStyle name="Normal 2 3 2 2 2 6 4 2 3 2" xfId="20237"/>
    <cellStyle name="Normal 2 3 2 2 2 6 4 2 4" xfId="20238"/>
    <cellStyle name="Normal 2 3 2 2 2 6 4 2 4 2" xfId="20239"/>
    <cellStyle name="Normal 2 3 2 2 2 6 4 2 5" xfId="20240"/>
    <cellStyle name="Normal 2 3 2 2 2 6 4 2 5 2" xfId="20241"/>
    <cellStyle name="Normal 2 3 2 2 2 6 4 2 6" xfId="20242"/>
    <cellStyle name="Normal 2 3 2 2 2 6 4 2 6 2" xfId="20243"/>
    <cellStyle name="Normal 2 3 2 2 2 6 4 2 7" xfId="20244"/>
    <cellStyle name="Normal 2 3 2 2 2 6 4 2 7 2" xfId="20245"/>
    <cellStyle name="Normal 2 3 2 2 2 6 4 2 8" xfId="20246"/>
    <cellStyle name="Normal 2 3 2 2 2 6 4 2 8 2" xfId="20247"/>
    <cellStyle name="Normal 2 3 2 2 2 6 4 2 9" xfId="20248"/>
    <cellStyle name="Normal 2 3 2 2 2 6 4 2 9 2" xfId="20249"/>
    <cellStyle name="Normal 2 3 2 2 2 6 4 3" xfId="20250"/>
    <cellStyle name="Normal 2 3 2 2 2 6 4 3 10" xfId="20251"/>
    <cellStyle name="Normal 2 3 2 2 2 6 4 3 10 2" xfId="20252"/>
    <cellStyle name="Normal 2 3 2 2 2 6 4 3 11" xfId="20253"/>
    <cellStyle name="Normal 2 3 2 2 2 6 4 3 2" xfId="20254"/>
    <cellStyle name="Normal 2 3 2 2 2 6 4 3 2 2" xfId="20255"/>
    <cellStyle name="Normal 2 3 2 2 2 6 4 3 3" xfId="20256"/>
    <cellStyle name="Normal 2 3 2 2 2 6 4 3 3 2" xfId="20257"/>
    <cellStyle name="Normal 2 3 2 2 2 6 4 3 4" xfId="20258"/>
    <cellStyle name="Normal 2 3 2 2 2 6 4 3 4 2" xfId="20259"/>
    <cellStyle name="Normal 2 3 2 2 2 6 4 3 5" xfId="20260"/>
    <cellStyle name="Normal 2 3 2 2 2 6 4 3 5 2" xfId="20261"/>
    <cellStyle name="Normal 2 3 2 2 2 6 4 3 6" xfId="20262"/>
    <cellStyle name="Normal 2 3 2 2 2 6 4 3 6 2" xfId="20263"/>
    <cellStyle name="Normal 2 3 2 2 2 6 4 3 7" xfId="20264"/>
    <cellStyle name="Normal 2 3 2 2 2 6 4 3 7 2" xfId="20265"/>
    <cellStyle name="Normal 2 3 2 2 2 6 4 3 8" xfId="20266"/>
    <cellStyle name="Normal 2 3 2 2 2 6 4 3 8 2" xfId="20267"/>
    <cellStyle name="Normal 2 3 2 2 2 6 4 3 9" xfId="20268"/>
    <cellStyle name="Normal 2 3 2 2 2 6 4 3 9 2" xfId="20269"/>
    <cellStyle name="Normal 2 3 2 2 2 6 4 4" xfId="20270"/>
    <cellStyle name="Normal 2 3 2 2 2 6 4 4 2" xfId="20271"/>
    <cellStyle name="Normal 2 3 2 2 2 6 4 5" xfId="20272"/>
    <cellStyle name="Normal 2 3 2 2 2 6 4 5 2" xfId="20273"/>
    <cellStyle name="Normal 2 3 2 2 2 6 4 6" xfId="20274"/>
    <cellStyle name="Normal 2 3 2 2 2 6 4 6 2" xfId="20275"/>
    <cellStyle name="Normal 2 3 2 2 2 6 4 7" xfId="20276"/>
    <cellStyle name="Normal 2 3 2 2 2 6 4 7 2" xfId="20277"/>
    <cellStyle name="Normal 2 3 2 2 2 6 4 8" xfId="20278"/>
    <cellStyle name="Normal 2 3 2 2 2 6 4 8 2" xfId="20279"/>
    <cellStyle name="Normal 2 3 2 2 2 6 4 9" xfId="20280"/>
    <cellStyle name="Normal 2 3 2 2 2 6 4 9 2" xfId="20281"/>
    <cellStyle name="Normal 2 3 2 2 2 6 5" xfId="533"/>
    <cellStyle name="Normal 2 3 2 2 2 6 5 10" xfId="20282"/>
    <cellStyle name="Normal 2 3 2 2 2 6 5 10 2" xfId="20283"/>
    <cellStyle name="Normal 2 3 2 2 2 6 5 11" xfId="20284"/>
    <cellStyle name="Normal 2 3 2 2 2 6 5 11 2" xfId="20285"/>
    <cellStyle name="Normal 2 3 2 2 2 6 5 12" xfId="20286"/>
    <cellStyle name="Normal 2 3 2 2 2 6 5 12 2" xfId="20287"/>
    <cellStyle name="Normal 2 3 2 2 2 6 5 13" xfId="20288"/>
    <cellStyle name="Normal 2 3 2 2 2 6 5 2" xfId="20289"/>
    <cellStyle name="Normal 2 3 2 2 2 6 5 2 10" xfId="20290"/>
    <cellStyle name="Normal 2 3 2 2 2 6 5 2 10 2" xfId="20291"/>
    <cellStyle name="Normal 2 3 2 2 2 6 5 2 11" xfId="20292"/>
    <cellStyle name="Normal 2 3 2 2 2 6 5 2 11 2" xfId="20293"/>
    <cellStyle name="Normal 2 3 2 2 2 6 5 2 12" xfId="20294"/>
    <cellStyle name="Normal 2 3 2 2 2 6 5 2 2" xfId="20295"/>
    <cellStyle name="Normal 2 3 2 2 2 6 5 2 2 10" xfId="20296"/>
    <cellStyle name="Normal 2 3 2 2 2 6 5 2 2 10 2" xfId="20297"/>
    <cellStyle name="Normal 2 3 2 2 2 6 5 2 2 11" xfId="20298"/>
    <cellStyle name="Normal 2 3 2 2 2 6 5 2 2 2" xfId="20299"/>
    <cellStyle name="Normal 2 3 2 2 2 6 5 2 2 2 2" xfId="20300"/>
    <cellStyle name="Normal 2 3 2 2 2 6 5 2 2 3" xfId="20301"/>
    <cellStyle name="Normal 2 3 2 2 2 6 5 2 2 3 2" xfId="20302"/>
    <cellStyle name="Normal 2 3 2 2 2 6 5 2 2 4" xfId="20303"/>
    <cellStyle name="Normal 2 3 2 2 2 6 5 2 2 4 2" xfId="20304"/>
    <cellStyle name="Normal 2 3 2 2 2 6 5 2 2 5" xfId="20305"/>
    <cellStyle name="Normal 2 3 2 2 2 6 5 2 2 5 2" xfId="20306"/>
    <cellStyle name="Normal 2 3 2 2 2 6 5 2 2 6" xfId="20307"/>
    <cellStyle name="Normal 2 3 2 2 2 6 5 2 2 6 2" xfId="20308"/>
    <cellStyle name="Normal 2 3 2 2 2 6 5 2 2 7" xfId="20309"/>
    <cellStyle name="Normal 2 3 2 2 2 6 5 2 2 7 2" xfId="20310"/>
    <cellStyle name="Normal 2 3 2 2 2 6 5 2 2 8" xfId="20311"/>
    <cellStyle name="Normal 2 3 2 2 2 6 5 2 2 8 2" xfId="20312"/>
    <cellStyle name="Normal 2 3 2 2 2 6 5 2 2 9" xfId="20313"/>
    <cellStyle name="Normal 2 3 2 2 2 6 5 2 2 9 2" xfId="20314"/>
    <cellStyle name="Normal 2 3 2 2 2 6 5 2 3" xfId="20315"/>
    <cellStyle name="Normal 2 3 2 2 2 6 5 2 3 2" xfId="20316"/>
    <cellStyle name="Normal 2 3 2 2 2 6 5 2 4" xfId="20317"/>
    <cellStyle name="Normal 2 3 2 2 2 6 5 2 4 2" xfId="20318"/>
    <cellStyle name="Normal 2 3 2 2 2 6 5 2 5" xfId="20319"/>
    <cellStyle name="Normal 2 3 2 2 2 6 5 2 5 2" xfId="20320"/>
    <cellStyle name="Normal 2 3 2 2 2 6 5 2 6" xfId="20321"/>
    <cellStyle name="Normal 2 3 2 2 2 6 5 2 6 2" xfId="20322"/>
    <cellStyle name="Normal 2 3 2 2 2 6 5 2 7" xfId="20323"/>
    <cellStyle name="Normal 2 3 2 2 2 6 5 2 7 2" xfId="20324"/>
    <cellStyle name="Normal 2 3 2 2 2 6 5 2 8" xfId="20325"/>
    <cellStyle name="Normal 2 3 2 2 2 6 5 2 8 2" xfId="20326"/>
    <cellStyle name="Normal 2 3 2 2 2 6 5 2 9" xfId="20327"/>
    <cellStyle name="Normal 2 3 2 2 2 6 5 2 9 2" xfId="20328"/>
    <cellStyle name="Normal 2 3 2 2 2 6 5 3" xfId="20329"/>
    <cellStyle name="Normal 2 3 2 2 2 6 5 3 10" xfId="20330"/>
    <cellStyle name="Normal 2 3 2 2 2 6 5 3 10 2" xfId="20331"/>
    <cellStyle name="Normal 2 3 2 2 2 6 5 3 11" xfId="20332"/>
    <cellStyle name="Normal 2 3 2 2 2 6 5 3 2" xfId="20333"/>
    <cellStyle name="Normal 2 3 2 2 2 6 5 3 2 2" xfId="20334"/>
    <cellStyle name="Normal 2 3 2 2 2 6 5 3 3" xfId="20335"/>
    <cellStyle name="Normal 2 3 2 2 2 6 5 3 3 2" xfId="20336"/>
    <cellStyle name="Normal 2 3 2 2 2 6 5 3 4" xfId="20337"/>
    <cellStyle name="Normal 2 3 2 2 2 6 5 3 4 2" xfId="20338"/>
    <cellStyle name="Normal 2 3 2 2 2 6 5 3 5" xfId="20339"/>
    <cellStyle name="Normal 2 3 2 2 2 6 5 3 5 2" xfId="20340"/>
    <cellStyle name="Normal 2 3 2 2 2 6 5 3 6" xfId="20341"/>
    <cellStyle name="Normal 2 3 2 2 2 6 5 3 6 2" xfId="20342"/>
    <cellStyle name="Normal 2 3 2 2 2 6 5 3 7" xfId="20343"/>
    <cellStyle name="Normal 2 3 2 2 2 6 5 3 7 2" xfId="20344"/>
    <cellStyle name="Normal 2 3 2 2 2 6 5 3 8" xfId="20345"/>
    <cellStyle name="Normal 2 3 2 2 2 6 5 3 8 2" xfId="20346"/>
    <cellStyle name="Normal 2 3 2 2 2 6 5 3 9" xfId="20347"/>
    <cellStyle name="Normal 2 3 2 2 2 6 5 3 9 2" xfId="20348"/>
    <cellStyle name="Normal 2 3 2 2 2 6 5 4" xfId="20349"/>
    <cellStyle name="Normal 2 3 2 2 2 6 5 4 2" xfId="20350"/>
    <cellStyle name="Normal 2 3 2 2 2 6 5 5" xfId="20351"/>
    <cellStyle name="Normal 2 3 2 2 2 6 5 5 2" xfId="20352"/>
    <cellStyle name="Normal 2 3 2 2 2 6 5 6" xfId="20353"/>
    <cellStyle name="Normal 2 3 2 2 2 6 5 6 2" xfId="20354"/>
    <cellStyle name="Normal 2 3 2 2 2 6 5 7" xfId="20355"/>
    <cellStyle name="Normal 2 3 2 2 2 6 5 7 2" xfId="20356"/>
    <cellStyle name="Normal 2 3 2 2 2 6 5 8" xfId="20357"/>
    <cellStyle name="Normal 2 3 2 2 2 6 5 8 2" xfId="20358"/>
    <cellStyle name="Normal 2 3 2 2 2 6 5 9" xfId="20359"/>
    <cellStyle name="Normal 2 3 2 2 2 6 5 9 2" xfId="20360"/>
    <cellStyle name="Normal 2 3 2 2 2 6 6" xfId="534"/>
    <cellStyle name="Normal 2 3 2 2 2 7" xfId="535"/>
    <cellStyle name="Normal 2 3 2 2 2 7 2" xfId="536"/>
    <cellStyle name="Normal 2 3 2 2 2 8" xfId="537"/>
    <cellStyle name="Normal 2 3 2 2 2 8 2" xfId="538"/>
    <cellStyle name="Normal 2 3 2 2 2 9" xfId="539"/>
    <cellStyle name="Normal 2 3 2 2 2 9 2" xfId="540"/>
    <cellStyle name="Normal 2 3 2 2 3" xfId="541"/>
    <cellStyle name="Normal 2 3 2 2 3 10" xfId="20361"/>
    <cellStyle name="Normal 2 3 2 2 3 10 2" xfId="20362"/>
    <cellStyle name="Normal 2 3 2 2 3 11" xfId="20363"/>
    <cellStyle name="Normal 2 3 2 2 3 11 2" xfId="20364"/>
    <cellStyle name="Normal 2 3 2 2 3 12" xfId="20365"/>
    <cellStyle name="Normal 2 3 2 2 3 12 2" xfId="20366"/>
    <cellStyle name="Normal 2 3 2 2 3 13" xfId="20367"/>
    <cellStyle name="Normal 2 3 2 2 3 13 2" xfId="20368"/>
    <cellStyle name="Normal 2 3 2 2 3 14" xfId="20369"/>
    <cellStyle name="Normal 2 3 2 2 3 14 2" xfId="20370"/>
    <cellStyle name="Normal 2 3 2 2 3 15" xfId="20371"/>
    <cellStyle name="Normal 2 3 2 2 3 15 2" xfId="20372"/>
    <cellStyle name="Normal 2 3 2 2 3 16" xfId="20373"/>
    <cellStyle name="Normal 2 3 2 2 3 16 2" xfId="20374"/>
    <cellStyle name="Normal 2 3 2 2 3 17" xfId="20375"/>
    <cellStyle name="Normal 2 3 2 2 3 17 2" xfId="20376"/>
    <cellStyle name="Normal 2 3 2 2 3 18" xfId="20377"/>
    <cellStyle name="Normal 2 3 2 2 3 2" xfId="542"/>
    <cellStyle name="Normal 2 3 2 2 3 2 2" xfId="543"/>
    <cellStyle name="Normal 2 3 2 2 3 2 2 10" xfId="20378"/>
    <cellStyle name="Normal 2 3 2 2 3 2 2 10 2" xfId="20379"/>
    <cellStyle name="Normal 2 3 2 2 3 2 2 11" xfId="20380"/>
    <cellStyle name="Normal 2 3 2 2 3 2 2 11 2" xfId="20381"/>
    <cellStyle name="Normal 2 3 2 2 3 2 2 12" xfId="20382"/>
    <cellStyle name="Normal 2 3 2 2 3 2 2 12 2" xfId="20383"/>
    <cellStyle name="Normal 2 3 2 2 3 2 2 13" xfId="20384"/>
    <cellStyle name="Normal 2 3 2 2 3 2 2 13 2" xfId="20385"/>
    <cellStyle name="Normal 2 3 2 2 3 2 2 14" xfId="20386"/>
    <cellStyle name="Normal 2 3 2 2 3 2 2 14 2" xfId="20387"/>
    <cellStyle name="Normal 2 3 2 2 3 2 2 15" xfId="20388"/>
    <cellStyle name="Normal 2 3 2 2 3 2 2 15 2" xfId="20389"/>
    <cellStyle name="Normal 2 3 2 2 3 2 2 16" xfId="20390"/>
    <cellStyle name="Normal 2 3 2 2 3 2 2 16 2" xfId="20391"/>
    <cellStyle name="Normal 2 3 2 2 3 2 2 17" xfId="20392"/>
    <cellStyle name="Normal 2 3 2 2 3 2 2 2" xfId="544"/>
    <cellStyle name="Normal 2 3 2 2 3 2 2 2 2" xfId="545"/>
    <cellStyle name="Normal 2 3 2 2 3 2 2 3" xfId="546"/>
    <cellStyle name="Normal 2 3 2 2 3 2 2 3 2" xfId="547"/>
    <cellStyle name="Normal 2 3 2 2 3 2 2 4" xfId="548"/>
    <cellStyle name="Normal 2 3 2 2 3 2 2 4 2" xfId="549"/>
    <cellStyle name="Normal 2 3 2 2 3 2 2 5" xfId="550"/>
    <cellStyle name="Normal 2 3 2 2 3 2 2 5 2" xfId="551"/>
    <cellStyle name="Normal 2 3 2 2 3 2 2 6" xfId="20393"/>
    <cellStyle name="Normal 2 3 2 2 3 2 2 6 10" xfId="20394"/>
    <cellStyle name="Normal 2 3 2 2 3 2 2 6 10 2" xfId="20395"/>
    <cellStyle name="Normal 2 3 2 2 3 2 2 6 11" xfId="20396"/>
    <cellStyle name="Normal 2 3 2 2 3 2 2 6 11 2" xfId="20397"/>
    <cellStyle name="Normal 2 3 2 2 3 2 2 6 12" xfId="20398"/>
    <cellStyle name="Normal 2 3 2 2 3 2 2 6 2" xfId="20399"/>
    <cellStyle name="Normal 2 3 2 2 3 2 2 6 2 10" xfId="20400"/>
    <cellStyle name="Normal 2 3 2 2 3 2 2 6 2 10 2" xfId="20401"/>
    <cellStyle name="Normal 2 3 2 2 3 2 2 6 2 11" xfId="20402"/>
    <cellStyle name="Normal 2 3 2 2 3 2 2 6 2 2" xfId="20403"/>
    <cellStyle name="Normal 2 3 2 2 3 2 2 6 2 2 2" xfId="20404"/>
    <cellStyle name="Normal 2 3 2 2 3 2 2 6 2 3" xfId="20405"/>
    <cellStyle name="Normal 2 3 2 2 3 2 2 6 2 3 2" xfId="20406"/>
    <cellStyle name="Normal 2 3 2 2 3 2 2 6 2 4" xfId="20407"/>
    <cellStyle name="Normal 2 3 2 2 3 2 2 6 2 4 2" xfId="20408"/>
    <cellStyle name="Normal 2 3 2 2 3 2 2 6 2 5" xfId="20409"/>
    <cellStyle name="Normal 2 3 2 2 3 2 2 6 2 5 2" xfId="20410"/>
    <cellStyle name="Normal 2 3 2 2 3 2 2 6 2 6" xfId="20411"/>
    <cellStyle name="Normal 2 3 2 2 3 2 2 6 2 6 2" xfId="20412"/>
    <cellStyle name="Normal 2 3 2 2 3 2 2 6 2 7" xfId="20413"/>
    <cellStyle name="Normal 2 3 2 2 3 2 2 6 2 7 2" xfId="20414"/>
    <cellStyle name="Normal 2 3 2 2 3 2 2 6 2 8" xfId="20415"/>
    <cellStyle name="Normal 2 3 2 2 3 2 2 6 2 8 2" xfId="20416"/>
    <cellStyle name="Normal 2 3 2 2 3 2 2 6 2 9" xfId="20417"/>
    <cellStyle name="Normal 2 3 2 2 3 2 2 6 2 9 2" xfId="20418"/>
    <cellStyle name="Normal 2 3 2 2 3 2 2 6 3" xfId="20419"/>
    <cellStyle name="Normal 2 3 2 2 3 2 2 6 3 2" xfId="20420"/>
    <cellStyle name="Normal 2 3 2 2 3 2 2 6 4" xfId="20421"/>
    <cellStyle name="Normal 2 3 2 2 3 2 2 6 4 2" xfId="20422"/>
    <cellStyle name="Normal 2 3 2 2 3 2 2 6 5" xfId="20423"/>
    <cellStyle name="Normal 2 3 2 2 3 2 2 6 5 2" xfId="20424"/>
    <cellStyle name="Normal 2 3 2 2 3 2 2 6 6" xfId="20425"/>
    <cellStyle name="Normal 2 3 2 2 3 2 2 6 6 2" xfId="20426"/>
    <cellStyle name="Normal 2 3 2 2 3 2 2 6 7" xfId="20427"/>
    <cellStyle name="Normal 2 3 2 2 3 2 2 6 7 2" xfId="20428"/>
    <cellStyle name="Normal 2 3 2 2 3 2 2 6 8" xfId="20429"/>
    <cellStyle name="Normal 2 3 2 2 3 2 2 6 8 2" xfId="20430"/>
    <cellStyle name="Normal 2 3 2 2 3 2 2 6 9" xfId="20431"/>
    <cellStyle name="Normal 2 3 2 2 3 2 2 6 9 2" xfId="20432"/>
    <cellStyle name="Normal 2 3 2 2 3 2 2 7" xfId="20433"/>
    <cellStyle name="Normal 2 3 2 2 3 2 2 7 10" xfId="20434"/>
    <cellStyle name="Normal 2 3 2 2 3 2 2 7 10 2" xfId="20435"/>
    <cellStyle name="Normal 2 3 2 2 3 2 2 7 11" xfId="20436"/>
    <cellStyle name="Normal 2 3 2 2 3 2 2 7 2" xfId="20437"/>
    <cellStyle name="Normal 2 3 2 2 3 2 2 7 2 2" xfId="20438"/>
    <cellStyle name="Normal 2 3 2 2 3 2 2 7 3" xfId="20439"/>
    <cellStyle name="Normal 2 3 2 2 3 2 2 7 3 2" xfId="20440"/>
    <cellStyle name="Normal 2 3 2 2 3 2 2 7 4" xfId="20441"/>
    <cellStyle name="Normal 2 3 2 2 3 2 2 7 4 2" xfId="20442"/>
    <cellStyle name="Normal 2 3 2 2 3 2 2 7 5" xfId="20443"/>
    <cellStyle name="Normal 2 3 2 2 3 2 2 7 5 2" xfId="20444"/>
    <cellStyle name="Normal 2 3 2 2 3 2 2 7 6" xfId="20445"/>
    <cellStyle name="Normal 2 3 2 2 3 2 2 7 6 2" xfId="20446"/>
    <cellStyle name="Normal 2 3 2 2 3 2 2 7 7" xfId="20447"/>
    <cellStyle name="Normal 2 3 2 2 3 2 2 7 7 2" xfId="20448"/>
    <cellStyle name="Normal 2 3 2 2 3 2 2 7 8" xfId="20449"/>
    <cellStyle name="Normal 2 3 2 2 3 2 2 7 8 2" xfId="20450"/>
    <cellStyle name="Normal 2 3 2 2 3 2 2 7 9" xfId="20451"/>
    <cellStyle name="Normal 2 3 2 2 3 2 2 7 9 2" xfId="20452"/>
    <cellStyle name="Normal 2 3 2 2 3 2 2 8" xfId="20453"/>
    <cellStyle name="Normal 2 3 2 2 3 2 2 8 2" xfId="20454"/>
    <cellStyle name="Normal 2 3 2 2 3 2 2 9" xfId="20455"/>
    <cellStyle name="Normal 2 3 2 2 3 2 2 9 2" xfId="20456"/>
    <cellStyle name="Normal 2 3 2 2 3 2 3" xfId="552"/>
    <cellStyle name="Normal 2 3 2 2 3 2 3 10" xfId="20457"/>
    <cellStyle name="Normal 2 3 2 2 3 2 3 10 2" xfId="20458"/>
    <cellStyle name="Normal 2 3 2 2 3 2 3 11" xfId="20459"/>
    <cellStyle name="Normal 2 3 2 2 3 2 3 11 2" xfId="20460"/>
    <cellStyle name="Normal 2 3 2 2 3 2 3 12" xfId="20461"/>
    <cellStyle name="Normal 2 3 2 2 3 2 3 12 2" xfId="20462"/>
    <cellStyle name="Normal 2 3 2 2 3 2 3 13" xfId="20463"/>
    <cellStyle name="Normal 2 3 2 2 3 2 3 2" xfId="20464"/>
    <cellStyle name="Normal 2 3 2 2 3 2 3 2 10" xfId="20465"/>
    <cellStyle name="Normal 2 3 2 2 3 2 3 2 10 2" xfId="20466"/>
    <cellStyle name="Normal 2 3 2 2 3 2 3 2 11" xfId="20467"/>
    <cellStyle name="Normal 2 3 2 2 3 2 3 2 11 2" xfId="20468"/>
    <cellStyle name="Normal 2 3 2 2 3 2 3 2 12" xfId="20469"/>
    <cellStyle name="Normal 2 3 2 2 3 2 3 2 2" xfId="20470"/>
    <cellStyle name="Normal 2 3 2 2 3 2 3 2 2 10" xfId="20471"/>
    <cellStyle name="Normal 2 3 2 2 3 2 3 2 2 10 2" xfId="20472"/>
    <cellStyle name="Normal 2 3 2 2 3 2 3 2 2 11" xfId="20473"/>
    <cellStyle name="Normal 2 3 2 2 3 2 3 2 2 2" xfId="20474"/>
    <cellStyle name="Normal 2 3 2 2 3 2 3 2 2 2 2" xfId="20475"/>
    <cellStyle name="Normal 2 3 2 2 3 2 3 2 2 3" xfId="20476"/>
    <cellStyle name="Normal 2 3 2 2 3 2 3 2 2 3 2" xfId="20477"/>
    <cellStyle name="Normal 2 3 2 2 3 2 3 2 2 4" xfId="20478"/>
    <cellStyle name="Normal 2 3 2 2 3 2 3 2 2 4 2" xfId="20479"/>
    <cellStyle name="Normal 2 3 2 2 3 2 3 2 2 5" xfId="20480"/>
    <cellStyle name="Normal 2 3 2 2 3 2 3 2 2 5 2" xfId="20481"/>
    <cellStyle name="Normal 2 3 2 2 3 2 3 2 2 6" xfId="20482"/>
    <cellStyle name="Normal 2 3 2 2 3 2 3 2 2 6 2" xfId="20483"/>
    <cellStyle name="Normal 2 3 2 2 3 2 3 2 2 7" xfId="20484"/>
    <cellStyle name="Normal 2 3 2 2 3 2 3 2 2 7 2" xfId="20485"/>
    <cellStyle name="Normal 2 3 2 2 3 2 3 2 2 8" xfId="20486"/>
    <cellStyle name="Normal 2 3 2 2 3 2 3 2 2 8 2" xfId="20487"/>
    <cellStyle name="Normal 2 3 2 2 3 2 3 2 2 9" xfId="20488"/>
    <cellStyle name="Normal 2 3 2 2 3 2 3 2 2 9 2" xfId="20489"/>
    <cellStyle name="Normal 2 3 2 2 3 2 3 2 3" xfId="20490"/>
    <cellStyle name="Normal 2 3 2 2 3 2 3 2 3 2" xfId="20491"/>
    <cellStyle name="Normal 2 3 2 2 3 2 3 2 4" xfId="20492"/>
    <cellStyle name="Normal 2 3 2 2 3 2 3 2 4 2" xfId="20493"/>
    <cellStyle name="Normal 2 3 2 2 3 2 3 2 5" xfId="20494"/>
    <cellStyle name="Normal 2 3 2 2 3 2 3 2 5 2" xfId="20495"/>
    <cellStyle name="Normal 2 3 2 2 3 2 3 2 6" xfId="20496"/>
    <cellStyle name="Normal 2 3 2 2 3 2 3 2 6 2" xfId="20497"/>
    <cellStyle name="Normal 2 3 2 2 3 2 3 2 7" xfId="20498"/>
    <cellStyle name="Normal 2 3 2 2 3 2 3 2 7 2" xfId="20499"/>
    <cellStyle name="Normal 2 3 2 2 3 2 3 2 8" xfId="20500"/>
    <cellStyle name="Normal 2 3 2 2 3 2 3 2 8 2" xfId="20501"/>
    <cellStyle name="Normal 2 3 2 2 3 2 3 2 9" xfId="20502"/>
    <cellStyle name="Normal 2 3 2 2 3 2 3 2 9 2" xfId="20503"/>
    <cellStyle name="Normal 2 3 2 2 3 2 3 3" xfId="20504"/>
    <cellStyle name="Normal 2 3 2 2 3 2 3 3 10" xfId="20505"/>
    <cellStyle name="Normal 2 3 2 2 3 2 3 3 10 2" xfId="20506"/>
    <cellStyle name="Normal 2 3 2 2 3 2 3 3 11" xfId="20507"/>
    <cellStyle name="Normal 2 3 2 2 3 2 3 3 2" xfId="20508"/>
    <cellStyle name="Normal 2 3 2 2 3 2 3 3 2 2" xfId="20509"/>
    <cellStyle name="Normal 2 3 2 2 3 2 3 3 3" xfId="20510"/>
    <cellStyle name="Normal 2 3 2 2 3 2 3 3 3 2" xfId="20511"/>
    <cellStyle name="Normal 2 3 2 2 3 2 3 3 4" xfId="20512"/>
    <cellStyle name="Normal 2 3 2 2 3 2 3 3 4 2" xfId="20513"/>
    <cellStyle name="Normal 2 3 2 2 3 2 3 3 5" xfId="20514"/>
    <cellStyle name="Normal 2 3 2 2 3 2 3 3 5 2" xfId="20515"/>
    <cellStyle name="Normal 2 3 2 2 3 2 3 3 6" xfId="20516"/>
    <cellStyle name="Normal 2 3 2 2 3 2 3 3 6 2" xfId="20517"/>
    <cellStyle name="Normal 2 3 2 2 3 2 3 3 7" xfId="20518"/>
    <cellStyle name="Normal 2 3 2 2 3 2 3 3 7 2" xfId="20519"/>
    <cellStyle name="Normal 2 3 2 2 3 2 3 3 8" xfId="20520"/>
    <cellStyle name="Normal 2 3 2 2 3 2 3 3 8 2" xfId="20521"/>
    <cellStyle name="Normal 2 3 2 2 3 2 3 3 9" xfId="20522"/>
    <cellStyle name="Normal 2 3 2 2 3 2 3 3 9 2" xfId="20523"/>
    <cellStyle name="Normal 2 3 2 2 3 2 3 4" xfId="20524"/>
    <cellStyle name="Normal 2 3 2 2 3 2 3 4 2" xfId="20525"/>
    <cellStyle name="Normal 2 3 2 2 3 2 3 5" xfId="20526"/>
    <cellStyle name="Normal 2 3 2 2 3 2 3 5 2" xfId="20527"/>
    <cellStyle name="Normal 2 3 2 2 3 2 3 6" xfId="20528"/>
    <cellStyle name="Normal 2 3 2 2 3 2 3 6 2" xfId="20529"/>
    <cellStyle name="Normal 2 3 2 2 3 2 3 7" xfId="20530"/>
    <cellStyle name="Normal 2 3 2 2 3 2 3 7 2" xfId="20531"/>
    <cellStyle name="Normal 2 3 2 2 3 2 3 8" xfId="20532"/>
    <cellStyle name="Normal 2 3 2 2 3 2 3 8 2" xfId="20533"/>
    <cellStyle name="Normal 2 3 2 2 3 2 3 9" xfId="20534"/>
    <cellStyle name="Normal 2 3 2 2 3 2 3 9 2" xfId="20535"/>
    <cellStyle name="Normal 2 3 2 2 3 2 4" xfId="553"/>
    <cellStyle name="Normal 2 3 2 2 3 2 4 10" xfId="20536"/>
    <cellStyle name="Normal 2 3 2 2 3 2 4 10 2" xfId="20537"/>
    <cellStyle name="Normal 2 3 2 2 3 2 4 11" xfId="20538"/>
    <cellStyle name="Normal 2 3 2 2 3 2 4 11 2" xfId="20539"/>
    <cellStyle name="Normal 2 3 2 2 3 2 4 12" xfId="20540"/>
    <cellStyle name="Normal 2 3 2 2 3 2 4 12 2" xfId="20541"/>
    <cellStyle name="Normal 2 3 2 2 3 2 4 13" xfId="20542"/>
    <cellStyle name="Normal 2 3 2 2 3 2 4 2" xfId="20543"/>
    <cellStyle name="Normal 2 3 2 2 3 2 4 2 10" xfId="20544"/>
    <cellStyle name="Normal 2 3 2 2 3 2 4 2 10 2" xfId="20545"/>
    <cellStyle name="Normal 2 3 2 2 3 2 4 2 11" xfId="20546"/>
    <cellStyle name="Normal 2 3 2 2 3 2 4 2 11 2" xfId="20547"/>
    <cellStyle name="Normal 2 3 2 2 3 2 4 2 12" xfId="20548"/>
    <cellStyle name="Normal 2 3 2 2 3 2 4 2 2" xfId="20549"/>
    <cellStyle name="Normal 2 3 2 2 3 2 4 2 2 10" xfId="20550"/>
    <cellStyle name="Normal 2 3 2 2 3 2 4 2 2 10 2" xfId="20551"/>
    <cellStyle name="Normal 2 3 2 2 3 2 4 2 2 11" xfId="20552"/>
    <cellStyle name="Normal 2 3 2 2 3 2 4 2 2 2" xfId="20553"/>
    <cellStyle name="Normal 2 3 2 2 3 2 4 2 2 2 2" xfId="20554"/>
    <cellStyle name="Normal 2 3 2 2 3 2 4 2 2 3" xfId="20555"/>
    <cellStyle name="Normal 2 3 2 2 3 2 4 2 2 3 2" xfId="20556"/>
    <cellStyle name="Normal 2 3 2 2 3 2 4 2 2 4" xfId="20557"/>
    <cellStyle name="Normal 2 3 2 2 3 2 4 2 2 4 2" xfId="20558"/>
    <cellStyle name="Normal 2 3 2 2 3 2 4 2 2 5" xfId="20559"/>
    <cellStyle name="Normal 2 3 2 2 3 2 4 2 2 5 2" xfId="20560"/>
    <cellStyle name="Normal 2 3 2 2 3 2 4 2 2 6" xfId="20561"/>
    <cellStyle name="Normal 2 3 2 2 3 2 4 2 2 6 2" xfId="20562"/>
    <cellStyle name="Normal 2 3 2 2 3 2 4 2 2 7" xfId="20563"/>
    <cellStyle name="Normal 2 3 2 2 3 2 4 2 2 7 2" xfId="20564"/>
    <cellStyle name="Normal 2 3 2 2 3 2 4 2 2 8" xfId="20565"/>
    <cellStyle name="Normal 2 3 2 2 3 2 4 2 2 8 2" xfId="20566"/>
    <cellStyle name="Normal 2 3 2 2 3 2 4 2 2 9" xfId="20567"/>
    <cellStyle name="Normal 2 3 2 2 3 2 4 2 2 9 2" xfId="20568"/>
    <cellStyle name="Normal 2 3 2 2 3 2 4 2 3" xfId="20569"/>
    <cellStyle name="Normal 2 3 2 2 3 2 4 2 3 2" xfId="20570"/>
    <cellStyle name="Normal 2 3 2 2 3 2 4 2 4" xfId="20571"/>
    <cellStyle name="Normal 2 3 2 2 3 2 4 2 4 2" xfId="20572"/>
    <cellStyle name="Normal 2 3 2 2 3 2 4 2 5" xfId="20573"/>
    <cellStyle name="Normal 2 3 2 2 3 2 4 2 5 2" xfId="20574"/>
    <cellStyle name="Normal 2 3 2 2 3 2 4 2 6" xfId="20575"/>
    <cellStyle name="Normal 2 3 2 2 3 2 4 2 6 2" xfId="20576"/>
    <cellStyle name="Normal 2 3 2 2 3 2 4 2 7" xfId="20577"/>
    <cellStyle name="Normal 2 3 2 2 3 2 4 2 7 2" xfId="20578"/>
    <cellStyle name="Normal 2 3 2 2 3 2 4 2 8" xfId="20579"/>
    <cellStyle name="Normal 2 3 2 2 3 2 4 2 8 2" xfId="20580"/>
    <cellStyle name="Normal 2 3 2 2 3 2 4 2 9" xfId="20581"/>
    <cellStyle name="Normal 2 3 2 2 3 2 4 2 9 2" xfId="20582"/>
    <cellStyle name="Normal 2 3 2 2 3 2 4 3" xfId="20583"/>
    <cellStyle name="Normal 2 3 2 2 3 2 4 3 10" xfId="20584"/>
    <cellStyle name="Normal 2 3 2 2 3 2 4 3 10 2" xfId="20585"/>
    <cellStyle name="Normal 2 3 2 2 3 2 4 3 11" xfId="20586"/>
    <cellStyle name="Normal 2 3 2 2 3 2 4 3 2" xfId="20587"/>
    <cellStyle name="Normal 2 3 2 2 3 2 4 3 2 2" xfId="20588"/>
    <cellStyle name="Normal 2 3 2 2 3 2 4 3 3" xfId="20589"/>
    <cellStyle name="Normal 2 3 2 2 3 2 4 3 3 2" xfId="20590"/>
    <cellStyle name="Normal 2 3 2 2 3 2 4 3 4" xfId="20591"/>
    <cellStyle name="Normal 2 3 2 2 3 2 4 3 4 2" xfId="20592"/>
    <cellStyle name="Normal 2 3 2 2 3 2 4 3 5" xfId="20593"/>
    <cellStyle name="Normal 2 3 2 2 3 2 4 3 5 2" xfId="20594"/>
    <cellStyle name="Normal 2 3 2 2 3 2 4 3 6" xfId="20595"/>
    <cellStyle name="Normal 2 3 2 2 3 2 4 3 6 2" xfId="20596"/>
    <cellStyle name="Normal 2 3 2 2 3 2 4 3 7" xfId="20597"/>
    <cellStyle name="Normal 2 3 2 2 3 2 4 3 7 2" xfId="20598"/>
    <cellStyle name="Normal 2 3 2 2 3 2 4 3 8" xfId="20599"/>
    <cellStyle name="Normal 2 3 2 2 3 2 4 3 8 2" xfId="20600"/>
    <cellStyle name="Normal 2 3 2 2 3 2 4 3 9" xfId="20601"/>
    <cellStyle name="Normal 2 3 2 2 3 2 4 3 9 2" xfId="20602"/>
    <cellStyle name="Normal 2 3 2 2 3 2 4 4" xfId="20603"/>
    <cellStyle name="Normal 2 3 2 2 3 2 4 4 2" xfId="20604"/>
    <cellStyle name="Normal 2 3 2 2 3 2 4 5" xfId="20605"/>
    <cellStyle name="Normal 2 3 2 2 3 2 4 5 2" xfId="20606"/>
    <cellStyle name="Normal 2 3 2 2 3 2 4 6" xfId="20607"/>
    <cellStyle name="Normal 2 3 2 2 3 2 4 6 2" xfId="20608"/>
    <cellStyle name="Normal 2 3 2 2 3 2 4 7" xfId="20609"/>
    <cellStyle name="Normal 2 3 2 2 3 2 4 7 2" xfId="20610"/>
    <cellStyle name="Normal 2 3 2 2 3 2 4 8" xfId="20611"/>
    <cellStyle name="Normal 2 3 2 2 3 2 4 8 2" xfId="20612"/>
    <cellStyle name="Normal 2 3 2 2 3 2 4 9" xfId="20613"/>
    <cellStyle name="Normal 2 3 2 2 3 2 4 9 2" xfId="20614"/>
    <cellStyle name="Normal 2 3 2 2 3 2 5" xfId="554"/>
    <cellStyle name="Normal 2 3 2 2 3 2 5 10" xfId="20615"/>
    <cellStyle name="Normal 2 3 2 2 3 2 5 10 2" xfId="20616"/>
    <cellStyle name="Normal 2 3 2 2 3 2 5 11" xfId="20617"/>
    <cellStyle name="Normal 2 3 2 2 3 2 5 11 2" xfId="20618"/>
    <cellStyle name="Normal 2 3 2 2 3 2 5 12" xfId="20619"/>
    <cellStyle name="Normal 2 3 2 2 3 2 5 12 2" xfId="20620"/>
    <cellStyle name="Normal 2 3 2 2 3 2 5 13" xfId="20621"/>
    <cellStyle name="Normal 2 3 2 2 3 2 5 2" xfId="20622"/>
    <cellStyle name="Normal 2 3 2 2 3 2 5 2 10" xfId="20623"/>
    <cellStyle name="Normal 2 3 2 2 3 2 5 2 10 2" xfId="20624"/>
    <cellStyle name="Normal 2 3 2 2 3 2 5 2 11" xfId="20625"/>
    <cellStyle name="Normal 2 3 2 2 3 2 5 2 11 2" xfId="20626"/>
    <cellStyle name="Normal 2 3 2 2 3 2 5 2 12" xfId="20627"/>
    <cellStyle name="Normal 2 3 2 2 3 2 5 2 2" xfId="20628"/>
    <cellStyle name="Normal 2 3 2 2 3 2 5 2 2 10" xfId="20629"/>
    <cellStyle name="Normal 2 3 2 2 3 2 5 2 2 10 2" xfId="20630"/>
    <cellStyle name="Normal 2 3 2 2 3 2 5 2 2 11" xfId="20631"/>
    <cellStyle name="Normal 2 3 2 2 3 2 5 2 2 2" xfId="20632"/>
    <cellStyle name="Normal 2 3 2 2 3 2 5 2 2 2 2" xfId="20633"/>
    <cellStyle name="Normal 2 3 2 2 3 2 5 2 2 3" xfId="20634"/>
    <cellStyle name="Normal 2 3 2 2 3 2 5 2 2 3 2" xfId="20635"/>
    <cellStyle name="Normal 2 3 2 2 3 2 5 2 2 4" xfId="20636"/>
    <cellStyle name="Normal 2 3 2 2 3 2 5 2 2 4 2" xfId="20637"/>
    <cellStyle name="Normal 2 3 2 2 3 2 5 2 2 5" xfId="20638"/>
    <cellStyle name="Normal 2 3 2 2 3 2 5 2 2 5 2" xfId="20639"/>
    <cellStyle name="Normal 2 3 2 2 3 2 5 2 2 6" xfId="20640"/>
    <cellStyle name="Normal 2 3 2 2 3 2 5 2 2 6 2" xfId="20641"/>
    <cellStyle name="Normal 2 3 2 2 3 2 5 2 2 7" xfId="20642"/>
    <cellStyle name="Normal 2 3 2 2 3 2 5 2 2 7 2" xfId="20643"/>
    <cellStyle name="Normal 2 3 2 2 3 2 5 2 2 8" xfId="20644"/>
    <cellStyle name="Normal 2 3 2 2 3 2 5 2 2 8 2" xfId="20645"/>
    <cellStyle name="Normal 2 3 2 2 3 2 5 2 2 9" xfId="20646"/>
    <cellStyle name="Normal 2 3 2 2 3 2 5 2 2 9 2" xfId="20647"/>
    <cellStyle name="Normal 2 3 2 2 3 2 5 2 3" xfId="20648"/>
    <cellStyle name="Normal 2 3 2 2 3 2 5 2 3 2" xfId="20649"/>
    <cellStyle name="Normal 2 3 2 2 3 2 5 2 4" xfId="20650"/>
    <cellStyle name="Normal 2 3 2 2 3 2 5 2 4 2" xfId="20651"/>
    <cellStyle name="Normal 2 3 2 2 3 2 5 2 5" xfId="20652"/>
    <cellStyle name="Normal 2 3 2 2 3 2 5 2 5 2" xfId="20653"/>
    <cellStyle name="Normal 2 3 2 2 3 2 5 2 6" xfId="20654"/>
    <cellStyle name="Normal 2 3 2 2 3 2 5 2 6 2" xfId="20655"/>
    <cellStyle name="Normal 2 3 2 2 3 2 5 2 7" xfId="20656"/>
    <cellStyle name="Normal 2 3 2 2 3 2 5 2 7 2" xfId="20657"/>
    <cellStyle name="Normal 2 3 2 2 3 2 5 2 8" xfId="20658"/>
    <cellStyle name="Normal 2 3 2 2 3 2 5 2 8 2" xfId="20659"/>
    <cellStyle name="Normal 2 3 2 2 3 2 5 2 9" xfId="20660"/>
    <cellStyle name="Normal 2 3 2 2 3 2 5 2 9 2" xfId="20661"/>
    <cellStyle name="Normal 2 3 2 2 3 2 5 3" xfId="20662"/>
    <cellStyle name="Normal 2 3 2 2 3 2 5 3 10" xfId="20663"/>
    <cellStyle name="Normal 2 3 2 2 3 2 5 3 10 2" xfId="20664"/>
    <cellStyle name="Normal 2 3 2 2 3 2 5 3 11" xfId="20665"/>
    <cellStyle name="Normal 2 3 2 2 3 2 5 3 2" xfId="20666"/>
    <cellStyle name="Normal 2 3 2 2 3 2 5 3 2 2" xfId="20667"/>
    <cellStyle name="Normal 2 3 2 2 3 2 5 3 3" xfId="20668"/>
    <cellStyle name="Normal 2 3 2 2 3 2 5 3 3 2" xfId="20669"/>
    <cellStyle name="Normal 2 3 2 2 3 2 5 3 4" xfId="20670"/>
    <cellStyle name="Normal 2 3 2 2 3 2 5 3 4 2" xfId="20671"/>
    <cellStyle name="Normal 2 3 2 2 3 2 5 3 5" xfId="20672"/>
    <cellStyle name="Normal 2 3 2 2 3 2 5 3 5 2" xfId="20673"/>
    <cellStyle name="Normal 2 3 2 2 3 2 5 3 6" xfId="20674"/>
    <cellStyle name="Normal 2 3 2 2 3 2 5 3 6 2" xfId="20675"/>
    <cellStyle name="Normal 2 3 2 2 3 2 5 3 7" xfId="20676"/>
    <cellStyle name="Normal 2 3 2 2 3 2 5 3 7 2" xfId="20677"/>
    <cellStyle name="Normal 2 3 2 2 3 2 5 3 8" xfId="20678"/>
    <cellStyle name="Normal 2 3 2 2 3 2 5 3 8 2" xfId="20679"/>
    <cellStyle name="Normal 2 3 2 2 3 2 5 3 9" xfId="20680"/>
    <cellStyle name="Normal 2 3 2 2 3 2 5 3 9 2" xfId="20681"/>
    <cellStyle name="Normal 2 3 2 2 3 2 5 4" xfId="20682"/>
    <cellStyle name="Normal 2 3 2 2 3 2 5 4 2" xfId="20683"/>
    <cellStyle name="Normal 2 3 2 2 3 2 5 5" xfId="20684"/>
    <cellStyle name="Normal 2 3 2 2 3 2 5 5 2" xfId="20685"/>
    <cellStyle name="Normal 2 3 2 2 3 2 5 6" xfId="20686"/>
    <cellStyle name="Normal 2 3 2 2 3 2 5 6 2" xfId="20687"/>
    <cellStyle name="Normal 2 3 2 2 3 2 5 7" xfId="20688"/>
    <cellStyle name="Normal 2 3 2 2 3 2 5 7 2" xfId="20689"/>
    <cellStyle name="Normal 2 3 2 2 3 2 5 8" xfId="20690"/>
    <cellStyle name="Normal 2 3 2 2 3 2 5 8 2" xfId="20691"/>
    <cellStyle name="Normal 2 3 2 2 3 2 5 9" xfId="20692"/>
    <cellStyle name="Normal 2 3 2 2 3 2 5 9 2" xfId="20693"/>
    <cellStyle name="Normal 2 3 2 2 3 2 6" xfId="555"/>
    <cellStyle name="Normal 2 3 2 2 3 3" xfId="556"/>
    <cellStyle name="Normal 2 3 2 2 3 3 2" xfId="557"/>
    <cellStyle name="Normal 2 3 2 2 3 4" xfId="558"/>
    <cellStyle name="Normal 2 3 2 2 3 4 2" xfId="559"/>
    <cellStyle name="Normal 2 3 2 2 3 5" xfId="560"/>
    <cellStyle name="Normal 2 3 2 2 3 5 2" xfId="561"/>
    <cellStyle name="Normal 2 3 2 2 3 6" xfId="562"/>
    <cellStyle name="Normal 2 3 2 2 3 6 2" xfId="563"/>
    <cellStyle name="Normal 2 3 2 2 3 7" xfId="20694"/>
    <cellStyle name="Normal 2 3 2 2 3 7 10" xfId="20695"/>
    <cellStyle name="Normal 2 3 2 2 3 7 10 2" xfId="20696"/>
    <cellStyle name="Normal 2 3 2 2 3 7 11" xfId="20697"/>
    <cellStyle name="Normal 2 3 2 2 3 7 11 2" xfId="20698"/>
    <cellStyle name="Normal 2 3 2 2 3 7 12" xfId="20699"/>
    <cellStyle name="Normal 2 3 2 2 3 7 2" xfId="20700"/>
    <cellStyle name="Normal 2 3 2 2 3 7 2 10" xfId="20701"/>
    <cellStyle name="Normal 2 3 2 2 3 7 2 10 2" xfId="20702"/>
    <cellStyle name="Normal 2 3 2 2 3 7 2 11" xfId="20703"/>
    <cellStyle name="Normal 2 3 2 2 3 7 2 2" xfId="20704"/>
    <cellStyle name="Normal 2 3 2 2 3 7 2 2 2" xfId="20705"/>
    <cellStyle name="Normal 2 3 2 2 3 7 2 3" xfId="20706"/>
    <cellStyle name="Normal 2 3 2 2 3 7 2 3 2" xfId="20707"/>
    <cellStyle name="Normal 2 3 2 2 3 7 2 4" xfId="20708"/>
    <cellStyle name="Normal 2 3 2 2 3 7 2 4 2" xfId="20709"/>
    <cellStyle name="Normal 2 3 2 2 3 7 2 5" xfId="20710"/>
    <cellStyle name="Normal 2 3 2 2 3 7 2 5 2" xfId="20711"/>
    <cellStyle name="Normal 2 3 2 2 3 7 2 6" xfId="20712"/>
    <cellStyle name="Normal 2 3 2 2 3 7 2 6 2" xfId="20713"/>
    <cellStyle name="Normal 2 3 2 2 3 7 2 7" xfId="20714"/>
    <cellStyle name="Normal 2 3 2 2 3 7 2 7 2" xfId="20715"/>
    <cellStyle name="Normal 2 3 2 2 3 7 2 8" xfId="20716"/>
    <cellStyle name="Normal 2 3 2 2 3 7 2 8 2" xfId="20717"/>
    <cellStyle name="Normal 2 3 2 2 3 7 2 9" xfId="20718"/>
    <cellStyle name="Normal 2 3 2 2 3 7 2 9 2" xfId="20719"/>
    <cellStyle name="Normal 2 3 2 2 3 7 3" xfId="20720"/>
    <cellStyle name="Normal 2 3 2 2 3 7 3 2" xfId="20721"/>
    <cellStyle name="Normal 2 3 2 2 3 7 4" xfId="20722"/>
    <cellStyle name="Normal 2 3 2 2 3 7 4 2" xfId="20723"/>
    <cellStyle name="Normal 2 3 2 2 3 7 5" xfId="20724"/>
    <cellStyle name="Normal 2 3 2 2 3 7 5 2" xfId="20725"/>
    <cellStyle name="Normal 2 3 2 2 3 7 6" xfId="20726"/>
    <cellStyle name="Normal 2 3 2 2 3 7 6 2" xfId="20727"/>
    <cellStyle name="Normal 2 3 2 2 3 7 7" xfId="20728"/>
    <cellStyle name="Normal 2 3 2 2 3 7 7 2" xfId="20729"/>
    <cellStyle name="Normal 2 3 2 2 3 7 8" xfId="20730"/>
    <cellStyle name="Normal 2 3 2 2 3 7 8 2" xfId="20731"/>
    <cellStyle name="Normal 2 3 2 2 3 7 9" xfId="20732"/>
    <cellStyle name="Normal 2 3 2 2 3 7 9 2" xfId="20733"/>
    <cellStyle name="Normal 2 3 2 2 3 8" xfId="20734"/>
    <cellStyle name="Normal 2 3 2 2 3 8 10" xfId="20735"/>
    <cellStyle name="Normal 2 3 2 2 3 8 10 2" xfId="20736"/>
    <cellStyle name="Normal 2 3 2 2 3 8 11" xfId="20737"/>
    <cellStyle name="Normal 2 3 2 2 3 8 2" xfId="20738"/>
    <cellStyle name="Normal 2 3 2 2 3 8 2 2" xfId="20739"/>
    <cellStyle name="Normal 2 3 2 2 3 8 3" xfId="20740"/>
    <cellStyle name="Normal 2 3 2 2 3 8 3 2" xfId="20741"/>
    <cellStyle name="Normal 2 3 2 2 3 8 4" xfId="20742"/>
    <cellStyle name="Normal 2 3 2 2 3 8 4 2" xfId="20743"/>
    <cellStyle name="Normal 2 3 2 2 3 8 5" xfId="20744"/>
    <cellStyle name="Normal 2 3 2 2 3 8 5 2" xfId="20745"/>
    <cellStyle name="Normal 2 3 2 2 3 8 6" xfId="20746"/>
    <cellStyle name="Normal 2 3 2 2 3 8 6 2" xfId="20747"/>
    <cellStyle name="Normal 2 3 2 2 3 8 7" xfId="20748"/>
    <cellStyle name="Normal 2 3 2 2 3 8 7 2" xfId="20749"/>
    <cellStyle name="Normal 2 3 2 2 3 8 8" xfId="20750"/>
    <cellStyle name="Normal 2 3 2 2 3 8 8 2" xfId="20751"/>
    <cellStyle name="Normal 2 3 2 2 3 8 9" xfId="20752"/>
    <cellStyle name="Normal 2 3 2 2 3 8 9 2" xfId="20753"/>
    <cellStyle name="Normal 2 3 2 2 3 9" xfId="20754"/>
    <cellStyle name="Normal 2 3 2 2 3 9 2" xfId="20755"/>
    <cellStyle name="Normal 2 3 2 2 4" xfId="564"/>
    <cellStyle name="Normal 2 3 2 2 4 2" xfId="565"/>
    <cellStyle name="Normal 2 3 2 2 5" xfId="566"/>
    <cellStyle name="Normal 2 3 2 2 5 2" xfId="567"/>
    <cellStyle name="Normal 2 3 2 2 6" xfId="568"/>
    <cellStyle name="Normal 2 3 2 2 6 10" xfId="20756"/>
    <cellStyle name="Normal 2 3 2 2 6 10 2" xfId="20757"/>
    <cellStyle name="Normal 2 3 2 2 6 11" xfId="20758"/>
    <cellStyle name="Normal 2 3 2 2 6 11 2" xfId="20759"/>
    <cellStyle name="Normal 2 3 2 2 6 12" xfId="20760"/>
    <cellStyle name="Normal 2 3 2 2 6 12 2" xfId="20761"/>
    <cellStyle name="Normal 2 3 2 2 6 13" xfId="20762"/>
    <cellStyle name="Normal 2 3 2 2 6 13 2" xfId="20763"/>
    <cellStyle name="Normal 2 3 2 2 6 14" xfId="20764"/>
    <cellStyle name="Normal 2 3 2 2 6 14 2" xfId="20765"/>
    <cellStyle name="Normal 2 3 2 2 6 15" xfId="20766"/>
    <cellStyle name="Normal 2 3 2 2 6 15 2" xfId="20767"/>
    <cellStyle name="Normal 2 3 2 2 6 16" xfId="20768"/>
    <cellStyle name="Normal 2 3 2 2 6 16 2" xfId="20769"/>
    <cellStyle name="Normal 2 3 2 2 6 17" xfId="20770"/>
    <cellStyle name="Normal 2 3 2 2 6 2" xfId="569"/>
    <cellStyle name="Normal 2 3 2 2 6 2 2" xfId="570"/>
    <cellStyle name="Normal 2 3 2 2 6 3" xfId="571"/>
    <cellStyle name="Normal 2 3 2 2 6 3 2" xfId="572"/>
    <cellStyle name="Normal 2 3 2 2 6 4" xfId="573"/>
    <cellStyle name="Normal 2 3 2 2 6 4 2" xfId="574"/>
    <cellStyle name="Normal 2 3 2 2 6 5" xfId="575"/>
    <cellStyle name="Normal 2 3 2 2 6 5 2" xfId="576"/>
    <cellStyle name="Normal 2 3 2 2 6 6" xfId="20771"/>
    <cellStyle name="Normal 2 3 2 2 6 6 10" xfId="20772"/>
    <cellStyle name="Normal 2 3 2 2 6 6 10 2" xfId="20773"/>
    <cellStyle name="Normal 2 3 2 2 6 6 11" xfId="20774"/>
    <cellStyle name="Normal 2 3 2 2 6 6 11 2" xfId="20775"/>
    <cellStyle name="Normal 2 3 2 2 6 6 12" xfId="20776"/>
    <cellStyle name="Normal 2 3 2 2 6 6 2" xfId="20777"/>
    <cellStyle name="Normal 2 3 2 2 6 6 2 10" xfId="20778"/>
    <cellStyle name="Normal 2 3 2 2 6 6 2 10 2" xfId="20779"/>
    <cellStyle name="Normal 2 3 2 2 6 6 2 11" xfId="20780"/>
    <cellStyle name="Normal 2 3 2 2 6 6 2 2" xfId="20781"/>
    <cellStyle name="Normal 2 3 2 2 6 6 2 2 2" xfId="20782"/>
    <cellStyle name="Normal 2 3 2 2 6 6 2 3" xfId="20783"/>
    <cellStyle name="Normal 2 3 2 2 6 6 2 3 2" xfId="20784"/>
    <cellStyle name="Normal 2 3 2 2 6 6 2 4" xfId="20785"/>
    <cellStyle name="Normal 2 3 2 2 6 6 2 4 2" xfId="20786"/>
    <cellStyle name="Normal 2 3 2 2 6 6 2 5" xfId="20787"/>
    <cellStyle name="Normal 2 3 2 2 6 6 2 5 2" xfId="20788"/>
    <cellStyle name="Normal 2 3 2 2 6 6 2 6" xfId="20789"/>
    <cellStyle name="Normal 2 3 2 2 6 6 2 6 2" xfId="20790"/>
    <cellStyle name="Normal 2 3 2 2 6 6 2 7" xfId="20791"/>
    <cellStyle name="Normal 2 3 2 2 6 6 2 7 2" xfId="20792"/>
    <cellStyle name="Normal 2 3 2 2 6 6 2 8" xfId="20793"/>
    <cellStyle name="Normal 2 3 2 2 6 6 2 8 2" xfId="20794"/>
    <cellStyle name="Normal 2 3 2 2 6 6 2 9" xfId="20795"/>
    <cellStyle name="Normal 2 3 2 2 6 6 2 9 2" xfId="20796"/>
    <cellStyle name="Normal 2 3 2 2 6 6 3" xfId="20797"/>
    <cellStyle name="Normal 2 3 2 2 6 6 3 2" xfId="20798"/>
    <cellStyle name="Normal 2 3 2 2 6 6 4" xfId="20799"/>
    <cellStyle name="Normal 2 3 2 2 6 6 4 2" xfId="20800"/>
    <cellStyle name="Normal 2 3 2 2 6 6 5" xfId="20801"/>
    <cellStyle name="Normal 2 3 2 2 6 6 5 2" xfId="20802"/>
    <cellStyle name="Normal 2 3 2 2 6 6 6" xfId="20803"/>
    <cellStyle name="Normal 2 3 2 2 6 6 6 2" xfId="20804"/>
    <cellStyle name="Normal 2 3 2 2 6 6 7" xfId="20805"/>
    <cellStyle name="Normal 2 3 2 2 6 6 7 2" xfId="20806"/>
    <cellStyle name="Normal 2 3 2 2 6 6 8" xfId="20807"/>
    <cellStyle name="Normal 2 3 2 2 6 6 8 2" xfId="20808"/>
    <cellStyle name="Normal 2 3 2 2 6 6 9" xfId="20809"/>
    <cellStyle name="Normal 2 3 2 2 6 6 9 2" xfId="20810"/>
    <cellStyle name="Normal 2 3 2 2 6 7" xfId="20811"/>
    <cellStyle name="Normal 2 3 2 2 6 7 10" xfId="20812"/>
    <cellStyle name="Normal 2 3 2 2 6 7 10 2" xfId="20813"/>
    <cellStyle name="Normal 2 3 2 2 6 7 11" xfId="20814"/>
    <cellStyle name="Normal 2 3 2 2 6 7 2" xfId="20815"/>
    <cellStyle name="Normal 2 3 2 2 6 7 2 2" xfId="20816"/>
    <cellStyle name="Normal 2 3 2 2 6 7 3" xfId="20817"/>
    <cellStyle name="Normal 2 3 2 2 6 7 3 2" xfId="20818"/>
    <cellStyle name="Normal 2 3 2 2 6 7 4" xfId="20819"/>
    <cellStyle name="Normal 2 3 2 2 6 7 4 2" xfId="20820"/>
    <cellStyle name="Normal 2 3 2 2 6 7 5" xfId="20821"/>
    <cellStyle name="Normal 2 3 2 2 6 7 5 2" xfId="20822"/>
    <cellStyle name="Normal 2 3 2 2 6 7 6" xfId="20823"/>
    <cellStyle name="Normal 2 3 2 2 6 7 6 2" xfId="20824"/>
    <cellStyle name="Normal 2 3 2 2 6 7 7" xfId="20825"/>
    <cellStyle name="Normal 2 3 2 2 6 7 7 2" xfId="20826"/>
    <cellStyle name="Normal 2 3 2 2 6 7 8" xfId="20827"/>
    <cellStyle name="Normal 2 3 2 2 6 7 8 2" xfId="20828"/>
    <cellStyle name="Normal 2 3 2 2 6 7 9" xfId="20829"/>
    <cellStyle name="Normal 2 3 2 2 6 7 9 2" xfId="20830"/>
    <cellStyle name="Normal 2 3 2 2 6 8" xfId="20831"/>
    <cellStyle name="Normal 2 3 2 2 6 8 2" xfId="20832"/>
    <cellStyle name="Normal 2 3 2 2 6 9" xfId="20833"/>
    <cellStyle name="Normal 2 3 2 2 6 9 2" xfId="20834"/>
    <cellStyle name="Normal 2 3 2 2 7" xfId="577"/>
    <cellStyle name="Normal 2 3 2 2 7 10" xfId="20835"/>
    <cellStyle name="Normal 2 3 2 2 7 10 2" xfId="20836"/>
    <cellStyle name="Normal 2 3 2 2 7 11" xfId="20837"/>
    <cellStyle name="Normal 2 3 2 2 7 11 2" xfId="20838"/>
    <cellStyle name="Normal 2 3 2 2 7 12" xfId="20839"/>
    <cellStyle name="Normal 2 3 2 2 7 12 2" xfId="20840"/>
    <cellStyle name="Normal 2 3 2 2 7 13" xfId="20841"/>
    <cellStyle name="Normal 2 3 2 2 7 2" xfId="20842"/>
    <cellStyle name="Normal 2 3 2 2 7 2 10" xfId="20843"/>
    <cellStyle name="Normal 2 3 2 2 7 2 10 2" xfId="20844"/>
    <cellStyle name="Normal 2 3 2 2 7 2 11" xfId="20845"/>
    <cellStyle name="Normal 2 3 2 2 7 2 11 2" xfId="20846"/>
    <cellStyle name="Normal 2 3 2 2 7 2 12" xfId="20847"/>
    <cellStyle name="Normal 2 3 2 2 7 2 2" xfId="20848"/>
    <cellStyle name="Normal 2 3 2 2 7 2 2 10" xfId="20849"/>
    <cellStyle name="Normal 2 3 2 2 7 2 2 10 2" xfId="20850"/>
    <cellStyle name="Normal 2 3 2 2 7 2 2 11" xfId="20851"/>
    <cellStyle name="Normal 2 3 2 2 7 2 2 2" xfId="20852"/>
    <cellStyle name="Normal 2 3 2 2 7 2 2 2 2" xfId="20853"/>
    <cellStyle name="Normal 2 3 2 2 7 2 2 3" xfId="20854"/>
    <cellStyle name="Normal 2 3 2 2 7 2 2 3 2" xfId="20855"/>
    <cellStyle name="Normal 2 3 2 2 7 2 2 4" xfId="20856"/>
    <cellStyle name="Normal 2 3 2 2 7 2 2 4 2" xfId="20857"/>
    <cellStyle name="Normal 2 3 2 2 7 2 2 5" xfId="20858"/>
    <cellStyle name="Normal 2 3 2 2 7 2 2 5 2" xfId="20859"/>
    <cellStyle name="Normal 2 3 2 2 7 2 2 6" xfId="20860"/>
    <cellStyle name="Normal 2 3 2 2 7 2 2 6 2" xfId="20861"/>
    <cellStyle name="Normal 2 3 2 2 7 2 2 7" xfId="20862"/>
    <cellStyle name="Normal 2 3 2 2 7 2 2 7 2" xfId="20863"/>
    <cellStyle name="Normal 2 3 2 2 7 2 2 8" xfId="20864"/>
    <cellStyle name="Normal 2 3 2 2 7 2 2 8 2" xfId="20865"/>
    <cellStyle name="Normal 2 3 2 2 7 2 2 9" xfId="20866"/>
    <cellStyle name="Normal 2 3 2 2 7 2 2 9 2" xfId="20867"/>
    <cellStyle name="Normal 2 3 2 2 7 2 3" xfId="20868"/>
    <cellStyle name="Normal 2 3 2 2 7 2 3 2" xfId="20869"/>
    <cellStyle name="Normal 2 3 2 2 7 2 4" xfId="20870"/>
    <cellStyle name="Normal 2 3 2 2 7 2 4 2" xfId="20871"/>
    <cellStyle name="Normal 2 3 2 2 7 2 5" xfId="20872"/>
    <cellStyle name="Normal 2 3 2 2 7 2 5 2" xfId="20873"/>
    <cellStyle name="Normal 2 3 2 2 7 2 6" xfId="20874"/>
    <cellStyle name="Normal 2 3 2 2 7 2 6 2" xfId="20875"/>
    <cellStyle name="Normal 2 3 2 2 7 2 7" xfId="20876"/>
    <cellStyle name="Normal 2 3 2 2 7 2 7 2" xfId="20877"/>
    <cellStyle name="Normal 2 3 2 2 7 2 8" xfId="20878"/>
    <cellStyle name="Normal 2 3 2 2 7 2 8 2" xfId="20879"/>
    <cellStyle name="Normal 2 3 2 2 7 2 9" xfId="20880"/>
    <cellStyle name="Normal 2 3 2 2 7 2 9 2" xfId="20881"/>
    <cellStyle name="Normal 2 3 2 2 7 3" xfId="20882"/>
    <cellStyle name="Normal 2 3 2 2 7 3 10" xfId="20883"/>
    <cellStyle name="Normal 2 3 2 2 7 3 10 2" xfId="20884"/>
    <cellStyle name="Normal 2 3 2 2 7 3 11" xfId="20885"/>
    <cellStyle name="Normal 2 3 2 2 7 3 2" xfId="20886"/>
    <cellStyle name="Normal 2 3 2 2 7 3 2 2" xfId="20887"/>
    <cellStyle name="Normal 2 3 2 2 7 3 3" xfId="20888"/>
    <cellStyle name="Normal 2 3 2 2 7 3 3 2" xfId="20889"/>
    <cellStyle name="Normal 2 3 2 2 7 3 4" xfId="20890"/>
    <cellStyle name="Normal 2 3 2 2 7 3 4 2" xfId="20891"/>
    <cellStyle name="Normal 2 3 2 2 7 3 5" xfId="20892"/>
    <cellStyle name="Normal 2 3 2 2 7 3 5 2" xfId="20893"/>
    <cellStyle name="Normal 2 3 2 2 7 3 6" xfId="20894"/>
    <cellStyle name="Normal 2 3 2 2 7 3 6 2" xfId="20895"/>
    <cellStyle name="Normal 2 3 2 2 7 3 7" xfId="20896"/>
    <cellStyle name="Normal 2 3 2 2 7 3 7 2" xfId="20897"/>
    <cellStyle name="Normal 2 3 2 2 7 3 8" xfId="20898"/>
    <cellStyle name="Normal 2 3 2 2 7 3 8 2" xfId="20899"/>
    <cellStyle name="Normal 2 3 2 2 7 3 9" xfId="20900"/>
    <cellStyle name="Normal 2 3 2 2 7 3 9 2" xfId="20901"/>
    <cellStyle name="Normal 2 3 2 2 7 4" xfId="20902"/>
    <cellStyle name="Normal 2 3 2 2 7 4 2" xfId="20903"/>
    <cellStyle name="Normal 2 3 2 2 7 5" xfId="20904"/>
    <cellStyle name="Normal 2 3 2 2 7 5 2" xfId="20905"/>
    <cellStyle name="Normal 2 3 2 2 7 6" xfId="20906"/>
    <cellStyle name="Normal 2 3 2 2 7 6 2" xfId="20907"/>
    <cellStyle name="Normal 2 3 2 2 7 7" xfId="20908"/>
    <cellStyle name="Normal 2 3 2 2 7 7 2" xfId="20909"/>
    <cellStyle name="Normal 2 3 2 2 7 8" xfId="20910"/>
    <cellStyle name="Normal 2 3 2 2 7 8 2" xfId="20911"/>
    <cellStyle name="Normal 2 3 2 2 7 9" xfId="20912"/>
    <cellStyle name="Normal 2 3 2 2 7 9 2" xfId="20913"/>
    <cellStyle name="Normal 2 3 2 2 8" xfId="578"/>
    <cellStyle name="Normal 2 3 2 2 8 10" xfId="20914"/>
    <cellStyle name="Normal 2 3 2 2 8 10 2" xfId="20915"/>
    <cellStyle name="Normal 2 3 2 2 8 11" xfId="20916"/>
    <cellStyle name="Normal 2 3 2 2 8 11 2" xfId="20917"/>
    <cellStyle name="Normal 2 3 2 2 8 12" xfId="20918"/>
    <cellStyle name="Normal 2 3 2 2 8 12 2" xfId="20919"/>
    <cellStyle name="Normal 2 3 2 2 8 13" xfId="20920"/>
    <cellStyle name="Normal 2 3 2 2 8 2" xfId="20921"/>
    <cellStyle name="Normal 2 3 2 2 8 2 10" xfId="20922"/>
    <cellStyle name="Normal 2 3 2 2 8 2 10 2" xfId="20923"/>
    <cellStyle name="Normal 2 3 2 2 8 2 11" xfId="20924"/>
    <cellStyle name="Normal 2 3 2 2 8 2 11 2" xfId="20925"/>
    <cellStyle name="Normal 2 3 2 2 8 2 12" xfId="20926"/>
    <cellStyle name="Normal 2 3 2 2 8 2 2" xfId="20927"/>
    <cellStyle name="Normal 2 3 2 2 8 2 2 10" xfId="20928"/>
    <cellStyle name="Normal 2 3 2 2 8 2 2 10 2" xfId="20929"/>
    <cellStyle name="Normal 2 3 2 2 8 2 2 11" xfId="20930"/>
    <cellStyle name="Normal 2 3 2 2 8 2 2 2" xfId="20931"/>
    <cellStyle name="Normal 2 3 2 2 8 2 2 2 2" xfId="20932"/>
    <cellStyle name="Normal 2 3 2 2 8 2 2 3" xfId="20933"/>
    <cellStyle name="Normal 2 3 2 2 8 2 2 3 2" xfId="20934"/>
    <cellStyle name="Normal 2 3 2 2 8 2 2 4" xfId="20935"/>
    <cellStyle name="Normal 2 3 2 2 8 2 2 4 2" xfId="20936"/>
    <cellStyle name="Normal 2 3 2 2 8 2 2 5" xfId="20937"/>
    <cellStyle name="Normal 2 3 2 2 8 2 2 5 2" xfId="20938"/>
    <cellStyle name="Normal 2 3 2 2 8 2 2 6" xfId="20939"/>
    <cellStyle name="Normal 2 3 2 2 8 2 2 6 2" xfId="20940"/>
    <cellStyle name="Normal 2 3 2 2 8 2 2 7" xfId="20941"/>
    <cellStyle name="Normal 2 3 2 2 8 2 2 7 2" xfId="20942"/>
    <cellStyle name="Normal 2 3 2 2 8 2 2 8" xfId="20943"/>
    <cellStyle name="Normal 2 3 2 2 8 2 2 8 2" xfId="20944"/>
    <cellStyle name="Normal 2 3 2 2 8 2 2 9" xfId="20945"/>
    <cellStyle name="Normal 2 3 2 2 8 2 2 9 2" xfId="20946"/>
    <cellStyle name="Normal 2 3 2 2 8 2 3" xfId="20947"/>
    <cellStyle name="Normal 2 3 2 2 8 2 3 2" xfId="20948"/>
    <cellStyle name="Normal 2 3 2 2 8 2 4" xfId="20949"/>
    <cellStyle name="Normal 2 3 2 2 8 2 4 2" xfId="20950"/>
    <cellStyle name="Normal 2 3 2 2 8 2 5" xfId="20951"/>
    <cellStyle name="Normal 2 3 2 2 8 2 5 2" xfId="20952"/>
    <cellStyle name="Normal 2 3 2 2 8 2 6" xfId="20953"/>
    <cellStyle name="Normal 2 3 2 2 8 2 6 2" xfId="20954"/>
    <cellStyle name="Normal 2 3 2 2 8 2 7" xfId="20955"/>
    <cellStyle name="Normal 2 3 2 2 8 2 7 2" xfId="20956"/>
    <cellStyle name="Normal 2 3 2 2 8 2 8" xfId="20957"/>
    <cellStyle name="Normal 2 3 2 2 8 2 8 2" xfId="20958"/>
    <cellStyle name="Normal 2 3 2 2 8 2 9" xfId="20959"/>
    <cellStyle name="Normal 2 3 2 2 8 2 9 2" xfId="20960"/>
    <cellStyle name="Normal 2 3 2 2 8 3" xfId="20961"/>
    <cellStyle name="Normal 2 3 2 2 8 3 10" xfId="20962"/>
    <cellStyle name="Normal 2 3 2 2 8 3 10 2" xfId="20963"/>
    <cellStyle name="Normal 2 3 2 2 8 3 11" xfId="20964"/>
    <cellStyle name="Normal 2 3 2 2 8 3 2" xfId="20965"/>
    <cellStyle name="Normal 2 3 2 2 8 3 2 2" xfId="20966"/>
    <cellStyle name="Normal 2 3 2 2 8 3 3" xfId="20967"/>
    <cellStyle name="Normal 2 3 2 2 8 3 3 2" xfId="20968"/>
    <cellStyle name="Normal 2 3 2 2 8 3 4" xfId="20969"/>
    <cellStyle name="Normal 2 3 2 2 8 3 4 2" xfId="20970"/>
    <cellStyle name="Normal 2 3 2 2 8 3 5" xfId="20971"/>
    <cellStyle name="Normal 2 3 2 2 8 3 5 2" xfId="20972"/>
    <cellStyle name="Normal 2 3 2 2 8 3 6" xfId="20973"/>
    <cellStyle name="Normal 2 3 2 2 8 3 6 2" xfId="20974"/>
    <cellStyle name="Normal 2 3 2 2 8 3 7" xfId="20975"/>
    <cellStyle name="Normal 2 3 2 2 8 3 7 2" xfId="20976"/>
    <cellStyle name="Normal 2 3 2 2 8 3 8" xfId="20977"/>
    <cellStyle name="Normal 2 3 2 2 8 3 8 2" xfId="20978"/>
    <cellStyle name="Normal 2 3 2 2 8 3 9" xfId="20979"/>
    <cellStyle name="Normal 2 3 2 2 8 3 9 2" xfId="20980"/>
    <cellStyle name="Normal 2 3 2 2 8 4" xfId="20981"/>
    <cellStyle name="Normal 2 3 2 2 8 4 2" xfId="20982"/>
    <cellStyle name="Normal 2 3 2 2 8 5" xfId="20983"/>
    <cellStyle name="Normal 2 3 2 2 8 5 2" xfId="20984"/>
    <cellStyle name="Normal 2 3 2 2 8 6" xfId="20985"/>
    <cellStyle name="Normal 2 3 2 2 8 6 2" xfId="20986"/>
    <cellStyle name="Normal 2 3 2 2 8 7" xfId="20987"/>
    <cellStyle name="Normal 2 3 2 2 8 7 2" xfId="20988"/>
    <cellStyle name="Normal 2 3 2 2 8 8" xfId="20989"/>
    <cellStyle name="Normal 2 3 2 2 8 8 2" xfId="20990"/>
    <cellStyle name="Normal 2 3 2 2 8 9" xfId="20991"/>
    <cellStyle name="Normal 2 3 2 2 8 9 2" xfId="20992"/>
    <cellStyle name="Normal 2 3 2 2 9" xfId="579"/>
    <cellStyle name="Normal 2 3 2 2 9 10" xfId="20993"/>
    <cellStyle name="Normal 2 3 2 2 9 10 2" xfId="20994"/>
    <cellStyle name="Normal 2 3 2 2 9 11" xfId="20995"/>
    <cellStyle name="Normal 2 3 2 2 9 11 2" xfId="20996"/>
    <cellStyle name="Normal 2 3 2 2 9 12" xfId="20997"/>
    <cellStyle name="Normal 2 3 2 2 9 12 2" xfId="20998"/>
    <cellStyle name="Normal 2 3 2 2 9 13" xfId="20999"/>
    <cellStyle name="Normal 2 3 2 2 9 2" xfId="21000"/>
    <cellStyle name="Normal 2 3 2 2 9 2 10" xfId="21001"/>
    <cellStyle name="Normal 2 3 2 2 9 2 10 2" xfId="21002"/>
    <cellStyle name="Normal 2 3 2 2 9 2 11" xfId="21003"/>
    <cellStyle name="Normal 2 3 2 2 9 2 11 2" xfId="21004"/>
    <cellStyle name="Normal 2 3 2 2 9 2 12" xfId="21005"/>
    <cellStyle name="Normal 2 3 2 2 9 2 2" xfId="21006"/>
    <cellStyle name="Normal 2 3 2 2 9 2 2 10" xfId="21007"/>
    <cellStyle name="Normal 2 3 2 2 9 2 2 10 2" xfId="21008"/>
    <cellStyle name="Normal 2 3 2 2 9 2 2 11" xfId="21009"/>
    <cellStyle name="Normal 2 3 2 2 9 2 2 2" xfId="21010"/>
    <cellStyle name="Normal 2 3 2 2 9 2 2 2 2" xfId="21011"/>
    <cellStyle name="Normal 2 3 2 2 9 2 2 3" xfId="21012"/>
    <cellStyle name="Normal 2 3 2 2 9 2 2 3 2" xfId="21013"/>
    <cellStyle name="Normal 2 3 2 2 9 2 2 4" xfId="21014"/>
    <cellStyle name="Normal 2 3 2 2 9 2 2 4 2" xfId="21015"/>
    <cellStyle name="Normal 2 3 2 2 9 2 2 5" xfId="21016"/>
    <cellStyle name="Normal 2 3 2 2 9 2 2 5 2" xfId="21017"/>
    <cellStyle name="Normal 2 3 2 2 9 2 2 6" xfId="21018"/>
    <cellStyle name="Normal 2 3 2 2 9 2 2 6 2" xfId="21019"/>
    <cellStyle name="Normal 2 3 2 2 9 2 2 7" xfId="21020"/>
    <cellStyle name="Normal 2 3 2 2 9 2 2 7 2" xfId="21021"/>
    <cellStyle name="Normal 2 3 2 2 9 2 2 8" xfId="21022"/>
    <cellStyle name="Normal 2 3 2 2 9 2 2 8 2" xfId="21023"/>
    <cellStyle name="Normal 2 3 2 2 9 2 2 9" xfId="21024"/>
    <cellStyle name="Normal 2 3 2 2 9 2 2 9 2" xfId="21025"/>
    <cellStyle name="Normal 2 3 2 2 9 2 3" xfId="21026"/>
    <cellStyle name="Normal 2 3 2 2 9 2 3 2" xfId="21027"/>
    <cellStyle name="Normal 2 3 2 2 9 2 4" xfId="21028"/>
    <cellStyle name="Normal 2 3 2 2 9 2 4 2" xfId="21029"/>
    <cellStyle name="Normal 2 3 2 2 9 2 5" xfId="21030"/>
    <cellStyle name="Normal 2 3 2 2 9 2 5 2" xfId="21031"/>
    <cellStyle name="Normal 2 3 2 2 9 2 6" xfId="21032"/>
    <cellStyle name="Normal 2 3 2 2 9 2 6 2" xfId="21033"/>
    <cellStyle name="Normal 2 3 2 2 9 2 7" xfId="21034"/>
    <cellStyle name="Normal 2 3 2 2 9 2 7 2" xfId="21035"/>
    <cellStyle name="Normal 2 3 2 2 9 2 8" xfId="21036"/>
    <cellStyle name="Normal 2 3 2 2 9 2 8 2" xfId="21037"/>
    <cellStyle name="Normal 2 3 2 2 9 2 9" xfId="21038"/>
    <cellStyle name="Normal 2 3 2 2 9 2 9 2" xfId="21039"/>
    <cellStyle name="Normal 2 3 2 2 9 3" xfId="21040"/>
    <cellStyle name="Normal 2 3 2 2 9 3 10" xfId="21041"/>
    <cellStyle name="Normal 2 3 2 2 9 3 10 2" xfId="21042"/>
    <cellStyle name="Normal 2 3 2 2 9 3 11" xfId="21043"/>
    <cellStyle name="Normal 2 3 2 2 9 3 2" xfId="21044"/>
    <cellStyle name="Normal 2 3 2 2 9 3 2 2" xfId="21045"/>
    <cellStyle name="Normal 2 3 2 2 9 3 3" xfId="21046"/>
    <cellStyle name="Normal 2 3 2 2 9 3 3 2" xfId="21047"/>
    <cellStyle name="Normal 2 3 2 2 9 3 4" xfId="21048"/>
    <cellStyle name="Normal 2 3 2 2 9 3 4 2" xfId="21049"/>
    <cellStyle name="Normal 2 3 2 2 9 3 5" xfId="21050"/>
    <cellStyle name="Normal 2 3 2 2 9 3 5 2" xfId="21051"/>
    <cellStyle name="Normal 2 3 2 2 9 3 6" xfId="21052"/>
    <cellStyle name="Normal 2 3 2 2 9 3 6 2" xfId="21053"/>
    <cellStyle name="Normal 2 3 2 2 9 3 7" xfId="21054"/>
    <cellStyle name="Normal 2 3 2 2 9 3 7 2" xfId="21055"/>
    <cellStyle name="Normal 2 3 2 2 9 3 8" xfId="21056"/>
    <cellStyle name="Normal 2 3 2 2 9 3 8 2" xfId="21057"/>
    <cellStyle name="Normal 2 3 2 2 9 3 9" xfId="21058"/>
    <cellStyle name="Normal 2 3 2 2 9 3 9 2" xfId="21059"/>
    <cellStyle name="Normal 2 3 2 2 9 4" xfId="21060"/>
    <cellStyle name="Normal 2 3 2 2 9 4 2" xfId="21061"/>
    <cellStyle name="Normal 2 3 2 2 9 5" xfId="21062"/>
    <cellStyle name="Normal 2 3 2 2 9 5 2" xfId="21063"/>
    <cellStyle name="Normal 2 3 2 2 9 6" xfId="21064"/>
    <cellStyle name="Normal 2 3 2 2 9 6 2" xfId="21065"/>
    <cellStyle name="Normal 2 3 2 2 9 7" xfId="21066"/>
    <cellStyle name="Normal 2 3 2 2 9 7 2" xfId="21067"/>
    <cellStyle name="Normal 2 3 2 2 9 8" xfId="21068"/>
    <cellStyle name="Normal 2 3 2 2 9 8 2" xfId="21069"/>
    <cellStyle name="Normal 2 3 2 2 9 9" xfId="21070"/>
    <cellStyle name="Normal 2 3 2 2 9 9 2" xfId="21071"/>
    <cellStyle name="Normal 2 3 2 20" xfId="21072"/>
    <cellStyle name="Normal 2 3 2 21" xfId="21073"/>
    <cellStyle name="Normal 2 3 2 22" xfId="21074"/>
    <cellStyle name="Normal 2 3 2 23" xfId="21075"/>
    <cellStyle name="Normal 2 3 2 24" xfId="21076"/>
    <cellStyle name="Normal 2 3 2 25" xfId="21077"/>
    <cellStyle name="Normal 2 3 2 26" xfId="21078"/>
    <cellStyle name="Normal 2 3 2 27" xfId="21079"/>
    <cellStyle name="Normal 2 3 2 28" xfId="21080"/>
    <cellStyle name="Normal 2 3 2 29" xfId="21081"/>
    <cellStyle name="Normal 2 3 2 3" xfId="580"/>
    <cellStyle name="Normal 2 3 2 3 10" xfId="21082"/>
    <cellStyle name="Normal 2 3 2 3 10 2" xfId="21083"/>
    <cellStyle name="Normal 2 3 2 3 11" xfId="21084"/>
    <cellStyle name="Normal 2 3 2 3 11 2" xfId="21085"/>
    <cellStyle name="Normal 2 3 2 3 12" xfId="21086"/>
    <cellStyle name="Normal 2 3 2 3 12 2" xfId="21087"/>
    <cellStyle name="Normal 2 3 2 3 13" xfId="21088"/>
    <cellStyle name="Normal 2 3 2 3 2" xfId="21089"/>
    <cellStyle name="Normal 2 3 2 3 2 10" xfId="21090"/>
    <cellStyle name="Normal 2 3 2 3 2 10 2" xfId="21091"/>
    <cellStyle name="Normal 2 3 2 3 2 11" xfId="21092"/>
    <cellStyle name="Normal 2 3 2 3 2 11 2" xfId="21093"/>
    <cellStyle name="Normal 2 3 2 3 2 12" xfId="21094"/>
    <cellStyle name="Normal 2 3 2 3 2 2" xfId="21095"/>
    <cellStyle name="Normal 2 3 2 3 2 2 10" xfId="21096"/>
    <cellStyle name="Normal 2 3 2 3 2 2 10 2" xfId="21097"/>
    <cellStyle name="Normal 2 3 2 3 2 2 11" xfId="21098"/>
    <cellStyle name="Normal 2 3 2 3 2 2 2" xfId="21099"/>
    <cellStyle name="Normal 2 3 2 3 2 2 2 2" xfId="21100"/>
    <cellStyle name="Normal 2 3 2 3 2 2 3" xfId="21101"/>
    <cellStyle name="Normal 2 3 2 3 2 2 3 2" xfId="21102"/>
    <cellStyle name="Normal 2 3 2 3 2 2 4" xfId="21103"/>
    <cellStyle name="Normal 2 3 2 3 2 2 4 2" xfId="21104"/>
    <cellStyle name="Normal 2 3 2 3 2 2 5" xfId="21105"/>
    <cellStyle name="Normal 2 3 2 3 2 2 5 2" xfId="21106"/>
    <cellStyle name="Normal 2 3 2 3 2 2 6" xfId="21107"/>
    <cellStyle name="Normal 2 3 2 3 2 2 6 2" xfId="21108"/>
    <cellStyle name="Normal 2 3 2 3 2 2 7" xfId="21109"/>
    <cellStyle name="Normal 2 3 2 3 2 2 7 2" xfId="21110"/>
    <cellStyle name="Normal 2 3 2 3 2 2 8" xfId="21111"/>
    <cellStyle name="Normal 2 3 2 3 2 2 8 2" xfId="21112"/>
    <cellStyle name="Normal 2 3 2 3 2 2 9" xfId="21113"/>
    <cellStyle name="Normal 2 3 2 3 2 2 9 2" xfId="21114"/>
    <cellStyle name="Normal 2 3 2 3 2 3" xfId="21115"/>
    <cellStyle name="Normal 2 3 2 3 2 3 2" xfId="21116"/>
    <cellStyle name="Normal 2 3 2 3 2 4" xfId="21117"/>
    <cellStyle name="Normal 2 3 2 3 2 4 2" xfId="21118"/>
    <cellStyle name="Normal 2 3 2 3 2 5" xfId="21119"/>
    <cellStyle name="Normal 2 3 2 3 2 5 2" xfId="21120"/>
    <cellStyle name="Normal 2 3 2 3 2 6" xfId="21121"/>
    <cellStyle name="Normal 2 3 2 3 2 6 2" xfId="21122"/>
    <cellStyle name="Normal 2 3 2 3 2 7" xfId="21123"/>
    <cellStyle name="Normal 2 3 2 3 2 7 2" xfId="21124"/>
    <cellStyle name="Normal 2 3 2 3 2 8" xfId="21125"/>
    <cellStyle name="Normal 2 3 2 3 2 8 2" xfId="21126"/>
    <cellStyle name="Normal 2 3 2 3 2 9" xfId="21127"/>
    <cellStyle name="Normal 2 3 2 3 2 9 2" xfId="21128"/>
    <cellStyle name="Normal 2 3 2 3 3" xfId="21129"/>
    <cellStyle name="Normal 2 3 2 3 3 10" xfId="21130"/>
    <cellStyle name="Normal 2 3 2 3 3 10 2" xfId="21131"/>
    <cellStyle name="Normal 2 3 2 3 3 11" xfId="21132"/>
    <cellStyle name="Normal 2 3 2 3 3 2" xfId="21133"/>
    <cellStyle name="Normal 2 3 2 3 3 2 2" xfId="21134"/>
    <cellStyle name="Normal 2 3 2 3 3 3" xfId="21135"/>
    <cellStyle name="Normal 2 3 2 3 3 3 2" xfId="21136"/>
    <cellStyle name="Normal 2 3 2 3 3 4" xfId="21137"/>
    <cellStyle name="Normal 2 3 2 3 3 4 2" xfId="21138"/>
    <cellStyle name="Normal 2 3 2 3 3 5" xfId="21139"/>
    <cellStyle name="Normal 2 3 2 3 3 5 2" xfId="21140"/>
    <cellStyle name="Normal 2 3 2 3 3 6" xfId="21141"/>
    <cellStyle name="Normal 2 3 2 3 3 6 2" xfId="21142"/>
    <cellStyle name="Normal 2 3 2 3 3 7" xfId="21143"/>
    <cellStyle name="Normal 2 3 2 3 3 7 2" xfId="21144"/>
    <cellStyle name="Normal 2 3 2 3 3 8" xfId="21145"/>
    <cellStyle name="Normal 2 3 2 3 3 8 2" xfId="21146"/>
    <cellStyle name="Normal 2 3 2 3 3 9" xfId="21147"/>
    <cellStyle name="Normal 2 3 2 3 3 9 2" xfId="21148"/>
    <cellStyle name="Normal 2 3 2 3 4" xfId="21149"/>
    <cellStyle name="Normal 2 3 2 3 4 2" xfId="21150"/>
    <cellStyle name="Normal 2 3 2 3 5" xfId="21151"/>
    <cellStyle name="Normal 2 3 2 3 5 2" xfId="21152"/>
    <cellStyle name="Normal 2 3 2 3 6" xfId="21153"/>
    <cellStyle name="Normal 2 3 2 3 6 2" xfId="21154"/>
    <cellStyle name="Normal 2 3 2 3 7" xfId="21155"/>
    <cellStyle name="Normal 2 3 2 3 7 2" xfId="21156"/>
    <cellStyle name="Normal 2 3 2 3 8" xfId="21157"/>
    <cellStyle name="Normal 2 3 2 3 8 2" xfId="21158"/>
    <cellStyle name="Normal 2 3 2 3 9" xfId="21159"/>
    <cellStyle name="Normal 2 3 2 3 9 2" xfId="21160"/>
    <cellStyle name="Normal 2 3 2 4" xfId="581"/>
    <cellStyle name="Normal 2 3 2 4 10" xfId="21161"/>
    <cellStyle name="Normal 2 3 2 4 10 2" xfId="21162"/>
    <cellStyle name="Normal 2 3 2 4 11" xfId="21163"/>
    <cellStyle name="Normal 2 3 2 4 11 2" xfId="21164"/>
    <cellStyle name="Normal 2 3 2 4 12" xfId="21165"/>
    <cellStyle name="Normal 2 3 2 4 12 2" xfId="21166"/>
    <cellStyle name="Normal 2 3 2 4 13" xfId="21167"/>
    <cellStyle name="Normal 2 3 2 4 2" xfId="21168"/>
    <cellStyle name="Normal 2 3 2 4 2 10" xfId="21169"/>
    <cellStyle name="Normal 2 3 2 4 2 10 2" xfId="21170"/>
    <cellStyle name="Normal 2 3 2 4 2 11" xfId="21171"/>
    <cellStyle name="Normal 2 3 2 4 2 11 2" xfId="21172"/>
    <cellStyle name="Normal 2 3 2 4 2 12" xfId="21173"/>
    <cellStyle name="Normal 2 3 2 4 2 2" xfId="21174"/>
    <cellStyle name="Normal 2 3 2 4 2 2 10" xfId="21175"/>
    <cellStyle name="Normal 2 3 2 4 2 2 10 2" xfId="21176"/>
    <cellStyle name="Normal 2 3 2 4 2 2 11" xfId="21177"/>
    <cellStyle name="Normal 2 3 2 4 2 2 2" xfId="21178"/>
    <cellStyle name="Normal 2 3 2 4 2 2 2 2" xfId="21179"/>
    <cellStyle name="Normal 2 3 2 4 2 2 3" xfId="21180"/>
    <cellStyle name="Normal 2 3 2 4 2 2 3 2" xfId="21181"/>
    <cellStyle name="Normal 2 3 2 4 2 2 4" xfId="21182"/>
    <cellStyle name="Normal 2 3 2 4 2 2 4 2" xfId="21183"/>
    <cellStyle name="Normal 2 3 2 4 2 2 5" xfId="21184"/>
    <cellStyle name="Normal 2 3 2 4 2 2 5 2" xfId="21185"/>
    <cellStyle name="Normal 2 3 2 4 2 2 6" xfId="21186"/>
    <cellStyle name="Normal 2 3 2 4 2 2 6 2" xfId="21187"/>
    <cellStyle name="Normal 2 3 2 4 2 2 7" xfId="21188"/>
    <cellStyle name="Normal 2 3 2 4 2 2 7 2" xfId="21189"/>
    <cellStyle name="Normal 2 3 2 4 2 2 8" xfId="21190"/>
    <cellStyle name="Normal 2 3 2 4 2 2 8 2" xfId="21191"/>
    <cellStyle name="Normal 2 3 2 4 2 2 9" xfId="21192"/>
    <cellStyle name="Normal 2 3 2 4 2 2 9 2" xfId="21193"/>
    <cellStyle name="Normal 2 3 2 4 2 3" xfId="21194"/>
    <cellStyle name="Normal 2 3 2 4 2 3 2" xfId="21195"/>
    <cellStyle name="Normal 2 3 2 4 2 4" xfId="21196"/>
    <cellStyle name="Normal 2 3 2 4 2 4 2" xfId="21197"/>
    <cellStyle name="Normal 2 3 2 4 2 5" xfId="21198"/>
    <cellStyle name="Normal 2 3 2 4 2 5 2" xfId="21199"/>
    <cellStyle name="Normal 2 3 2 4 2 6" xfId="21200"/>
    <cellStyle name="Normal 2 3 2 4 2 6 2" xfId="21201"/>
    <cellStyle name="Normal 2 3 2 4 2 7" xfId="21202"/>
    <cellStyle name="Normal 2 3 2 4 2 7 2" xfId="21203"/>
    <cellStyle name="Normal 2 3 2 4 2 8" xfId="21204"/>
    <cellStyle name="Normal 2 3 2 4 2 8 2" xfId="21205"/>
    <cellStyle name="Normal 2 3 2 4 2 9" xfId="21206"/>
    <cellStyle name="Normal 2 3 2 4 2 9 2" xfId="21207"/>
    <cellStyle name="Normal 2 3 2 4 3" xfId="21208"/>
    <cellStyle name="Normal 2 3 2 4 3 10" xfId="21209"/>
    <cellStyle name="Normal 2 3 2 4 3 10 2" xfId="21210"/>
    <cellStyle name="Normal 2 3 2 4 3 11" xfId="21211"/>
    <cellStyle name="Normal 2 3 2 4 3 2" xfId="21212"/>
    <cellStyle name="Normal 2 3 2 4 3 2 2" xfId="21213"/>
    <cellStyle name="Normal 2 3 2 4 3 3" xfId="21214"/>
    <cellStyle name="Normal 2 3 2 4 3 3 2" xfId="21215"/>
    <cellStyle name="Normal 2 3 2 4 3 4" xfId="21216"/>
    <cellStyle name="Normal 2 3 2 4 3 4 2" xfId="21217"/>
    <cellStyle name="Normal 2 3 2 4 3 5" xfId="21218"/>
    <cellStyle name="Normal 2 3 2 4 3 5 2" xfId="21219"/>
    <cellStyle name="Normal 2 3 2 4 3 6" xfId="21220"/>
    <cellStyle name="Normal 2 3 2 4 3 6 2" xfId="21221"/>
    <cellStyle name="Normal 2 3 2 4 3 7" xfId="21222"/>
    <cellStyle name="Normal 2 3 2 4 3 7 2" xfId="21223"/>
    <cellStyle name="Normal 2 3 2 4 3 8" xfId="21224"/>
    <cellStyle name="Normal 2 3 2 4 3 8 2" xfId="21225"/>
    <cellStyle name="Normal 2 3 2 4 3 9" xfId="21226"/>
    <cellStyle name="Normal 2 3 2 4 3 9 2" xfId="21227"/>
    <cellStyle name="Normal 2 3 2 4 4" xfId="21228"/>
    <cellStyle name="Normal 2 3 2 4 4 2" xfId="21229"/>
    <cellStyle name="Normal 2 3 2 4 5" xfId="21230"/>
    <cellStyle name="Normal 2 3 2 4 5 2" xfId="21231"/>
    <cellStyle name="Normal 2 3 2 4 6" xfId="21232"/>
    <cellStyle name="Normal 2 3 2 4 6 2" xfId="21233"/>
    <cellStyle name="Normal 2 3 2 4 7" xfId="21234"/>
    <cellStyle name="Normal 2 3 2 4 7 2" xfId="21235"/>
    <cellStyle name="Normal 2 3 2 4 8" xfId="21236"/>
    <cellStyle name="Normal 2 3 2 4 8 2" xfId="21237"/>
    <cellStyle name="Normal 2 3 2 4 9" xfId="21238"/>
    <cellStyle name="Normal 2 3 2 4 9 2" xfId="21239"/>
    <cellStyle name="Normal 2 3 2 5" xfId="582"/>
    <cellStyle name="Normal 2 3 2 5 10" xfId="21240"/>
    <cellStyle name="Normal 2 3 2 5 10 2" xfId="21241"/>
    <cellStyle name="Normal 2 3 2 5 11" xfId="21242"/>
    <cellStyle name="Normal 2 3 2 5 11 2" xfId="21243"/>
    <cellStyle name="Normal 2 3 2 5 12" xfId="21244"/>
    <cellStyle name="Normal 2 3 2 5 12 2" xfId="21245"/>
    <cellStyle name="Normal 2 3 2 5 13" xfId="21246"/>
    <cellStyle name="Normal 2 3 2 5 2" xfId="21247"/>
    <cellStyle name="Normal 2 3 2 5 2 10" xfId="21248"/>
    <cellStyle name="Normal 2 3 2 5 2 10 2" xfId="21249"/>
    <cellStyle name="Normal 2 3 2 5 2 11" xfId="21250"/>
    <cellStyle name="Normal 2 3 2 5 2 11 2" xfId="21251"/>
    <cellStyle name="Normal 2 3 2 5 2 12" xfId="21252"/>
    <cellStyle name="Normal 2 3 2 5 2 2" xfId="21253"/>
    <cellStyle name="Normal 2 3 2 5 2 2 10" xfId="21254"/>
    <cellStyle name="Normal 2 3 2 5 2 2 10 2" xfId="21255"/>
    <cellStyle name="Normal 2 3 2 5 2 2 11" xfId="21256"/>
    <cellStyle name="Normal 2 3 2 5 2 2 2" xfId="21257"/>
    <cellStyle name="Normal 2 3 2 5 2 2 2 2" xfId="21258"/>
    <cellStyle name="Normal 2 3 2 5 2 2 3" xfId="21259"/>
    <cellStyle name="Normal 2 3 2 5 2 2 3 2" xfId="21260"/>
    <cellStyle name="Normal 2 3 2 5 2 2 4" xfId="21261"/>
    <cellStyle name="Normal 2 3 2 5 2 2 4 2" xfId="21262"/>
    <cellStyle name="Normal 2 3 2 5 2 2 5" xfId="21263"/>
    <cellStyle name="Normal 2 3 2 5 2 2 5 2" xfId="21264"/>
    <cellStyle name="Normal 2 3 2 5 2 2 6" xfId="21265"/>
    <cellStyle name="Normal 2 3 2 5 2 2 6 2" xfId="21266"/>
    <cellStyle name="Normal 2 3 2 5 2 2 7" xfId="21267"/>
    <cellStyle name="Normal 2 3 2 5 2 2 7 2" xfId="21268"/>
    <cellStyle name="Normal 2 3 2 5 2 2 8" xfId="21269"/>
    <cellStyle name="Normal 2 3 2 5 2 2 8 2" xfId="21270"/>
    <cellStyle name="Normal 2 3 2 5 2 2 9" xfId="21271"/>
    <cellStyle name="Normal 2 3 2 5 2 2 9 2" xfId="21272"/>
    <cellStyle name="Normal 2 3 2 5 2 3" xfId="21273"/>
    <cellStyle name="Normal 2 3 2 5 2 3 2" xfId="21274"/>
    <cellStyle name="Normal 2 3 2 5 2 4" xfId="21275"/>
    <cellStyle name="Normal 2 3 2 5 2 4 2" xfId="21276"/>
    <cellStyle name="Normal 2 3 2 5 2 5" xfId="21277"/>
    <cellStyle name="Normal 2 3 2 5 2 5 2" xfId="21278"/>
    <cellStyle name="Normal 2 3 2 5 2 6" xfId="21279"/>
    <cellStyle name="Normal 2 3 2 5 2 6 2" xfId="21280"/>
    <cellStyle name="Normal 2 3 2 5 2 7" xfId="21281"/>
    <cellStyle name="Normal 2 3 2 5 2 7 2" xfId="21282"/>
    <cellStyle name="Normal 2 3 2 5 2 8" xfId="21283"/>
    <cellStyle name="Normal 2 3 2 5 2 8 2" xfId="21284"/>
    <cellStyle name="Normal 2 3 2 5 2 9" xfId="21285"/>
    <cellStyle name="Normal 2 3 2 5 2 9 2" xfId="21286"/>
    <cellStyle name="Normal 2 3 2 5 3" xfId="21287"/>
    <cellStyle name="Normal 2 3 2 5 3 10" xfId="21288"/>
    <cellStyle name="Normal 2 3 2 5 3 10 2" xfId="21289"/>
    <cellStyle name="Normal 2 3 2 5 3 11" xfId="21290"/>
    <cellStyle name="Normal 2 3 2 5 3 2" xfId="21291"/>
    <cellStyle name="Normal 2 3 2 5 3 2 2" xfId="21292"/>
    <cellStyle name="Normal 2 3 2 5 3 3" xfId="21293"/>
    <cellStyle name="Normal 2 3 2 5 3 3 2" xfId="21294"/>
    <cellStyle name="Normal 2 3 2 5 3 4" xfId="21295"/>
    <cellStyle name="Normal 2 3 2 5 3 4 2" xfId="21296"/>
    <cellStyle name="Normal 2 3 2 5 3 5" xfId="21297"/>
    <cellStyle name="Normal 2 3 2 5 3 5 2" xfId="21298"/>
    <cellStyle name="Normal 2 3 2 5 3 6" xfId="21299"/>
    <cellStyle name="Normal 2 3 2 5 3 6 2" xfId="21300"/>
    <cellStyle name="Normal 2 3 2 5 3 7" xfId="21301"/>
    <cellStyle name="Normal 2 3 2 5 3 7 2" xfId="21302"/>
    <cellStyle name="Normal 2 3 2 5 3 8" xfId="21303"/>
    <cellStyle name="Normal 2 3 2 5 3 8 2" xfId="21304"/>
    <cellStyle name="Normal 2 3 2 5 3 9" xfId="21305"/>
    <cellStyle name="Normal 2 3 2 5 3 9 2" xfId="21306"/>
    <cellStyle name="Normal 2 3 2 5 4" xfId="21307"/>
    <cellStyle name="Normal 2 3 2 5 4 2" xfId="21308"/>
    <cellStyle name="Normal 2 3 2 5 5" xfId="21309"/>
    <cellStyle name="Normal 2 3 2 5 5 2" xfId="21310"/>
    <cellStyle name="Normal 2 3 2 5 6" xfId="21311"/>
    <cellStyle name="Normal 2 3 2 5 6 2" xfId="21312"/>
    <cellStyle name="Normal 2 3 2 5 7" xfId="21313"/>
    <cellStyle name="Normal 2 3 2 5 7 2" xfId="21314"/>
    <cellStyle name="Normal 2 3 2 5 8" xfId="21315"/>
    <cellStyle name="Normal 2 3 2 5 8 2" xfId="21316"/>
    <cellStyle name="Normal 2 3 2 5 9" xfId="21317"/>
    <cellStyle name="Normal 2 3 2 5 9 2" xfId="21318"/>
    <cellStyle name="Normal 2 3 2 6" xfId="583"/>
    <cellStyle name="Normal 2 3 2 6 10" xfId="21319"/>
    <cellStyle name="Normal 2 3 2 6 10 2" xfId="21320"/>
    <cellStyle name="Normal 2 3 2 6 11" xfId="21321"/>
    <cellStyle name="Normal 2 3 2 6 11 2" xfId="21322"/>
    <cellStyle name="Normal 2 3 2 6 12" xfId="21323"/>
    <cellStyle name="Normal 2 3 2 6 12 2" xfId="21324"/>
    <cellStyle name="Normal 2 3 2 6 13" xfId="21325"/>
    <cellStyle name="Normal 2 3 2 6 2" xfId="21326"/>
    <cellStyle name="Normal 2 3 2 6 2 10" xfId="21327"/>
    <cellStyle name="Normal 2 3 2 6 2 10 2" xfId="21328"/>
    <cellStyle name="Normal 2 3 2 6 2 11" xfId="21329"/>
    <cellStyle name="Normal 2 3 2 6 2 11 2" xfId="21330"/>
    <cellStyle name="Normal 2 3 2 6 2 12" xfId="21331"/>
    <cellStyle name="Normal 2 3 2 6 2 2" xfId="21332"/>
    <cellStyle name="Normal 2 3 2 6 2 2 10" xfId="21333"/>
    <cellStyle name="Normal 2 3 2 6 2 2 10 2" xfId="21334"/>
    <cellStyle name="Normal 2 3 2 6 2 2 11" xfId="21335"/>
    <cellStyle name="Normal 2 3 2 6 2 2 2" xfId="21336"/>
    <cellStyle name="Normal 2 3 2 6 2 2 2 2" xfId="21337"/>
    <cellStyle name="Normal 2 3 2 6 2 2 3" xfId="21338"/>
    <cellStyle name="Normal 2 3 2 6 2 2 3 2" xfId="21339"/>
    <cellStyle name="Normal 2 3 2 6 2 2 4" xfId="21340"/>
    <cellStyle name="Normal 2 3 2 6 2 2 4 2" xfId="21341"/>
    <cellStyle name="Normal 2 3 2 6 2 2 5" xfId="21342"/>
    <cellStyle name="Normal 2 3 2 6 2 2 5 2" xfId="21343"/>
    <cellStyle name="Normal 2 3 2 6 2 2 6" xfId="21344"/>
    <cellStyle name="Normal 2 3 2 6 2 2 6 2" xfId="21345"/>
    <cellStyle name="Normal 2 3 2 6 2 2 7" xfId="21346"/>
    <cellStyle name="Normal 2 3 2 6 2 2 7 2" xfId="21347"/>
    <cellStyle name="Normal 2 3 2 6 2 2 8" xfId="21348"/>
    <cellStyle name="Normal 2 3 2 6 2 2 8 2" xfId="21349"/>
    <cellStyle name="Normal 2 3 2 6 2 2 9" xfId="21350"/>
    <cellStyle name="Normal 2 3 2 6 2 2 9 2" xfId="21351"/>
    <cellStyle name="Normal 2 3 2 6 2 3" xfId="21352"/>
    <cellStyle name="Normal 2 3 2 6 2 3 2" xfId="21353"/>
    <cellStyle name="Normal 2 3 2 6 2 4" xfId="21354"/>
    <cellStyle name="Normal 2 3 2 6 2 4 2" xfId="21355"/>
    <cellStyle name="Normal 2 3 2 6 2 5" xfId="21356"/>
    <cellStyle name="Normal 2 3 2 6 2 5 2" xfId="21357"/>
    <cellStyle name="Normal 2 3 2 6 2 6" xfId="21358"/>
    <cellStyle name="Normal 2 3 2 6 2 6 2" xfId="21359"/>
    <cellStyle name="Normal 2 3 2 6 2 7" xfId="21360"/>
    <cellStyle name="Normal 2 3 2 6 2 7 2" xfId="21361"/>
    <cellStyle name="Normal 2 3 2 6 2 8" xfId="21362"/>
    <cellStyle name="Normal 2 3 2 6 2 8 2" xfId="21363"/>
    <cellStyle name="Normal 2 3 2 6 2 9" xfId="21364"/>
    <cellStyle name="Normal 2 3 2 6 2 9 2" xfId="21365"/>
    <cellStyle name="Normal 2 3 2 6 3" xfId="21366"/>
    <cellStyle name="Normal 2 3 2 6 3 10" xfId="21367"/>
    <cellStyle name="Normal 2 3 2 6 3 10 2" xfId="21368"/>
    <cellStyle name="Normal 2 3 2 6 3 11" xfId="21369"/>
    <cellStyle name="Normal 2 3 2 6 3 2" xfId="21370"/>
    <cellStyle name="Normal 2 3 2 6 3 2 2" xfId="21371"/>
    <cellStyle name="Normal 2 3 2 6 3 3" xfId="21372"/>
    <cellStyle name="Normal 2 3 2 6 3 3 2" xfId="21373"/>
    <cellStyle name="Normal 2 3 2 6 3 4" xfId="21374"/>
    <cellStyle name="Normal 2 3 2 6 3 4 2" xfId="21375"/>
    <cellStyle name="Normal 2 3 2 6 3 5" xfId="21376"/>
    <cellStyle name="Normal 2 3 2 6 3 5 2" xfId="21377"/>
    <cellStyle name="Normal 2 3 2 6 3 6" xfId="21378"/>
    <cellStyle name="Normal 2 3 2 6 3 6 2" xfId="21379"/>
    <cellStyle name="Normal 2 3 2 6 3 7" xfId="21380"/>
    <cellStyle name="Normal 2 3 2 6 3 7 2" xfId="21381"/>
    <cellStyle name="Normal 2 3 2 6 3 8" xfId="21382"/>
    <cellStyle name="Normal 2 3 2 6 3 8 2" xfId="21383"/>
    <cellStyle name="Normal 2 3 2 6 3 9" xfId="21384"/>
    <cellStyle name="Normal 2 3 2 6 3 9 2" xfId="21385"/>
    <cellStyle name="Normal 2 3 2 6 4" xfId="21386"/>
    <cellStyle name="Normal 2 3 2 6 4 2" xfId="21387"/>
    <cellStyle name="Normal 2 3 2 6 5" xfId="21388"/>
    <cellStyle name="Normal 2 3 2 6 5 2" xfId="21389"/>
    <cellStyle name="Normal 2 3 2 6 6" xfId="21390"/>
    <cellStyle name="Normal 2 3 2 6 6 2" xfId="21391"/>
    <cellStyle name="Normal 2 3 2 6 7" xfId="21392"/>
    <cellStyle name="Normal 2 3 2 6 7 2" xfId="21393"/>
    <cellStyle name="Normal 2 3 2 6 8" xfId="21394"/>
    <cellStyle name="Normal 2 3 2 6 8 2" xfId="21395"/>
    <cellStyle name="Normal 2 3 2 6 9" xfId="21396"/>
    <cellStyle name="Normal 2 3 2 6 9 2" xfId="21397"/>
    <cellStyle name="Normal 2 3 2 7" xfId="584"/>
    <cellStyle name="Normal 2 3 2 7 10" xfId="21398"/>
    <cellStyle name="Normal 2 3 2 7 10 2" xfId="21399"/>
    <cellStyle name="Normal 2 3 2 7 11" xfId="21400"/>
    <cellStyle name="Normal 2 3 2 7 11 2" xfId="21401"/>
    <cellStyle name="Normal 2 3 2 7 12" xfId="21402"/>
    <cellStyle name="Normal 2 3 2 7 12 2" xfId="21403"/>
    <cellStyle name="Normal 2 3 2 7 13" xfId="21404"/>
    <cellStyle name="Normal 2 3 2 7 2" xfId="21405"/>
    <cellStyle name="Normal 2 3 2 7 2 10" xfId="21406"/>
    <cellStyle name="Normal 2 3 2 7 2 10 2" xfId="21407"/>
    <cellStyle name="Normal 2 3 2 7 2 11" xfId="21408"/>
    <cellStyle name="Normal 2 3 2 7 2 11 2" xfId="21409"/>
    <cellStyle name="Normal 2 3 2 7 2 12" xfId="21410"/>
    <cellStyle name="Normal 2 3 2 7 2 2" xfId="21411"/>
    <cellStyle name="Normal 2 3 2 7 2 2 10" xfId="21412"/>
    <cellStyle name="Normal 2 3 2 7 2 2 10 2" xfId="21413"/>
    <cellStyle name="Normal 2 3 2 7 2 2 11" xfId="21414"/>
    <cellStyle name="Normal 2 3 2 7 2 2 2" xfId="21415"/>
    <cellStyle name="Normal 2 3 2 7 2 2 2 2" xfId="21416"/>
    <cellStyle name="Normal 2 3 2 7 2 2 3" xfId="21417"/>
    <cellStyle name="Normal 2 3 2 7 2 2 3 2" xfId="21418"/>
    <cellStyle name="Normal 2 3 2 7 2 2 4" xfId="21419"/>
    <cellStyle name="Normal 2 3 2 7 2 2 4 2" xfId="21420"/>
    <cellStyle name="Normal 2 3 2 7 2 2 5" xfId="21421"/>
    <cellStyle name="Normal 2 3 2 7 2 2 5 2" xfId="21422"/>
    <cellStyle name="Normal 2 3 2 7 2 2 6" xfId="21423"/>
    <cellStyle name="Normal 2 3 2 7 2 2 6 2" xfId="21424"/>
    <cellStyle name="Normal 2 3 2 7 2 2 7" xfId="21425"/>
    <cellStyle name="Normal 2 3 2 7 2 2 7 2" xfId="21426"/>
    <cellStyle name="Normal 2 3 2 7 2 2 8" xfId="21427"/>
    <cellStyle name="Normal 2 3 2 7 2 2 8 2" xfId="21428"/>
    <cellStyle name="Normal 2 3 2 7 2 2 9" xfId="21429"/>
    <cellStyle name="Normal 2 3 2 7 2 2 9 2" xfId="21430"/>
    <cellStyle name="Normal 2 3 2 7 2 3" xfId="21431"/>
    <cellStyle name="Normal 2 3 2 7 2 3 2" xfId="21432"/>
    <cellStyle name="Normal 2 3 2 7 2 4" xfId="21433"/>
    <cellStyle name="Normal 2 3 2 7 2 4 2" xfId="21434"/>
    <cellStyle name="Normal 2 3 2 7 2 5" xfId="21435"/>
    <cellStyle name="Normal 2 3 2 7 2 5 2" xfId="21436"/>
    <cellStyle name="Normal 2 3 2 7 2 6" xfId="21437"/>
    <cellStyle name="Normal 2 3 2 7 2 6 2" xfId="21438"/>
    <cellStyle name="Normal 2 3 2 7 2 7" xfId="21439"/>
    <cellStyle name="Normal 2 3 2 7 2 7 2" xfId="21440"/>
    <cellStyle name="Normal 2 3 2 7 2 8" xfId="21441"/>
    <cellStyle name="Normal 2 3 2 7 2 8 2" xfId="21442"/>
    <cellStyle name="Normal 2 3 2 7 2 9" xfId="21443"/>
    <cellStyle name="Normal 2 3 2 7 2 9 2" xfId="21444"/>
    <cellStyle name="Normal 2 3 2 7 3" xfId="21445"/>
    <cellStyle name="Normal 2 3 2 7 3 10" xfId="21446"/>
    <cellStyle name="Normal 2 3 2 7 3 10 2" xfId="21447"/>
    <cellStyle name="Normal 2 3 2 7 3 11" xfId="21448"/>
    <cellStyle name="Normal 2 3 2 7 3 2" xfId="21449"/>
    <cellStyle name="Normal 2 3 2 7 3 2 2" xfId="21450"/>
    <cellStyle name="Normal 2 3 2 7 3 3" xfId="21451"/>
    <cellStyle name="Normal 2 3 2 7 3 3 2" xfId="21452"/>
    <cellStyle name="Normal 2 3 2 7 3 4" xfId="21453"/>
    <cellStyle name="Normal 2 3 2 7 3 4 2" xfId="21454"/>
    <cellStyle name="Normal 2 3 2 7 3 5" xfId="21455"/>
    <cellStyle name="Normal 2 3 2 7 3 5 2" xfId="21456"/>
    <cellStyle name="Normal 2 3 2 7 3 6" xfId="21457"/>
    <cellStyle name="Normal 2 3 2 7 3 6 2" xfId="21458"/>
    <cellStyle name="Normal 2 3 2 7 3 7" xfId="21459"/>
    <cellStyle name="Normal 2 3 2 7 3 7 2" xfId="21460"/>
    <cellStyle name="Normal 2 3 2 7 3 8" xfId="21461"/>
    <cellStyle name="Normal 2 3 2 7 3 8 2" xfId="21462"/>
    <cellStyle name="Normal 2 3 2 7 3 9" xfId="21463"/>
    <cellStyle name="Normal 2 3 2 7 3 9 2" xfId="21464"/>
    <cellStyle name="Normal 2 3 2 7 4" xfId="21465"/>
    <cellStyle name="Normal 2 3 2 7 4 2" xfId="21466"/>
    <cellStyle name="Normal 2 3 2 7 5" xfId="21467"/>
    <cellStyle name="Normal 2 3 2 7 5 2" xfId="21468"/>
    <cellStyle name="Normal 2 3 2 7 6" xfId="21469"/>
    <cellStyle name="Normal 2 3 2 7 6 2" xfId="21470"/>
    <cellStyle name="Normal 2 3 2 7 7" xfId="21471"/>
    <cellStyle name="Normal 2 3 2 7 7 2" xfId="21472"/>
    <cellStyle name="Normal 2 3 2 7 8" xfId="21473"/>
    <cellStyle name="Normal 2 3 2 7 8 2" xfId="21474"/>
    <cellStyle name="Normal 2 3 2 7 9" xfId="21475"/>
    <cellStyle name="Normal 2 3 2 7 9 2" xfId="21476"/>
    <cellStyle name="Normal 2 3 2 8" xfId="585"/>
    <cellStyle name="Normal 2 3 2 8 10" xfId="21477"/>
    <cellStyle name="Normal 2 3 2 8 10 2" xfId="21478"/>
    <cellStyle name="Normal 2 3 2 8 11" xfId="21479"/>
    <cellStyle name="Normal 2 3 2 8 11 2" xfId="21480"/>
    <cellStyle name="Normal 2 3 2 8 12" xfId="21481"/>
    <cellStyle name="Normal 2 3 2 8 12 2" xfId="21482"/>
    <cellStyle name="Normal 2 3 2 8 13" xfId="21483"/>
    <cellStyle name="Normal 2 3 2 8 2" xfId="21484"/>
    <cellStyle name="Normal 2 3 2 8 2 10" xfId="21485"/>
    <cellStyle name="Normal 2 3 2 8 2 10 2" xfId="21486"/>
    <cellStyle name="Normal 2 3 2 8 2 11" xfId="21487"/>
    <cellStyle name="Normal 2 3 2 8 2 11 2" xfId="21488"/>
    <cellStyle name="Normal 2 3 2 8 2 12" xfId="21489"/>
    <cellStyle name="Normal 2 3 2 8 2 2" xfId="21490"/>
    <cellStyle name="Normal 2 3 2 8 2 2 10" xfId="21491"/>
    <cellStyle name="Normal 2 3 2 8 2 2 10 2" xfId="21492"/>
    <cellStyle name="Normal 2 3 2 8 2 2 11" xfId="21493"/>
    <cellStyle name="Normal 2 3 2 8 2 2 2" xfId="21494"/>
    <cellStyle name="Normal 2 3 2 8 2 2 2 2" xfId="21495"/>
    <cellStyle name="Normal 2 3 2 8 2 2 3" xfId="21496"/>
    <cellStyle name="Normal 2 3 2 8 2 2 3 2" xfId="21497"/>
    <cellStyle name="Normal 2 3 2 8 2 2 4" xfId="21498"/>
    <cellStyle name="Normal 2 3 2 8 2 2 4 2" xfId="21499"/>
    <cellStyle name="Normal 2 3 2 8 2 2 5" xfId="21500"/>
    <cellStyle name="Normal 2 3 2 8 2 2 5 2" xfId="21501"/>
    <cellStyle name="Normal 2 3 2 8 2 2 6" xfId="21502"/>
    <cellStyle name="Normal 2 3 2 8 2 2 6 2" xfId="21503"/>
    <cellStyle name="Normal 2 3 2 8 2 2 7" xfId="21504"/>
    <cellStyle name="Normal 2 3 2 8 2 2 7 2" xfId="21505"/>
    <cellStyle name="Normal 2 3 2 8 2 2 8" xfId="21506"/>
    <cellStyle name="Normal 2 3 2 8 2 2 8 2" xfId="21507"/>
    <cellStyle name="Normal 2 3 2 8 2 2 9" xfId="21508"/>
    <cellStyle name="Normal 2 3 2 8 2 2 9 2" xfId="21509"/>
    <cellStyle name="Normal 2 3 2 8 2 3" xfId="21510"/>
    <cellStyle name="Normal 2 3 2 8 2 3 2" xfId="21511"/>
    <cellStyle name="Normal 2 3 2 8 2 4" xfId="21512"/>
    <cellStyle name="Normal 2 3 2 8 2 4 2" xfId="21513"/>
    <cellStyle name="Normal 2 3 2 8 2 5" xfId="21514"/>
    <cellStyle name="Normal 2 3 2 8 2 5 2" xfId="21515"/>
    <cellStyle name="Normal 2 3 2 8 2 6" xfId="21516"/>
    <cellStyle name="Normal 2 3 2 8 2 6 2" xfId="21517"/>
    <cellStyle name="Normal 2 3 2 8 2 7" xfId="21518"/>
    <cellStyle name="Normal 2 3 2 8 2 7 2" xfId="21519"/>
    <cellStyle name="Normal 2 3 2 8 2 8" xfId="21520"/>
    <cellStyle name="Normal 2 3 2 8 2 8 2" xfId="21521"/>
    <cellStyle name="Normal 2 3 2 8 2 9" xfId="21522"/>
    <cellStyle name="Normal 2 3 2 8 2 9 2" xfId="21523"/>
    <cellStyle name="Normal 2 3 2 8 3" xfId="21524"/>
    <cellStyle name="Normal 2 3 2 8 3 10" xfId="21525"/>
    <cellStyle name="Normal 2 3 2 8 3 10 2" xfId="21526"/>
    <cellStyle name="Normal 2 3 2 8 3 11" xfId="21527"/>
    <cellStyle name="Normal 2 3 2 8 3 2" xfId="21528"/>
    <cellStyle name="Normal 2 3 2 8 3 2 2" xfId="21529"/>
    <cellStyle name="Normal 2 3 2 8 3 3" xfId="21530"/>
    <cellStyle name="Normal 2 3 2 8 3 3 2" xfId="21531"/>
    <cellStyle name="Normal 2 3 2 8 3 4" xfId="21532"/>
    <cellStyle name="Normal 2 3 2 8 3 4 2" xfId="21533"/>
    <cellStyle name="Normal 2 3 2 8 3 5" xfId="21534"/>
    <cellStyle name="Normal 2 3 2 8 3 5 2" xfId="21535"/>
    <cellStyle name="Normal 2 3 2 8 3 6" xfId="21536"/>
    <cellStyle name="Normal 2 3 2 8 3 6 2" xfId="21537"/>
    <cellStyle name="Normal 2 3 2 8 3 7" xfId="21538"/>
    <cellStyle name="Normal 2 3 2 8 3 7 2" xfId="21539"/>
    <cellStyle name="Normal 2 3 2 8 3 8" xfId="21540"/>
    <cellStyle name="Normal 2 3 2 8 3 8 2" xfId="21541"/>
    <cellStyle name="Normal 2 3 2 8 3 9" xfId="21542"/>
    <cellStyle name="Normal 2 3 2 8 3 9 2" xfId="21543"/>
    <cellStyle name="Normal 2 3 2 8 4" xfId="21544"/>
    <cellStyle name="Normal 2 3 2 8 4 2" xfId="21545"/>
    <cellStyle name="Normal 2 3 2 8 5" xfId="21546"/>
    <cellStyle name="Normal 2 3 2 8 5 2" xfId="21547"/>
    <cellStyle name="Normal 2 3 2 8 6" xfId="21548"/>
    <cellStyle name="Normal 2 3 2 8 6 2" xfId="21549"/>
    <cellStyle name="Normal 2 3 2 8 7" xfId="21550"/>
    <cellStyle name="Normal 2 3 2 8 7 2" xfId="21551"/>
    <cellStyle name="Normal 2 3 2 8 8" xfId="21552"/>
    <cellStyle name="Normal 2 3 2 8 8 2" xfId="21553"/>
    <cellStyle name="Normal 2 3 2 8 9" xfId="21554"/>
    <cellStyle name="Normal 2 3 2 8 9 2" xfId="21555"/>
    <cellStyle name="Normal 2 3 2 9" xfId="586"/>
    <cellStyle name="Normal 2 3 2 9 2" xfId="587"/>
    <cellStyle name="Normal 2 3 2 9 2 10" xfId="21556"/>
    <cellStyle name="Normal 2 3 2 9 2 10 2" xfId="21557"/>
    <cellStyle name="Normal 2 3 2 9 2 11" xfId="21558"/>
    <cellStyle name="Normal 2 3 2 9 2 11 2" xfId="21559"/>
    <cellStyle name="Normal 2 3 2 9 2 12" xfId="21560"/>
    <cellStyle name="Normal 2 3 2 9 2 12 2" xfId="21561"/>
    <cellStyle name="Normal 2 3 2 9 2 13" xfId="21562"/>
    <cellStyle name="Normal 2 3 2 9 2 13 2" xfId="21563"/>
    <cellStyle name="Normal 2 3 2 9 2 14" xfId="21564"/>
    <cellStyle name="Normal 2 3 2 9 2 14 2" xfId="21565"/>
    <cellStyle name="Normal 2 3 2 9 2 15" xfId="21566"/>
    <cellStyle name="Normal 2 3 2 9 2 15 2" xfId="21567"/>
    <cellStyle name="Normal 2 3 2 9 2 16" xfId="21568"/>
    <cellStyle name="Normal 2 3 2 9 2 16 2" xfId="21569"/>
    <cellStyle name="Normal 2 3 2 9 2 17" xfId="21570"/>
    <cellStyle name="Normal 2 3 2 9 2 2" xfId="588"/>
    <cellStyle name="Normal 2 3 2 9 2 2 2" xfId="589"/>
    <cellStyle name="Normal 2 3 2 9 2 2 2 10" xfId="21571"/>
    <cellStyle name="Normal 2 3 2 9 2 2 2 10 2" xfId="21572"/>
    <cellStyle name="Normal 2 3 2 9 2 2 2 11" xfId="21573"/>
    <cellStyle name="Normal 2 3 2 9 2 2 2 11 2" xfId="21574"/>
    <cellStyle name="Normal 2 3 2 9 2 2 2 12" xfId="21575"/>
    <cellStyle name="Normal 2 3 2 9 2 2 2 12 2" xfId="21576"/>
    <cellStyle name="Normal 2 3 2 9 2 2 2 13" xfId="21577"/>
    <cellStyle name="Normal 2 3 2 9 2 2 2 2" xfId="21578"/>
    <cellStyle name="Normal 2 3 2 9 2 2 2 2 10" xfId="21579"/>
    <cellStyle name="Normal 2 3 2 9 2 2 2 2 10 2" xfId="21580"/>
    <cellStyle name="Normal 2 3 2 9 2 2 2 2 11" xfId="21581"/>
    <cellStyle name="Normal 2 3 2 9 2 2 2 2 11 2" xfId="21582"/>
    <cellStyle name="Normal 2 3 2 9 2 2 2 2 12" xfId="21583"/>
    <cellStyle name="Normal 2 3 2 9 2 2 2 2 2" xfId="21584"/>
    <cellStyle name="Normal 2 3 2 9 2 2 2 2 2 10" xfId="21585"/>
    <cellStyle name="Normal 2 3 2 9 2 2 2 2 2 10 2" xfId="21586"/>
    <cellStyle name="Normal 2 3 2 9 2 2 2 2 2 11" xfId="21587"/>
    <cellStyle name="Normal 2 3 2 9 2 2 2 2 2 2" xfId="21588"/>
    <cellStyle name="Normal 2 3 2 9 2 2 2 2 2 2 2" xfId="21589"/>
    <cellStyle name="Normal 2 3 2 9 2 2 2 2 2 3" xfId="21590"/>
    <cellStyle name="Normal 2 3 2 9 2 2 2 2 2 3 2" xfId="21591"/>
    <cellStyle name="Normal 2 3 2 9 2 2 2 2 2 4" xfId="21592"/>
    <cellStyle name="Normal 2 3 2 9 2 2 2 2 2 4 2" xfId="21593"/>
    <cellStyle name="Normal 2 3 2 9 2 2 2 2 2 5" xfId="21594"/>
    <cellStyle name="Normal 2 3 2 9 2 2 2 2 2 5 2" xfId="21595"/>
    <cellStyle name="Normal 2 3 2 9 2 2 2 2 2 6" xfId="21596"/>
    <cellStyle name="Normal 2 3 2 9 2 2 2 2 2 6 2" xfId="21597"/>
    <cellStyle name="Normal 2 3 2 9 2 2 2 2 2 7" xfId="21598"/>
    <cellStyle name="Normal 2 3 2 9 2 2 2 2 2 7 2" xfId="21599"/>
    <cellStyle name="Normal 2 3 2 9 2 2 2 2 2 8" xfId="21600"/>
    <cellStyle name="Normal 2 3 2 9 2 2 2 2 2 8 2" xfId="21601"/>
    <cellStyle name="Normal 2 3 2 9 2 2 2 2 2 9" xfId="21602"/>
    <cellStyle name="Normal 2 3 2 9 2 2 2 2 2 9 2" xfId="21603"/>
    <cellStyle name="Normal 2 3 2 9 2 2 2 2 3" xfId="21604"/>
    <cellStyle name="Normal 2 3 2 9 2 2 2 2 3 2" xfId="21605"/>
    <cellStyle name="Normal 2 3 2 9 2 2 2 2 4" xfId="21606"/>
    <cellStyle name="Normal 2 3 2 9 2 2 2 2 4 2" xfId="21607"/>
    <cellStyle name="Normal 2 3 2 9 2 2 2 2 5" xfId="21608"/>
    <cellStyle name="Normal 2 3 2 9 2 2 2 2 5 2" xfId="21609"/>
    <cellStyle name="Normal 2 3 2 9 2 2 2 2 6" xfId="21610"/>
    <cellStyle name="Normal 2 3 2 9 2 2 2 2 6 2" xfId="21611"/>
    <cellStyle name="Normal 2 3 2 9 2 2 2 2 7" xfId="21612"/>
    <cellStyle name="Normal 2 3 2 9 2 2 2 2 7 2" xfId="21613"/>
    <cellStyle name="Normal 2 3 2 9 2 2 2 2 8" xfId="21614"/>
    <cellStyle name="Normal 2 3 2 9 2 2 2 2 8 2" xfId="21615"/>
    <cellStyle name="Normal 2 3 2 9 2 2 2 2 9" xfId="21616"/>
    <cellStyle name="Normal 2 3 2 9 2 2 2 2 9 2" xfId="21617"/>
    <cellStyle name="Normal 2 3 2 9 2 2 2 3" xfId="21618"/>
    <cellStyle name="Normal 2 3 2 9 2 2 2 3 10" xfId="21619"/>
    <cellStyle name="Normal 2 3 2 9 2 2 2 3 10 2" xfId="21620"/>
    <cellStyle name="Normal 2 3 2 9 2 2 2 3 11" xfId="21621"/>
    <cellStyle name="Normal 2 3 2 9 2 2 2 3 2" xfId="21622"/>
    <cellStyle name="Normal 2 3 2 9 2 2 2 3 2 2" xfId="21623"/>
    <cellStyle name="Normal 2 3 2 9 2 2 2 3 3" xfId="21624"/>
    <cellStyle name="Normal 2 3 2 9 2 2 2 3 3 2" xfId="21625"/>
    <cellStyle name="Normal 2 3 2 9 2 2 2 3 4" xfId="21626"/>
    <cellStyle name="Normal 2 3 2 9 2 2 2 3 4 2" xfId="21627"/>
    <cellStyle name="Normal 2 3 2 9 2 2 2 3 5" xfId="21628"/>
    <cellStyle name="Normal 2 3 2 9 2 2 2 3 5 2" xfId="21629"/>
    <cellStyle name="Normal 2 3 2 9 2 2 2 3 6" xfId="21630"/>
    <cellStyle name="Normal 2 3 2 9 2 2 2 3 6 2" xfId="21631"/>
    <cellStyle name="Normal 2 3 2 9 2 2 2 3 7" xfId="21632"/>
    <cellStyle name="Normal 2 3 2 9 2 2 2 3 7 2" xfId="21633"/>
    <cellStyle name="Normal 2 3 2 9 2 2 2 3 8" xfId="21634"/>
    <cellStyle name="Normal 2 3 2 9 2 2 2 3 8 2" xfId="21635"/>
    <cellStyle name="Normal 2 3 2 9 2 2 2 3 9" xfId="21636"/>
    <cellStyle name="Normal 2 3 2 9 2 2 2 3 9 2" xfId="21637"/>
    <cellStyle name="Normal 2 3 2 9 2 2 2 4" xfId="21638"/>
    <cellStyle name="Normal 2 3 2 9 2 2 2 4 2" xfId="21639"/>
    <cellStyle name="Normal 2 3 2 9 2 2 2 5" xfId="21640"/>
    <cellStyle name="Normal 2 3 2 9 2 2 2 5 2" xfId="21641"/>
    <cellStyle name="Normal 2 3 2 9 2 2 2 6" xfId="21642"/>
    <cellStyle name="Normal 2 3 2 9 2 2 2 6 2" xfId="21643"/>
    <cellStyle name="Normal 2 3 2 9 2 2 2 7" xfId="21644"/>
    <cellStyle name="Normal 2 3 2 9 2 2 2 7 2" xfId="21645"/>
    <cellStyle name="Normal 2 3 2 9 2 2 2 8" xfId="21646"/>
    <cellStyle name="Normal 2 3 2 9 2 2 2 8 2" xfId="21647"/>
    <cellStyle name="Normal 2 3 2 9 2 2 2 9" xfId="21648"/>
    <cellStyle name="Normal 2 3 2 9 2 2 2 9 2" xfId="21649"/>
    <cellStyle name="Normal 2 3 2 9 2 2 3" xfId="590"/>
    <cellStyle name="Normal 2 3 2 9 2 2 3 10" xfId="21650"/>
    <cellStyle name="Normal 2 3 2 9 2 2 3 10 2" xfId="21651"/>
    <cellStyle name="Normal 2 3 2 9 2 2 3 11" xfId="21652"/>
    <cellStyle name="Normal 2 3 2 9 2 2 3 11 2" xfId="21653"/>
    <cellStyle name="Normal 2 3 2 9 2 2 3 12" xfId="21654"/>
    <cellStyle name="Normal 2 3 2 9 2 2 3 12 2" xfId="21655"/>
    <cellStyle name="Normal 2 3 2 9 2 2 3 13" xfId="21656"/>
    <cellStyle name="Normal 2 3 2 9 2 2 3 2" xfId="21657"/>
    <cellStyle name="Normal 2 3 2 9 2 2 3 2 10" xfId="21658"/>
    <cellStyle name="Normal 2 3 2 9 2 2 3 2 10 2" xfId="21659"/>
    <cellStyle name="Normal 2 3 2 9 2 2 3 2 11" xfId="21660"/>
    <cellStyle name="Normal 2 3 2 9 2 2 3 2 11 2" xfId="21661"/>
    <cellStyle name="Normal 2 3 2 9 2 2 3 2 12" xfId="21662"/>
    <cellStyle name="Normal 2 3 2 9 2 2 3 2 2" xfId="21663"/>
    <cellStyle name="Normal 2 3 2 9 2 2 3 2 2 10" xfId="21664"/>
    <cellStyle name="Normal 2 3 2 9 2 2 3 2 2 10 2" xfId="21665"/>
    <cellStyle name="Normal 2 3 2 9 2 2 3 2 2 11" xfId="21666"/>
    <cellStyle name="Normal 2 3 2 9 2 2 3 2 2 2" xfId="21667"/>
    <cellStyle name="Normal 2 3 2 9 2 2 3 2 2 2 2" xfId="21668"/>
    <cellStyle name="Normal 2 3 2 9 2 2 3 2 2 3" xfId="21669"/>
    <cellStyle name="Normal 2 3 2 9 2 2 3 2 2 3 2" xfId="21670"/>
    <cellStyle name="Normal 2 3 2 9 2 2 3 2 2 4" xfId="21671"/>
    <cellStyle name="Normal 2 3 2 9 2 2 3 2 2 4 2" xfId="21672"/>
    <cellStyle name="Normal 2 3 2 9 2 2 3 2 2 5" xfId="21673"/>
    <cellStyle name="Normal 2 3 2 9 2 2 3 2 2 5 2" xfId="21674"/>
    <cellStyle name="Normal 2 3 2 9 2 2 3 2 2 6" xfId="21675"/>
    <cellStyle name="Normal 2 3 2 9 2 2 3 2 2 6 2" xfId="21676"/>
    <cellStyle name="Normal 2 3 2 9 2 2 3 2 2 7" xfId="21677"/>
    <cellStyle name="Normal 2 3 2 9 2 2 3 2 2 7 2" xfId="21678"/>
    <cellStyle name="Normal 2 3 2 9 2 2 3 2 2 8" xfId="21679"/>
    <cellStyle name="Normal 2 3 2 9 2 2 3 2 2 8 2" xfId="21680"/>
    <cellStyle name="Normal 2 3 2 9 2 2 3 2 2 9" xfId="21681"/>
    <cellStyle name="Normal 2 3 2 9 2 2 3 2 2 9 2" xfId="21682"/>
    <cellStyle name="Normal 2 3 2 9 2 2 3 2 3" xfId="21683"/>
    <cellStyle name="Normal 2 3 2 9 2 2 3 2 3 2" xfId="21684"/>
    <cellStyle name="Normal 2 3 2 9 2 2 3 2 4" xfId="21685"/>
    <cellStyle name="Normal 2 3 2 9 2 2 3 2 4 2" xfId="21686"/>
    <cellStyle name="Normal 2 3 2 9 2 2 3 2 5" xfId="21687"/>
    <cellStyle name="Normal 2 3 2 9 2 2 3 2 5 2" xfId="21688"/>
    <cellStyle name="Normal 2 3 2 9 2 2 3 2 6" xfId="21689"/>
    <cellStyle name="Normal 2 3 2 9 2 2 3 2 6 2" xfId="21690"/>
    <cellStyle name="Normal 2 3 2 9 2 2 3 2 7" xfId="21691"/>
    <cellStyle name="Normal 2 3 2 9 2 2 3 2 7 2" xfId="21692"/>
    <cellStyle name="Normal 2 3 2 9 2 2 3 2 8" xfId="21693"/>
    <cellStyle name="Normal 2 3 2 9 2 2 3 2 8 2" xfId="21694"/>
    <cellStyle name="Normal 2 3 2 9 2 2 3 2 9" xfId="21695"/>
    <cellStyle name="Normal 2 3 2 9 2 2 3 2 9 2" xfId="21696"/>
    <cellStyle name="Normal 2 3 2 9 2 2 3 3" xfId="21697"/>
    <cellStyle name="Normal 2 3 2 9 2 2 3 3 10" xfId="21698"/>
    <cellStyle name="Normal 2 3 2 9 2 2 3 3 10 2" xfId="21699"/>
    <cellStyle name="Normal 2 3 2 9 2 2 3 3 11" xfId="21700"/>
    <cellStyle name="Normal 2 3 2 9 2 2 3 3 2" xfId="21701"/>
    <cellStyle name="Normal 2 3 2 9 2 2 3 3 2 2" xfId="21702"/>
    <cellStyle name="Normal 2 3 2 9 2 2 3 3 3" xfId="21703"/>
    <cellStyle name="Normal 2 3 2 9 2 2 3 3 3 2" xfId="21704"/>
    <cellStyle name="Normal 2 3 2 9 2 2 3 3 4" xfId="21705"/>
    <cellStyle name="Normal 2 3 2 9 2 2 3 3 4 2" xfId="21706"/>
    <cellStyle name="Normal 2 3 2 9 2 2 3 3 5" xfId="21707"/>
    <cellStyle name="Normal 2 3 2 9 2 2 3 3 5 2" xfId="21708"/>
    <cellStyle name="Normal 2 3 2 9 2 2 3 3 6" xfId="21709"/>
    <cellStyle name="Normal 2 3 2 9 2 2 3 3 6 2" xfId="21710"/>
    <cellStyle name="Normal 2 3 2 9 2 2 3 3 7" xfId="21711"/>
    <cellStyle name="Normal 2 3 2 9 2 2 3 3 7 2" xfId="21712"/>
    <cellStyle name="Normal 2 3 2 9 2 2 3 3 8" xfId="21713"/>
    <cellStyle name="Normal 2 3 2 9 2 2 3 3 8 2" xfId="21714"/>
    <cellStyle name="Normal 2 3 2 9 2 2 3 3 9" xfId="21715"/>
    <cellStyle name="Normal 2 3 2 9 2 2 3 3 9 2" xfId="21716"/>
    <cellStyle name="Normal 2 3 2 9 2 2 3 4" xfId="21717"/>
    <cellStyle name="Normal 2 3 2 9 2 2 3 4 2" xfId="21718"/>
    <cellStyle name="Normal 2 3 2 9 2 2 3 5" xfId="21719"/>
    <cellStyle name="Normal 2 3 2 9 2 2 3 5 2" xfId="21720"/>
    <cellStyle name="Normal 2 3 2 9 2 2 3 6" xfId="21721"/>
    <cellStyle name="Normal 2 3 2 9 2 2 3 6 2" xfId="21722"/>
    <cellStyle name="Normal 2 3 2 9 2 2 3 7" xfId="21723"/>
    <cellStyle name="Normal 2 3 2 9 2 2 3 7 2" xfId="21724"/>
    <cellStyle name="Normal 2 3 2 9 2 2 3 8" xfId="21725"/>
    <cellStyle name="Normal 2 3 2 9 2 2 3 8 2" xfId="21726"/>
    <cellStyle name="Normal 2 3 2 9 2 2 3 9" xfId="21727"/>
    <cellStyle name="Normal 2 3 2 9 2 2 3 9 2" xfId="21728"/>
    <cellStyle name="Normal 2 3 2 9 2 2 4" xfId="591"/>
    <cellStyle name="Normal 2 3 2 9 2 2 4 10" xfId="21729"/>
    <cellStyle name="Normal 2 3 2 9 2 2 4 10 2" xfId="21730"/>
    <cellStyle name="Normal 2 3 2 9 2 2 4 11" xfId="21731"/>
    <cellStyle name="Normal 2 3 2 9 2 2 4 11 2" xfId="21732"/>
    <cellStyle name="Normal 2 3 2 9 2 2 4 12" xfId="21733"/>
    <cellStyle name="Normal 2 3 2 9 2 2 4 12 2" xfId="21734"/>
    <cellStyle name="Normal 2 3 2 9 2 2 4 13" xfId="21735"/>
    <cellStyle name="Normal 2 3 2 9 2 2 4 2" xfId="21736"/>
    <cellStyle name="Normal 2 3 2 9 2 2 4 2 10" xfId="21737"/>
    <cellStyle name="Normal 2 3 2 9 2 2 4 2 10 2" xfId="21738"/>
    <cellStyle name="Normal 2 3 2 9 2 2 4 2 11" xfId="21739"/>
    <cellStyle name="Normal 2 3 2 9 2 2 4 2 11 2" xfId="21740"/>
    <cellStyle name="Normal 2 3 2 9 2 2 4 2 12" xfId="21741"/>
    <cellStyle name="Normal 2 3 2 9 2 2 4 2 2" xfId="21742"/>
    <cellStyle name="Normal 2 3 2 9 2 2 4 2 2 10" xfId="21743"/>
    <cellStyle name="Normal 2 3 2 9 2 2 4 2 2 10 2" xfId="21744"/>
    <cellStyle name="Normal 2 3 2 9 2 2 4 2 2 11" xfId="21745"/>
    <cellStyle name="Normal 2 3 2 9 2 2 4 2 2 2" xfId="21746"/>
    <cellStyle name="Normal 2 3 2 9 2 2 4 2 2 2 2" xfId="21747"/>
    <cellStyle name="Normal 2 3 2 9 2 2 4 2 2 3" xfId="21748"/>
    <cellStyle name="Normal 2 3 2 9 2 2 4 2 2 3 2" xfId="21749"/>
    <cellStyle name="Normal 2 3 2 9 2 2 4 2 2 4" xfId="21750"/>
    <cellStyle name="Normal 2 3 2 9 2 2 4 2 2 4 2" xfId="21751"/>
    <cellStyle name="Normal 2 3 2 9 2 2 4 2 2 5" xfId="21752"/>
    <cellStyle name="Normal 2 3 2 9 2 2 4 2 2 5 2" xfId="21753"/>
    <cellStyle name="Normal 2 3 2 9 2 2 4 2 2 6" xfId="21754"/>
    <cellStyle name="Normal 2 3 2 9 2 2 4 2 2 6 2" xfId="21755"/>
    <cellStyle name="Normal 2 3 2 9 2 2 4 2 2 7" xfId="21756"/>
    <cellStyle name="Normal 2 3 2 9 2 2 4 2 2 7 2" xfId="21757"/>
    <cellStyle name="Normal 2 3 2 9 2 2 4 2 2 8" xfId="21758"/>
    <cellStyle name="Normal 2 3 2 9 2 2 4 2 2 8 2" xfId="21759"/>
    <cellStyle name="Normal 2 3 2 9 2 2 4 2 2 9" xfId="21760"/>
    <cellStyle name="Normal 2 3 2 9 2 2 4 2 2 9 2" xfId="21761"/>
    <cellStyle name="Normal 2 3 2 9 2 2 4 2 3" xfId="21762"/>
    <cellStyle name="Normal 2 3 2 9 2 2 4 2 3 2" xfId="21763"/>
    <cellStyle name="Normal 2 3 2 9 2 2 4 2 4" xfId="21764"/>
    <cellStyle name="Normal 2 3 2 9 2 2 4 2 4 2" xfId="21765"/>
    <cellStyle name="Normal 2 3 2 9 2 2 4 2 5" xfId="21766"/>
    <cellStyle name="Normal 2 3 2 9 2 2 4 2 5 2" xfId="21767"/>
    <cellStyle name="Normal 2 3 2 9 2 2 4 2 6" xfId="21768"/>
    <cellStyle name="Normal 2 3 2 9 2 2 4 2 6 2" xfId="21769"/>
    <cellStyle name="Normal 2 3 2 9 2 2 4 2 7" xfId="21770"/>
    <cellStyle name="Normal 2 3 2 9 2 2 4 2 7 2" xfId="21771"/>
    <cellStyle name="Normal 2 3 2 9 2 2 4 2 8" xfId="21772"/>
    <cellStyle name="Normal 2 3 2 9 2 2 4 2 8 2" xfId="21773"/>
    <cellStyle name="Normal 2 3 2 9 2 2 4 2 9" xfId="21774"/>
    <cellStyle name="Normal 2 3 2 9 2 2 4 2 9 2" xfId="21775"/>
    <cellStyle name="Normal 2 3 2 9 2 2 4 3" xfId="21776"/>
    <cellStyle name="Normal 2 3 2 9 2 2 4 3 10" xfId="21777"/>
    <cellStyle name="Normal 2 3 2 9 2 2 4 3 10 2" xfId="21778"/>
    <cellStyle name="Normal 2 3 2 9 2 2 4 3 11" xfId="21779"/>
    <cellStyle name="Normal 2 3 2 9 2 2 4 3 2" xfId="21780"/>
    <cellStyle name="Normal 2 3 2 9 2 2 4 3 2 2" xfId="21781"/>
    <cellStyle name="Normal 2 3 2 9 2 2 4 3 3" xfId="21782"/>
    <cellStyle name="Normal 2 3 2 9 2 2 4 3 3 2" xfId="21783"/>
    <cellStyle name="Normal 2 3 2 9 2 2 4 3 4" xfId="21784"/>
    <cellStyle name="Normal 2 3 2 9 2 2 4 3 4 2" xfId="21785"/>
    <cellStyle name="Normal 2 3 2 9 2 2 4 3 5" xfId="21786"/>
    <cellStyle name="Normal 2 3 2 9 2 2 4 3 5 2" xfId="21787"/>
    <cellStyle name="Normal 2 3 2 9 2 2 4 3 6" xfId="21788"/>
    <cellStyle name="Normal 2 3 2 9 2 2 4 3 6 2" xfId="21789"/>
    <cellStyle name="Normal 2 3 2 9 2 2 4 3 7" xfId="21790"/>
    <cellStyle name="Normal 2 3 2 9 2 2 4 3 7 2" xfId="21791"/>
    <cellStyle name="Normal 2 3 2 9 2 2 4 3 8" xfId="21792"/>
    <cellStyle name="Normal 2 3 2 9 2 2 4 3 8 2" xfId="21793"/>
    <cellStyle name="Normal 2 3 2 9 2 2 4 3 9" xfId="21794"/>
    <cellStyle name="Normal 2 3 2 9 2 2 4 3 9 2" xfId="21795"/>
    <cellStyle name="Normal 2 3 2 9 2 2 4 4" xfId="21796"/>
    <cellStyle name="Normal 2 3 2 9 2 2 4 4 2" xfId="21797"/>
    <cellStyle name="Normal 2 3 2 9 2 2 4 5" xfId="21798"/>
    <cellStyle name="Normal 2 3 2 9 2 2 4 5 2" xfId="21799"/>
    <cellStyle name="Normal 2 3 2 9 2 2 4 6" xfId="21800"/>
    <cellStyle name="Normal 2 3 2 9 2 2 4 6 2" xfId="21801"/>
    <cellStyle name="Normal 2 3 2 9 2 2 4 7" xfId="21802"/>
    <cellStyle name="Normal 2 3 2 9 2 2 4 7 2" xfId="21803"/>
    <cellStyle name="Normal 2 3 2 9 2 2 4 8" xfId="21804"/>
    <cellStyle name="Normal 2 3 2 9 2 2 4 8 2" xfId="21805"/>
    <cellStyle name="Normal 2 3 2 9 2 2 4 9" xfId="21806"/>
    <cellStyle name="Normal 2 3 2 9 2 2 4 9 2" xfId="21807"/>
    <cellStyle name="Normal 2 3 2 9 2 2 5" xfId="592"/>
    <cellStyle name="Normal 2 3 2 9 2 2 5 10" xfId="21808"/>
    <cellStyle name="Normal 2 3 2 9 2 2 5 10 2" xfId="21809"/>
    <cellStyle name="Normal 2 3 2 9 2 2 5 11" xfId="21810"/>
    <cellStyle name="Normal 2 3 2 9 2 2 5 11 2" xfId="21811"/>
    <cellStyle name="Normal 2 3 2 9 2 2 5 12" xfId="21812"/>
    <cellStyle name="Normal 2 3 2 9 2 2 5 12 2" xfId="21813"/>
    <cellStyle name="Normal 2 3 2 9 2 2 5 13" xfId="21814"/>
    <cellStyle name="Normal 2 3 2 9 2 2 5 2" xfId="21815"/>
    <cellStyle name="Normal 2 3 2 9 2 2 5 2 10" xfId="21816"/>
    <cellStyle name="Normal 2 3 2 9 2 2 5 2 10 2" xfId="21817"/>
    <cellStyle name="Normal 2 3 2 9 2 2 5 2 11" xfId="21818"/>
    <cellStyle name="Normal 2 3 2 9 2 2 5 2 11 2" xfId="21819"/>
    <cellStyle name="Normal 2 3 2 9 2 2 5 2 12" xfId="21820"/>
    <cellStyle name="Normal 2 3 2 9 2 2 5 2 2" xfId="21821"/>
    <cellStyle name="Normal 2 3 2 9 2 2 5 2 2 10" xfId="21822"/>
    <cellStyle name="Normal 2 3 2 9 2 2 5 2 2 10 2" xfId="21823"/>
    <cellStyle name="Normal 2 3 2 9 2 2 5 2 2 11" xfId="21824"/>
    <cellStyle name="Normal 2 3 2 9 2 2 5 2 2 2" xfId="21825"/>
    <cellStyle name="Normal 2 3 2 9 2 2 5 2 2 2 2" xfId="21826"/>
    <cellStyle name="Normal 2 3 2 9 2 2 5 2 2 3" xfId="21827"/>
    <cellStyle name="Normal 2 3 2 9 2 2 5 2 2 3 2" xfId="21828"/>
    <cellStyle name="Normal 2 3 2 9 2 2 5 2 2 4" xfId="21829"/>
    <cellStyle name="Normal 2 3 2 9 2 2 5 2 2 4 2" xfId="21830"/>
    <cellStyle name="Normal 2 3 2 9 2 2 5 2 2 5" xfId="21831"/>
    <cellStyle name="Normal 2 3 2 9 2 2 5 2 2 5 2" xfId="21832"/>
    <cellStyle name="Normal 2 3 2 9 2 2 5 2 2 6" xfId="21833"/>
    <cellStyle name="Normal 2 3 2 9 2 2 5 2 2 6 2" xfId="21834"/>
    <cellStyle name="Normal 2 3 2 9 2 2 5 2 2 7" xfId="21835"/>
    <cellStyle name="Normal 2 3 2 9 2 2 5 2 2 7 2" xfId="21836"/>
    <cellStyle name="Normal 2 3 2 9 2 2 5 2 2 8" xfId="21837"/>
    <cellStyle name="Normal 2 3 2 9 2 2 5 2 2 8 2" xfId="21838"/>
    <cellStyle name="Normal 2 3 2 9 2 2 5 2 2 9" xfId="21839"/>
    <cellStyle name="Normal 2 3 2 9 2 2 5 2 2 9 2" xfId="21840"/>
    <cellStyle name="Normal 2 3 2 9 2 2 5 2 3" xfId="21841"/>
    <cellStyle name="Normal 2 3 2 9 2 2 5 2 3 2" xfId="21842"/>
    <cellStyle name="Normal 2 3 2 9 2 2 5 2 4" xfId="21843"/>
    <cellStyle name="Normal 2 3 2 9 2 2 5 2 4 2" xfId="21844"/>
    <cellStyle name="Normal 2 3 2 9 2 2 5 2 5" xfId="21845"/>
    <cellStyle name="Normal 2 3 2 9 2 2 5 2 5 2" xfId="21846"/>
    <cellStyle name="Normal 2 3 2 9 2 2 5 2 6" xfId="21847"/>
    <cellStyle name="Normal 2 3 2 9 2 2 5 2 6 2" xfId="21848"/>
    <cellStyle name="Normal 2 3 2 9 2 2 5 2 7" xfId="21849"/>
    <cellStyle name="Normal 2 3 2 9 2 2 5 2 7 2" xfId="21850"/>
    <cellStyle name="Normal 2 3 2 9 2 2 5 2 8" xfId="21851"/>
    <cellStyle name="Normal 2 3 2 9 2 2 5 2 8 2" xfId="21852"/>
    <cellStyle name="Normal 2 3 2 9 2 2 5 2 9" xfId="21853"/>
    <cellStyle name="Normal 2 3 2 9 2 2 5 2 9 2" xfId="21854"/>
    <cellStyle name="Normal 2 3 2 9 2 2 5 3" xfId="21855"/>
    <cellStyle name="Normal 2 3 2 9 2 2 5 3 10" xfId="21856"/>
    <cellStyle name="Normal 2 3 2 9 2 2 5 3 10 2" xfId="21857"/>
    <cellStyle name="Normal 2 3 2 9 2 2 5 3 11" xfId="21858"/>
    <cellStyle name="Normal 2 3 2 9 2 2 5 3 2" xfId="21859"/>
    <cellStyle name="Normal 2 3 2 9 2 2 5 3 2 2" xfId="21860"/>
    <cellStyle name="Normal 2 3 2 9 2 2 5 3 3" xfId="21861"/>
    <cellStyle name="Normal 2 3 2 9 2 2 5 3 3 2" xfId="21862"/>
    <cellStyle name="Normal 2 3 2 9 2 2 5 3 4" xfId="21863"/>
    <cellStyle name="Normal 2 3 2 9 2 2 5 3 4 2" xfId="21864"/>
    <cellStyle name="Normal 2 3 2 9 2 2 5 3 5" xfId="21865"/>
    <cellStyle name="Normal 2 3 2 9 2 2 5 3 5 2" xfId="21866"/>
    <cellStyle name="Normal 2 3 2 9 2 2 5 3 6" xfId="21867"/>
    <cellStyle name="Normal 2 3 2 9 2 2 5 3 6 2" xfId="21868"/>
    <cellStyle name="Normal 2 3 2 9 2 2 5 3 7" xfId="21869"/>
    <cellStyle name="Normal 2 3 2 9 2 2 5 3 7 2" xfId="21870"/>
    <cellStyle name="Normal 2 3 2 9 2 2 5 3 8" xfId="21871"/>
    <cellStyle name="Normal 2 3 2 9 2 2 5 3 8 2" xfId="21872"/>
    <cellStyle name="Normal 2 3 2 9 2 2 5 3 9" xfId="21873"/>
    <cellStyle name="Normal 2 3 2 9 2 2 5 3 9 2" xfId="21874"/>
    <cellStyle name="Normal 2 3 2 9 2 2 5 4" xfId="21875"/>
    <cellStyle name="Normal 2 3 2 9 2 2 5 4 2" xfId="21876"/>
    <cellStyle name="Normal 2 3 2 9 2 2 5 5" xfId="21877"/>
    <cellStyle name="Normal 2 3 2 9 2 2 5 5 2" xfId="21878"/>
    <cellStyle name="Normal 2 3 2 9 2 2 5 6" xfId="21879"/>
    <cellStyle name="Normal 2 3 2 9 2 2 5 6 2" xfId="21880"/>
    <cellStyle name="Normal 2 3 2 9 2 2 5 7" xfId="21881"/>
    <cellStyle name="Normal 2 3 2 9 2 2 5 7 2" xfId="21882"/>
    <cellStyle name="Normal 2 3 2 9 2 2 5 8" xfId="21883"/>
    <cellStyle name="Normal 2 3 2 9 2 2 5 8 2" xfId="21884"/>
    <cellStyle name="Normal 2 3 2 9 2 2 5 9" xfId="21885"/>
    <cellStyle name="Normal 2 3 2 9 2 2 5 9 2" xfId="21886"/>
    <cellStyle name="Normal 2 3 2 9 2 2 6" xfId="593"/>
    <cellStyle name="Normal 2 3 2 9 2 3" xfId="594"/>
    <cellStyle name="Normal 2 3 2 9 2 3 2" xfId="595"/>
    <cellStyle name="Normal 2 3 2 9 2 4" xfId="596"/>
    <cellStyle name="Normal 2 3 2 9 2 4 2" xfId="597"/>
    <cellStyle name="Normal 2 3 2 9 2 5" xfId="598"/>
    <cellStyle name="Normal 2 3 2 9 2 5 2" xfId="599"/>
    <cellStyle name="Normal 2 3 2 9 2 6" xfId="21887"/>
    <cellStyle name="Normal 2 3 2 9 2 6 10" xfId="21888"/>
    <cellStyle name="Normal 2 3 2 9 2 6 10 2" xfId="21889"/>
    <cellStyle name="Normal 2 3 2 9 2 6 11" xfId="21890"/>
    <cellStyle name="Normal 2 3 2 9 2 6 11 2" xfId="21891"/>
    <cellStyle name="Normal 2 3 2 9 2 6 12" xfId="21892"/>
    <cellStyle name="Normal 2 3 2 9 2 6 2" xfId="21893"/>
    <cellStyle name="Normal 2 3 2 9 2 6 2 10" xfId="21894"/>
    <cellStyle name="Normal 2 3 2 9 2 6 2 10 2" xfId="21895"/>
    <cellStyle name="Normal 2 3 2 9 2 6 2 11" xfId="21896"/>
    <cellStyle name="Normal 2 3 2 9 2 6 2 2" xfId="21897"/>
    <cellStyle name="Normal 2 3 2 9 2 6 2 2 2" xfId="21898"/>
    <cellStyle name="Normal 2 3 2 9 2 6 2 3" xfId="21899"/>
    <cellStyle name="Normal 2 3 2 9 2 6 2 3 2" xfId="21900"/>
    <cellStyle name="Normal 2 3 2 9 2 6 2 4" xfId="21901"/>
    <cellStyle name="Normal 2 3 2 9 2 6 2 4 2" xfId="21902"/>
    <cellStyle name="Normal 2 3 2 9 2 6 2 5" xfId="21903"/>
    <cellStyle name="Normal 2 3 2 9 2 6 2 5 2" xfId="21904"/>
    <cellStyle name="Normal 2 3 2 9 2 6 2 6" xfId="21905"/>
    <cellStyle name="Normal 2 3 2 9 2 6 2 6 2" xfId="21906"/>
    <cellStyle name="Normal 2 3 2 9 2 6 2 7" xfId="21907"/>
    <cellStyle name="Normal 2 3 2 9 2 6 2 7 2" xfId="21908"/>
    <cellStyle name="Normal 2 3 2 9 2 6 2 8" xfId="21909"/>
    <cellStyle name="Normal 2 3 2 9 2 6 2 8 2" xfId="21910"/>
    <cellStyle name="Normal 2 3 2 9 2 6 2 9" xfId="21911"/>
    <cellStyle name="Normal 2 3 2 9 2 6 2 9 2" xfId="21912"/>
    <cellStyle name="Normal 2 3 2 9 2 6 3" xfId="21913"/>
    <cellStyle name="Normal 2 3 2 9 2 6 3 2" xfId="21914"/>
    <cellStyle name="Normal 2 3 2 9 2 6 4" xfId="21915"/>
    <cellStyle name="Normal 2 3 2 9 2 6 4 2" xfId="21916"/>
    <cellStyle name="Normal 2 3 2 9 2 6 5" xfId="21917"/>
    <cellStyle name="Normal 2 3 2 9 2 6 5 2" xfId="21918"/>
    <cellStyle name="Normal 2 3 2 9 2 6 6" xfId="21919"/>
    <cellStyle name="Normal 2 3 2 9 2 6 6 2" xfId="21920"/>
    <cellStyle name="Normal 2 3 2 9 2 6 7" xfId="21921"/>
    <cellStyle name="Normal 2 3 2 9 2 6 7 2" xfId="21922"/>
    <cellStyle name="Normal 2 3 2 9 2 6 8" xfId="21923"/>
    <cellStyle name="Normal 2 3 2 9 2 6 8 2" xfId="21924"/>
    <cellStyle name="Normal 2 3 2 9 2 6 9" xfId="21925"/>
    <cellStyle name="Normal 2 3 2 9 2 6 9 2" xfId="21926"/>
    <cellStyle name="Normal 2 3 2 9 2 7" xfId="21927"/>
    <cellStyle name="Normal 2 3 2 9 2 7 10" xfId="21928"/>
    <cellStyle name="Normal 2 3 2 9 2 7 10 2" xfId="21929"/>
    <cellStyle name="Normal 2 3 2 9 2 7 11" xfId="21930"/>
    <cellStyle name="Normal 2 3 2 9 2 7 2" xfId="21931"/>
    <cellStyle name="Normal 2 3 2 9 2 7 2 2" xfId="21932"/>
    <cellStyle name="Normal 2 3 2 9 2 7 3" xfId="21933"/>
    <cellStyle name="Normal 2 3 2 9 2 7 3 2" xfId="21934"/>
    <cellStyle name="Normal 2 3 2 9 2 7 4" xfId="21935"/>
    <cellStyle name="Normal 2 3 2 9 2 7 4 2" xfId="21936"/>
    <cellStyle name="Normal 2 3 2 9 2 7 5" xfId="21937"/>
    <cellStyle name="Normal 2 3 2 9 2 7 5 2" xfId="21938"/>
    <cellStyle name="Normal 2 3 2 9 2 7 6" xfId="21939"/>
    <cellStyle name="Normal 2 3 2 9 2 7 6 2" xfId="21940"/>
    <cellStyle name="Normal 2 3 2 9 2 7 7" xfId="21941"/>
    <cellStyle name="Normal 2 3 2 9 2 7 7 2" xfId="21942"/>
    <cellStyle name="Normal 2 3 2 9 2 7 8" xfId="21943"/>
    <cellStyle name="Normal 2 3 2 9 2 7 8 2" xfId="21944"/>
    <cellStyle name="Normal 2 3 2 9 2 7 9" xfId="21945"/>
    <cellStyle name="Normal 2 3 2 9 2 7 9 2" xfId="21946"/>
    <cellStyle name="Normal 2 3 2 9 2 8" xfId="21947"/>
    <cellStyle name="Normal 2 3 2 9 2 8 2" xfId="21948"/>
    <cellStyle name="Normal 2 3 2 9 2 9" xfId="21949"/>
    <cellStyle name="Normal 2 3 2 9 2 9 2" xfId="21950"/>
    <cellStyle name="Normal 2 3 2 9 3" xfId="600"/>
    <cellStyle name="Normal 2 3 2 9 3 10" xfId="21951"/>
    <cellStyle name="Normal 2 3 2 9 3 10 2" xfId="21952"/>
    <cellStyle name="Normal 2 3 2 9 3 11" xfId="21953"/>
    <cellStyle name="Normal 2 3 2 9 3 11 2" xfId="21954"/>
    <cellStyle name="Normal 2 3 2 9 3 12" xfId="21955"/>
    <cellStyle name="Normal 2 3 2 9 3 12 2" xfId="21956"/>
    <cellStyle name="Normal 2 3 2 9 3 13" xfId="21957"/>
    <cellStyle name="Normal 2 3 2 9 3 2" xfId="21958"/>
    <cellStyle name="Normal 2 3 2 9 3 2 10" xfId="21959"/>
    <cellStyle name="Normal 2 3 2 9 3 2 10 2" xfId="21960"/>
    <cellStyle name="Normal 2 3 2 9 3 2 11" xfId="21961"/>
    <cellStyle name="Normal 2 3 2 9 3 2 11 2" xfId="21962"/>
    <cellStyle name="Normal 2 3 2 9 3 2 12" xfId="21963"/>
    <cellStyle name="Normal 2 3 2 9 3 2 2" xfId="21964"/>
    <cellStyle name="Normal 2 3 2 9 3 2 2 10" xfId="21965"/>
    <cellStyle name="Normal 2 3 2 9 3 2 2 10 2" xfId="21966"/>
    <cellStyle name="Normal 2 3 2 9 3 2 2 11" xfId="21967"/>
    <cellStyle name="Normal 2 3 2 9 3 2 2 2" xfId="21968"/>
    <cellStyle name="Normal 2 3 2 9 3 2 2 2 2" xfId="21969"/>
    <cellStyle name="Normal 2 3 2 9 3 2 2 3" xfId="21970"/>
    <cellStyle name="Normal 2 3 2 9 3 2 2 3 2" xfId="21971"/>
    <cellStyle name="Normal 2 3 2 9 3 2 2 4" xfId="21972"/>
    <cellStyle name="Normal 2 3 2 9 3 2 2 4 2" xfId="21973"/>
    <cellStyle name="Normal 2 3 2 9 3 2 2 5" xfId="21974"/>
    <cellStyle name="Normal 2 3 2 9 3 2 2 5 2" xfId="21975"/>
    <cellStyle name="Normal 2 3 2 9 3 2 2 6" xfId="21976"/>
    <cellStyle name="Normal 2 3 2 9 3 2 2 6 2" xfId="21977"/>
    <cellStyle name="Normal 2 3 2 9 3 2 2 7" xfId="21978"/>
    <cellStyle name="Normal 2 3 2 9 3 2 2 7 2" xfId="21979"/>
    <cellStyle name="Normal 2 3 2 9 3 2 2 8" xfId="21980"/>
    <cellStyle name="Normal 2 3 2 9 3 2 2 8 2" xfId="21981"/>
    <cellStyle name="Normal 2 3 2 9 3 2 2 9" xfId="21982"/>
    <cellStyle name="Normal 2 3 2 9 3 2 2 9 2" xfId="21983"/>
    <cellStyle name="Normal 2 3 2 9 3 2 3" xfId="21984"/>
    <cellStyle name="Normal 2 3 2 9 3 2 3 2" xfId="21985"/>
    <cellStyle name="Normal 2 3 2 9 3 2 4" xfId="21986"/>
    <cellStyle name="Normal 2 3 2 9 3 2 4 2" xfId="21987"/>
    <cellStyle name="Normal 2 3 2 9 3 2 5" xfId="21988"/>
    <cellStyle name="Normal 2 3 2 9 3 2 5 2" xfId="21989"/>
    <cellStyle name="Normal 2 3 2 9 3 2 6" xfId="21990"/>
    <cellStyle name="Normal 2 3 2 9 3 2 6 2" xfId="21991"/>
    <cellStyle name="Normal 2 3 2 9 3 2 7" xfId="21992"/>
    <cellStyle name="Normal 2 3 2 9 3 2 7 2" xfId="21993"/>
    <cellStyle name="Normal 2 3 2 9 3 2 8" xfId="21994"/>
    <cellStyle name="Normal 2 3 2 9 3 2 8 2" xfId="21995"/>
    <cellStyle name="Normal 2 3 2 9 3 2 9" xfId="21996"/>
    <cellStyle name="Normal 2 3 2 9 3 2 9 2" xfId="21997"/>
    <cellStyle name="Normal 2 3 2 9 3 3" xfId="21998"/>
    <cellStyle name="Normal 2 3 2 9 3 3 10" xfId="21999"/>
    <cellStyle name="Normal 2 3 2 9 3 3 10 2" xfId="22000"/>
    <cellStyle name="Normal 2 3 2 9 3 3 11" xfId="22001"/>
    <cellStyle name="Normal 2 3 2 9 3 3 2" xfId="22002"/>
    <cellStyle name="Normal 2 3 2 9 3 3 2 2" xfId="22003"/>
    <cellStyle name="Normal 2 3 2 9 3 3 3" xfId="22004"/>
    <cellStyle name="Normal 2 3 2 9 3 3 3 2" xfId="22005"/>
    <cellStyle name="Normal 2 3 2 9 3 3 4" xfId="22006"/>
    <cellStyle name="Normal 2 3 2 9 3 3 4 2" xfId="22007"/>
    <cellStyle name="Normal 2 3 2 9 3 3 5" xfId="22008"/>
    <cellStyle name="Normal 2 3 2 9 3 3 5 2" xfId="22009"/>
    <cellStyle name="Normal 2 3 2 9 3 3 6" xfId="22010"/>
    <cellStyle name="Normal 2 3 2 9 3 3 6 2" xfId="22011"/>
    <cellStyle name="Normal 2 3 2 9 3 3 7" xfId="22012"/>
    <cellStyle name="Normal 2 3 2 9 3 3 7 2" xfId="22013"/>
    <cellStyle name="Normal 2 3 2 9 3 3 8" xfId="22014"/>
    <cellStyle name="Normal 2 3 2 9 3 3 8 2" xfId="22015"/>
    <cellStyle name="Normal 2 3 2 9 3 3 9" xfId="22016"/>
    <cellStyle name="Normal 2 3 2 9 3 3 9 2" xfId="22017"/>
    <cellStyle name="Normal 2 3 2 9 3 4" xfId="22018"/>
    <cellStyle name="Normal 2 3 2 9 3 4 2" xfId="22019"/>
    <cellStyle name="Normal 2 3 2 9 3 5" xfId="22020"/>
    <cellStyle name="Normal 2 3 2 9 3 5 2" xfId="22021"/>
    <cellStyle name="Normal 2 3 2 9 3 6" xfId="22022"/>
    <cellStyle name="Normal 2 3 2 9 3 6 2" xfId="22023"/>
    <cellStyle name="Normal 2 3 2 9 3 7" xfId="22024"/>
    <cellStyle name="Normal 2 3 2 9 3 7 2" xfId="22025"/>
    <cellStyle name="Normal 2 3 2 9 3 8" xfId="22026"/>
    <cellStyle name="Normal 2 3 2 9 3 8 2" xfId="22027"/>
    <cellStyle name="Normal 2 3 2 9 3 9" xfId="22028"/>
    <cellStyle name="Normal 2 3 2 9 3 9 2" xfId="22029"/>
    <cellStyle name="Normal 2 3 2 9 4" xfId="601"/>
    <cellStyle name="Normal 2 3 2 9 4 10" xfId="22030"/>
    <cellStyle name="Normal 2 3 2 9 4 10 2" xfId="22031"/>
    <cellStyle name="Normal 2 3 2 9 4 11" xfId="22032"/>
    <cellStyle name="Normal 2 3 2 9 4 11 2" xfId="22033"/>
    <cellStyle name="Normal 2 3 2 9 4 12" xfId="22034"/>
    <cellStyle name="Normal 2 3 2 9 4 12 2" xfId="22035"/>
    <cellStyle name="Normal 2 3 2 9 4 13" xfId="22036"/>
    <cellStyle name="Normal 2 3 2 9 4 2" xfId="22037"/>
    <cellStyle name="Normal 2 3 2 9 4 2 10" xfId="22038"/>
    <cellStyle name="Normal 2 3 2 9 4 2 10 2" xfId="22039"/>
    <cellStyle name="Normal 2 3 2 9 4 2 11" xfId="22040"/>
    <cellStyle name="Normal 2 3 2 9 4 2 11 2" xfId="22041"/>
    <cellStyle name="Normal 2 3 2 9 4 2 12" xfId="22042"/>
    <cellStyle name="Normal 2 3 2 9 4 2 2" xfId="22043"/>
    <cellStyle name="Normal 2 3 2 9 4 2 2 10" xfId="22044"/>
    <cellStyle name="Normal 2 3 2 9 4 2 2 10 2" xfId="22045"/>
    <cellStyle name="Normal 2 3 2 9 4 2 2 11" xfId="22046"/>
    <cellStyle name="Normal 2 3 2 9 4 2 2 2" xfId="22047"/>
    <cellStyle name="Normal 2 3 2 9 4 2 2 2 2" xfId="22048"/>
    <cellStyle name="Normal 2 3 2 9 4 2 2 3" xfId="22049"/>
    <cellStyle name="Normal 2 3 2 9 4 2 2 3 2" xfId="22050"/>
    <cellStyle name="Normal 2 3 2 9 4 2 2 4" xfId="22051"/>
    <cellStyle name="Normal 2 3 2 9 4 2 2 4 2" xfId="22052"/>
    <cellStyle name="Normal 2 3 2 9 4 2 2 5" xfId="22053"/>
    <cellStyle name="Normal 2 3 2 9 4 2 2 5 2" xfId="22054"/>
    <cellStyle name="Normal 2 3 2 9 4 2 2 6" xfId="22055"/>
    <cellStyle name="Normal 2 3 2 9 4 2 2 6 2" xfId="22056"/>
    <cellStyle name="Normal 2 3 2 9 4 2 2 7" xfId="22057"/>
    <cellStyle name="Normal 2 3 2 9 4 2 2 7 2" xfId="22058"/>
    <cellStyle name="Normal 2 3 2 9 4 2 2 8" xfId="22059"/>
    <cellStyle name="Normal 2 3 2 9 4 2 2 8 2" xfId="22060"/>
    <cellStyle name="Normal 2 3 2 9 4 2 2 9" xfId="22061"/>
    <cellStyle name="Normal 2 3 2 9 4 2 2 9 2" xfId="22062"/>
    <cellStyle name="Normal 2 3 2 9 4 2 3" xfId="22063"/>
    <cellStyle name="Normal 2 3 2 9 4 2 3 2" xfId="22064"/>
    <cellStyle name="Normal 2 3 2 9 4 2 4" xfId="22065"/>
    <cellStyle name="Normal 2 3 2 9 4 2 4 2" xfId="22066"/>
    <cellStyle name="Normal 2 3 2 9 4 2 5" xfId="22067"/>
    <cellStyle name="Normal 2 3 2 9 4 2 5 2" xfId="22068"/>
    <cellStyle name="Normal 2 3 2 9 4 2 6" xfId="22069"/>
    <cellStyle name="Normal 2 3 2 9 4 2 6 2" xfId="22070"/>
    <cellStyle name="Normal 2 3 2 9 4 2 7" xfId="22071"/>
    <cellStyle name="Normal 2 3 2 9 4 2 7 2" xfId="22072"/>
    <cellStyle name="Normal 2 3 2 9 4 2 8" xfId="22073"/>
    <cellStyle name="Normal 2 3 2 9 4 2 8 2" xfId="22074"/>
    <cellStyle name="Normal 2 3 2 9 4 2 9" xfId="22075"/>
    <cellStyle name="Normal 2 3 2 9 4 2 9 2" xfId="22076"/>
    <cellStyle name="Normal 2 3 2 9 4 3" xfId="22077"/>
    <cellStyle name="Normal 2 3 2 9 4 3 10" xfId="22078"/>
    <cellStyle name="Normal 2 3 2 9 4 3 10 2" xfId="22079"/>
    <cellStyle name="Normal 2 3 2 9 4 3 11" xfId="22080"/>
    <cellStyle name="Normal 2 3 2 9 4 3 2" xfId="22081"/>
    <cellStyle name="Normal 2 3 2 9 4 3 2 2" xfId="22082"/>
    <cellStyle name="Normal 2 3 2 9 4 3 3" xfId="22083"/>
    <cellStyle name="Normal 2 3 2 9 4 3 3 2" xfId="22084"/>
    <cellStyle name="Normal 2 3 2 9 4 3 4" xfId="22085"/>
    <cellStyle name="Normal 2 3 2 9 4 3 4 2" xfId="22086"/>
    <cellStyle name="Normal 2 3 2 9 4 3 5" xfId="22087"/>
    <cellStyle name="Normal 2 3 2 9 4 3 5 2" xfId="22088"/>
    <cellStyle name="Normal 2 3 2 9 4 3 6" xfId="22089"/>
    <cellStyle name="Normal 2 3 2 9 4 3 6 2" xfId="22090"/>
    <cellStyle name="Normal 2 3 2 9 4 3 7" xfId="22091"/>
    <cellStyle name="Normal 2 3 2 9 4 3 7 2" xfId="22092"/>
    <cellStyle name="Normal 2 3 2 9 4 3 8" xfId="22093"/>
    <cellStyle name="Normal 2 3 2 9 4 3 8 2" xfId="22094"/>
    <cellStyle name="Normal 2 3 2 9 4 3 9" xfId="22095"/>
    <cellStyle name="Normal 2 3 2 9 4 3 9 2" xfId="22096"/>
    <cellStyle name="Normal 2 3 2 9 4 4" xfId="22097"/>
    <cellStyle name="Normal 2 3 2 9 4 4 2" xfId="22098"/>
    <cellStyle name="Normal 2 3 2 9 4 5" xfId="22099"/>
    <cellStyle name="Normal 2 3 2 9 4 5 2" xfId="22100"/>
    <cellStyle name="Normal 2 3 2 9 4 6" xfId="22101"/>
    <cellStyle name="Normal 2 3 2 9 4 6 2" xfId="22102"/>
    <cellStyle name="Normal 2 3 2 9 4 7" xfId="22103"/>
    <cellStyle name="Normal 2 3 2 9 4 7 2" xfId="22104"/>
    <cellStyle name="Normal 2 3 2 9 4 8" xfId="22105"/>
    <cellStyle name="Normal 2 3 2 9 4 8 2" xfId="22106"/>
    <cellStyle name="Normal 2 3 2 9 4 9" xfId="22107"/>
    <cellStyle name="Normal 2 3 2 9 4 9 2" xfId="22108"/>
    <cellStyle name="Normal 2 3 2 9 5" xfId="602"/>
    <cellStyle name="Normal 2 3 2 9 5 10" xfId="22109"/>
    <cellStyle name="Normal 2 3 2 9 5 10 2" xfId="22110"/>
    <cellStyle name="Normal 2 3 2 9 5 11" xfId="22111"/>
    <cellStyle name="Normal 2 3 2 9 5 11 2" xfId="22112"/>
    <cellStyle name="Normal 2 3 2 9 5 12" xfId="22113"/>
    <cellStyle name="Normal 2 3 2 9 5 12 2" xfId="22114"/>
    <cellStyle name="Normal 2 3 2 9 5 13" xfId="22115"/>
    <cellStyle name="Normal 2 3 2 9 5 2" xfId="22116"/>
    <cellStyle name="Normal 2 3 2 9 5 2 10" xfId="22117"/>
    <cellStyle name="Normal 2 3 2 9 5 2 10 2" xfId="22118"/>
    <cellStyle name="Normal 2 3 2 9 5 2 11" xfId="22119"/>
    <cellStyle name="Normal 2 3 2 9 5 2 11 2" xfId="22120"/>
    <cellStyle name="Normal 2 3 2 9 5 2 12" xfId="22121"/>
    <cellStyle name="Normal 2 3 2 9 5 2 2" xfId="22122"/>
    <cellStyle name="Normal 2 3 2 9 5 2 2 10" xfId="22123"/>
    <cellStyle name="Normal 2 3 2 9 5 2 2 10 2" xfId="22124"/>
    <cellStyle name="Normal 2 3 2 9 5 2 2 11" xfId="22125"/>
    <cellStyle name="Normal 2 3 2 9 5 2 2 2" xfId="22126"/>
    <cellStyle name="Normal 2 3 2 9 5 2 2 2 2" xfId="22127"/>
    <cellStyle name="Normal 2 3 2 9 5 2 2 3" xfId="22128"/>
    <cellStyle name="Normal 2 3 2 9 5 2 2 3 2" xfId="22129"/>
    <cellStyle name="Normal 2 3 2 9 5 2 2 4" xfId="22130"/>
    <cellStyle name="Normal 2 3 2 9 5 2 2 4 2" xfId="22131"/>
    <cellStyle name="Normal 2 3 2 9 5 2 2 5" xfId="22132"/>
    <cellStyle name="Normal 2 3 2 9 5 2 2 5 2" xfId="22133"/>
    <cellStyle name="Normal 2 3 2 9 5 2 2 6" xfId="22134"/>
    <cellStyle name="Normal 2 3 2 9 5 2 2 6 2" xfId="22135"/>
    <cellStyle name="Normal 2 3 2 9 5 2 2 7" xfId="22136"/>
    <cellStyle name="Normal 2 3 2 9 5 2 2 7 2" xfId="22137"/>
    <cellStyle name="Normal 2 3 2 9 5 2 2 8" xfId="22138"/>
    <cellStyle name="Normal 2 3 2 9 5 2 2 8 2" xfId="22139"/>
    <cellStyle name="Normal 2 3 2 9 5 2 2 9" xfId="22140"/>
    <cellStyle name="Normal 2 3 2 9 5 2 2 9 2" xfId="22141"/>
    <cellStyle name="Normal 2 3 2 9 5 2 3" xfId="22142"/>
    <cellStyle name="Normal 2 3 2 9 5 2 3 2" xfId="22143"/>
    <cellStyle name="Normal 2 3 2 9 5 2 4" xfId="22144"/>
    <cellStyle name="Normal 2 3 2 9 5 2 4 2" xfId="22145"/>
    <cellStyle name="Normal 2 3 2 9 5 2 5" xfId="22146"/>
    <cellStyle name="Normal 2 3 2 9 5 2 5 2" xfId="22147"/>
    <cellStyle name="Normal 2 3 2 9 5 2 6" xfId="22148"/>
    <cellStyle name="Normal 2 3 2 9 5 2 6 2" xfId="22149"/>
    <cellStyle name="Normal 2 3 2 9 5 2 7" xfId="22150"/>
    <cellStyle name="Normal 2 3 2 9 5 2 7 2" xfId="22151"/>
    <cellStyle name="Normal 2 3 2 9 5 2 8" xfId="22152"/>
    <cellStyle name="Normal 2 3 2 9 5 2 8 2" xfId="22153"/>
    <cellStyle name="Normal 2 3 2 9 5 2 9" xfId="22154"/>
    <cellStyle name="Normal 2 3 2 9 5 2 9 2" xfId="22155"/>
    <cellStyle name="Normal 2 3 2 9 5 3" xfId="22156"/>
    <cellStyle name="Normal 2 3 2 9 5 3 10" xfId="22157"/>
    <cellStyle name="Normal 2 3 2 9 5 3 10 2" xfId="22158"/>
    <cellStyle name="Normal 2 3 2 9 5 3 11" xfId="22159"/>
    <cellStyle name="Normal 2 3 2 9 5 3 2" xfId="22160"/>
    <cellStyle name="Normal 2 3 2 9 5 3 2 2" xfId="22161"/>
    <cellStyle name="Normal 2 3 2 9 5 3 3" xfId="22162"/>
    <cellStyle name="Normal 2 3 2 9 5 3 3 2" xfId="22163"/>
    <cellStyle name="Normal 2 3 2 9 5 3 4" xfId="22164"/>
    <cellStyle name="Normal 2 3 2 9 5 3 4 2" xfId="22165"/>
    <cellStyle name="Normal 2 3 2 9 5 3 5" xfId="22166"/>
    <cellStyle name="Normal 2 3 2 9 5 3 5 2" xfId="22167"/>
    <cellStyle name="Normal 2 3 2 9 5 3 6" xfId="22168"/>
    <cellStyle name="Normal 2 3 2 9 5 3 6 2" xfId="22169"/>
    <cellStyle name="Normal 2 3 2 9 5 3 7" xfId="22170"/>
    <cellStyle name="Normal 2 3 2 9 5 3 7 2" xfId="22171"/>
    <cellStyle name="Normal 2 3 2 9 5 3 8" xfId="22172"/>
    <cellStyle name="Normal 2 3 2 9 5 3 8 2" xfId="22173"/>
    <cellStyle name="Normal 2 3 2 9 5 3 9" xfId="22174"/>
    <cellStyle name="Normal 2 3 2 9 5 3 9 2" xfId="22175"/>
    <cellStyle name="Normal 2 3 2 9 5 4" xfId="22176"/>
    <cellStyle name="Normal 2 3 2 9 5 4 2" xfId="22177"/>
    <cellStyle name="Normal 2 3 2 9 5 5" xfId="22178"/>
    <cellStyle name="Normal 2 3 2 9 5 5 2" xfId="22179"/>
    <cellStyle name="Normal 2 3 2 9 5 6" xfId="22180"/>
    <cellStyle name="Normal 2 3 2 9 5 6 2" xfId="22181"/>
    <cellStyle name="Normal 2 3 2 9 5 7" xfId="22182"/>
    <cellStyle name="Normal 2 3 2 9 5 7 2" xfId="22183"/>
    <cellStyle name="Normal 2 3 2 9 5 8" xfId="22184"/>
    <cellStyle name="Normal 2 3 2 9 5 8 2" xfId="22185"/>
    <cellStyle name="Normal 2 3 2 9 5 9" xfId="22186"/>
    <cellStyle name="Normal 2 3 2 9 5 9 2" xfId="22187"/>
    <cellStyle name="Normal 2 3 2 9 6" xfId="603"/>
    <cellStyle name="Normal 2 3 2 9 6 10" xfId="22188"/>
    <cellStyle name="Normal 2 3 2 9 6 10 2" xfId="22189"/>
    <cellStyle name="Normal 2 3 2 9 6 11" xfId="22190"/>
    <cellStyle name="Normal 2 3 2 9 6 11 2" xfId="22191"/>
    <cellStyle name="Normal 2 3 2 9 6 12" xfId="22192"/>
    <cellStyle name="Normal 2 3 2 9 6 12 2" xfId="22193"/>
    <cellStyle name="Normal 2 3 2 9 6 13" xfId="22194"/>
    <cellStyle name="Normal 2 3 2 9 6 2" xfId="22195"/>
    <cellStyle name="Normal 2 3 2 9 6 2 10" xfId="22196"/>
    <cellStyle name="Normal 2 3 2 9 6 2 10 2" xfId="22197"/>
    <cellStyle name="Normal 2 3 2 9 6 2 11" xfId="22198"/>
    <cellStyle name="Normal 2 3 2 9 6 2 11 2" xfId="22199"/>
    <cellStyle name="Normal 2 3 2 9 6 2 12" xfId="22200"/>
    <cellStyle name="Normal 2 3 2 9 6 2 2" xfId="22201"/>
    <cellStyle name="Normal 2 3 2 9 6 2 2 10" xfId="22202"/>
    <cellStyle name="Normal 2 3 2 9 6 2 2 10 2" xfId="22203"/>
    <cellStyle name="Normal 2 3 2 9 6 2 2 11" xfId="22204"/>
    <cellStyle name="Normal 2 3 2 9 6 2 2 2" xfId="22205"/>
    <cellStyle name="Normal 2 3 2 9 6 2 2 2 2" xfId="22206"/>
    <cellStyle name="Normal 2 3 2 9 6 2 2 3" xfId="22207"/>
    <cellStyle name="Normal 2 3 2 9 6 2 2 3 2" xfId="22208"/>
    <cellStyle name="Normal 2 3 2 9 6 2 2 4" xfId="22209"/>
    <cellStyle name="Normal 2 3 2 9 6 2 2 4 2" xfId="22210"/>
    <cellStyle name="Normal 2 3 2 9 6 2 2 5" xfId="22211"/>
    <cellStyle name="Normal 2 3 2 9 6 2 2 5 2" xfId="22212"/>
    <cellStyle name="Normal 2 3 2 9 6 2 2 6" xfId="22213"/>
    <cellStyle name="Normal 2 3 2 9 6 2 2 6 2" xfId="22214"/>
    <cellStyle name="Normal 2 3 2 9 6 2 2 7" xfId="22215"/>
    <cellStyle name="Normal 2 3 2 9 6 2 2 7 2" xfId="22216"/>
    <cellStyle name="Normal 2 3 2 9 6 2 2 8" xfId="22217"/>
    <cellStyle name="Normal 2 3 2 9 6 2 2 8 2" xfId="22218"/>
    <cellStyle name="Normal 2 3 2 9 6 2 2 9" xfId="22219"/>
    <cellStyle name="Normal 2 3 2 9 6 2 2 9 2" xfId="22220"/>
    <cellStyle name="Normal 2 3 2 9 6 2 3" xfId="22221"/>
    <cellStyle name="Normal 2 3 2 9 6 2 3 2" xfId="22222"/>
    <cellStyle name="Normal 2 3 2 9 6 2 4" xfId="22223"/>
    <cellStyle name="Normal 2 3 2 9 6 2 4 2" xfId="22224"/>
    <cellStyle name="Normal 2 3 2 9 6 2 5" xfId="22225"/>
    <cellStyle name="Normal 2 3 2 9 6 2 5 2" xfId="22226"/>
    <cellStyle name="Normal 2 3 2 9 6 2 6" xfId="22227"/>
    <cellStyle name="Normal 2 3 2 9 6 2 6 2" xfId="22228"/>
    <cellStyle name="Normal 2 3 2 9 6 2 7" xfId="22229"/>
    <cellStyle name="Normal 2 3 2 9 6 2 7 2" xfId="22230"/>
    <cellStyle name="Normal 2 3 2 9 6 2 8" xfId="22231"/>
    <cellStyle name="Normal 2 3 2 9 6 2 8 2" xfId="22232"/>
    <cellStyle name="Normal 2 3 2 9 6 2 9" xfId="22233"/>
    <cellStyle name="Normal 2 3 2 9 6 2 9 2" xfId="22234"/>
    <cellStyle name="Normal 2 3 2 9 6 3" xfId="22235"/>
    <cellStyle name="Normal 2 3 2 9 6 3 10" xfId="22236"/>
    <cellStyle name="Normal 2 3 2 9 6 3 10 2" xfId="22237"/>
    <cellStyle name="Normal 2 3 2 9 6 3 11" xfId="22238"/>
    <cellStyle name="Normal 2 3 2 9 6 3 2" xfId="22239"/>
    <cellStyle name="Normal 2 3 2 9 6 3 2 2" xfId="22240"/>
    <cellStyle name="Normal 2 3 2 9 6 3 3" xfId="22241"/>
    <cellStyle name="Normal 2 3 2 9 6 3 3 2" xfId="22242"/>
    <cellStyle name="Normal 2 3 2 9 6 3 4" xfId="22243"/>
    <cellStyle name="Normal 2 3 2 9 6 3 4 2" xfId="22244"/>
    <cellStyle name="Normal 2 3 2 9 6 3 5" xfId="22245"/>
    <cellStyle name="Normal 2 3 2 9 6 3 5 2" xfId="22246"/>
    <cellStyle name="Normal 2 3 2 9 6 3 6" xfId="22247"/>
    <cellStyle name="Normal 2 3 2 9 6 3 6 2" xfId="22248"/>
    <cellStyle name="Normal 2 3 2 9 6 3 7" xfId="22249"/>
    <cellStyle name="Normal 2 3 2 9 6 3 7 2" xfId="22250"/>
    <cellStyle name="Normal 2 3 2 9 6 3 8" xfId="22251"/>
    <cellStyle name="Normal 2 3 2 9 6 3 8 2" xfId="22252"/>
    <cellStyle name="Normal 2 3 2 9 6 3 9" xfId="22253"/>
    <cellStyle name="Normal 2 3 2 9 6 3 9 2" xfId="22254"/>
    <cellStyle name="Normal 2 3 2 9 6 4" xfId="22255"/>
    <cellStyle name="Normal 2 3 2 9 6 4 2" xfId="22256"/>
    <cellStyle name="Normal 2 3 2 9 6 5" xfId="22257"/>
    <cellStyle name="Normal 2 3 2 9 6 5 2" xfId="22258"/>
    <cellStyle name="Normal 2 3 2 9 6 6" xfId="22259"/>
    <cellStyle name="Normal 2 3 2 9 6 6 2" xfId="22260"/>
    <cellStyle name="Normal 2 3 2 9 6 7" xfId="22261"/>
    <cellStyle name="Normal 2 3 2 9 6 7 2" xfId="22262"/>
    <cellStyle name="Normal 2 3 2 9 6 8" xfId="22263"/>
    <cellStyle name="Normal 2 3 2 9 6 8 2" xfId="22264"/>
    <cellStyle name="Normal 2 3 2 9 6 9" xfId="22265"/>
    <cellStyle name="Normal 2 3 2 9 6 9 2" xfId="22266"/>
    <cellStyle name="Normal 2 3 2 9 7" xfId="604"/>
    <cellStyle name="Normal 2 3 20" xfId="22267"/>
    <cellStyle name="Normal 2 3 21" xfId="22268"/>
    <cellStyle name="Normal 2 3 22" xfId="22269"/>
    <cellStyle name="Normal 2 3 23" xfId="22270"/>
    <cellStyle name="Normal 2 3 24" xfId="22271"/>
    <cellStyle name="Normal 2 3 25" xfId="22272"/>
    <cellStyle name="Normal 2 3 26" xfId="22273"/>
    <cellStyle name="Normal 2 3 27" xfId="22274"/>
    <cellStyle name="Normal 2 3 28" xfId="22275"/>
    <cellStyle name="Normal 2 3 29" xfId="22276"/>
    <cellStyle name="Normal 2 3 3" xfId="605"/>
    <cellStyle name="Normal 2 3 3 10" xfId="22277"/>
    <cellStyle name="Normal 2 3 3 10 10" xfId="22278"/>
    <cellStyle name="Normal 2 3 3 10 10 2" xfId="22279"/>
    <cellStyle name="Normal 2 3 3 10 11" xfId="22280"/>
    <cellStyle name="Normal 2 3 3 10 11 2" xfId="22281"/>
    <cellStyle name="Normal 2 3 3 10 12" xfId="22282"/>
    <cellStyle name="Normal 2 3 3 10 12 2" xfId="22283"/>
    <cellStyle name="Normal 2 3 3 10 13" xfId="22284"/>
    <cellStyle name="Normal 2 3 3 10 2" xfId="22285"/>
    <cellStyle name="Normal 2 3 3 10 2 10" xfId="22286"/>
    <cellStyle name="Normal 2 3 3 10 2 10 2" xfId="22287"/>
    <cellStyle name="Normal 2 3 3 10 2 11" xfId="22288"/>
    <cellStyle name="Normal 2 3 3 10 2 11 2" xfId="22289"/>
    <cellStyle name="Normal 2 3 3 10 2 12" xfId="22290"/>
    <cellStyle name="Normal 2 3 3 10 2 2" xfId="22291"/>
    <cellStyle name="Normal 2 3 3 10 2 2 10" xfId="22292"/>
    <cellStyle name="Normal 2 3 3 10 2 2 10 2" xfId="22293"/>
    <cellStyle name="Normal 2 3 3 10 2 2 11" xfId="22294"/>
    <cellStyle name="Normal 2 3 3 10 2 2 2" xfId="22295"/>
    <cellStyle name="Normal 2 3 3 10 2 2 2 2" xfId="22296"/>
    <cellStyle name="Normal 2 3 3 10 2 2 3" xfId="22297"/>
    <cellStyle name="Normal 2 3 3 10 2 2 3 2" xfId="22298"/>
    <cellStyle name="Normal 2 3 3 10 2 2 4" xfId="22299"/>
    <cellStyle name="Normal 2 3 3 10 2 2 4 2" xfId="22300"/>
    <cellStyle name="Normal 2 3 3 10 2 2 5" xfId="22301"/>
    <cellStyle name="Normal 2 3 3 10 2 2 5 2" xfId="22302"/>
    <cellStyle name="Normal 2 3 3 10 2 2 6" xfId="22303"/>
    <cellStyle name="Normal 2 3 3 10 2 2 6 2" xfId="22304"/>
    <cellStyle name="Normal 2 3 3 10 2 2 7" xfId="22305"/>
    <cellStyle name="Normal 2 3 3 10 2 2 7 2" xfId="22306"/>
    <cellStyle name="Normal 2 3 3 10 2 2 8" xfId="22307"/>
    <cellStyle name="Normal 2 3 3 10 2 2 8 2" xfId="22308"/>
    <cellStyle name="Normal 2 3 3 10 2 2 9" xfId="22309"/>
    <cellStyle name="Normal 2 3 3 10 2 2 9 2" xfId="22310"/>
    <cellStyle name="Normal 2 3 3 10 2 3" xfId="22311"/>
    <cellStyle name="Normal 2 3 3 10 2 3 2" xfId="22312"/>
    <cellStyle name="Normal 2 3 3 10 2 4" xfId="22313"/>
    <cellStyle name="Normal 2 3 3 10 2 4 2" xfId="22314"/>
    <cellStyle name="Normal 2 3 3 10 2 5" xfId="22315"/>
    <cellStyle name="Normal 2 3 3 10 2 5 2" xfId="22316"/>
    <cellStyle name="Normal 2 3 3 10 2 6" xfId="22317"/>
    <cellStyle name="Normal 2 3 3 10 2 6 2" xfId="22318"/>
    <cellStyle name="Normal 2 3 3 10 2 7" xfId="22319"/>
    <cellStyle name="Normal 2 3 3 10 2 7 2" xfId="22320"/>
    <cellStyle name="Normal 2 3 3 10 2 8" xfId="22321"/>
    <cellStyle name="Normal 2 3 3 10 2 8 2" xfId="22322"/>
    <cellStyle name="Normal 2 3 3 10 2 9" xfId="22323"/>
    <cellStyle name="Normal 2 3 3 10 2 9 2" xfId="22324"/>
    <cellStyle name="Normal 2 3 3 10 3" xfId="22325"/>
    <cellStyle name="Normal 2 3 3 10 3 10" xfId="22326"/>
    <cellStyle name="Normal 2 3 3 10 3 10 2" xfId="22327"/>
    <cellStyle name="Normal 2 3 3 10 3 11" xfId="22328"/>
    <cellStyle name="Normal 2 3 3 10 3 2" xfId="22329"/>
    <cellStyle name="Normal 2 3 3 10 3 2 2" xfId="22330"/>
    <cellStyle name="Normal 2 3 3 10 3 3" xfId="22331"/>
    <cellStyle name="Normal 2 3 3 10 3 3 2" xfId="22332"/>
    <cellStyle name="Normal 2 3 3 10 3 4" xfId="22333"/>
    <cellStyle name="Normal 2 3 3 10 3 4 2" xfId="22334"/>
    <cellStyle name="Normal 2 3 3 10 3 5" xfId="22335"/>
    <cellStyle name="Normal 2 3 3 10 3 5 2" xfId="22336"/>
    <cellStyle name="Normal 2 3 3 10 3 6" xfId="22337"/>
    <cellStyle name="Normal 2 3 3 10 3 6 2" xfId="22338"/>
    <cellStyle name="Normal 2 3 3 10 3 7" xfId="22339"/>
    <cellStyle name="Normal 2 3 3 10 3 7 2" xfId="22340"/>
    <cellStyle name="Normal 2 3 3 10 3 8" xfId="22341"/>
    <cellStyle name="Normal 2 3 3 10 3 8 2" xfId="22342"/>
    <cellStyle name="Normal 2 3 3 10 3 9" xfId="22343"/>
    <cellStyle name="Normal 2 3 3 10 3 9 2" xfId="22344"/>
    <cellStyle name="Normal 2 3 3 10 4" xfId="22345"/>
    <cellStyle name="Normal 2 3 3 10 4 2" xfId="22346"/>
    <cellStyle name="Normal 2 3 3 10 5" xfId="22347"/>
    <cellStyle name="Normal 2 3 3 10 5 2" xfId="22348"/>
    <cellStyle name="Normal 2 3 3 10 6" xfId="22349"/>
    <cellStyle name="Normal 2 3 3 10 6 2" xfId="22350"/>
    <cellStyle name="Normal 2 3 3 10 7" xfId="22351"/>
    <cellStyle name="Normal 2 3 3 10 7 2" xfId="22352"/>
    <cellStyle name="Normal 2 3 3 10 8" xfId="22353"/>
    <cellStyle name="Normal 2 3 3 10 8 2" xfId="22354"/>
    <cellStyle name="Normal 2 3 3 10 9" xfId="22355"/>
    <cellStyle name="Normal 2 3 3 10 9 2" xfId="22356"/>
    <cellStyle name="Normal 2 3 3 2" xfId="606"/>
    <cellStyle name="Normal 2 3 3 2 10" xfId="607"/>
    <cellStyle name="Normal 2 3 3 2 2" xfId="608"/>
    <cellStyle name="Normal 2 3 3 2 2 10" xfId="22357"/>
    <cellStyle name="Normal 2 3 3 2 2 10 2" xfId="22358"/>
    <cellStyle name="Normal 2 3 3 2 2 11" xfId="22359"/>
    <cellStyle name="Normal 2 3 3 2 2 11 2" xfId="22360"/>
    <cellStyle name="Normal 2 3 3 2 2 12" xfId="22361"/>
    <cellStyle name="Normal 2 3 3 2 2 12 2" xfId="22362"/>
    <cellStyle name="Normal 2 3 3 2 2 13" xfId="22363"/>
    <cellStyle name="Normal 2 3 3 2 2 13 2" xfId="22364"/>
    <cellStyle name="Normal 2 3 3 2 2 14" xfId="22365"/>
    <cellStyle name="Normal 2 3 3 2 2 14 2" xfId="22366"/>
    <cellStyle name="Normal 2 3 3 2 2 15" xfId="22367"/>
    <cellStyle name="Normal 2 3 3 2 2 15 2" xfId="22368"/>
    <cellStyle name="Normal 2 3 3 2 2 16" xfId="22369"/>
    <cellStyle name="Normal 2 3 3 2 2 16 2" xfId="22370"/>
    <cellStyle name="Normal 2 3 3 2 2 17" xfId="22371"/>
    <cellStyle name="Normal 2 3 3 2 2 17 2" xfId="22372"/>
    <cellStyle name="Normal 2 3 3 2 2 18" xfId="22373"/>
    <cellStyle name="Normal 2 3 3 2 2 2" xfId="609"/>
    <cellStyle name="Normal 2 3 3 2 2 2 2" xfId="610"/>
    <cellStyle name="Normal 2 3 3 2 2 2 2 10" xfId="22374"/>
    <cellStyle name="Normal 2 3 3 2 2 2 2 10 2" xfId="22375"/>
    <cellStyle name="Normal 2 3 3 2 2 2 2 11" xfId="22376"/>
    <cellStyle name="Normal 2 3 3 2 2 2 2 11 2" xfId="22377"/>
    <cellStyle name="Normal 2 3 3 2 2 2 2 12" xfId="22378"/>
    <cellStyle name="Normal 2 3 3 2 2 2 2 12 2" xfId="22379"/>
    <cellStyle name="Normal 2 3 3 2 2 2 2 13" xfId="22380"/>
    <cellStyle name="Normal 2 3 3 2 2 2 2 13 2" xfId="22381"/>
    <cellStyle name="Normal 2 3 3 2 2 2 2 14" xfId="22382"/>
    <cellStyle name="Normal 2 3 3 2 2 2 2 14 2" xfId="22383"/>
    <cellStyle name="Normal 2 3 3 2 2 2 2 15" xfId="22384"/>
    <cellStyle name="Normal 2 3 3 2 2 2 2 15 2" xfId="22385"/>
    <cellStyle name="Normal 2 3 3 2 2 2 2 16" xfId="22386"/>
    <cellStyle name="Normal 2 3 3 2 2 2 2 16 2" xfId="22387"/>
    <cellStyle name="Normal 2 3 3 2 2 2 2 17" xfId="22388"/>
    <cellStyle name="Normal 2 3 3 2 2 2 2 2" xfId="611"/>
    <cellStyle name="Normal 2 3 3 2 2 2 2 2 2" xfId="612"/>
    <cellStyle name="Normal 2 3 3 2 2 2 2 3" xfId="613"/>
    <cellStyle name="Normal 2 3 3 2 2 2 2 3 2" xfId="614"/>
    <cellStyle name="Normal 2 3 3 2 2 2 2 4" xfId="615"/>
    <cellStyle name="Normal 2 3 3 2 2 2 2 4 2" xfId="616"/>
    <cellStyle name="Normal 2 3 3 2 2 2 2 5" xfId="617"/>
    <cellStyle name="Normal 2 3 3 2 2 2 2 5 2" xfId="618"/>
    <cellStyle name="Normal 2 3 3 2 2 2 2 6" xfId="22389"/>
    <cellStyle name="Normal 2 3 3 2 2 2 2 6 10" xfId="22390"/>
    <cellStyle name="Normal 2 3 3 2 2 2 2 6 10 2" xfId="22391"/>
    <cellStyle name="Normal 2 3 3 2 2 2 2 6 11" xfId="22392"/>
    <cellStyle name="Normal 2 3 3 2 2 2 2 6 11 2" xfId="22393"/>
    <cellStyle name="Normal 2 3 3 2 2 2 2 6 12" xfId="22394"/>
    <cellStyle name="Normal 2 3 3 2 2 2 2 6 2" xfId="22395"/>
    <cellStyle name="Normal 2 3 3 2 2 2 2 6 2 10" xfId="22396"/>
    <cellStyle name="Normal 2 3 3 2 2 2 2 6 2 10 2" xfId="22397"/>
    <cellStyle name="Normal 2 3 3 2 2 2 2 6 2 11" xfId="22398"/>
    <cellStyle name="Normal 2 3 3 2 2 2 2 6 2 2" xfId="22399"/>
    <cellStyle name="Normal 2 3 3 2 2 2 2 6 2 2 2" xfId="22400"/>
    <cellStyle name="Normal 2 3 3 2 2 2 2 6 2 3" xfId="22401"/>
    <cellStyle name="Normal 2 3 3 2 2 2 2 6 2 3 2" xfId="22402"/>
    <cellStyle name="Normal 2 3 3 2 2 2 2 6 2 4" xfId="22403"/>
    <cellStyle name="Normal 2 3 3 2 2 2 2 6 2 4 2" xfId="22404"/>
    <cellStyle name="Normal 2 3 3 2 2 2 2 6 2 5" xfId="22405"/>
    <cellStyle name="Normal 2 3 3 2 2 2 2 6 2 5 2" xfId="22406"/>
    <cellStyle name="Normal 2 3 3 2 2 2 2 6 2 6" xfId="22407"/>
    <cellStyle name="Normal 2 3 3 2 2 2 2 6 2 6 2" xfId="22408"/>
    <cellStyle name="Normal 2 3 3 2 2 2 2 6 2 7" xfId="22409"/>
    <cellStyle name="Normal 2 3 3 2 2 2 2 6 2 7 2" xfId="22410"/>
    <cellStyle name="Normal 2 3 3 2 2 2 2 6 2 8" xfId="22411"/>
    <cellStyle name="Normal 2 3 3 2 2 2 2 6 2 8 2" xfId="22412"/>
    <cellStyle name="Normal 2 3 3 2 2 2 2 6 2 9" xfId="22413"/>
    <cellStyle name="Normal 2 3 3 2 2 2 2 6 2 9 2" xfId="22414"/>
    <cellStyle name="Normal 2 3 3 2 2 2 2 6 3" xfId="22415"/>
    <cellStyle name="Normal 2 3 3 2 2 2 2 6 3 2" xfId="22416"/>
    <cellStyle name="Normal 2 3 3 2 2 2 2 6 4" xfId="22417"/>
    <cellStyle name="Normal 2 3 3 2 2 2 2 6 4 2" xfId="22418"/>
    <cellStyle name="Normal 2 3 3 2 2 2 2 6 5" xfId="22419"/>
    <cellStyle name="Normal 2 3 3 2 2 2 2 6 5 2" xfId="22420"/>
    <cellStyle name="Normal 2 3 3 2 2 2 2 6 6" xfId="22421"/>
    <cellStyle name="Normal 2 3 3 2 2 2 2 6 6 2" xfId="22422"/>
    <cellStyle name="Normal 2 3 3 2 2 2 2 6 7" xfId="22423"/>
    <cellStyle name="Normal 2 3 3 2 2 2 2 6 7 2" xfId="22424"/>
    <cellStyle name="Normal 2 3 3 2 2 2 2 6 8" xfId="22425"/>
    <cellStyle name="Normal 2 3 3 2 2 2 2 6 8 2" xfId="22426"/>
    <cellStyle name="Normal 2 3 3 2 2 2 2 6 9" xfId="22427"/>
    <cellStyle name="Normal 2 3 3 2 2 2 2 6 9 2" xfId="22428"/>
    <cellStyle name="Normal 2 3 3 2 2 2 2 7" xfId="22429"/>
    <cellStyle name="Normal 2 3 3 2 2 2 2 7 10" xfId="22430"/>
    <cellStyle name="Normal 2 3 3 2 2 2 2 7 10 2" xfId="22431"/>
    <cellStyle name="Normal 2 3 3 2 2 2 2 7 11" xfId="22432"/>
    <cellStyle name="Normal 2 3 3 2 2 2 2 7 2" xfId="22433"/>
    <cellStyle name="Normal 2 3 3 2 2 2 2 7 2 2" xfId="22434"/>
    <cellStyle name="Normal 2 3 3 2 2 2 2 7 3" xfId="22435"/>
    <cellStyle name="Normal 2 3 3 2 2 2 2 7 3 2" xfId="22436"/>
    <cellStyle name="Normal 2 3 3 2 2 2 2 7 4" xfId="22437"/>
    <cellStyle name="Normal 2 3 3 2 2 2 2 7 4 2" xfId="22438"/>
    <cellStyle name="Normal 2 3 3 2 2 2 2 7 5" xfId="22439"/>
    <cellStyle name="Normal 2 3 3 2 2 2 2 7 5 2" xfId="22440"/>
    <cellStyle name="Normal 2 3 3 2 2 2 2 7 6" xfId="22441"/>
    <cellStyle name="Normal 2 3 3 2 2 2 2 7 6 2" xfId="22442"/>
    <cellStyle name="Normal 2 3 3 2 2 2 2 7 7" xfId="22443"/>
    <cellStyle name="Normal 2 3 3 2 2 2 2 7 7 2" xfId="22444"/>
    <cellStyle name="Normal 2 3 3 2 2 2 2 7 8" xfId="22445"/>
    <cellStyle name="Normal 2 3 3 2 2 2 2 7 8 2" xfId="22446"/>
    <cellStyle name="Normal 2 3 3 2 2 2 2 7 9" xfId="22447"/>
    <cellStyle name="Normal 2 3 3 2 2 2 2 7 9 2" xfId="22448"/>
    <cellStyle name="Normal 2 3 3 2 2 2 2 8" xfId="22449"/>
    <cellStyle name="Normal 2 3 3 2 2 2 2 8 2" xfId="22450"/>
    <cellStyle name="Normal 2 3 3 2 2 2 2 9" xfId="22451"/>
    <cellStyle name="Normal 2 3 3 2 2 2 2 9 2" xfId="22452"/>
    <cellStyle name="Normal 2 3 3 2 2 2 3" xfId="619"/>
    <cellStyle name="Normal 2 3 3 2 2 2 3 10" xfId="22453"/>
    <cellStyle name="Normal 2 3 3 2 2 2 3 10 2" xfId="22454"/>
    <cellStyle name="Normal 2 3 3 2 2 2 3 11" xfId="22455"/>
    <cellStyle name="Normal 2 3 3 2 2 2 3 11 2" xfId="22456"/>
    <cellStyle name="Normal 2 3 3 2 2 2 3 12" xfId="22457"/>
    <cellStyle name="Normal 2 3 3 2 2 2 3 12 2" xfId="22458"/>
    <cellStyle name="Normal 2 3 3 2 2 2 3 13" xfId="22459"/>
    <cellStyle name="Normal 2 3 3 2 2 2 3 2" xfId="22460"/>
    <cellStyle name="Normal 2 3 3 2 2 2 3 2 10" xfId="22461"/>
    <cellStyle name="Normal 2 3 3 2 2 2 3 2 10 2" xfId="22462"/>
    <cellStyle name="Normal 2 3 3 2 2 2 3 2 11" xfId="22463"/>
    <cellStyle name="Normal 2 3 3 2 2 2 3 2 11 2" xfId="22464"/>
    <cellStyle name="Normal 2 3 3 2 2 2 3 2 12" xfId="22465"/>
    <cellStyle name="Normal 2 3 3 2 2 2 3 2 2" xfId="22466"/>
    <cellStyle name="Normal 2 3 3 2 2 2 3 2 2 10" xfId="22467"/>
    <cellStyle name="Normal 2 3 3 2 2 2 3 2 2 10 2" xfId="22468"/>
    <cellStyle name="Normal 2 3 3 2 2 2 3 2 2 11" xfId="22469"/>
    <cellStyle name="Normal 2 3 3 2 2 2 3 2 2 2" xfId="22470"/>
    <cellStyle name="Normal 2 3 3 2 2 2 3 2 2 2 2" xfId="22471"/>
    <cellStyle name="Normal 2 3 3 2 2 2 3 2 2 3" xfId="22472"/>
    <cellStyle name="Normal 2 3 3 2 2 2 3 2 2 3 2" xfId="22473"/>
    <cellStyle name="Normal 2 3 3 2 2 2 3 2 2 4" xfId="22474"/>
    <cellStyle name="Normal 2 3 3 2 2 2 3 2 2 4 2" xfId="22475"/>
    <cellStyle name="Normal 2 3 3 2 2 2 3 2 2 5" xfId="22476"/>
    <cellStyle name="Normal 2 3 3 2 2 2 3 2 2 5 2" xfId="22477"/>
    <cellStyle name="Normal 2 3 3 2 2 2 3 2 2 6" xfId="22478"/>
    <cellStyle name="Normal 2 3 3 2 2 2 3 2 2 6 2" xfId="22479"/>
    <cellStyle name="Normal 2 3 3 2 2 2 3 2 2 7" xfId="22480"/>
    <cellStyle name="Normal 2 3 3 2 2 2 3 2 2 7 2" xfId="22481"/>
    <cellStyle name="Normal 2 3 3 2 2 2 3 2 2 8" xfId="22482"/>
    <cellStyle name="Normal 2 3 3 2 2 2 3 2 2 8 2" xfId="22483"/>
    <cellStyle name="Normal 2 3 3 2 2 2 3 2 2 9" xfId="22484"/>
    <cellStyle name="Normal 2 3 3 2 2 2 3 2 2 9 2" xfId="22485"/>
    <cellStyle name="Normal 2 3 3 2 2 2 3 2 3" xfId="22486"/>
    <cellStyle name="Normal 2 3 3 2 2 2 3 2 3 2" xfId="22487"/>
    <cellStyle name="Normal 2 3 3 2 2 2 3 2 4" xfId="22488"/>
    <cellStyle name="Normal 2 3 3 2 2 2 3 2 4 2" xfId="22489"/>
    <cellStyle name="Normal 2 3 3 2 2 2 3 2 5" xfId="22490"/>
    <cellStyle name="Normal 2 3 3 2 2 2 3 2 5 2" xfId="22491"/>
    <cellStyle name="Normal 2 3 3 2 2 2 3 2 6" xfId="22492"/>
    <cellStyle name="Normal 2 3 3 2 2 2 3 2 6 2" xfId="22493"/>
    <cellStyle name="Normal 2 3 3 2 2 2 3 2 7" xfId="22494"/>
    <cellStyle name="Normal 2 3 3 2 2 2 3 2 7 2" xfId="22495"/>
    <cellStyle name="Normal 2 3 3 2 2 2 3 2 8" xfId="22496"/>
    <cellStyle name="Normal 2 3 3 2 2 2 3 2 8 2" xfId="22497"/>
    <cellStyle name="Normal 2 3 3 2 2 2 3 2 9" xfId="22498"/>
    <cellStyle name="Normal 2 3 3 2 2 2 3 2 9 2" xfId="22499"/>
    <cellStyle name="Normal 2 3 3 2 2 2 3 3" xfId="22500"/>
    <cellStyle name="Normal 2 3 3 2 2 2 3 3 10" xfId="22501"/>
    <cellStyle name="Normal 2 3 3 2 2 2 3 3 10 2" xfId="22502"/>
    <cellStyle name="Normal 2 3 3 2 2 2 3 3 11" xfId="22503"/>
    <cellStyle name="Normal 2 3 3 2 2 2 3 3 2" xfId="22504"/>
    <cellStyle name="Normal 2 3 3 2 2 2 3 3 2 2" xfId="22505"/>
    <cellStyle name="Normal 2 3 3 2 2 2 3 3 3" xfId="22506"/>
    <cellStyle name="Normal 2 3 3 2 2 2 3 3 3 2" xfId="22507"/>
    <cellStyle name="Normal 2 3 3 2 2 2 3 3 4" xfId="22508"/>
    <cellStyle name="Normal 2 3 3 2 2 2 3 3 4 2" xfId="22509"/>
    <cellStyle name="Normal 2 3 3 2 2 2 3 3 5" xfId="22510"/>
    <cellStyle name="Normal 2 3 3 2 2 2 3 3 5 2" xfId="22511"/>
    <cellStyle name="Normal 2 3 3 2 2 2 3 3 6" xfId="22512"/>
    <cellStyle name="Normal 2 3 3 2 2 2 3 3 6 2" xfId="22513"/>
    <cellStyle name="Normal 2 3 3 2 2 2 3 3 7" xfId="22514"/>
    <cellStyle name="Normal 2 3 3 2 2 2 3 3 7 2" xfId="22515"/>
    <cellStyle name="Normal 2 3 3 2 2 2 3 3 8" xfId="22516"/>
    <cellStyle name="Normal 2 3 3 2 2 2 3 3 8 2" xfId="22517"/>
    <cellStyle name="Normal 2 3 3 2 2 2 3 3 9" xfId="22518"/>
    <cellStyle name="Normal 2 3 3 2 2 2 3 3 9 2" xfId="22519"/>
    <cellStyle name="Normal 2 3 3 2 2 2 3 4" xfId="22520"/>
    <cellStyle name="Normal 2 3 3 2 2 2 3 4 2" xfId="22521"/>
    <cellStyle name="Normal 2 3 3 2 2 2 3 5" xfId="22522"/>
    <cellStyle name="Normal 2 3 3 2 2 2 3 5 2" xfId="22523"/>
    <cellStyle name="Normal 2 3 3 2 2 2 3 6" xfId="22524"/>
    <cellStyle name="Normal 2 3 3 2 2 2 3 6 2" xfId="22525"/>
    <cellStyle name="Normal 2 3 3 2 2 2 3 7" xfId="22526"/>
    <cellStyle name="Normal 2 3 3 2 2 2 3 7 2" xfId="22527"/>
    <cellStyle name="Normal 2 3 3 2 2 2 3 8" xfId="22528"/>
    <cellStyle name="Normal 2 3 3 2 2 2 3 8 2" xfId="22529"/>
    <cellStyle name="Normal 2 3 3 2 2 2 3 9" xfId="22530"/>
    <cellStyle name="Normal 2 3 3 2 2 2 3 9 2" xfId="22531"/>
    <cellStyle name="Normal 2 3 3 2 2 2 4" xfId="620"/>
    <cellStyle name="Normal 2 3 3 2 2 2 4 10" xfId="22532"/>
    <cellStyle name="Normal 2 3 3 2 2 2 4 10 2" xfId="22533"/>
    <cellStyle name="Normal 2 3 3 2 2 2 4 11" xfId="22534"/>
    <cellStyle name="Normal 2 3 3 2 2 2 4 11 2" xfId="22535"/>
    <cellStyle name="Normal 2 3 3 2 2 2 4 12" xfId="22536"/>
    <cellStyle name="Normal 2 3 3 2 2 2 4 12 2" xfId="22537"/>
    <cellStyle name="Normal 2 3 3 2 2 2 4 13" xfId="22538"/>
    <cellStyle name="Normal 2 3 3 2 2 2 4 2" xfId="22539"/>
    <cellStyle name="Normal 2 3 3 2 2 2 4 2 10" xfId="22540"/>
    <cellStyle name="Normal 2 3 3 2 2 2 4 2 10 2" xfId="22541"/>
    <cellStyle name="Normal 2 3 3 2 2 2 4 2 11" xfId="22542"/>
    <cellStyle name="Normal 2 3 3 2 2 2 4 2 11 2" xfId="22543"/>
    <cellStyle name="Normal 2 3 3 2 2 2 4 2 12" xfId="22544"/>
    <cellStyle name="Normal 2 3 3 2 2 2 4 2 2" xfId="22545"/>
    <cellStyle name="Normal 2 3 3 2 2 2 4 2 2 10" xfId="22546"/>
    <cellStyle name="Normal 2 3 3 2 2 2 4 2 2 10 2" xfId="22547"/>
    <cellStyle name="Normal 2 3 3 2 2 2 4 2 2 11" xfId="22548"/>
    <cellStyle name="Normal 2 3 3 2 2 2 4 2 2 2" xfId="22549"/>
    <cellStyle name="Normal 2 3 3 2 2 2 4 2 2 2 2" xfId="22550"/>
    <cellStyle name="Normal 2 3 3 2 2 2 4 2 2 3" xfId="22551"/>
    <cellStyle name="Normal 2 3 3 2 2 2 4 2 2 3 2" xfId="22552"/>
    <cellStyle name="Normal 2 3 3 2 2 2 4 2 2 4" xfId="22553"/>
    <cellStyle name="Normal 2 3 3 2 2 2 4 2 2 4 2" xfId="22554"/>
    <cellStyle name="Normal 2 3 3 2 2 2 4 2 2 5" xfId="22555"/>
    <cellStyle name="Normal 2 3 3 2 2 2 4 2 2 5 2" xfId="22556"/>
    <cellStyle name="Normal 2 3 3 2 2 2 4 2 2 6" xfId="22557"/>
    <cellStyle name="Normal 2 3 3 2 2 2 4 2 2 6 2" xfId="22558"/>
    <cellStyle name="Normal 2 3 3 2 2 2 4 2 2 7" xfId="22559"/>
    <cellStyle name="Normal 2 3 3 2 2 2 4 2 2 7 2" xfId="22560"/>
    <cellStyle name="Normal 2 3 3 2 2 2 4 2 2 8" xfId="22561"/>
    <cellStyle name="Normal 2 3 3 2 2 2 4 2 2 8 2" xfId="22562"/>
    <cellStyle name="Normal 2 3 3 2 2 2 4 2 2 9" xfId="22563"/>
    <cellStyle name="Normal 2 3 3 2 2 2 4 2 2 9 2" xfId="22564"/>
    <cellStyle name="Normal 2 3 3 2 2 2 4 2 3" xfId="22565"/>
    <cellStyle name="Normal 2 3 3 2 2 2 4 2 3 2" xfId="22566"/>
    <cellStyle name="Normal 2 3 3 2 2 2 4 2 4" xfId="22567"/>
    <cellStyle name="Normal 2 3 3 2 2 2 4 2 4 2" xfId="22568"/>
    <cellStyle name="Normal 2 3 3 2 2 2 4 2 5" xfId="22569"/>
    <cellStyle name="Normal 2 3 3 2 2 2 4 2 5 2" xfId="22570"/>
    <cellStyle name="Normal 2 3 3 2 2 2 4 2 6" xfId="22571"/>
    <cellStyle name="Normal 2 3 3 2 2 2 4 2 6 2" xfId="22572"/>
    <cellStyle name="Normal 2 3 3 2 2 2 4 2 7" xfId="22573"/>
    <cellStyle name="Normal 2 3 3 2 2 2 4 2 7 2" xfId="22574"/>
    <cellStyle name="Normal 2 3 3 2 2 2 4 2 8" xfId="22575"/>
    <cellStyle name="Normal 2 3 3 2 2 2 4 2 8 2" xfId="22576"/>
    <cellStyle name="Normal 2 3 3 2 2 2 4 2 9" xfId="22577"/>
    <cellStyle name="Normal 2 3 3 2 2 2 4 2 9 2" xfId="22578"/>
    <cellStyle name="Normal 2 3 3 2 2 2 4 3" xfId="22579"/>
    <cellStyle name="Normal 2 3 3 2 2 2 4 3 10" xfId="22580"/>
    <cellStyle name="Normal 2 3 3 2 2 2 4 3 10 2" xfId="22581"/>
    <cellStyle name="Normal 2 3 3 2 2 2 4 3 11" xfId="22582"/>
    <cellStyle name="Normal 2 3 3 2 2 2 4 3 2" xfId="22583"/>
    <cellStyle name="Normal 2 3 3 2 2 2 4 3 2 2" xfId="22584"/>
    <cellStyle name="Normal 2 3 3 2 2 2 4 3 3" xfId="22585"/>
    <cellStyle name="Normal 2 3 3 2 2 2 4 3 3 2" xfId="22586"/>
    <cellStyle name="Normal 2 3 3 2 2 2 4 3 4" xfId="22587"/>
    <cellStyle name="Normal 2 3 3 2 2 2 4 3 4 2" xfId="22588"/>
    <cellStyle name="Normal 2 3 3 2 2 2 4 3 5" xfId="22589"/>
    <cellStyle name="Normal 2 3 3 2 2 2 4 3 5 2" xfId="22590"/>
    <cellStyle name="Normal 2 3 3 2 2 2 4 3 6" xfId="22591"/>
    <cellStyle name="Normal 2 3 3 2 2 2 4 3 6 2" xfId="22592"/>
    <cellStyle name="Normal 2 3 3 2 2 2 4 3 7" xfId="22593"/>
    <cellStyle name="Normal 2 3 3 2 2 2 4 3 7 2" xfId="22594"/>
    <cellStyle name="Normal 2 3 3 2 2 2 4 3 8" xfId="22595"/>
    <cellStyle name="Normal 2 3 3 2 2 2 4 3 8 2" xfId="22596"/>
    <cellStyle name="Normal 2 3 3 2 2 2 4 3 9" xfId="22597"/>
    <cellStyle name="Normal 2 3 3 2 2 2 4 3 9 2" xfId="22598"/>
    <cellStyle name="Normal 2 3 3 2 2 2 4 4" xfId="22599"/>
    <cellStyle name="Normal 2 3 3 2 2 2 4 4 2" xfId="22600"/>
    <cellStyle name="Normal 2 3 3 2 2 2 4 5" xfId="22601"/>
    <cellStyle name="Normal 2 3 3 2 2 2 4 5 2" xfId="22602"/>
    <cellStyle name="Normal 2 3 3 2 2 2 4 6" xfId="22603"/>
    <cellStyle name="Normal 2 3 3 2 2 2 4 6 2" xfId="22604"/>
    <cellStyle name="Normal 2 3 3 2 2 2 4 7" xfId="22605"/>
    <cellStyle name="Normal 2 3 3 2 2 2 4 7 2" xfId="22606"/>
    <cellStyle name="Normal 2 3 3 2 2 2 4 8" xfId="22607"/>
    <cellStyle name="Normal 2 3 3 2 2 2 4 8 2" xfId="22608"/>
    <cellStyle name="Normal 2 3 3 2 2 2 4 9" xfId="22609"/>
    <cellStyle name="Normal 2 3 3 2 2 2 4 9 2" xfId="22610"/>
    <cellStyle name="Normal 2 3 3 2 2 2 5" xfId="621"/>
    <cellStyle name="Normal 2 3 3 2 2 2 5 10" xfId="22611"/>
    <cellStyle name="Normal 2 3 3 2 2 2 5 10 2" xfId="22612"/>
    <cellStyle name="Normal 2 3 3 2 2 2 5 11" xfId="22613"/>
    <cellStyle name="Normal 2 3 3 2 2 2 5 11 2" xfId="22614"/>
    <cellStyle name="Normal 2 3 3 2 2 2 5 12" xfId="22615"/>
    <cellStyle name="Normal 2 3 3 2 2 2 5 12 2" xfId="22616"/>
    <cellStyle name="Normal 2 3 3 2 2 2 5 13" xfId="22617"/>
    <cellStyle name="Normal 2 3 3 2 2 2 5 2" xfId="22618"/>
    <cellStyle name="Normal 2 3 3 2 2 2 5 2 10" xfId="22619"/>
    <cellStyle name="Normal 2 3 3 2 2 2 5 2 10 2" xfId="22620"/>
    <cellStyle name="Normal 2 3 3 2 2 2 5 2 11" xfId="22621"/>
    <cellStyle name="Normal 2 3 3 2 2 2 5 2 11 2" xfId="22622"/>
    <cellStyle name="Normal 2 3 3 2 2 2 5 2 12" xfId="22623"/>
    <cellStyle name="Normal 2 3 3 2 2 2 5 2 2" xfId="22624"/>
    <cellStyle name="Normal 2 3 3 2 2 2 5 2 2 10" xfId="22625"/>
    <cellStyle name="Normal 2 3 3 2 2 2 5 2 2 10 2" xfId="22626"/>
    <cellStyle name="Normal 2 3 3 2 2 2 5 2 2 11" xfId="22627"/>
    <cellStyle name="Normal 2 3 3 2 2 2 5 2 2 2" xfId="22628"/>
    <cellStyle name="Normal 2 3 3 2 2 2 5 2 2 2 2" xfId="22629"/>
    <cellStyle name="Normal 2 3 3 2 2 2 5 2 2 3" xfId="22630"/>
    <cellStyle name="Normal 2 3 3 2 2 2 5 2 2 3 2" xfId="22631"/>
    <cellStyle name="Normal 2 3 3 2 2 2 5 2 2 4" xfId="22632"/>
    <cellStyle name="Normal 2 3 3 2 2 2 5 2 2 4 2" xfId="22633"/>
    <cellStyle name="Normal 2 3 3 2 2 2 5 2 2 5" xfId="22634"/>
    <cellStyle name="Normal 2 3 3 2 2 2 5 2 2 5 2" xfId="22635"/>
    <cellStyle name="Normal 2 3 3 2 2 2 5 2 2 6" xfId="22636"/>
    <cellStyle name="Normal 2 3 3 2 2 2 5 2 2 6 2" xfId="22637"/>
    <cellStyle name="Normal 2 3 3 2 2 2 5 2 2 7" xfId="22638"/>
    <cellStyle name="Normal 2 3 3 2 2 2 5 2 2 7 2" xfId="22639"/>
    <cellStyle name="Normal 2 3 3 2 2 2 5 2 2 8" xfId="22640"/>
    <cellStyle name="Normal 2 3 3 2 2 2 5 2 2 8 2" xfId="22641"/>
    <cellStyle name="Normal 2 3 3 2 2 2 5 2 2 9" xfId="22642"/>
    <cellStyle name="Normal 2 3 3 2 2 2 5 2 2 9 2" xfId="22643"/>
    <cellStyle name="Normal 2 3 3 2 2 2 5 2 3" xfId="22644"/>
    <cellStyle name="Normal 2 3 3 2 2 2 5 2 3 2" xfId="22645"/>
    <cellStyle name="Normal 2 3 3 2 2 2 5 2 4" xfId="22646"/>
    <cellStyle name="Normal 2 3 3 2 2 2 5 2 4 2" xfId="22647"/>
    <cellStyle name="Normal 2 3 3 2 2 2 5 2 5" xfId="22648"/>
    <cellStyle name="Normal 2 3 3 2 2 2 5 2 5 2" xfId="22649"/>
    <cellStyle name="Normal 2 3 3 2 2 2 5 2 6" xfId="22650"/>
    <cellStyle name="Normal 2 3 3 2 2 2 5 2 6 2" xfId="22651"/>
    <cellStyle name="Normal 2 3 3 2 2 2 5 2 7" xfId="22652"/>
    <cellStyle name="Normal 2 3 3 2 2 2 5 2 7 2" xfId="22653"/>
    <cellStyle name="Normal 2 3 3 2 2 2 5 2 8" xfId="22654"/>
    <cellStyle name="Normal 2 3 3 2 2 2 5 2 8 2" xfId="22655"/>
    <cellStyle name="Normal 2 3 3 2 2 2 5 2 9" xfId="22656"/>
    <cellStyle name="Normal 2 3 3 2 2 2 5 2 9 2" xfId="22657"/>
    <cellStyle name="Normal 2 3 3 2 2 2 5 3" xfId="22658"/>
    <cellStyle name="Normal 2 3 3 2 2 2 5 3 10" xfId="22659"/>
    <cellStyle name="Normal 2 3 3 2 2 2 5 3 10 2" xfId="22660"/>
    <cellStyle name="Normal 2 3 3 2 2 2 5 3 11" xfId="22661"/>
    <cellStyle name="Normal 2 3 3 2 2 2 5 3 2" xfId="22662"/>
    <cellStyle name="Normal 2 3 3 2 2 2 5 3 2 2" xfId="22663"/>
    <cellStyle name="Normal 2 3 3 2 2 2 5 3 3" xfId="22664"/>
    <cellStyle name="Normal 2 3 3 2 2 2 5 3 3 2" xfId="22665"/>
    <cellStyle name="Normal 2 3 3 2 2 2 5 3 4" xfId="22666"/>
    <cellStyle name="Normal 2 3 3 2 2 2 5 3 4 2" xfId="22667"/>
    <cellStyle name="Normal 2 3 3 2 2 2 5 3 5" xfId="22668"/>
    <cellStyle name="Normal 2 3 3 2 2 2 5 3 5 2" xfId="22669"/>
    <cellStyle name="Normal 2 3 3 2 2 2 5 3 6" xfId="22670"/>
    <cellStyle name="Normal 2 3 3 2 2 2 5 3 6 2" xfId="22671"/>
    <cellStyle name="Normal 2 3 3 2 2 2 5 3 7" xfId="22672"/>
    <cellStyle name="Normal 2 3 3 2 2 2 5 3 7 2" xfId="22673"/>
    <cellStyle name="Normal 2 3 3 2 2 2 5 3 8" xfId="22674"/>
    <cellStyle name="Normal 2 3 3 2 2 2 5 3 8 2" xfId="22675"/>
    <cellStyle name="Normal 2 3 3 2 2 2 5 3 9" xfId="22676"/>
    <cellStyle name="Normal 2 3 3 2 2 2 5 3 9 2" xfId="22677"/>
    <cellStyle name="Normal 2 3 3 2 2 2 5 4" xfId="22678"/>
    <cellStyle name="Normal 2 3 3 2 2 2 5 4 2" xfId="22679"/>
    <cellStyle name="Normal 2 3 3 2 2 2 5 5" xfId="22680"/>
    <cellStyle name="Normal 2 3 3 2 2 2 5 5 2" xfId="22681"/>
    <cellStyle name="Normal 2 3 3 2 2 2 5 6" xfId="22682"/>
    <cellStyle name="Normal 2 3 3 2 2 2 5 6 2" xfId="22683"/>
    <cellStyle name="Normal 2 3 3 2 2 2 5 7" xfId="22684"/>
    <cellStyle name="Normal 2 3 3 2 2 2 5 7 2" xfId="22685"/>
    <cellStyle name="Normal 2 3 3 2 2 2 5 8" xfId="22686"/>
    <cellStyle name="Normal 2 3 3 2 2 2 5 8 2" xfId="22687"/>
    <cellStyle name="Normal 2 3 3 2 2 2 5 9" xfId="22688"/>
    <cellStyle name="Normal 2 3 3 2 2 2 5 9 2" xfId="22689"/>
    <cellStyle name="Normal 2 3 3 2 2 2 6" xfId="622"/>
    <cellStyle name="Normal 2 3 3 2 2 3" xfId="623"/>
    <cellStyle name="Normal 2 3 3 2 2 3 2" xfId="624"/>
    <cellStyle name="Normal 2 3 3 2 2 4" xfId="625"/>
    <cellStyle name="Normal 2 3 3 2 2 4 2" xfId="626"/>
    <cellStyle name="Normal 2 3 3 2 2 5" xfId="627"/>
    <cellStyle name="Normal 2 3 3 2 2 5 2" xfId="628"/>
    <cellStyle name="Normal 2 3 3 2 2 6" xfId="629"/>
    <cellStyle name="Normal 2 3 3 2 2 6 2" xfId="630"/>
    <cellStyle name="Normal 2 3 3 2 2 7" xfId="22690"/>
    <cellStyle name="Normal 2 3 3 2 2 7 10" xfId="22691"/>
    <cellStyle name="Normal 2 3 3 2 2 7 10 2" xfId="22692"/>
    <cellStyle name="Normal 2 3 3 2 2 7 11" xfId="22693"/>
    <cellStyle name="Normal 2 3 3 2 2 7 11 2" xfId="22694"/>
    <cellStyle name="Normal 2 3 3 2 2 7 12" xfId="22695"/>
    <cellStyle name="Normal 2 3 3 2 2 7 2" xfId="22696"/>
    <cellStyle name="Normal 2 3 3 2 2 7 2 10" xfId="22697"/>
    <cellStyle name="Normal 2 3 3 2 2 7 2 10 2" xfId="22698"/>
    <cellStyle name="Normal 2 3 3 2 2 7 2 11" xfId="22699"/>
    <cellStyle name="Normal 2 3 3 2 2 7 2 2" xfId="22700"/>
    <cellStyle name="Normal 2 3 3 2 2 7 2 2 2" xfId="22701"/>
    <cellStyle name="Normal 2 3 3 2 2 7 2 3" xfId="22702"/>
    <cellStyle name="Normal 2 3 3 2 2 7 2 3 2" xfId="22703"/>
    <cellStyle name="Normal 2 3 3 2 2 7 2 4" xfId="22704"/>
    <cellStyle name="Normal 2 3 3 2 2 7 2 4 2" xfId="22705"/>
    <cellStyle name="Normal 2 3 3 2 2 7 2 5" xfId="22706"/>
    <cellStyle name="Normal 2 3 3 2 2 7 2 5 2" xfId="22707"/>
    <cellStyle name="Normal 2 3 3 2 2 7 2 6" xfId="22708"/>
    <cellStyle name="Normal 2 3 3 2 2 7 2 6 2" xfId="22709"/>
    <cellStyle name="Normal 2 3 3 2 2 7 2 7" xfId="22710"/>
    <cellStyle name="Normal 2 3 3 2 2 7 2 7 2" xfId="22711"/>
    <cellStyle name="Normal 2 3 3 2 2 7 2 8" xfId="22712"/>
    <cellStyle name="Normal 2 3 3 2 2 7 2 8 2" xfId="22713"/>
    <cellStyle name="Normal 2 3 3 2 2 7 2 9" xfId="22714"/>
    <cellStyle name="Normal 2 3 3 2 2 7 2 9 2" xfId="22715"/>
    <cellStyle name="Normal 2 3 3 2 2 7 3" xfId="22716"/>
    <cellStyle name="Normal 2 3 3 2 2 7 3 2" xfId="22717"/>
    <cellStyle name="Normal 2 3 3 2 2 7 4" xfId="22718"/>
    <cellStyle name="Normal 2 3 3 2 2 7 4 2" xfId="22719"/>
    <cellStyle name="Normal 2 3 3 2 2 7 5" xfId="22720"/>
    <cellStyle name="Normal 2 3 3 2 2 7 5 2" xfId="22721"/>
    <cellStyle name="Normal 2 3 3 2 2 7 6" xfId="22722"/>
    <cellStyle name="Normal 2 3 3 2 2 7 6 2" xfId="22723"/>
    <cellStyle name="Normal 2 3 3 2 2 7 7" xfId="22724"/>
    <cellStyle name="Normal 2 3 3 2 2 7 7 2" xfId="22725"/>
    <cellStyle name="Normal 2 3 3 2 2 7 8" xfId="22726"/>
    <cellStyle name="Normal 2 3 3 2 2 7 8 2" xfId="22727"/>
    <cellStyle name="Normal 2 3 3 2 2 7 9" xfId="22728"/>
    <cellStyle name="Normal 2 3 3 2 2 7 9 2" xfId="22729"/>
    <cellStyle name="Normal 2 3 3 2 2 8" xfId="22730"/>
    <cellStyle name="Normal 2 3 3 2 2 8 10" xfId="22731"/>
    <cellStyle name="Normal 2 3 3 2 2 8 10 2" xfId="22732"/>
    <cellStyle name="Normal 2 3 3 2 2 8 11" xfId="22733"/>
    <cellStyle name="Normal 2 3 3 2 2 8 2" xfId="22734"/>
    <cellStyle name="Normal 2 3 3 2 2 8 2 2" xfId="22735"/>
    <cellStyle name="Normal 2 3 3 2 2 8 3" xfId="22736"/>
    <cellStyle name="Normal 2 3 3 2 2 8 3 2" xfId="22737"/>
    <cellStyle name="Normal 2 3 3 2 2 8 4" xfId="22738"/>
    <cellStyle name="Normal 2 3 3 2 2 8 4 2" xfId="22739"/>
    <cellStyle name="Normal 2 3 3 2 2 8 5" xfId="22740"/>
    <cellStyle name="Normal 2 3 3 2 2 8 5 2" xfId="22741"/>
    <cellStyle name="Normal 2 3 3 2 2 8 6" xfId="22742"/>
    <cellStyle name="Normal 2 3 3 2 2 8 6 2" xfId="22743"/>
    <cellStyle name="Normal 2 3 3 2 2 8 7" xfId="22744"/>
    <cellStyle name="Normal 2 3 3 2 2 8 7 2" xfId="22745"/>
    <cellStyle name="Normal 2 3 3 2 2 8 8" xfId="22746"/>
    <cellStyle name="Normal 2 3 3 2 2 8 8 2" xfId="22747"/>
    <cellStyle name="Normal 2 3 3 2 2 8 9" xfId="22748"/>
    <cellStyle name="Normal 2 3 3 2 2 8 9 2" xfId="22749"/>
    <cellStyle name="Normal 2 3 3 2 2 9" xfId="22750"/>
    <cellStyle name="Normal 2 3 3 2 2 9 2" xfId="22751"/>
    <cellStyle name="Normal 2 3 3 2 3" xfId="631"/>
    <cellStyle name="Normal 2 3 3 2 3 2" xfId="632"/>
    <cellStyle name="Normal 2 3 3 2 4" xfId="633"/>
    <cellStyle name="Normal 2 3 3 2 4 2" xfId="634"/>
    <cellStyle name="Normal 2 3 3 2 5" xfId="635"/>
    <cellStyle name="Normal 2 3 3 2 5 2" xfId="636"/>
    <cellStyle name="Normal 2 3 3 2 6" xfId="637"/>
    <cellStyle name="Normal 2 3 3 2 6 10" xfId="22752"/>
    <cellStyle name="Normal 2 3 3 2 6 10 2" xfId="22753"/>
    <cellStyle name="Normal 2 3 3 2 6 11" xfId="22754"/>
    <cellStyle name="Normal 2 3 3 2 6 11 2" xfId="22755"/>
    <cellStyle name="Normal 2 3 3 2 6 12" xfId="22756"/>
    <cellStyle name="Normal 2 3 3 2 6 12 2" xfId="22757"/>
    <cellStyle name="Normal 2 3 3 2 6 13" xfId="22758"/>
    <cellStyle name="Normal 2 3 3 2 6 13 2" xfId="22759"/>
    <cellStyle name="Normal 2 3 3 2 6 14" xfId="22760"/>
    <cellStyle name="Normal 2 3 3 2 6 14 2" xfId="22761"/>
    <cellStyle name="Normal 2 3 3 2 6 15" xfId="22762"/>
    <cellStyle name="Normal 2 3 3 2 6 15 2" xfId="22763"/>
    <cellStyle name="Normal 2 3 3 2 6 16" xfId="22764"/>
    <cellStyle name="Normal 2 3 3 2 6 16 2" xfId="22765"/>
    <cellStyle name="Normal 2 3 3 2 6 17" xfId="22766"/>
    <cellStyle name="Normal 2 3 3 2 6 2" xfId="638"/>
    <cellStyle name="Normal 2 3 3 2 6 2 2" xfId="639"/>
    <cellStyle name="Normal 2 3 3 2 6 3" xfId="640"/>
    <cellStyle name="Normal 2 3 3 2 6 3 2" xfId="641"/>
    <cellStyle name="Normal 2 3 3 2 6 4" xfId="642"/>
    <cellStyle name="Normal 2 3 3 2 6 4 2" xfId="643"/>
    <cellStyle name="Normal 2 3 3 2 6 5" xfId="644"/>
    <cellStyle name="Normal 2 3 3 2 6 5 2" xfId="645"/>
    <cellStyle name="Normal 2 3 3 2 6 6" xfId="22767"/>
    <cellStyle name="Normal 2 3 3 2 6 6 10" xfId="22768"/>
    <cellStyle name="Normal 2 3 3 2 6 6 10 2" xfId="22769"/>
    <cellStyle name="Normal 2 3 3 2 6 6 11" xfId="22770"/>
    <cellStyle name="Normal 2 3 3 2 6 6 11 2" xfId="22771"/>
    <cellStyle name="Normal 2 3 3 2 6 6 12" xfId="22772"/>
    <cellStyle name="Normal 2 3 3 2 6 6 2" xfId="22773"/>
    <cellStyle name="Normal 2 3 3 2 6 6 2 10" xfId="22774"/>
    <cellStyle name="Normal 2 3 3 2 6 6 2 10 2" xfId="22775"/>
    <cellStyle name="Normal 2 3 3 2 6 6 2 11" xfId="22776"/>
    <cellStyle name="Normal 2 3 3 2 6 6 2 2" xfId="22777"/>
    <cellStyle name="Normal 2 3 3 2 6 6 2 2 2" xfId="22778"/>
    <cellStyle name="Normal 2 3 3 2 6 6 2 3" xfId="22779"/>
    <cellStyle name="Normal 2 3 3 2 6 6 2 3 2" xfId="22780"/>
    <cellStyle name="Normal 2 3 3 2 6 6 2 4" xfId="22781"/>
    <cellStyle name="Normal 2 3 3 2 6 6 2 4 2" xfId="22782"/>
    <cellStyle name="Normal 2 3 3 2 6 6 2 5" xfId="22783"/>
    <cellStyle name="Normal 2 3 3 2 6 6 2 5 2" xfId="22784"/>
    <cellStyle name="Normal 2 3 3 2 6 6 2 6" xfId="22785"/>
    <cellStyle name="Normal 2 3 3 2 6 6 2 6 2" xfId="22786"/>
    <cellStyle name="Normal 2 3 3 2 6 6 2 7" xfId="22787"/>
    <cellStyle name="Normal 2 3 3 2 6 6 2 7 2" xfId="22788"/>
    <cellStyle name="Normal 2 3 3 2 6 6 2 8" xfId="22789"/>
    <cellStyle name="Normal 2 3 3 2 6 6 2 8 2" xfId="22790"/>
    <cellStyle name="Normal 2 3 3 2 6 6 2 9" xfId="22791"/>
    <cellStyle name="Normal 2 3 3 2 6 6 2 9 2" xfId="22792"/>
    <cellStyle name="Normal 2 3 3 2 6 6 3" xfId="22793"/>
    <cellStyle name="Normal 2 3 3 2 6 6 3 2" xfId="22794"/>
    <cellStyle name="Normal 2 3 3 2 6 6 4" xfId="22795"/>
    <cellStyle name="Normal 2 3 3 2 6 6 4 2" xfId="22796"/>
    <cellStyle name="Normal 2 3 3 2 6 6 5" xfId="22797"/>
    <cellStyle name="Normal 2 3 3 2 6 6 5 2" xfId="22798"/>
    <cellStyle name="Normal 2 3 3 2 6 6 6" xfId="22799"/>
    <cellStyle name="Normal 2 3 3 2 6 6 6 2" xfId="22800"/>
    <cellStyle name="Normal 2 3 3 2 6 6 7" xfId="22801"/>
    <cellStyle name="Normal 2 3 3 2 6 6 7 2" xfId="22802"/>
    <cellStyle name="Normal 2 3 3 2 6 6 8" xfId="22803"/>
    <cellStyle name="Normal 2 3 3 2 6 6 8 2" xfId="22804"/>
    <cellStyle name="Normal 2 3 3 2 6 6 9" xfId="22805"/>
    <cellStyle name="Normal 2 3 3 2 6 6 9 2" xfId="22806"/>
    <cellStyle name="Normal 2 3 3 2 6 7" xfId="22807"/>
    <cellStyle name="Normal 2 3 3 2 6 7 10" xfId="22808"/>
    <cellStyle name="Normal 2 3 3 2 6 7 10 2" xfId="22809"/>
    <cellStyle name="Normal 2 3 3 2 6 7 11" xfId="22810"/>
    <cellStyle name="Normal 2 3 3 2 6 7 2" xfId="22811"/>
    <cellStyle name="Normal 2 3 3 2 6 7 2 2" xfId="22812"/>
    <cellStyle name="Normal 2 3 3 2 6 7 3" xfId="22813"/>
    <cellStyle name="Normal 2 3 3 2 6 7 3 2" xfId="22814"/>
    <cellStyle name="Normal 2 3 3 2 6 7 4" xfId="22815"/>
    <cellStyle name="Normal 2 3 3 2 6 7 4 2" xfId="22816"/>
    <cellStyle name="Normal 2 3 3 2 6 7 5" xfId="22817"/>
    <cellStyle name="Normal 2 3 3 2 6 7 5 2" xfId="22818"/>
    <cellStyle name="Normal 2 3 3 2 6 7 6" xfId="22819"/>
    <cellStyle name="Normal 2 3 3 2 6 7 6 2" xfId="22820"/>
    <cellStyle name="Normal 2 3 3 2 6 7 7" xfId="22821"/>
    <cellStyle name="Normal 2 3 3 2 6 7 7 2" xfId="22822"/>
    <cellStyle name="Normal 2 3 3 2 6 7 8" xfId="22823"/>
    <cellStyle name="Normal 2 3 3 2 6 7 8 2" xfId="22824"/>
    <cellStyle name="Normal 2 3 3 2 6 7 9" xfId="22825"/>
    <cellStyle name="Normal 2 3 3 2 6 7 9 2" xfId="22826"/>
    <cellStyle name="Normal 2 3 3 2 6 8" xfId="22827"/>
    <cellStyle name="Normal 2 3 3 2 6 8 2" xfId="22828"/>
    <cellStyle name="Normal 2 3 3 2 6 9" xfId="22829"/>
    <cellStyle name="Normal 2 3 3 2 6 9 2" xfId="22830"/>
    <cellStyle name="Normal 2 3 3 2 7" xfId="646"/>
    <cellStyle name="Normal 2 3 3 2 7 10" xfId="22831"/>
    <cellStyle name="Normal 2 3 3 2 7 10 2" xfId="22832"/>
    <cellStyle name="Normal 2 3 3 2 7 11" xfId="22833"/>
    <cellStyle name="Normal 2 3 3 2 7 11 2" xfId="22834"/>
    <cellStyle name="Normal 2 3 3 2 7 12" xfId="22835"/>
    <cellStyle name="Normal 2 3 3 2 7 12 2" xfId="22836"/>
    <cellStyle name="Normal 2 3 3 2 7 13" xfId="22837"/>
    <cellStyle name="Normal 2 3 3 2 7 2" xfId="22838"/>
    <cellStyle name="Normal 2 3 3 2 7 2 10" xfId="22839"/>
    <cellStyle name="Normal 2 3 3 2 7 2 10 2" xfId="22840"/>
    <cellStyle name="Normal 2 3 3 2 7 2 11" xfId="22841"/>
    <cellStyle name="Normal 2 3 3 2 7 2 11 2" xfId="22842"/>
    <cellStyle name="Normal 2 3 3 2 7 2 12" xfId="22843"/>
    <cellStyle name="Normal 2 3 3 2 7 2 2" xfId="22844"/>
    <cellStyle name="Normal 2 3 3 2 7 2 2 10" xfId="22845"/>
    <cellStyle name="Normal 2 3 3 2 7 2 2 10 2" xfId="22846"/>
    <cellStyle name="Normal 2 3 3 2 7 2 2 11" xfId="22847"/>
    <cellStyle name="Normal 2 3 3 2 7 2 2 2" xfId="22848"/>
    <cellStyle name="Normal 2 3 3 2 7 2 2 2 2" xfId="22849"/>
    <cellStyle name="Normal 2 3 3 2 7 2 2 3" xfId="22850"/>
    <cellStyle name="Normal 2 3 3 2 7 2 2 3 2" xfId="22851"/>
    <cellStyle name="Normal 2 3 3 2 7 2 2 4" xfId="22852"/>
    <cellStyle name="Normal 2 3 3 2 7 2 2 4 2" xfId="22853"/>
    <cellStyle name="Normal 2 3 3 2 7 2 2 5" xfId="22854"/>
    <cellStyle name="Normal 2 3 3 2 7 2 2 5 2" xfId="22855"/>
    <cellStyle name="Normal 2 3 3 2 7 2 2 6" xfId="22856"/>
    <cellStyle name="Normal 2 3 3 2 7 2 2 6 2" xfId="22857"/>
    <cellStyle name="Normal 2 3 3 2 7 2 2 7" xfId="22858"/>
    <cellStyle name="Normal 2 3 3 2 7 2 2 7 2" xfId="22859"/>
    <cellStyle name="Normal 2 3 3 2 7 2 2 8" xfId="22860"/>
    <cellStyle name="Normal 2 3 3 2 7 2 2 8 2" xfId="22861"/>
    <cellStyle name="Normal 2 3 3 2 7 2 2 9" xfId="22862"/>
    <cellStyle name="Normal 2 3 3 2 7 2 2 9 2" xfId="22863"/>
    <cellStyle name="Normal 2 3 3 2 7 2 3" xfId="22864"/>
    <cellStyle name="Normal 2 3 3 2 7 2 3 2" xfId="22865"/>
    <cellStyle name="Normal 2 3 3 2 7 2 4" xfId="22866"/>
    <cellStyle name="Normal 2 3 3 2 7 2 4 2" xfId="22867"/>
    <cellStyle name="Normal 2 3 3 2 7 2 5" xfId="22868"/>
    <cellStyle name="Normal 2 3 3 2 7 2 5 2" xfId="22869"/>
    <cellStyle name="Normal 2 3 3 2 7 2 6" xfId="22870"/>
    <cellStyle name="Normal 2 3 3 2 7 2 6 2" xfId="22871"/>
    <cellStyle name="Normal 2 3 3 2 7 2 7" xfId="22872"/>
    <cellStyle name="Normal 2 3 3 2 7 2 7 2" xfId="22873"/>
    <cellStyle name="Normal 2 3 3 2 7 2 8" xfId="22874"/>
    <cellStyle name="Normal 2 3 3 2 7 2 8 2" xfId="22875"/>
    <cellStyle name="Normal 2 3 3 2 7 2 9" xfId="22876"/>
    <cellStyle name="Normal 2 3 3 2 7 2 9 2" xfId="22877"/>
    <cellStyle name="Normal 2 3 3 2 7 3" xfId="22878"/>
    <cellStyle name="Normal 2 3 3 2 7 3 10" xfId="22879"/>
    <cellStyle name="Normal 2 3 3 2 7 3 10 2" xfId="22880"/>
    <cellStyle name="Normal 2 3 3 2 7 3 11" xfId="22881"/>
    <cellStyle name="Normal 2 3 3 2 7 3 2" xfId="22882"/>
    <cellStyle name="Normal 2 3 3 2 7 3 2 2" xfId="22883"/>
    <cellStyle name="Normal 2 3 3 2 7 3 3" xfId="22884"/>
    <cellStyle name="Normal 2 3 3 2 7 3 3 2" xfId="22885"/>
    <cellStyle name="Normal 2 3 3 2 7 3 4" xfId="22886"/>
    <cellStyle name="Normal 2 3 3 2 7 3 4 2" xfId="22887"/>
    <cellStyle name="Normal 2 3 3 2 7 3 5" xfId="22888"/>
    <cellStyle name="Normal 2 3 3 2 7 3 5 2" xfId="22889"/>
    <cellStyle name="Normal 2 3 3 2 7 3 6" xfId="22890"/>
    <cellStyle name="Normal 2 3 3 2 7 3 6 2" xfId="22891"/>
    <cellStyle name="Normal 2 3 3 2 7 3 7" xfId="22892"/>
    <cellStyle name="Normal 2 3 3 2 7 3 7 2" xfId="22893"/>
    <cellStyle name="Normal 2 3 3 2 7 3 8" xfId="22894"/>
    <cellStyle name="Normal 2 3 3 2 7 3 8 2" xfId="22895"/>
    <cellStyle name="Normal 2 3 3 2 7 3 9" xfId="22896"/>
    <cellStyle name="Normal 2 3 3 2 7 3 9 2" xfId="22897"/>
    <cellStyle name="Normal 2 3 3 2 7 4" xfId="22898"/>
    <cellStyle name="Normal 2 3 3 2 7 4 2" xfId="22899"/>
    <cellStyle name="Normal 2 3 3 2 7 5" xfId="22900"/>
    <cellStyle name="Normal 2 3 3 2 7 5 2" xfId="22901"/>
    <cellStyle name="Normal 2 3 3 2 7 6" xfId="22902"/>
    <cellStyle name="Normal 2 3 3 2 7 6 2" xfId="22903"/>
    <cellStyle name="Normal 2 3 3 2 7 7" xfId="22904"/>
    <cellStyle name="Normal 2 3 3 2 7 7 2" xfId="22905"/>
    <cellStyle name="Normal 2 3 3 2 7 8" xfId="22906"/>
    <cellStyle name="Normal 2 3 3 2 7 8 2" xfId="22907"/>
    <cellStyle name="Normal 2 3 3 2 7 9" xfId="22908"/>
    <cellStyle name="Normal 2 3 3 2 7 9 2" xfId="22909"/>
    <cellStyle name="Normal 2 3 3 2 8" xfId="647"/>
    <cellStyle name="Normal 2 3 3 2 8 10" xfId="22910"/>
    <cellStyle name="Normal 2 3 3 2 8 10 2" xfId="22911"/>
    <cellStyle name="Normal 2 3 3 2 8 11" xfId="22912"/>
    <cellStyle name="Normal 2 3 3 2 8 11 2" xfId="22913"/>
    <cellStyle name="Normal 2 3 3 2 8 12" xfId="22914"/>
    <cellStyle name="Normal 2 3 3 2 8 12 2" xfId="22915"/>
    <cellStyle name="Normal 2 3 3 2 8 13" xfId="22916"/>
    <cellStyle name="Normal 2 3 3 2 8 2" xfId="22917"/>
    <cellStyle name="Normal 2 3 3 2 8 2 10" xfId="22918"/>
    <cellStyle name="Normal 2 3 3 2 8 2 10 2" xfId="22919"/>
    <cellStyle name="Normal 2 3 3 2 8 2 11" xfId="22920"/>
    <cellStyle name="Normal 2 3 3 2 8 2 11 2" xfId="22921"/>
    <cellStyle name="Normal 2 3 3 2 8 2 12" xfId="22922"/>
    <cellStyle name="Normal 2 3 3 2 8 2 2" xfId="22923"/>
    <cellStyle name="Normal 2 3 3 2 8 2 2 10" xfId="22924"/>
    <cellStyle name="Normal 2 3 3 2 8 2 2 10 2" xfId="22925"/>
    <cellStyle name="Normal 2 3 3 2 8 2 2 11" xfId="22926"/>
    <cellStyle name="Normal 2 3 3 2 8 2 2 2" xfId="22927"/>
    <cellStyle name="Normal 2 3 3 2 8 2 2 2 2" xfId="22928"/>
    <cellStyle name="Normal 2 3 3 2 8 2 2 3" xfId="22929"/>
    <cellStyle name="Normal 2 3 3 2 8 2 2 3 2" xfId="22930"/>
    <cellStyle name="Normal 2 3 3 2 8 2 2 4" xfId="22931"/>
    <cellStyle name="Normal 2 3 3 2 8 2 2 4 2" xfId="22932"/>
    <cellStyle name="Normal 2 3 3 2 8 2 2 5" xfId="22933"/>
    <cellStyle name="Normal 2 3 3 2 8 2 2 5 2" xfId="22934"/>
    <cellStyle name="Normal 2 3 3 2 8 2 2 6" xfId="22935"/>
    <cellStyle name="Normal 2 3 3 2 8 2 2 6 2" xfId="22936"/>
    <cellStyle name="Normal 2 3 3 2 8 2 2 7" xfId="22937"/>
    <cellStyle name="Normal 2 3 3 2 8 2 2 7 2" xfId="22938"/>
    <cellStyle name="Normal 2 3 3 2 8 2 2 8" xfId="22939"/>
    <cellStyle name="Normal 2 3 3 2 8 2 2 8 2" xfId="22940"/>
    <cellStyle name="Normal 2 3 3 2 8 2 2 9" xfId="22941"/>
    <cellStyle name="Normal 2 3 3 2 8 2 2 9 2" xfId="22942"/>
    <cellStyle name="Normal 2 3 3 2 8 2 3" xfId="22943"/>
    <cellStyle name="Normal 2 3 3 2 8 2 3 2" xfId="22944"/>
    <cellStyle name="Normal 2 3 3 2 8 2 4" xfId="22945"/>
    <cellStyle name="Normal 2 3 3 2 8 2 4 2" xfId="22946"/>
    <cellStyle name="Normal 2 3 3 2 8 2 5" xfId="22947"/>
    <cellStyle name="Normal 2 3 3 2 8 2 5 2" xfId="22948"/>
    <cellStyle name="Normal 2 3 3 2 8 2 6" xfId="22949"/>
    <cellStyle name="Normal 2 3 3 2 8 2 6 2" xfId="22950"/>
    <cellStyle name="Normal 2 3 3 2 8 2 7" xfId="22951"/>
    <cellStyle name="Normal 2 3 3 2 8 2 7 2" xfId="22952"/>
    <cellStyle name="Normal 2 3 3 2 8 2 8" xfId="22953"/>
    <cellStyle name="Normal 2 3 3 2 8 2 8 2" xfId="22954"/>
    <cellStyle name="Normal 2 3 3 2 8 2 9" xfId="22955"/>
    <cellStyle name="Normal 2 3 3 2 8 2 9 2" xfId="22956"/>
    <cellStyle name="Normal 2 3 3 2 8 3" xfId="22957"/>
    <cellStyle name="Normal 2 3 3 2 8 3 10" xfId="22958"/>
    <cellStyle name="Normal 2 3 3 2 8 3 10 2" xfId="22959"/>
    <cellStyle name="Normal 2 3 3 2 8 3 11" xfId="22960"/>
    <cellStyle name="Normal 2 3 3 2 8 3 2" xfId="22961"/>
    <cellStyle name="Normal 2 3 3 2 8 3 2 2" xfId="22962"/>
    <cellStyle name="Normal 2 3 3 2 8 3 3" xfId="22963"/>
    <cellStyle name="Normal 2 3 3 2 8 3 3 2" xfId="22964"/>
    <cellStyle name="Normal 2 3 3 2 8 3 4" xfId="22965"/>
    <cellStyle name="Normal 2 3 3 2 8 3 4 2" xfId="22966"/>
    <cellStyle name="Normal 2 3 3 2 8 3 5" xfId="22967"/>
    <cellStyle name="Normal 2 3 3 2 8 3 5 2" xfId="22968"/>
    <cellStyle name="Normal 2 3 3 2 8 3 6" xfId="22969"/>
    <cellStyle name="Normal 2 3 3 2 8 3 6 2" xfId="22970"/>
    <cellStyle name="Normal 2 3 3 2 8 3 7" xfId="22971"/>
    <cellStyle name="Normal 2 3 3 2 8 3 7 2" xfId="22972"/>
    <cellStyle name="Normal 2 3 3 2 8 3 8" xfId="22973"/>
    <cellStyle name="Normal 2 3 3 2 8 3 8 2" xfId="22974"/>
    <cellStyle name="Normal 2 3 3 2 8 3 9" xfId="22975"/>
    <cellStyle name="Normal 2 3 3 2 8 3 9 2" xfId="22976"/>
    <cellStyle name="Normal 2 3 3 2 8 4" xfId="22977"/>
    <cellStyle name="Normal 2 3 3 2 8 4 2" xfId="22978"/>
    <cellStyle name="Normal 2 3 3 2 8 5" xfId="22979"/>
    <cellStyle name="Normal 2 3 3 2 8 5 2" xfId="22980"/>
    <cellStyle name="Normal 2 3 3 2 8 6" xfId="22981"/>
    <cellStyle name="Normal 2 3 3 2 8 6 2" xfId="22982"/>
    <cellStyle name="Normal 2 3 3 2 8 7" xfId="22983"/>
    <cellStyle name="Normal 2 3 3 2 8 7 2" xfId="22984"/>
    <cellStyle name="Normal 2 3 3 2 8 8" xfId="22985"/>
    <cellStyle name="Normal 2 3 3 2 8 8 2" xfId="22986"/>
    <cellStyle name="Normal 2 3 3 2 8 9" xfId="22987"/>
    <cellStyle name="Normal 2 3 3 2 8 9 2" xfId="22988"/>
    <cellStyle name="Normal 2 3 3 2 9" xfId="648"/>
    <cellStyle name="Normal 2 3 3 2 9 10" xfId="22989"/>
    <cellStyle name="Normal 2 3 3 2 9 10 2" xfId="22990"/>
    <cellStyle name="Normal 2 3 3 2 9 11" xfId="22991"/>
    <cellStyle name="Normal 2 3 3 2 9 11 2" xfId="22992"/>
    <cellStyle name="Normal 2 3 3 2 9 12" xfId="22993"/>
    <cellStyle name="Normal 2 3 3 2 9 12 2" xfId="22994"/>
    <cellStyle name="Normal 2 3 3 2 9 13" xfId="22995"/>
    <cellStyle name="Normal 2 3 3 2 9 2" xfId="22996"/>
    <cellStyle name="Normal 2 3 3 2 9 2 10" xfId="22997"/>
    <cellStyle name="Normal 2 3 3 2 9 2 10 2" xfId="22998"/>
    <cellStyle name="Normal 2 3 3 2 9 2 11" xfId="22999"/>
    <cellStyle name="Normal 2 3 3 2 9 2 11 2" xfId="23000"/>
    <cellStyle name="Normal 2 3 3 2 9 2 12" xfId="23001"/>
    <cellStyle name="Normal 2 3 3 2 9 2 2" xfId="23002"/>
    <cellStyle name="Normal 2 3 3 2 9 2 2 10" xfId="23003"/>
    <cellStyle name="Normal 2 3 3 2 9 2 2 10 2" xfId="23004"/>
    <cellStyle name="Normal 2 3 3 2 9 2 2 11" xfId="23005"/>
    <cellStyle name="Normal 2 3 3 2 9 2 2 2" xfId="23006"/>
    <cellStyle name="Normal 2 3 3 2 9 2 2 2 2" xfId="23007"/>
    <cellStyle name="Normal 2 3 3 2 9 2 2 3" xfId="23008"/>
    <cellStyle name="Normal 2 3 3 2 9 2 2 3 2" xfId="23009"/>
    <cellStyle name="Normal 2 3 3 2 9 2 2 4" xfId="23010"/>
    <cellStyle name="Normal 2 3 3 2 9 2 2 4 2" xfId="23011"/>
    <cellStyle name="Normal 2 3 3 2 9 2 2 5" xfId="23012"/>
    <cellStyle name="Normal 2 3 3 2 9 2 2 5 2" xfId="23013"/>
    <cellStyle name="Normal 2 3 3 2 9 2 2 6" xfId="23014"/>
    <cellStyle name="Normal 2 3 3 2 9 2 2 6 2" xfId="23015"/>
    <cellStyle name="Normal 2 3 3 2 9 2 2 7" xfId="23016"/>
    <cellStyle name="Normal 2 3 3 2 9 2 2 7 2" xfId="23017"/>
    <cellStyle name="Normal 2 3 3 2 9 2 2 8" xfId="23018"/>
    <cellStyle name="Normal 2 3 3 2 9 2 2 8 2" xfId="23019"/>
    <cellStyle name="Normal 2 3 3 2 9 2 2 9" xfId="23020"/>
    <cellStyle name="Normal 2 3 3 2 9 2 2 9 2" xfId="23021"/>
    <cellStyle name="Normal 2 3 3 2 9 2 3" xfId="23022"/>
    <cellStyle name="Normal 2 3 3 2 9 2 3 2" xfId="23023"/>
    <cellStyle name="Normal 2 3 3 2 9 2 4" xfId="23024"/>
    <cellStyle name="Normal 2 3 3 2 9 2 4 2" xfId="23025"/>
    <cellStyle name="Normal 2 3 3 2 9 2 5" xfId="23026"/>
    <cellStyle name="Normal 2 3 3 2 9 2 5 2" xfId="23027"/>
    <cellStyle name="Normal 2 3 3 2 9 2 6" xfId="23028"/>
    <cellStyle name="Normal 2 3 3 2 9 2 6 2" xfId="23029"/>
    <cellStyle name="Normal 2 3 3 2 9 2 7" xfId="23030"/>
    <cellStyle name="Normal 2 3 3 2 9 2 7 2" xfId="23031"/>
    <cellStyle name="Normal 2 3 3 2 9 2 8" xfId="23032"/>
    <cellStyle name="Normal 2 3 3 2 9 2 8 2" xfId="23033"/>
    <cellStyle name="Normal 2 3 3 2 9 2 9" xfId="23034"/>
    <cellStyle name="Normal 2 3 3 2 9 2 9 2" xfId="23035"/>
    <cellStyle name="Normal 2 3 3 2 9 3" xfId="23036"/>
    <cellStyle name="Normal 2 3 3 2 9 3 10" xfId="23037"/>
    <cellStyle name="Normal 2 3 3 2 9 3 10 2" xfId="23038"/>
    <cellStyle name="Normal 2 3 3 2 9 3 11" xfId="23039"/>
    <cellStyle name="Normal 2 3 3 2 9 3 2" xfId="23040"/>
    <cellStyle name="Normal 2 3 3 2 9 3 2 2" xfId="23041"/>
    <cellStyle name="Normal 2 3 3 2 9 3 3" xfId="23042"/>
    <cellStyle name="Normal 2 3 3 2 9 3 3 2" xfId="23043"/>
    <cellStyle name="Normal 2 3 3 2 9 3 4" xfId="23044"/>
    <cellStyle name="Normal 2 3 3 2 9 3 4 2" xfId="23045"/>
    <cellStyle name="Normal 2 3 3 2 9 3 5" xfId="23046"/>
    <cellStyle name="Normal 2 3 3 2 9 3 5 2" xfId="23047"/>
    <cellStyle name="Normal 2 3 3 2 9 3 6" xfId="23048"/>
    <cellStyle name="Normal 2 3 3 2 9 3 6 2" xfId="23049"/>
    <cellStyle name="Normal 2 3 3 2 9 3 7" xfId="23050"/>
    <cellStyle name="Normal 2 3 3 2 9 3 7 2" xfId="23051"/>
    <cellStyle name="Normal 2 3 3 2 9 3 8" xfId="23052"/>
    <cellStyle name="Normal 2 3 3 2 9 3 8 2" xfId="23053"/>
    <cellStyle name="Normal 2 3 3 2 9 3 9" xfId="23054"/>
    <cellStyle name="Normal 2 3 3 2 9 3 9 2" xfId="23055"/>
    <cellStyle name="Normal 2 3 3 2 9 4" xfId="23056"/>
    <cellStyle name="Normal 2 3 3 2 9 4 2" xfId="23057"/>
    <cellStyle name="Normal 2 3 3 2 9 5" xfId="23058"/>
    <cellStyle name="Normal 2 3 3 2 9 5 2" xfId="23059"/>
    <cellStyle name="Normal 2 3 3 2 9 6" xfId="23060"/>
    <cellStyle name="Normal 2 3 3 2 9 6 2" xfId="23061"/>
    <cellStyle name="Normal 2 3 3 2 9 7" xfId="23062"/>
    <cellStyle name="Normal 2 3 3 2 9 7 2" xfId="23063"/>
    <cellStyle name="Normal 2 3 3 2 9 8" xfId="23064"/>
    <cellStyle name="Normal 2 3 3 2 9 8 2" xfId="23065"/>
    <cellStyle name="Normal 2 3 3 2 9 9" xfId="23066"/>
    <cellStyle name="Normal 2 3 3 2 9 9 2" xfId="23067"/>
    <cellStyle name="Normal 2 3 3 3" xfId="649"/>
    <cellStyle name="Normal 2 3 3 3 2" xfId="650"/>
    <cellStyle name="Normal 2 3 3 3 2 10" xfId="23068"/>
    <cellStyle name="Normal 2 3 3 3 2 10 2" xfId="23069"/>
    <cellStyle name="Normal 2 3 3 3 2 11" xfId="23070"/>
    <cellStyle name="Normal 2 3 3 3 2 11 2" xfId="23071"/>
    <cellStyle name="Normal 2 3 3 3 2 12" xfId="23072"/>
    <cellStyle name="Normal 2 3 3 3 2 12 2" xfId="23073"/>
    <cellStyle name="Normal 2 3 3 3 2 13" xfId="23074"/>
    <cellStyle name="Normal 2 3 3 3 2 13 2" xfId="23075"/>
    <cellStyle name="Normal 2 3 3 3 2 14" xfId="23076"/>
    <cellStyle name="Normal 2 3 3 3 2 14 2" xfId="23077"/>
    <cellStyle name="Normal 2 3 3 3 2 15" xfId="23078"/>
    <cellStyle name="Normal 2 3 3 3 2 15 2" xfId="23079"/>
    <cellStyle name="Normal 2 3 3 3 2 16" xfId="23080"/>
    <cellStyle name="Normal 2 3 3 3 2 16 2" xfId="23081"/>
    <cellStyle name="Normal 2 3 3 3 2 17" xfId="23082"/>
    <cellStyle name="Normal 2 3 3 3 2 2" xfId="651"/>
    <cellStyle name="Normal 2 3 3 3 2 2 2" xfId="652"/>
    <cellStyle name="Normal 2 3 3 3 2 2 2 10" xfId="23083"/>
    <cellStyle name="Normal 2 3 3 3 2 2 2 10 2" xfId="23084"/>
    <cellStyle name="Normal 2 3 3 3 2 2 2 11" xfId="23085"/>
    <cellStyle name="Normal 2 3 3 3 2 2 2 11 2" xfId="23086"/>
    <cellStyle name="Normal 2 3 3 3 2 2 2 12" xfId="23087"/>
    <cellStyle name="Normal 2 3 3 3 2 2 2 12 2" xfId="23088"/>
    <cellStyle name="Normal 2 3 3 3 2 2 2 13" xfId="23089"/>
    <cellStyle name="Normal 2 3 3 3 2 2 2 2" xfId="23090"/>
    <cellStyle name="Normal 2 3 3 3 2 2 2 2 10" xfId="23091"/>
    <cellStyle name="Normal 2 3 3 3 2 2 2 2 10 2" xfId="23092"/>
    <cellStyle name="Normal 2 3 3 3 2 2 2 2 11" xfId="23093"/>
    <cellStyle name="Normal 2 3 3 3 2 2 2 2 11 2" xfId="23094"/>
    <cellStyle name="Normal 2 3 3 3 2 2 2 2 12" xfId="23095"/>
    <cellStyle name="Normal 2 3 3 3 2 2 2 2 2" xfId="23096"/>
    <cellStyle name="Normal 2 3 3 3 2 2 2 2 2 10" xfId="23097"/>
    <cellStyle name="Normal 2 3 3 3 2 2 2 2 2 10 2" xfId="23098"/>
    <cellStyle name="Normal 2 3 3 3 2 2 2 2 2 11" xfId="23099"/>
    <cellStyle name="Normal 2 3 3 3 2 2 2 2 2 2" xfId="23100"/>
    <cellStyle name="Normal 2 3 3 3 2 2 2 2 2 2 2" xfId="23101"/>
    <cellStyle name="Normal 2 3 3 3 2 2 2 2 2 3" xfId="23102"/>
    <cellStyle name="Normal 2 3 3 3 2 2 2 2 2 3 2" xfId="23103"/>
    <cellStyle name="Normal 2 3 3 3 2 2 2 2 2 4" xfId="23104"/>
    <cellStyle name="Normal 2 3 3 3 2 2 2 2 2 4 2" xfId="23105"/>
    <cellStyle name="Normal 2 3 3 3 2 2 2 2 2 5" xfId="23106"/>
    <cellStyle name="Normal 2 3 3 3 2 2 2 2 2 5 2" xfId="23107"/>
    <cellStyle name="Normal 2 3 3 3 2 2 2 2 2 6" xfId="23108"/>
    <cellStyle name="Normal 2 3 3 3 2 2 2 2 2 6 2" xfId="23109"/>
    <cellStyle name="Normal 2 3 3 3 2 2 2 2 2 7" xfId="23110"/>
    <cellStyle name="Normal 2 3 3 3 2 2 2 2 2 7 2" xfId="23111"/>
    <cellStyle name="Normal 2 3 3 3 2 2 2 2 2 8" xfId="23112"/>
    <cellStyle name="Normal 2 3 3 3 2 2 2 2 2 8 2" xfId="23113"/>
    <cellStyle name="Normal 2 3 3 3 2 2 2 2 2 9" xfId="23114"/>
    <cellStyle name="Normal 2 3 3 3 2 2 2 2 2 9 2" xfId="23115"/>
    <cellStyle name="Normal 2 3 3 3 2 2 2 2 3" xfId="23116"/>
    <cellStyle name="Normal 2 3 3 3 2 2 2 2 3 2" xfId="23117"/>
    <cellStyle name="Normal 2 3 3 3 2 2 2 2 4" xfId="23118"/>
    <cellStyle name="Normal 2 3 3 3 2 2 2 2 4 2" xfId="23119"/>
    <cellStyle name="Normal 2 3 3 3 2 2 2 2 5" xfId="23120"/>
    <cellStyle name="Normal 2 3 3 3 2 2 2 2 5 2" xfId="23121"/>
    <cellStyle name="Normal 2 3 3 3 2 2 2 2 6" xfId="23122"/>
    <cellStyle name="Normal 2 3 3 3 2 2 2 2 6 2" xfId="23123"/>
    <cellStyle name="Normal 2 3 3 3 2 2 2 2 7" xfId="23124"/>
    <cellStyle name="Normal 2 3 3 3 2 2 2 2 7 2" xfId="23125"/>
    <cellStyle name="Normal 2 3 3 3 2 2 2 2 8" xfId="23126"/>
    <cellStyle name="Normal 2 3 3 3 2 2 2 2 8 2" xfId="23127"/>
    <cellStyle name="Normal 2 3 3 3 2 2 2 2 9" xfId="23128"/>
    <cellStyle name="Normal 2 3 3 3 2 2 2 2 9 2" xfId="23129"/>
    <cellStyle name="Normal 2 3 3 3 2 2 2 3" xfId="23130"/>
    <cellStyle name="Normal 2 3 3 3 2 2 2 3 10" xfId="23131"/>
    <cellStyle name="Normal 2 3 3 3 2 2 2 3 10 2" xfId="23132"/>
    <cellStyle name="Normal 2 3 3 3 2 2 2 3 11" xfId="23133"/>
    <cellStyle name="Normal 2 3 3 3 2 2 2 3 2" xfId="23134"/>
    <cellStyle name="Normal 2 3 3 3 2 2 2 3 2 2" xfId="23135"/>
    <cellStyle name="Normal 2 3 3 3 2 2 2 3 3" xfId="23136"/>
    <cellStyle name="Normal 2 3 3 3 2 2 2 3 3 2" xfId="23137"/>
    <cellStyle name="Normal 2 3 3 3 2 2 2 3 4" xfId="23138"/>
    <cellStyle name="Normal 2 3 3 3 2 2 2 3 4 2" xfId="23139"/>
    <cellStyle name="Normal 2 3 3 3 2 2 2 3 5" xfId="23140"/>
    <cellStyle name="Normal 2 3 3 3 2 2 2 3 5 2" xfId="23141"/>
    <cellStyle name="Normal 2 3 3 3 2 2 2 3 6" xfId="23142"/>
    <cellStyle name="Normal 2 3 3 3 2 2 2 3 6 2" xfId="23143"/>
    <cellStyle name="Normal 2 3 3 3 2 2 2 3 7" xfId="23144"/>
    <cellStyle name="Normal 2 3 3 3 2 2 2 3 7 2" xfId="23145"/>
    <cellStyle name="Normal 2 3 3 3 2 2 2 3 8" xfId="23146"/>
    <cellStyle name="Normal 2 3 3 3 2 2 2 3 8 2" xfId="23147"/>
    <cellStyle name="Normal 2 3 3 3 2 2 2 3 9" xfId="23148"/>
    <cellStyle name="Normal 2 3 3 3 2 2 2 3 9 2" xfId="23149"/>
    <cellStyle name="Normal 2 3 3 3 2 2 2 4" xfId="23150"/>
    <cellStyle name="Normal 2 3 3 3 2 2 2 4 2" xfId="23151"/>
    <cellStyle name="Normal 2 3 3 3 2 2 2 5" xfId="23152"/>
    <cellStyle name="Normal 2 3 3 3 2 2 2 5 2" xfId="23153"/>
    <cellStyle name="Normal 2 3 3 3 2 2 2 6" xfId="23154"/>
    <cellStyle name="Normal 2 3 3 3 2 2 2 6 2" xfId="23155"/>
    <cellStyle name="Normal 2 3 3 3 2 2 2 7" xfId="23156"/>
    <cellStyle name="Normal 2 3 3 3 2 2 2 7 2" xfId="23157"/>
    <cellStyle name="Normal 2 3 3 3 2 2 2 8" xfId="23158"/>
    <cellStyle name="Normal 2 3 3 3 2 2 2 8 2" xfId="23159"/>
    <cellStyle name="Normal 2 3 3 3 2 2 2 9" xfId="23160"/>
    <cellStyle name="Normal 2 3 3 3 2 2 2 9 2" xfId="23161"/>
    <cellStyle name="Normal 2 3 3 3 2 2 3" xfId="653"/>
    <cellStyle name="Normal 2 3 3 3 2 2 3 10" xfId="23162"/>
    <cellStyle name="Normal 2 3 3 3 2 2 3 10 2" xfId="23163"/>
    <cellStyle name="Normal 2 3 3 3 2 2 3 11" xfId="23164"/>
    <cellStyle name="Normal 2 3 3 3 2 2 3 11 2" xfId="23165"/>
    <cellStyle name="Normal 2 3 3 3 2 2 3 12" xfId="23166"/>
    <cellStyle name="Normal 2 3 3 3 2 2 3 12 2" xfId="23167"/>
    <cellStyle name="Normal 2 3 3 3 2 2 3 13" xfId="23168"/>
    <cellStyle name="Normal 2 3 3 3 2 2 3 2" xfId="23169"/>
    <cellStyle name="Normal 2 3 3 3 2 2 3 2 10" xfId="23170"/>
    <cellStyle name="Normal 2 3 3 3 2 2 3 2 10 2" xfId="23171"/>
    <cellStyle name="Normal 2 3 3 3 2 2 3 2 11" xfId="23172"/>
    <cellStyle name="Normal 2 3 3 3 2 2 3 2 11 2" xfId="23173"/>
    <cellStyle name="Normal 2 3 3 3 2 2 3 2 12" xfId="23174"/>
    <cellStyle name="Normal 2 3 3 3 2 2 3 2 2" xfId="23175"/>
    <cellStyle name="Normal 2 3 3 3 2 2 3 2 2 10" xfId="23176"/>
    <cellStyle name="Normal 2 3 3 3 2 2 3 2 2 10 2" xfId="23177"/>
    <cellStyle name="Normal 2 3 3 3 2 2 3 2 2 11" xfId="23178"/>
    <cellStyle name="Normal 2 3 3 3 2 2 3 2 2 2" xfId="23179"/>
    <cellStyle name="Normal 2 3 3 3 2 2 3 2 2 2 2" xfId="23180"/>
    <cellStyle name="Normal 2 3 3 3 2 2 3 2 2 3" xfId="23181"/>
    <cellStyle name="Normal 2 3 3 3 2 2 3 2 2 3 2" xfId="23182"/>
    <cellStyle name="Normal 2 3 3 3 2 2 3 2 2 4" xfId="23183"/>
    <cellStyle name="Normal 2 3 3 3 2 2 3 2 2 4 2" xfId="23184"/>
    <cellStyle name="Normal 2 3 3 3 2 2 3 2 2 5" xfId="23185"/>
    <cellStyle name="Normal 2 3 3 3 2 2 3 2 2 5 2" xfId="23186"/>
    <cellStyle name="Normal 2 3 3 3 2 2 3 2 2 6" xfId="23187"/>
    <cellStyle name="Normal 2 3 3 3 2 2 3 2 2 6 2" xfId="23188"/>
    <cellStyle name="Normal 2 3 3 3 2 2 3 2 2 7" xfId="23189"/>
    <cellStyle name="Normal 2 3 3 3 2 2 3 2 2 7 2" xfId="23190"/>
    <cellStyle name="Normal 2 3 3 3 2 2 3 2 2 8" xfId="23191"/>
    <cellStyle name="Normal 2 3 3 3 2 2 3 2 2 8 2" xfId="23192"/>
    <cellStyle name="Normal 2 3 3 3 2 2 3 2 2 9" xfId="23193"/>
    <cellStyle name="Normal 2 3 3 3 2 2 3 2 2 9 2" xfId="23194"/>
    <cellStyle name="Normal 2 3 3 3 2 2 3 2 3" xfId="23195"/>
    <cellStyle name="Normal 2 3 3 3 2 2 3 2 3 2" xfId="23196"/>
    <cellStyle name="Normal 2 3 3 3 2 2 3 2 4" xfId="23197"/>
    <cellStyle name="Normal 2 3 3 3 2 2 3 2 4 2" xfId="23198"/>
    <cellStyle name="Normal 2 3 3 3 2 2 3 2 5" xfId="23199"/>
    <cellStyle name="Normal 2 3 3 3 2 2 3 2 5 2" xfId="23200"/>
    <cellStyle name="Normal 2 3 3 3 2 2 3 2 6" xfId="23201"/>
    <cellStyle name="Normal 2 3 3 3 2 2 3 2 6 2" xfId="23202"/>
    <cellStyle name="Normal 2 3 3 3 2 2 3 2 7" xfId="23203"/>
    <cellStyle name="Normal 2 3 3 3 2 2 3 2 7 2" xfId="23204"/>
    <cellStyle name="Normal 2 3 3 3 2 2 3 2 8" xfId="23205"/>
    <cellStyle name="Normal 2 3 3 3 2 2 3 2 8 2" xfId="23206"/>
    <cellStyle name="Normal 2 3 3 3 2 2 3 2 9" xfId="23207"/>
    <cellStyle name="Normal 2 3 3 3 2 2 3 2 9 2" xfId="23208"/>
    <cellStyle name="Normal 2 3 3 3 2 2 3 3" xfId="23209"/>
    <cellStyle name="Normal 2 3 3 3 2 2 3 3 10" xfId="23210"/>
    <cellStyle name="Normal 2 3 3 3 2 2 3 3 10 2" xfId="23211"/>
    <cellStyle name="Normal 2 3 3 3 2 2 3 3 11" xfId="23212"/>
    <cellStyle name="Normal 2 3 3 3 2 2 3 3 2" xfId="23213"/>
    <cellStyle name="Normal 2 3 3 3 2 2 3 3 2 2" xfId="23214"/>
    <cellStyle name="Normal 2 3 3 3 2 2 3 3 3" xfId="23215"/>
    <cellStyle name="Normal 2 3 3 3 2 2 3 3 3 2" xfId="23216"/>
    <cellStyle name="Normal 2 3 3 3 2 2 3 3 4" xfId="23217"/>
    <cellStyle name="Normal 2 3 3 3 2 2 3 3 4 2" xfId="23218"/>
    <cellStyle name="Normal 2 3 3 3 2 2 3 3 5" xfId="23219"/>
    <cellStyle name="Normal 2 3 3 3 2 2 3 3 5 2" xfId="23220"/>
    <cellStyle name="Normal 2 3 3 3 2 2 3 3 6" xfId="23221"/>
    <cellStyle name="Normal 2 3 3 3 2 2 3 3 6 2" xfId="23222"/>
    <cellStyle name="Normal 2 3 3 3 2 2 3 3 7" xfId="23223"/>
    <cellStyle name="Normal 2 3 3 3 2 2 3 3 7 2" xfId="23224"/>
    <cellStyle name="Normal 2 3 3 3 2 2 3 3 8" xfId="23225"/>
    <cellStyle name="Normal 2 3 3 3 2 2 3 3 8 2" xfId="23226"/>
    <cellStyle name="Normal 2 3 3 3 2 2 3 3 9" xfId="23227"/>
    <cellStyle name="Normal 2 3 3 3 2 2 3 3 9 2" xfId="23228"/>
    <cellStyle name="Normal 2 3 3 3 2 2 3 4" xfId="23229"/>
    <cellStyle name="Normal 2 3 3 3 2 2 3 4 2" xfId="23230"/>
    <cellStyle name="Normal 2 3 3 3 2 2 3 5" xfId="23231"/>
    <cellStyle name="Normal 2 3 3 3 2 2 3 5 2" xfId="23232"/>
    <cellStyle name="Normal 2 3 3 3 2 2 3 6" xfId="23233"/>
    <cellStyle name="Normal 2 3 3 3 2 2 3 6 2" xfId="23234"/>
    <cellStyle name="Normal 2 3 3 3 2 2 3 7" xfId="23235"/>
    <cellStyle name="Normal 2 3 3 3 2 2 3 7 2" xfId="23236"/>
    <cellStyle name="Normal 2 3 3 3 2 2 3 8" xfId="23237"/>
    <cellStyle name="Normal 2 3 3 3 2 2 3 8 2" xfId="23238"/>
    <cellStyle name="Normal 2 3 3 3 2 2 3 9" xfId="23239"/>
    <cellStyle name="Normal 2 3 3 3 2 2 3 9 2" xfId="23240"/>
    <cellStyle name="Normal 2 3 3 3 2 2 4" xfId="654"/>
    <cellStyle name="Normal 2 3 3 3 2 2 4 10" xfId="23241"/>
    <cellStyle name="Normal 2 3 3 3 2 2 4 10 2" xfId="23242"/>
    <cellStyle name="Normal 2 3 3 3 2 2 4 11" xfId="23243"/>
    <cellStyle name="Normal 2 3 3 3 2 2 4 11 2" xfId="23244"/>
    <cellStyle name="Normal 2 3 3 3 2 2 4 12" xfId="23245"/>
    <cellStyle name="Normal 2 3 3 3 2 2 4 12 2" xfId="23246"/>
    <cellStyle name="Normal 2 3 3 3 2 2 4 13" xfId="23247"/>
    <cellStyle name="Normal 2 3 3 3 2 2 4 2" xfId="23248"/>
    <cellStyle name="Normal 2 3 3 3 2 2 4 2 10" xfId="23249"/>
    <cellStyle name="Normal 2 3 3 3 2 2 4 2 10 2" xfId="23250"/>
    <cellStyle name="Normal 2 3 3 3 2 2 4 2 11" xfId="23251"/>
    <cellStyle name="Normal 2 3 3 3 2 2 4 2 11 2" xfId="23252"/>
    <cellStyle name="Normal 2 3 3 3 2 2 4 2 12" xfId="23253"/>
    <cellStyle name="Normal 2 3 3 3 2 2 4 2 2" xfId="23254"/>
    <cellStyle name="Normal 2 3 3 3 2 2 4 2 2 10" xfId="23255"/>
    <cellStyle name="Normal 2 3 3 3 2 2 4 2 2 10 2" xfId="23256"/>
    <cellStyle name="Normal 2 3 3 3 2 2 4 2 2 11" xfId="23257"/>
    <cellStyle name="Normal 2 3 3 3 2 2 4 2 2 2" xfId="23258"/>
    <cellStyle name="Normal 2 3 3 3 2 2 4 2 2 2 2" xfId="23259"/>
    <cellStyle name="Normal 2 3 3 3 2 2 4 2 2 3" xfId="23260"/>
    <cellStyle name="Normal 2 3 3 3 2 2 4 2 2 3 2" xfId="23261"/>
    <cellStyle name="Normal 2 3 3 3 2 2 4 2 2 4" xfId="23262"/>
    <cellStyle name="Normal 2 3 3 3 2 2 4 2 2 4 2" xfId="23263"/>
    <cellStyle name="Normal 2 3 3 3 2 2 4 2 2 5" xfId="23264"/>
    <cellStyle name="Normal 2 3 3 3 2 2 4 2 2 5 2" xfId="23265"/>
    <cellStyle name="Normal 2 3 3 3 2 2 4 2 2 6" xfId="23266"/>
    <cellStyle name="Normal 2 3 3 3 2 2 4 2 2 6 2" xfId="23267"/>
    <cellStyle name="Normal 2 3 3 3 2 2 4 2 2 7" xfId="23268"/>
    <cellStyle name="Normal 2 3 3 3 2 2 4 2 2 7 2" xfId="23269"/>
    <cellStyle name="Normal 2 3 3 3 2 2 4 2 2 8" xfId="23270"/>
    <cellStyle name="Normal 2 3 3 3 2 2 4 2 2 8 2" xfId="23271"/>
    <cellStyle name="Normal 2 3 3 3 2 2 4 2 2 9" xfId="23272"/>
    <cellStyle name="Normal 2 3 3 3 2 2 4 2 2 9 2" xfId="23273"/>
    <cellStyle name="Normal 2 3 3 3 2 2 4 2 3" xfId="23274"/>
    <cellStyle name="Normal 2 3 3 3 2 2 4 2 3 2" xfId="23275"/>
    <cellStyle name="Normal 2 3 3 3 2 2 4 2 4" xfId="23276"/>
    <cellStyle name="Normal 2 3 3 3 2 2 4 2 4 2" xfId="23277"/>
    <cellStyle name="Normal 2 3 3 3 2 2 4 2 5" xfId="23278"/>
    <cellStyle name="Normal 2 3 3 3 2 2 4 2 5 2" xfId="23279"/>
    <cellStyle name="Normal 2 3 3 3 2 2 4 2 6" xfId="23280"/>
    <cellStyle name="Normal 2 3 3 3 2 2 4 2 6 2" xfId="23281"/>
    <cellStyle name="Normal 2 3 3 3 2 2 4 2 7" xfId="23282"/>
    <cellStyle name="Normal 2 3 3 3 2 2 4 2 7 2" xfId="23283"/>
    <cellStyle name="Normal 2 3 3 3 2 2 4 2 8" xfId="23284"/>
    <cellStyle name="Normal 2 3 3 3 2 2 4 2 8 2" xfId="23285"/>
    <cellStyle name="Normal 2 3 3 3 2 2 4 2 9" xfId="23286"/>
    <cellStyle name="Normal 2 3 3 3 2 2 4 2 9 2" xfId="23287"/>
    <cellStyle name="Normal 2 3 3 3 2 2 4 3" xfId="23288"/>
    <cellStyle name="Normal 2 3 3 3 2 2 4 3 10" xfId="23289"/>
    <cellStyle name="Normal 2 3 3 3 2 2 4 3 10 2" xfId="23290"/>
    <cellStyle name="Normal 2 3 3 3 2 2 4 3 11" xfId="23291"/>
    <cellStyle name="Normal 2 3 3 3 2 2 4 3 2" xfId="23292"/>
    <cellStyle name="Normal 2 3 3 3 2 2 4 3 2 2" xfId="23293"/>
    <cellStyle name="Normal 2 3 3 3 2 2 4 3 3" xfId="23294"/>
    <cellStyle name="Normal 2 3 3 3 2 2 4 3 3 2" xfId="23295"/>
    <cellStyle name="Normal 2 3 3 3 2 2 4 3 4" xfId="23296"/>
    <cellStyle name="Normal 2 3 3 3 2 2 4 3 4 2" xfId="23297"/>
    <cellStyle name="Normal 2 3 3 3 2 2 4 3 5" xfId="23298"/>
    <cellStyle name="Normal 2 3 3 3 2 2 4 3 5 2" xfId="23299"/>
    <cellStyle name="Normal 2 3 3 3 2 2 4 3 6" xfId="23300"/>
    <cellStyle name="Normal 2 3 3 3 2 2 4 3 6 2" xfId="23301"/>
    <cellStyle name="Normal 2 3 3 3 2 2 4 3 7" xfId="23302"/>
    <cellStyle name="Normal 2 3 3 3 2 2 4 3 7 2" xfId="23303"/>
    <cellStyle name="Normal 2 3 3 3 2 2 4 3 8" xfId="23304"/>
    <cellStyle name="Normal 2 3 3 3 2 2 4 3 8 2" xfId="23305"/>
    <cellStyle name="Normal 2 3 3 3 2 2 4 3 9" xfId="23306"/>
    <cellStyle name="Normal 2 3 3 3 2 2 4 3 9 2" xfId="23307"/>
    <cellStyle name="Normal 2 3 3 3 2 2 4 4" xfId="23308"/>
    <cellStyle name="Normal 2 3 3 3 2 2 4 4 2" xfId="23309"/>
    <cellStyle name="Normal 2 3 3 3 2 2 4 5" xfId="23310"/>
    <cellStyle name="Normal 2 3 3 3 2 2 4 5 2" xfId="23311"/>
    <cellStyle name="Normal 2 3 3 3 2 2 4 6" xfId="23312"/>
    <cellStyle name="Normal 2 3 3 3 2 2 4 6 2" xfId="23313"/>
    <cellStyle name="Normal 2 3 3 3 2 2 4 7" xfId="23314"/>
    <cellStyle name="Normal 2 3 3 3 2 2 4 7 2" xfId="23315"/>
    <cellStyle name="Normal 2 3 3 3 2 2 4 8" xfId="23316"/>
    <cellStyle name="Normal 2 3 3 3 2 2 4 8 2" xfId="23317"/>
    <cellStyle name="Normal 2 3 3 3 2 2 4 9" xfId="23318"/>
    <cellStyle name="Normal 2 3 3 3 2 2 4 9 2" xfId="23319"/>
    <cellStyle name="Normal 2 3 3 3 2 2 5" xfId="655"/>
    <cellStyle name="Normal 2 3 3 3 2 2 5 10" xfId="23320"/>
    <cellStyle name="Normal 2 3 3 3 2 2 5 10 2" xfId="23321"/>
    <cellStyle name="Normal 2 3 3 3 2 2 5 11" xfId="23322"/>
    <cellStyle name="Normal 2 3 3 3 2 2 5 11 2" xfId="23323"/>
    <cellStyle name="Normal 2 3 3 3 2 2 5 12" xfId="23324"/>
    <cellStyle name="Normal 2 3 3 3 2 2 5 12 2" xfId="23325"/>
    <cellStyle name="Normal 2 3 3 3 2 2 5 13" xfId="23326"/>
    <cellStyle name="Normal 2 3 3 3 2 2 5 2" xfId="23327"/>
    <cellStyle name="Normal 2 3 3 3 2 2 5 2 10" xfId="23328"/>
    <cellStyle name="Normal 2 3 3 3 2 2 5 2 10 2" xfId="23329"/>
    <cellStyle name="Normal 2 3 3 3 2 2 5 2 11" xfId="23330"/>
    <cellStyle name="Normal 2 3 3 3 2 2 5 2 11 2" xfId="23331"/>
    <cellStyle name="Normal 2 3 3 3 2 2 5 2 12" xfId="23332"/>
    <cellStyle name="Normal 2 3 3 3 2 2 5 2 2" xfId="23333"/>
    <cellStyle name="Normal 2 3 3 3 2 2 5 2 2 10" xfId="23334"/>
    <cellStyle name="Normal 2 3 3 3 2 2 5 2 2 10 2" xfId="23335"/>
    <cellStyle name="Normal 2 3 3 3 2 2 5 2 2 11" xfId="23336"/>
    <cellStyle name="Normal 2 3 3 3 2 2 5 2 2 2" xfId="23337"/>
    <cellStyle name="Normal 2 3 3 3 2 2 5 2 2 2 2" xfId="23338"/>
    <cellStyle name="Normal 2 3 3 3 2 2 5 2 2 3" xfId="23339"/>
    <cellStyle name="Normal 2 3 3 3 2 2 5 2 2 3 2" xfId="23340"/>
    <cellStyle name="Normal 2 3 3 3 2 2 5 2 2 4" xfId="23341"/>
    <cellStyle name="Normal 2 3 3 3 2 2 5 2 2 4 2" xfId="23342"/>
    <cellStyle name="Normal 2 3 3 3 2 2 5 2 2 5" xfId="23343"/>
    <cellStyle name="Normal 2 3 3 3 2 2 5 2 2 5 2" xfId="23344"/>
    <cellStyle name="Normal 2 3 3 3 2 2 5 2 2 6" xfId="23345"/>
    <cellStyle name="Normal 2 3 3 3 2 2 5 2 2 6 2" xfId="23346"/>
    <cellStyle name="Normal 2 3 3 3 2 2 5 2 2 7" xfId="23347"/>
    <cellStyle name="Normal 2 3 3 3 2 2 5 2 2 7 2" xfId="23348"/>
    <cellStyle name="Normal 2 3 3 3 2 2 5 2 2 8" xfId="23349"/>
    <cellStyle name="Normal 2 3 3 3 2 2 5 2 2 8 2" xfId="23350"/>
    <cellStyle name="Normal 2 3 3 3 2 2 5 2 2 9" xfId="23351"/>
    <cellStyle name="Normal 2 3 3 3 2 2 5 2 2 9 2" xfId="23352"/>
    <cellStyle name="Normal 2 3 3 3 2 2 5 2 3" xfId="23353"/>
    <cellStyle name="Normal 2 3 3 3 2 2 5 2 3 2" xfId="23354"/>
    <cellStyle name="Normal 2 3 3 3 2 2 5 2 4" xfId="23355"/>
    <cellStyle name="Normal 2 3 3 3 2 2 5 2 4 2" xfId="23356"/>
    <cellStyle name="Normal 2 3 3 3 2 2 5 2 5" xfId="23357"/>
    <cellStyle name="Normal 2 3 3 3 2 2 5 2 5 2" xfId="23358"/>
    <cellStyle name="Normal 2 3 3 3 2 2 5 2 6" xfId="23359"/>
    <cellStyle name="Normal 2 3 3 3 2 2 5 2 6 2" xfId="23360"/>
    <cellStyle name="Normal 2 3 3 3 2 2 5 2 7" xfId="23361"/>
    <cellStyle name="Normal 2 3 3 3 2 2 5 2 7 2" xfId="23362"/>
    <cellStyle name="Normal 2 3 3 3 2 2 5 2 8" xfId="23363"/>
    <cellStyle name="Normal 2 3 3 3 2 2 5 2 8 2" xfId="23364"/>
    <cellStyle name="Normal 2 3 3 3 2 2 5 2 9" xfId="23365"/>
    <cellStyle name="Normal 2 3 3 3 2 2 5 2 9 2" xfId="23366"/>
    <cellStyle name="Normal 2 3 3 3 2 2 5 3" xfId="23367"/>
    <cellStyle name="Normal 2 3 3 3 2 2 5 3 10" xfId="23368"/>
    <cellStyle name="Normal 2 3 3 3 2 2 5 3 10 2" xfId="23369"/>
    <cellStyle name="Normal 2 3 3 3 2 2 5 3 11" xfId="23370"/>
    <cellStyle name="Normal 2 3 3 3 2 2 5 3 2" xfId="23371"/>
    <cellStyle name="Normal 2 3 3 3 2 2 5 3 2 2" xfId="23372"/>
    <cellStyle name="Normal 2 3 3 3 2 2 5 3 3" xfId="23373"/>
    <cellStyle name="Normal 2 3 3 3 2 2 5 3 3 2" xfId="23374"/>
    <cellStyle name="Normal 2 3 3 3 2 2 5 3 4" xfId="23375"/>
    <cellStyle name="Normal 2 3 3 3 2 2 5 3 4 2" xfId="23376"/>
    <cellStyle name="Normal 2 3 3 3 2 2 5 3 5" xfId="23377"/>
    <cellStyle name="Normal 2 3 3 3 2 2 5 3 5 2" xfId="23378"/>
    <cellStyle name="Normal 2 3 3 3 2 2 5 3 6" xfId="23379"/>
    <cellStyle name="Normal 2 3 3 3 2 2 5 3 6 2" xfId="23380"/>
    <cellStyle name="Normal 2 3 3 3 2 2 5 3 7" xfId="23381"/>
    <cellStyle name="Normal 2 3 3 3 2 2 5 3 7 2" xfId="23382"/>
    <cellStyle name="Normal 2 3 3 3 2 2 5 3 8" xfId="23383"/>
    <cellStyle name="Normal 2 3 3 3 2 2 5 3 8 2" xfId="23384"/>
    <cellStyle name="Normal 2 3 3 3 2 2 5 3 9" xfId="23385"/>
    <cellStyle name="Normal 2 3 3 3 2 2 5 3 9 2" xfId="23386"/>
    <cellStyle name="Normal 2 3 3 3 2 2 5 4" xfId="23387"/>
    <cellStyle name="Normal 2 3 3 3 2 2 5 4 2" xfId="23388"/>
    <cellStyle name="Normal 2 3 3 3 2 2 5 5" xfId="23389"/>
    <cellStyle name="Normal 2 3 3 3 2 2 5 5 2" xfId="23390"/>
    <cellStyle name="Normal 2 3 3 3 2 2 5 6" xfId="23391"/>
    <cellStyle name="Normal 2 3 3 3 2 2 5 6 2" xfId="23392"/>
    <cellStyle name="Normal 2 3 3 3 2 2 5 7" xfId="23393"/>
    <cellStyle name="Normal 2 3 3 3 2 2 5 7 2" xfId="23394"/>
    <cellStyle name="Normal 2 3 3 3 2 2 5 8" xfId="23395"/>
    <cellStyle name="Normal 2 3 3 3 2 2 5 8 2" xfId="23396"/>
    <cellStyle name="Normal 2 3 3 3 2 2 5 9" xfId="23397"/>
    <cellStyle name="Normal 2 3 3 3 2 2 5 9 2" xfId="23398"/>
    <cellStyle name="Normal 2 3 3 3 2 2 6" xfId="656"/>
    <cellStyle name="Normal 2 3 3 3 2 3" xfId="657"/>
    <cellStyle name="Normal 2 3 3 3 2 3 2" xfId="658"/>
    <cellStyle name="Normal 2 3 3 3 2 4" xfId="659"/>
    <cellStyle name="Normal 2 3 3 3 2 4 2" xfId="660"/>
    <cellStyle name="Normal 2 3 3 3 2 5" xfId="661"/>
    <cellStyle name="Normal 2 3 3 3 2 5 2" xfId="662"/>
    <cellStyle name="Normal 2 3 3 3 2 6" xfId="23399"/>
    <cellStyle name="Normal 2 3 3 3 2 6 10" xfId="23400"/>
    <cellStyle name="Normal 2 3 3 3 2 6 10 2" xfId="23401"/>
    <cellStyle name="Normal 2 3 3 3 2 6 11" xfId="23402"/>
    <cellStyle name="Normal 2 3 3 3 2 6 11 2" xfId="23403"/>
    <cellStyle name="Normal 2 3 3 3 2 6 12" xfId="23404"/>
    <cellStyle name="Normal 2 3 3 3 2 6 2" xfId="23405"/>
    <cellStyle name="Normal 2 3 3 3 2 6 2 10" xfId="23406"/>
    <cellStyle name="Normal 2 3 3 3 2 6 2 10 2" xfId="23407"/>
    <cellStyle name="Normal 2 3 3 3 2 6 2 11" xfId="23408"/>
    <cellStyle name="Normal 2 3 3 3 2 6 2 2" xfId="23409"/>
    <cellStyle name="Normal 2 3 3 3 2 6 2 2 2" xfId="23410"/>
    <cellStyle name="Normal 2 3 3 3 2 6 2 3" xfId="23411"/>
    <cellStyle name="Normal 2 3 3 3 2 6 2 3 2" xfId="23412"/>
    <cellStyle name="Normal 2 3 3 3 2 6 2 4" xfId="23413"/>
    <cellStyle name="Normal 2 3 3 3 2 6 2 4 2" xfId="23414"/>
    <cellStyle name="Normal 2 3 3 3 2 6 2 5" xfId="23415"/>
    <cellStyle name="Normal 2 3 3 3 2 6 2 5 2" xfId="23416"/>
    <cellStyle name="Normal 2 3 3 3 2 6 2 6" xfId="23417"/>
    <cellStyle name="Normal 2 3 3 3 2 6 2 6 2" xfId="23418"/>
    <cellStyle name="Normal 2 3 3 3 2 6 2 7" xfId="23419"/>
    <cellStyle name="Normal 2 3 3 3 2 6 2 7 2" xfId="23420"/>
    <cellStyle name="Normal 2 3 3 3 2 6 2 8" xfId="23421"/>
    <cellStyle name="Normal 2 3 3 3 2 6 2 8 2" xfId="23422"/>
    <cellStyle name="Normal 2 3 3 3 2 6 2 9" xfId="23423"/>
    <cellStyle name="Normal 2 3 3 3 2 6 2 9 2" xfId="23424"/>
    <cellStyle name="Normal 2 3 3 3 2 6 3" xfId="23425"/>
    <cellStyle name="Normal 2 3 3 3 2 6 3 2" xfId="23426"/>
    <cellStyle name="Normal 2 3 3 3 2 6 4" xfId="23427"/>
    <cellStyle name="Normal 2 3 3 3 2 6 4 2" xfId="23428"/>
    <cellStyle name="Normal 2 3 3 3 2 6 5" xfId="23429"/>
    <cellStyle name="Normal 2 3 3 3 2 6 5 2" xfId="23430"/>
    <cellStyle name="Normal 2 3 3 3 2 6 6" xfId="23431"/>
    <cellStyle name="Normal 2 3 3 3 2 6 6 2" xfId="23432"/>
    <cellStyle name="Normal 2 3 3 3 2 6 7" xfId="23433"/>
    <cellStyle name="Normal 2 3 3 3 2 6 7 2" xfId="23434"/>
    <cellStyle name="Normal 2 3 3 3 2 6 8" xfId="23435"/>
    <cellStyle name="Normal 2 3 3 3 2 6 8 2" xfId="23436"/>
    <cellStyle name="Normal 2 3 3 3 2 6 9" xfId="23437"/>
    <cellStyle name="Normal 2 3 3 3 2 6 9 2" xfId="23438"/>
    <cellStyle name="Normal 2 3 3 3 2 7" xfId="23439"/>
    <cellStyle name="Normal 2 3 3 3 2 7 10" xfId="23440"/>
    <cellStyle name="Normal 2 3 3 3 2 7 10 2" xfId="23441"/>
    <cellStyle name="Normal 2 3 3 3 2 7 11" xfId="23442"/>
    <cellStyle name="Normal 2 3 3 3 2 7 2" xfId="23443"/>
    <cellStyle name="Normal 2 3 3 3 2 7 2 2" xfId="23444"/>
    <cellStyle name="Normal 2 3 3 3 2 7 3" xfId="23445"/>
    <cellStyle name="Normal 2 3 3 3 2 7 3 2" xfId="23446"/>
    <cellStyle name="Normal 2 3 3 3 2 7 4" xfId="23447"/>
    <cellStyle name="Normal 2 3 3 3 2 7 4 2" xfId="23448"/>
    <cellStyle name="Normal 2 3 3 3 2 7 5" xfId="23449"/>
    <cellStyle name="Normal 2 3 3 3 2 7 5 2" xfId="23450"/>
    <cellStyle name="Normal 2 3 3 3 2 7 6" xfId="23451"/>
    <cellStyle name="Normal 2 3 3 3 2 7 6 2" xfId="23452"/>
    <cellStyle name="Normal 2 3 3 3 2 7 7" xfId="23453"/>
    <cellStyle name="Normal 2 3 3 3 2 7 7 2" xfId="23454"/>
    <cellStyle name="Normal 2 3 3 3 2 7 8" xfId="23455"/>
    <cellStyle name="Normal 2 3 3 3 2 7 8 2" xfId="23456"/>
    <cellStyle name="Normal 2 3 3 3 2 7 9" xfId="23457"/>
    <cellStyle name="Normal 2 3 3 3 2 7 9 2" xfId="23458"/>
    <cellStyle name="Normal 2 3 3 3 2 8" xfId="23459"/>
    <cellStyle name="Normal 2 3 3 3 2 8 2" xfId="23460"/>
    <cellStyle name="Normal 2 3 3 3 2 9" xfId="23461"/>
    <cellStyle name="Normal 2 3 3 3 2 9 2" xfId="23462"/>
    <cellStyle name="Normal 2 3 3 3 3" xfId="663"/>
    <cellStyle name="Normal 2 3 3 3 3 10" xfId="23463"/>
    <cellStyle name="Normal 2 3 3 3 3 10 2" xfId="23464"/>
    <cellStyle name="Normal 2 3 3 3 3 11" xfId="23465"/>
    <cellStyle name="Normal 2 3 3 3 3 11 2" xfId="23466"/>
    <cellStyle name="Normal 2 3 3 3 3 12" xfId="23467"/>
    <cellStyle name="Normal 2 3 3 3 3 12 2" xfId="23468"/>
    <cellStyle name="Normal 2 3 3 3 3 13" xfId="23469"/>
    <cellStyle name="Normal 2 3 3 3 3 2" xfId="23470"/>
    <cellStyle name="Normal 2 3 3 3 3 2 10" xfId="23471"/>
    <cellStyle name="Normal 2 3 3 3 3 2 10 2" xfId="23472"/>
    <cellStyle name="Normal 2 3 3 3 3 2 11" xfId="23473"/>
    <cellStyle name="Normal 2 3 3 3 3 2 11 2" xfId="23474"/>
    <cellStyle name="Normal 2 3 3 3 3 2 12" xfId="23475"/>
    <cellStyle name="Normal 2 3 3 3 3 2 2" xfId="23476"/>
    <cellStyle name="Normal 2 3 3 3 3 2 2 10" xfId="23477"/>
    <cellStyle name="Normal 2 3 3 3 3 2 2 10 2" xfId="23478"/>
    <cellStyle name="Normal 2 3 3 3 3 2 2 11" xfId="23479"/>
    <cellStyle name="Normal 2 3 3 3 3 2 2 2" xfId="23480"/>
    <cellStyle name="Normal 2 3 3 3 3 2 2 2 2" xfId="23481"/>
    <cellStyle name="Normal 2 3 3 3 3 2 2 3" xfId="23482"/>
    <cellStyle name="Normal 2 3 3 3 3 2 2 3 2" xfId="23483"/>
    <cellStyle name="Normal 2 3 3 3 3 2 2 4" xfId="23484"/>
    <cellStyle name="Normal 2 3 3 3 3 2 2 4 2" xfId="23485"/>
    <cellStyle name="Normal 2 3 3 3 3 2 2 5" xfId="23486"/>
    <cellStyle name="Normal 2 3 3 3 3 2 2 5 2" xfId="23487"/>
    <cellStyle name="Normal 2 3 3 3 3 2 2 6" xfId="23488"/>
    <cellStyle name="Normal 2 3 3 3 3 2 2 6 2" xfId="23489"/>
    <cellStyle name="Normal 2 3 3 3 3 2 2 7" xfId="23490"/>
    <cellStyle name="Normal 2 3 3 3 3 2 2 7 2" xfId="23491"/>
    <cellStyle name="Normal 2 3 3 3 3 2 2 8" xfId="23492"/>
    <cellStyle name="Normal 2 3 3 3 3 2 2 8 2" xfId="23493"/>
    <cellStyle name="Normal 2 3 3 3 3 2 2 9" xfId="23494"/>
    <cellStyle name="Normal 2 3 3 3 3 2 2 9 2" xfId="23495"/>
    <cellStyle name="Normal 2 3 3 3 3 2 3" xfId="23496"/>
    <cellStyle name="Normal 2 3 3 3 3 2 3 2" xfId="23497"/>
    <cellStyle name="Normal 2 3 3 3 3 2 4" xfId="23498"/>
    <cellStyle name="Normal 2 3 3 3 3 2 4 2" xfId="23499"/>
    <cellStyle name="Normal 2 3 3 3 3 2 5" xfId="23500"/>
    <cellStyle name="Normal 2 3 3 3 3 2 5 2" xfId="23501"/>
    <cellStyle name="Normal 2 3 3 3 3 2 6" xfId="23502"/>
    <cellStyle name="Normal 2 3 3 3 3 2 6 2" xfId="23503"/>
    <cellStyle name="Normal 2 3 3 3 3 2 7" xfId="23504"/>
    <cellStyle name="Normal 2 3 3 3 3 2 7 2" xfId="23505"/>
    <cellStyle name="Normal 2 3 3 3 3 2 8" xfId="23506"/>
    <cellStyle name="Normal 2 3 3 3 3 2 8 2" xfId="23507"/>
    <cellStyle name="Normal 2 3 3 3 3 2 9" xfId="23508"/>
    <cellStyle name="Normal 2 3 3 3 3 2 9 2" xfId="23509"/>
    <cellStyle name="Normal 2 3 3 3 3 3" xfId="23510"/>
    <cellStyle name="Normal 2 3 3 3 3 3 10" xfId="23511"/>
    <cellStyle name="Normal 2 3 3 3 3 3 10 2" xfId="23512"/>
    <cellStyle name="Normal 2 3 3 3 3 3 11" xfId="23513"/>
    <cellStyle name="Normal 2 3 3 3 3 3 2" xfId="23514"/>
    <cellStyle name="Normal 2 3 3 3 3 3 2 2" xfId="23515"/>
    <cellStyle name="Normal 2 3 3 3 3 3 3" xfId="23516"/>
    <cellStyle name="Normal 2 3 3 3 3 3 3 2" xfId="23517"/>
    <cellStyle name="Normal 2 3 3 3 3 3 4" xfId="23518"/>
    <cellStyle name="Normal 2 3 3 3 3 3 4 2" xfId="23519"/>
    <cellStyle name="Normal 2 3 3 3 3 3 5" xfId="23520"/>
    <cellStyle name="Normal 2 3 3 3 3 3 5 2" xfId="23521"/>
    <cellStyle name="Normal 2 3 3 3 3 3 6" xfId="23522"/>
    <cellStyle name="Normal 2 3 3 3 3 3 6 2" xfId="23523"/>
    <cellStyle name="Normal 2 3 3 3 3 3 7" xfId="23524"/>
    <cellStyle name="Normal 2 3 3 3 3 3 7 2" xfId="23525"/>
    <cellStyle name="Normal 2 3 3 3 3 3 8" xfId="23526"/>
    <cellStyle name="Normal 2 3 3 3 3 3 8 2" xfId="23527"/>
    <cellStyle name="Normal 2 3 3 3 3 3 9" xfId="23528"/>
    <cellStyle name="Normal 2 3 3 3 3 3 9 2" xfId="23529"/>
    <cellStyle name="Normal 2 3 3 3 3 4" xfId="23530"/>
    <cellStyle name="Normal 2 3 3 3 3 4 2" xfId="23531"/>
    <cellStyle name="Normal 2 3 3 3 3 5" xfId="23532"/>
    <cellStyle name="Normal 2 3 3 3 3 5 2" xfId="23533"/>
    <cellStyle name="Normal 2 3 3 3 3 6" xfId="23534"/>
    <cellStyle name="Normal 2 3 3 3 3 6 2" xfId="23535"/>
    <cellStyle name="Normal 2 3 3 3 3 7" xfId="23536"/>
    <cellStyle name="Normal 2 3 3 3 3 7 2" xfId="23537"/>
    <cellStyle name="Normal 2 3 3 3 3 8" xfId="23538"/>
    <cellStyle name="Normal 2 3 3 3 3 8 2" xfId="23539"/>
    <cellStyle name="Normal 2 3 3 3 3 9" xfId="23540"/>
    <cellStyle name="Normal 2 3 3 3 3 9 2" xfId="23541"/>
    <cellStyle name="Normal 2 3 3 3 4" xfId="664"/>
    <cellStyle name="Normal 2 3 3 3 4 10" xfId="23542"/>
    <cellStyle name="Normal 2 3 3 3 4 10 2" xfId="23543"/>
    <cellStyle name="Normal 2 3 3 3 4 11" xfId="23544"/>
    <cellStyle name="Normal 2 3 3 3 4 11 2" xfId="23545"/>
    <cellStyle name="Normal 2 3 3 3 4 12" xfId="23546"/>
    <cellStyle name="Normal 2 3 3 3 4 12 2" xfId="23547"/>
    <cellStyle name="Normal 2 3 3 3 4 13" xfId="23548"/>
    <cellStyle name="Normal 2 3 3 3 4 2" xfId="23549"/>
    <cellStyle name="Normal 2 3 3 3 4 2 10" xfId="23550"/>
    <cellStyle name="Normal 2 3 3 3 4 2 10 2" xfId="23551"/>
    <cellStyle name="Normal 2 3 3 3 4 2 11" xfId="23552"/>
    <cellStyle name="Normal 2 3 3 3 4 2 11 2" xfId="23553"/>
    <cellStyle name="Normal 2 3 3 3 4 2 12" xfId="23554"/>
    <cellStyle name="Normal 2 3 3 3 4 2 2" xfId="23555"/>
    <cellStyle name="Normal 2 3 3 3 4 2 2 10" xfId="23556"/>
    <cellStyle name="Normal 2 3 3 3 4 2 2 10 2" xfId="23557"/>
    <cellStyle name="Normal 2 3 3 3 4 2 2 11" xfId="23558"/>
    <cellStyle name="Normal 2 3 3 3 4 2 2 2" xfId="23559"/>
    <cellStyle name="Normal 2 3 3 3 4 2 2 2 2" xfId="23560"/>
    <cellStyle name="Normal 2 3 3 3 4 2 2 3" xfId="23561"/>
    <cellStyle name="Normal 2 3 3 3 4 2 2 3 2" xfId="23562"/>
    <cellStyle name="Normal 2 3 3 3 4 2 2 4" xfId="23563"/>
    <cellStyle name="Normal 2 3 3 3 4 2 2 4 2" xfId="23564"/>
    <cellStyle name="Normal 2 3 3 3 4 2 2 5" xfId="23565"/>
    <cellStyle name="Normal 2 3 3 3 4 2 2 5 2" xfId="23566"/>
    <cellStyle name="Normal 2 3 3 3 4 2 2 6" xfId="23567"/>
    <cellStyle name="Normal 2 3 3 3 4 2 2 6 2" xfId="23568"/>
    <cellStyle name="Normal 2 3 3 3 4 2 2 7" xfId="23569"/>
    <cellStyle name="Normal 2 3 3 3 4 2 2 7 2" xfId="23570"/>
    <cellStyle name="Normal 2 3 3 3 4 2 2 8" xfId="23571"/>
    <cellStyle name="Normal 2 3 3 3 4 2 2 8 2" xfId="23572"/>
    <cellStyle name="Normal 2 3 3 3 4 2 2 9" xfId="23573"/>
    <cellStyle name="Normal 2 3 3 3 4 2 2 9 2" xfId="23574"/>
    <cellStyle name="Normal 2 3 3 3 4 2 3" xfId="23575"/>
    <cellStyle name="Normal 2 3 3 3 4 2 3 2" xfId="23576"/>
    <cellStyle name="Normal 2 3 3 3 4 2 4" xfId="23577"/>
    <cellStyle name="Normal 2 3 3 3 4 2 4 2" xfId="23578"/>
    <cellStyle name="Normal 2 3 3 3 4 2 5" xfId="23579"/>
    <cellStyle name="Normal 2 3 3 3 4 2 5 2" xfId="23580"/>
    <cellStyle name="Normal 2 3 3 3 4 2 6" xfId="23581"/>
    <cellStyle name="Normal 2 3 3 3 4 2 6 2" xfId="23582"/>
    <cellStyle name="Normal 2 3 3 3 4 2 7" xfId="23583"/>
    <cellStyle name="Normal 2 3 3 3 4 2 7 2" xfId="23584"/>
    <cellStyle name="Normal 2 3 3 3 4 2 8" xfId="23585"/>
    <cellStyle name="Normal 2 3 3 3 4 2 8 2" xfId="23586"/>
    <cellStyle name="Normal 2 3 3 3 4 2 9" xfId="23587"/>
    <cellStyle name="Normal 2 3 3 3 4 2 9 2" xfId="23588"/>
    <cellStyle name="Normal 2 3 3 3 4 3" xfId="23589"/>
    <cellStyle name="Normal 2 3 3 3 4 3 10" xfId="23590"/>
    <cellStyle name="Normal 2 3 3 3 4 3 10 2" xfId="23591"/>
    <cellStyle name="Normal 2 3 3 3 4 3 11" xfId="23592"/>
    <cellStyle name="Normal 2 3 3 3 4 3 2" xfId="23593"/>
    <cellStyle name="Normal 2 3 3 3 4 3 2 2" xfId="23594"/>
    <cellStyle name="Normal 2 3 3 3 4 3 3" xfId="23595"/>
    <cellStyle name="Normal 2 3 3 3 4 3 3 2" xfId="23596"/>
    <cellStyle name="Normal 2 3 3 3 4 3 4" xfId="23597"/>
    <cellStyle name="Normal 2 3 3 3 4 3 4 2" xfId="23598"/>
    <cellStyle name="Normal 2 3 3 3 4 3 5" xfId="23599"/>
    <cellStyle name="Normal 2 3 3 3 4 3 5 2" xfId="23600"/>
    <cellStyle name="Normal 2 3 3 3 4 3 6" xfId="23601"/>
    <cellStyle name="Normal 2 3 3 3 4 3 6 2" xfId="23602"/>
    <cellStyle name="Normal 2 3 3 3 4 3 7" xfId="23603"/>
    <cellStyle name="Normal 2 3 3 3 4 3 7 2" xfId="23604"/>
    <cellStyle name="Normal 2 3 3 3 4 3 8" xfId="23605"/>
    <cellStyle name="Normal 2 3 3 3 4 3 8 2" xfId="23606"/>
    <cellStyle name="Normal 2 3 3 3 4 3 9" xfId="23607"/>
    <cellStyle name="Normal 2 3 3 3 4 3 9 2" xfId="23608"/>
    <cellStyle name="Normal 2 3 3 3 4 4" xfId="23609"/>
    <cellStyle name="Normal 2 3 3 3 4 4 2" xfId="23610"/>
    <cellStyle name="Normal 2 3 3 3 4 5" xfId="23611"/>
    <cellStyle name="Normal 2 3 3 3 4 5 2" xfId="23612"/>
    <cellStyle name="Normal 2 3 3 3 4 6" xfId="23613"/>
    <cellStyle name="Normal 2 3 3 3 4 6 2" xfId="23614"/>
    <cellStyle name="Normal 2 3 3 3 4 7" xfId="23615"/>
    <cellStyle name="Normal 2 3 3 3 4 7 2" xfId="23616"/>
    <cellStyle name="Normal 2 3 3 3 4 8" xfId="23617"/>
    <cellStyle name="Normal 2 3 3 3 4 8 2" xfId="23618"/>
    <cellStyle name="Normal 2 3 3 3 4 9" xfId="23619"/>
    <cellStyle name="Normal 2 3 3 3 4 9 2" xfId="23620"/>
    <cellStyle name="Normal 2 3 3 3 5" xfId="665"/>
    <cellStyle name="Normal 2 3 3 3 5 10" xfId="23621"/>
    <cellStyle name="Normal 2 3 3 3 5 10 2" xfId="23622"/>
    <cellStyle name="Normal 2 3 3 3 5 11" xfId="23623"/>
    <cellStyle name="Normal 2 3 3 3 5 11 2" xfId="23624"/>
    <cellStyle name="Normal 2 3 3 3 5 12" xfId="23625"/>
    <cellStyle name="Normal 2 3 3 3 5 12 2" xfId="23626"/>
    <cellStyle name="Normal 2 3 3 3 5 13" xfId="23627"/>
    <cellStyle name="Normal 2 3 3 3 5 2" xfId="23628"/>
    <cellStyle name="Normal 2 3 3 3 5 2 10" xfId="23629"/>
    <cellStyle name="Normal 2 3 3 3 5 2 10 2" xfId="23630"/>
    <cellStyle name="Normal 2 3 3 3 5 2 11" xfId="23631"/>
    <cellStyle name="Normal 2 3 3 3 5 2 11 2" xfId="23632"/>
    <cellStyle name="Normal 2 3 3 3 5 2 12" xfId="23633"/>
    <cellStyle name="Normal 2 3 3 3 5 2 2" xfId="23634"/>
    <cellStyle name="Normal 2 3 3 3 5 2 2 10" xfId="23635"/>
    <cellStyle name="Normal 2 3 3 3 5 2 2 10 2" xfId="23636"/>
    <cellStyle name="Normal 2 3 3 3 5 2 2 11" xfId="23637"/>
    <cellStyle name="Normal 2 3 3 3 5 2 2 2" xfId="23638"/>
    <cellStyle name="Normal 2 3 3 3 5 2 2 2 2" xfId="23639"/>
    <cellStyle name="Normal 2 3 3 3 5 2 2 3" xfId="23640"/>
    <cellStyle name="Normal 2 3 3 3 5 2 2 3 2" xfId="23641"/>
    <cellStyle name="Normal 2 3 3 3 5 2 2 4" xfId="23642"/>
    <cellStyle name="Normal 2 3 3 3 5 2 2 4 2" xfId="23643"/>
    <cellStyle name="Normal 2 3 3 3 5 2 2 5" xfId="23644"/>
    <cellStyle name="Normal 2 3 3 3 5 2 2 5 2" xfId="23645"/>
    <cellStyle name="Normal 2 3 3 3 5 2 2 6" xfId="23646"/>
    <cellStyle name="Normal 2 3 3 3 5 2 2 6 2" xfId="23647"/>
    <cellStyle name="Normal 2 3 3 3 5 2 2 7" xfId="23648"/>
    <cellStyle name="Normal 2 3 3 3 5 2 2 7 2" xfId="23649"/>
    <cellStyle name="Normal 2 3 3 3 5 2 2 8" xfId="23650"/>
    <cellStyle name="Normal 2 3 3 3 5 2 2 8 2" xfId="23651"/>
    <cellStyle name="Normal 2 3 3 3 5 2 2 9" xfId="23652"/>
    <cellStyle name="Normal 2 3 3 3 5 2 2 9 2" xfId="23653"/>
    <cellStyle name="Normal 2 3 3 3 5 2 3" xfId="23654"/>
    <cellStyle name="Normal 2 3 3 3 5 2 3 2" xfId="23655"/>
    <cellStyle name="Normal 2 3 3 3 5 2 4" xfId="23656"/>
    <cellStyle name="Normal 2 3 3 3 5 2 4 2" xfId="23657"/>
    <cellStyle name="Normal 2 3 3 3 5 2 5" xfId="23658"/>
    <cellStyle name="Normal 2 3 3 3 5 2 5 2" xfId="23659"/>
    <cellStyle name="Normal 2 3 3 3 5 2 6" xfId="23660"/>
    <cellStyle name="Normal 2 3 3 3 5 2 6 2" xfId="23661"/>
    <cellStyle name="Normal 2 3 3 3 5 2 7" xfId="23662"/>
    <cellStyle name="Normal 2 3 3 3 5 2 7 2" xfId="23663"/>
    <cellStyle name="Normal 2 3 3 3 5 2 8" xfId="23664"/>
    <cellStyle name="Normal 2 3 3 3 5 2 8 2" xfId="23665"/>
    <cellStyle name="Normal 2 3 3 3 5 2 9" xfId="23666"/>
    <cellStyle name="Normal 2 3 3 3 5 2 9 2" xfId="23667"/>
    <cellStyle name="Normal 2 3 3 3 5 3" xfId="23668"/>
    <cellStyle name="Normal 2 3 3 3 5 3 10" xfId="23669"/>
    <cellStyle name="Normal 2 3 3 3 5 3 10 2" xfId="23670"/>
    <cellStyle name="Normal 2 3 3 3 5 3 11" xfId="23671"/>
    <cellStyle name="Normal 2 3 3 3 5 3 2" xfId="23672"/>
    <cellStyle name="Normal 2 3 3 3 5 3 2 2" xfId="23673"/>
    <cellStyle name="Normal 2 3 3 3 5 3 3" xfId="23674"/>
    <cellStyle name="Normal 2 3 3 3 5 3 3 2" xfId="23675"/>
    <cellStyle name="Normal 2 3 3 3 5 3 4" xfId="23676"/>
    <cellStyle name="Normal 2 3 3 3 5 3 4 2" xfId="23677"/>
    <cellStyle name="Normal 2 3 3 3 5 3 5" xfId="23678"/>
    <cellStyle name="Normal 2 3 3 3 5 3 5 2" xfId="23679"/>
    <cellStyle name="Normal 2 3 3 3 5 3 6" xfId="23680"/>
    <cellStyle name="Normal 2 3 3 3 5 3 6 2" xfId="23681"/>
    <cellStyle name="Normal 2 3 3 3 5 3 7" xfId="23682"/>
    <cellStyle name="Normal 2 3 3 3 5 3 7 2" xfId="23683"/>
    <cellStyle name="Normal 2 3 3 3 5 3 8" xfId="23684"/>
    <cellStyle name="Normal 2 3 3 3 5 3 8 2" xfId="23685"/>
    <cellStyle name="Normal 2 3 3 3 5 3 9" xfId="23686"/>
    <cellStyle name="Normal 2 3 3 3 5 3 9 2" xfId="23687"/>
    <cellStyle name="Normal 2 3 3 3 5 4" xfId="23688"/>
    <cellStyle name="Normal 2 3 3 3 5 4 2" xfId="23689"/>
    <cellStyle name="Normal 2 3 3 3 5 5" xfId="23690"/>
    <cellStyle name="Normal 2 3 3 3 5 5 2" xfId="23691"/>
    <cellStyle name="Normal 2 3 3 3 5 6" xfId="23692"/>
    <cellStyle name="Normal 2 3 3 3 5 6 2" xfId="23693"/>
    <cellStyle name="Normal 2 3 3 3 5 7" xfId="23694"/>
    <cellStyle name="Normal 2 3 3 3 5 7 2" xfId="23695"/>
    <cellStyle name="Normal 2 3 3 3 5 8" xfId="23696"/>
    <cellStyle name="Normal 2 3 3 3 5 8 2" xfId="23697"/>
    <cellStyle name="Normal 2 3 3 3 5 9" xfId="23698"/>
    <cellStyle name="Normal 2 3 3 3 5 9 2" xfId="23699"/>
    <cellStyle name="Normal 2 3 3 3 6" xfId="666"/>
    <cellStyle name="Normal 2 3 3 3 6 10" xfId="23700"/>
    <cellStyle name="Normal 2 3 3 3 6 10 2" xfId="23701"/>
    <cellStyle name="Normal 2 3 3 3 6 11" xfId="23702"/>
    <cellStyle name="Normal 2 3 3 3 6 11 2" xfId="23703"/>
    <cellStyle name="Normal 2 3 3 3 6 12" xfId="23704"/>
    <cellStyle name="Normal 2 3 3 3 6 12 2" xfId="23705"/>
    <cellStyle name="Normal 2 3 3 3 6 13" xfId="23706"/>
    <cellStyle name="Normal 2 3 3 3 6 2" xfId="23707"/>
    <cellStyle name="Normal 2 3 3 3 6 2 10" xfId="23708"/>
    <cellStyle name="Normal 2 3 3 3 6 2 10 2" xfId="23709"/>
    <cellStyle name="Normal 2 3 3 3 6 2 11" xfId="23710"/>
    <cellStyle name="Normal 2 3 3 3 6 2 11 2" xfId="23711"/>
    <cellStyle name="Normal 2 3 3 3 6 2 12" xfId="23712"/>
    <cellStyle name="Normal 2 3 3 3 6 2 2" xfId="23713"/>
    <cellStyle name="Normal 2 3 3 3 6 2 2 10" xfId="23714"/>
    <cellStyle name="Normal 2 3 3 3 6 2 2 10 2" xfId="23715"/>
    <cellStyle name="Normal 2 3 3 3 6 2 2 11" xfId="23716"/>
    <cellStyle name="Normal 2 3 3 3 6 2 2 2" xfId="23717"/>
    <cellStyle name="Normal 2 3 3 3 6 2 2 2 2" xfId="23718"/>
    <cellStyle name="Normal 2 3 3 3 6 2 2 3" xfId="23719"/>
    <cellStyle name="Normal 2 3 3 3 6 2 2 3 2" xfId="23720"/>
    <cellStyle name="Normal 2 3 3 3 6 2 2 4" xfId="23721"/>
    <cellStyle name="Normal 2 3 3 3 6 2 2 4 2" xfId="23722"/>
    <cellStyle name="Normal 2 3 3 3 6 2 2 5" xfId="23723"/>
    <cellStyle name="Normal 2 3 3 3 6 2 2 5 2" xfId="23724"/>
    <cellStyle name="Normal 2 3 3 3 6 2 2 6" xfId="23725"/>
    <cellStyle name="Normal 2 3 3 3 6 2 2 6 2" xfId="23726"/>
    <cellStyle name="Normal 2 3 3 3 6 2 2 7" xfId="23727"/>
    <cellStyle name="Normal 2 3 3 3 6 2 2 7 2" xfId="23728"/>
    <cellStyle name="Normal 2 3 3 3 6 2 2 8" xfId="23729"/>
    <cellStyle name="Normal 2 3 3 3 6 2 2 8 2" xfId="23730"/>
    <cellStyle name="Normal 2 3 3 3 6 2 2 9" xfId="23731"/>
    <cellStyle name="Normal 2 3 3 3 6 2 2 9 2" xfId="23732"/>
    <cellStyle name="Normal 2 3 3 3 6 2 3" xfId="23733"/>
    <cellStyle name="Normal 2 3 3 3 6 2 3 2" xfId="23734"/>
    <cellStyle name="Normal 2 3 3 3 6 2 4" xfId="23735"/>
    <cellStyle name="Normal 2 3 3 3 6 2 4 2" xfId="23736"/>
    <cellStyle name="Normal 2 3 3 3 6 2 5" xfId="23737"/>
    <cellStyle name="Normal 2 3 3 3 6 2 5 2" xfId="23738"/>
    <cellStyle name="Normal 2 3 3 3 6 2 6" xfId="23739"/>
    <cellStyle name="Normal 2 3 3 3 6 2 6 2" xfId="23740"/>
    <cellStyle name="Normal 2 3 3 3 6 2 7" xfId="23741"/>
    <cellStyle name="Normal 2 3 3 3 6 2 7 2" xfId="23742"/>
    <cellStyle name="Normal 2 3 3 3 6 2 8" xfId="23743"/>
    <cellStyle name="Normal 2 3 3 3 6 2 8 2" xfId="23744"/>
    <cellStyle name="Normal 2 3 3 3 6 2 9" xfId="23745"/>
    <cellStyle name="Normal 2 3 3 3 6 2 9 2" xfId="23746"/>
    <cellStyle name="Normal 2 3 3 3 6 3" xfId="23747"/>
    <cellStyle name="Normal 2 3 3 3 6 3 10" xfId="23748"/>
    <cellStyle name="Normal 2 3 3 3 6 3 10 2" xfId="23749"/>
    <cellStyle name="Normal 2 3 3 3 6 3 11" xfId="23750"/>
    <cellStyle name="Normal 2 3 3 3 6 3 2" xfId="23751"/>
    <cellStyle name="Normal 2 3 3 3 6 3 2 2" xfId="23752"/>
    <cellStyle name="Normal 2 3 3 3 6 3 3" xfId="23753"/>
    <cellStyle name="Normal 2 3 3 3 6 3 3 2" xfId="23754"/>
    <cellStyle name="Normal 2 3 3 3 6 3 4" xfId="23755"/>
    <cellStyle name="Normal 2 3 3 3 6 3 4 2" xfId="23756"/>
    <cellStyle name="Normal 2 3 3 3 6 3 5" xfId="23757"/>
    <cellStyle name="Normal 2 3 3 3 6 3 5 2" xfId="23758"/>
    <cellStyle name="Normal 2 3 3 3 6 3 6" xfId="23759"/>
    <cellStyle name="Normal 2 3 3 3 6 3 6 2" xfId="23760"/>
    <cellStyle name="Normal 2 3 3 3 6 3 7" xfId="23761"/>
    <cellStyle name="Normal 2 3 3 3 6 3 7 2" xfId="23762"/>
    <cellStyle name="Normal 2 3 3 3 6 3 8" xfId="23763"/>
    <cellStyle name="Normal 2 3 3 3 6 3 8 2" xfId="23764"/>
    <cellStyle name="Normal 2 3 3 3 6 3 9" xfId="23765"/>
    <cellStyle name="Normal 2 3 3 3 6 3 9 2" xfId="23766"/>
    <cellStyle name="Normal 2 3 3 3 6 4" xfId="23767"/>
    <cellStyle name="Normal 2 3 3 3 6 4 2" xfId="23768"/>
    <cellStyle name="Normal 2 3 3 3 6 5" xfId="23769"/>
    <cellStyle name="Normal 2 3 3 3 6 5 2" xfId="23770"/>
    <cellStyle name="Normal 2 3 3 3 6 6" xfId="23771"/>
    <cellStyle name="Normal 2 3 3 3 6 6 2" xfId="23772"/>
    <cellStyle name="Normal 2 3 3 3 6 7" xfId="23773"/>
    <cellStyle name="Normal 2 3 3 3 6 7 2" xfId="23774"/>
    <cellStyle name="Normal 2 3 3 3 6 8" xfId="23775"/>
    <cellStyle name="Normal 2 3 3 3 6 8 2" xfId="23776"/>
    <cellStyle name="Normal 2 3 3 3 6 9" xfId="23777"/>
    <cellStyle name="Normal 2 3 3 3 6 9 2" xfId="23778"/>
    <cellStyle name="Normal 2 3 3 3 7" xfId="667"/>
    <cellStyle name="Normal 2 3 3 4" xfId="668"/>
    <cellStyle name="Normal 2 3 3 4 10" xfId="23779"/>
    <cellStyle name="Normal 2 3 3 4 10 2" xfId="23780"/>
    <cellStyle name="Normal 2 3 3 4 11" xfId="23781"/>
    <cellStyle name="Normal 2 3 3 4 11 2" xfId="23782"/>
    <cellStyle name="Normal 2 3 3 4 12" xfId="23783"/>
    <cellStyle name="Normal 2 3 3 4 12 2" xfId="23784"/>
    <cellStyle name="Normal 2 3 3 4 13" xfId="23785"/>
    <cellStyle name="Normal 2 3 3 4 2" xfId="23786"/>
    <cellStyle name="Normal 2 3 3 4 2 10" xfId="23787"/>
    <cellStyle name="Normal 2 3 3 4 2 10 2" xfId="23788"/>
    <cellStyle name="Normal 2 3 3 4 2 11" xfId="23789"/>
    <cellStyle name="Normal 2 3 3 4 2 11 2" xfId="23790"/>
    <cellStyle name="Normal 2 3 3 4 2 12" xfId="23791"/>
    <cellStyle name="Normal 2 3 3 4 2 2" xfId="23792"/>
    <cellStyle name="Normal 2 3 3 4 2 2 10" xfId="23793"/>
    <cellStyle name="Normal 2 3 3 4 2 2 10 2" xfId="23794"/>
    <cellStyle name="Normal 2 3 3 4 2 2 11" xfId="23795"/>
    <cellStyle name="Normal 2 3 3 4 2 2 2" xfId="23796"/>
    <cellStyle name="Normal 2 3 3 4 2 2 2 2" xfId="23797"/>
    <cellStyle name="Normal 2 3 3 4 2 2 3" xfId="23798"/>
    <cellStyle name="Normal 2 3 3 4 2 2 3 2" xfId="23799"/>
    <cellStyle name="Normal 2 3 3 4 2 2 4" xfId="23800"/>
    <cellStyle name="Normal 2 3 3 4 2 2 4 2" xfId="23801"/>
    <cellStyle name="Normal 2 3 3 4 2 2 5" xfId="23802"/>
    <cellStyle name="Normal 2 3 3 4 2 2 5 2" xfId="23803"/>
    <cellStyle name="Normal 2 3 3 4 2 2 6" xfId="23804"/>
    <cellStyle name="Normal 2 3 3 4 2 2 6 2" xfId="23805"/>
    <cellStyle name="Normal 2 3 3 4 2 2 7" xfId="23806"/>
    <cellStyle name="Normal 2 3 3 4 2 2 7 2" xfId="23807"/>
    <cellStyle name="Normal 2 3 3 4 2 2 8" xfId="23808"/>
    <cellStyle name="Normal 2 3 3 4 2 2 8 2" xfId="23809"/>
    <cellStyle name="Normal 2 3 3 4 2 2 9" xfId="23810"/>
    <cellStyle name="Normal 2 3 3 4 2 2 9 2" xfId="23811"/>
    <cellStyle name="Normal 2 3 3 4 2 3" xfId="23812"/>
    <cellStyle name="Normal 2 3 3 4 2 3 2" xfId="23813"/>
    <cellStyle name="Normal 2 3 3 4 2 4" xfId="23814"/>
    <cellStyle name="Normal 2 3 3 4 2 4 2" xfId="23815"/>
    <cellStyle name="Normal 2 3 3 4 2 5" xfId="23816"/>
    <cellStyle name="Normal 2 3 3 4 2 5 2" xfId="23817"/>
    <cellStyle name="Normal 2 3 3 4 2 6" xfId="23818"/>
    <cellStyle name="Normal 2 3 3 4 2 6 2" xfId="23819"/>
    <cellStyle name="Normal 2 3 3 4 2 7" xfId="23820"/>
    <cellStyle name="Normal 2 3 3 4 2 7 2" xfId="23821"/>
    <cellStyle name="Normal 2 3 3 4 2 8" xfId="23822"/>
    <cellStyle name="Normal 2 3 3 4 2 8 2" xfId="23823"/>
    <cellStyle name="Normal 2 3 3 4 2 9" xfId="23824"/>
    <cellStyle name="Normal 2 3 3 4 2 9 2" xfId="23825"/>
    <cellStyle name="Normal 2 3 3 4 3" xfId="23826"/>
    <cellStyle name="Normal 2 3 3 4 3 10" xfId="23827"/>
    <cellStyle name="Normal 2 3 3 4 3 10 2" xfId="23828"/>
    <cellStyle name="Normal 2 3 3 4 3 11" xfId="23829"/>
    <cellStyle name="Normal 2 3 3 4 3 2" xfId="23830"/>
    <cellStyle name="Normal 2 3 3 4 3 2 2" xfId="23831"/>
    <cellStyle name="Normal 2 3 3 4 3 3" xfId="23832"/>
    <cellStyle name="Normal 2 3 3 4 3 3 2" xfId="23833"/>
    <cellStyle name="Normal 2 3 3 4 3 4" xfId="23834"/>
    <cellStyle name="Normal 2 3 3 4 3 4 2" xfId="23835"/>
    <cellStyle name="Normal 2 3 3 4 3 5" xfId="23836"/>
    <cellStyle name="Normal 2 3 3 4 3 5 2" xfId="23837"/>
    <cellStyle name="Normal 2 3 3 4 3 6" xfId="23838"/>
    <cellStyle name="Normal 2 3 3 4 3 6 2" xfId="23839"/>
    <cellStyle name="Normal 2 3 3 4 3 7" xfId="23840"/>
    <cellStyle name="Normal 2 3 3 4 3 7 2" xfId="23841"/>
    <cellStyle name="Normal 2 3 3 4 3 8" xfId="23842"/>
    <cellStyle name="Normal 2 3 3 4 3 8 2" xfId="23843"/>
    <cellStyle name="Normal 2 3 3 4 3 9" xfId="23844"/>
    <cellStyle name="Normal 2 3 3 4 3 9 2" xfId="23845"/>
    <cellStyle name="Normal 2 3 3 4 4" xfId="23846"/>
    <cellStyle name="Normal 2 3 3 4 4 2" xfId="23847"/>
    <cellStyle name="Normal 2 3 3 4 5" xfId="23848"/>
    <cellStyle name="Normal 2 3 3 4 5 2" xfId="23849"/>
    <cellStyle name="Normal 2 3 3 4 6" xfId="23850"/>
    <cellStyle name="Normal 2 3 3 4 6 2" xfId="23851"/>
    <cellStyle name="Normal 2 3 3 4 7" xfId="23852"/>
    <cellStyle name="Normal 2 3 3 4 7 2" xfId="23853"/>
    <cellStyle name="Normal 2 3 3 4 8" xfId="23854"/>
    <cellStyle name="Normal 2 3 3 4 8 2" xfId="23855"/>
    <cellStyle name="Normal 2 3 3 4 9" xfId="23856"/>
    <cellStyle name="Normal 2 3 3 4 9 2" xfId="23857"/>
    <cellStyle name="Normal 2 3 3 5" xfId="669"/>
    <cellStyle name="Normal 2 3 3 5 10" xfId="23858"/>
    <cellStyle name="Normal 2 3 3 5 10 2" xfId="23859"/>
    <cellStyle name="Normal 2 3 3 5 11" xfId="23860"/>
    <cellStyle name="Normal 2 3 3 5 11 2" xfId="23861"/>
    <cellStyle name="Normal 2 3 3 5 12" xfId="23862"/>
    <cellStyle name="Normal 2 3 3 5 12 2" xfId="23863"/>
    <cellStyle name="Normal 2 3 3 5 13" xfId="23864"/>
    <cellStyle name="Normal 2 3 3 5 2" xfId="23865"/>
    <cellStyle name="Normal 2 3 3 5 2 10" xfId="23866"/>
    <cellStyle name="Normal 2 3 3 5 2 10 2" xfId="23867"/>
    <cellStyle name="Normal 2 3 3 5 2 11" xfId="23868"/>
    <cellStyle name="Normal 2 3 3 5 2 11 2" xfId="23869"/>
    <cellStyle name="Normal 2 3 3 5 2 12" xfId="23870"/>
    <cellStyle name="Normal 2 3 3 5 2 2" xfId="23871"/>
    <cellStyle name="Normal 2 3 3 5 2 2 10" xfId="23872"/>
    <cellStyle name="Normal 2 3 3 5 2 2 10 2" xfId="23873"/>
    <cellStyle name="Normal 2 3 3 5 2 2 11" xfId="23874"/>
    <cellStyle name="Normal 2 3 3 5 2 2 2" xfId="23875"/>
    <cellStyle name="Normal 2 3 3 5 2 2 2 2" xfId="23876"/>
    <cellStyle name="Normal 2 3 3 5 2 2 3" xfId="23877"/>
    <cellStyle name="Normal 2 3 3 5 2 2 3 2" xfId="23878"/>
    <cellStyle name="Normal 2 3 3 5 2 2 4" xfId="23879"/>
    <cellStyle name="Normal 2 3 3 5 2 2 4 2" xfId="23880"/>
    <cellStyle name="Normal 2 3 3 5 2 2 5" xfId="23881"/>
    <cellStyle name="Normal 2 3 3 5 2 2 5 2" xfId="23882"/>
    <cellStyle name="Normal 2 3 3 5 2 2 6" xfId="23883"/>
    <cellStyle name="Normal 2 3 3 5 2 2 6 2" xfId="23884"/>
    <cellStyle name="Normal 2 3 3 5 2 2 7" xfId="23885"/>
    <cellStyle name="Normal 2 3 3 5 2 2 7 2" xfId="23886"/>
    <cellStyle name="Normal 2 3 3 5 2 2 8" xfId="23887"/>
    <cellStyle name="Normal 2 3 3 5 2 2 8 2" xfId="23888"/>
    <cellStyle name="Normal 2 3 3 5 2 2 9" xfId="23889"/>
    <cellStyle name="Normal 2 3 3 5 2 2 9 2" xfId="23890"/>
    <cellStyle name="Normal 2 3 3 5 2 3" xfId="23891"/>
    <cellStyle name="Normal 2 3 3 5 2 3 2" xfId="23892"/>
    <cellStyle name="Normal 2 3 3 5 2 4" xfId="23893"/>
    <cellStyle name="Normal 2 3 3 5 2 4 2" xfId="23894"/>
    <cellStyle name="Normal 2 3 3 5 2 5" xfId="23895"/>
    <cellStyle name="Normal 2 3 3 5 2 5 2" xfId="23896"/>
    <cellStyle name="Normal 2 3 3 5 2 6" xfId="23897"/>
    <cellStyle name="Normal 2 3 3 5 2 6 2" xfId="23898"/>
    <cellStyle name="Normal 2 3 3 5 2 7" xfId="23899"/>
    <cellStyle name="Normal 2 3 3 5 2 7 2" xfId="23900"/>
    <cellStyle name="Normal 2 3 3 5 2 8" xfId="23901"/>
    <cellStyle name="Normal 2 3 3 5 2 8 2" xfId="23902"/>
    <cellStyle name="Normal 2 3 3 5 2 9" xfId="23903"/>
    <cellStyle name="Normal 2 3 3 5 2 9 2" xfId="23904"/>
    <cellStyle name="Normal 2 3 3 5 3" xfId="23905"/>
    <cellStyle name="Normal 2 3 3 5 3 10" xfId="23906"/>
    <cellStyle name="Normal 2 3 3 5 3 10 2" xfId="23907"/>
    <cellStyle name="Normal 2 3 3 5 3 11" xfId="23908"/>
    <cellStyle name="Normal 2 3 3 5 3 2" xfId="23909"/>
    <cellStyle name="Normal 2 3 3 5 3 2 2" xfId="23910"/>
    <cellStyle name="Normal 2 3 3 5 3 3" xfId="23911"/>
    <cellStyle name="Normal 2 3 3 5 3 3 2" xfId="23912"/>
    <cellStyle name="Normal 2 3 3 5 3 4" xfId="23913"/>
    <cellStyle name="Normal 2 3 3 5 3 4 2" xfId="23914"/>
    <cellStyle name="Normal 2 3 3 5 3 5" xfId="23915"/>
    <cellStyle name="Normal 2 3 3 5 3 5 2" xfId="23916"/>
    <cellStyle name="Normal 2 3 3 5 3 6" xfId="23917"/>
    <cellStyle name="Normal 2 3 3 5 3 6 2" xfId="23918"/>
    <cellStyle name="Normal 2 3 3 5 3 7" xfId="23919"/>
    <cellStyle name="Normal 2 3 3 5 3 7 2" xfId="23920"/>
    <cellStyle name="Normal 2 3 3 5 3 8" xfId="23921"/>
    <cellStyle name="Normal 2 3 3 5 3 8 2" xfId="23922"/>
    <cellStyle name="Normal 2 3 3 5 3 9" xfId="23923"/>
    <cellStyle name="Normal 2 3 3 5 3 9 2" xfId="23924"/>
    <cellStyle name="Normal 2 3 3 5 4" xfId="23925"/>
    <cellStyle name="Normal 2 3 3 5 4 2" xfId="23926"/>
    <cellStyle name="Normal 2 3 3 5 5" xfId="23927"/>
    <cellStyle name="Normal 2 3 3 5 5 2" xfId="23928"/>
    <cellStyle name="Normal 2 3 3 5 6" xfId="23929"/>
    <cellStyle name="Normal 2 3 3 5 6 2" xfId="23930"/>
    <cellStyle name="Normal 2 3 3 5 7" xfId="23931"/>
    <cellStyle name="Normal 2 3 3 5 7 2" xfId="23932"/>
    <cellStyle name="Normal 2 3 3 5 8" xfId="23933"/>
    <cellStyle name="Normal 2 3 3 5 8 2" xfId="23934"/>
    <cellStyle name="Normal 2 3 3 5 9" xfId="23935"/>
    <cellStyle name="Normal 2 3 3 5 9 2" xfId="23936"/>
    <cellStyle name="Normal 2 3 3 6" xfId="670"/>
    <cellStyle name="Normal 2 3 3 6 2" xfId="671"/>
    <cellStyle name="Normal 2 3 3 6 2 10" xfId="23937"/>
    <cellStyle name="Normal 2 3 3 6 2 10 2" xfId="23938"/>
    <cellStyle name="Normal 2 3 3 6 2 11" xfId="23939"/>
    <cellStyle name="Normal 2 3 3 6 2 11 2" xfId="23940"/>
    <cellStyle name="Normal 2 3 3 6 2 12" xfId="23941"/>
    <cellStyle name="Normal 2 3 3 6 2 12 2" xfId="23942"/>
    <cellStyle name="Normal 2 3 3 6 2 13" xfId="23943"/>
    <cellStyle name="Normal 2 3 3 6 2 2" xfId="23944"/>
    <cellStyle name="Normal 2 3 3 6 2 2 10" xfId="23945"/>
    <cellStyle name="Normal 2 3 3 6 2 2 10 2" xfId="23946"/>
    <cellStyle name="Normal 2 3 3 6 2 2 11" xfId="23947"/>
    <cellStyle name="Normal 2 3 3 6 2 2 11 2" xfId="23948"/>
    <cellStyle name="Normal 2 3 3 6 2 2 12" xfId="23949"/>
    <cellStyle name="Normal 2 3 3 6 2 2 2" xfId="23950"/>
    <cellStyle name="Normal 2 3 3 6 2 2 2 10" xfId="23951"/>
    <cellStyle name="Normal 2 3 3 6 2 2 2 10 2" xfId="23952"/>
    <cellStyle name="Normal 2 3 3 6 2 2 2 11" xfId="23953"/>
    <cellStyle name="Normal 2 3 3 6 2 2 2 2" xfId="23954"/>
    <cellStyle name="Normal 2 3 3 6 2 2 2 2 2" xfId="23955"/>
    <cellStyle name="Normal 2 3 3 6 2 2 2 3" xfId="23956"/>
    <cellStyle name="Normal 2 3 3 6 2 2 2 3 2" xfId="23957"/>
    <cellStyle name="Normal 2 3 3 6 2 2 2 4" xfId="23958"/>
    <cellStyle name="Normal 2 3 3 6 2 2 2 4 2" xfId="23959"/>
    <cellStyle name="Normal 2 3 3 6 2 2 2 5" xfId="23960"/>
    <cellStyle name="Normal 2 3 3 6 2 2 2 5 2" xfId="23961"/>
    <cellStyle name="Normal 2 3 3 6 2 2 2 6" xfId="23962"/>
    <cellStyle name="Normal 2 3 3 6 2 2 2 6 2" xfId="23963"/>
    <cellStyle name="Normal 2 3 3 6 2 2 2 7" xfId="23964"/>
    <cellStyle name="Normal 2 3 3 6 2 2 2 7 2" xfId="23965"/>
    <cellStyle name="Normal 2 3 3 6 2 2 2 8" xfId="23966"/>
    <cellStyle name="Normal 2 3 3 6 2 2 2 8 2" xfId="23967"/>
    <cellStyle name="Normal 2 3 3 6 2 2 2 9" xfId="23968"/>
    <cellStyle name="Normal 2 3 3 6 2 2 2 9 2" xfId="23969"/>
    <cellStyle name="Normal 2 3 3 6 2 2 3" xfId="23970"/>
    <cellStyle name="Normal 2 3 3 6 2 2 3 2" xfId="23971"/>
    <cellStyle name="Normal 2 3 3 6 2 2 4" xfId="23972"/>
    <cellStyle name="Normal 2 3 3 6 2 2 4 2" xfId="23973"/>
    <cellStyle name="Normal 2 3 3 6 2 2 5" xfId="23974"/>
    <cellStyle name="Normal 2 3 3 6 2 2 5 2" xfId="23975"/>
    <cellStyle name="Normal 2 3 3 6 2 2 6" xfId="23976"/>
    <cellStyle name="Normal 2 3 3 6 2 2 6 2" xfId="23977"/>
    <cellStyle name="Normal 2 3 3 6 2 2 7" xfId="23978"/>
    <cellStyle name="Normal 2 3 3 6 2 2 7 2" xfId="23979"/>
    <cellStyle name="Normal 2 3 3 6 2 2 8" xfId="23980"/>
    <cellStyle name="Normal 2 3 3 6 2 2 8 2" xfId="23981"/>
    <cellStyle name="Normal 2 3 3 6 2 2 9" xfId="23982"/>
    <cellStyle name="Normal 2 3 3 6 2 2 9 2" xfId="23983"/>
    <cellStyle name="Normal 2 3 3 6 2 3" xfId="23984"/>
    <cellStyle name="Normal 2 3 3 6 2 3 10" xfId="23985"/>
    <cellStyle name="Normal 2 3 3 6 2 3 10 2" xfId="23986"/>
    <cellStyle name="Normal 2 3 3 6 2 3 11" xfId="23987"/>
    <cellStyle name="Normal 2 3 3 6 2 3 2" xfId="23988"/>
    <cellStyle name="Normal 2 3 3 6 2 3 2 2" xfId="23989"/>
    <cellStyle name="Normal 2 3 3 6 2 3 3" xfId="23990"/>
    <cellStyle name="Normal 2 3 3 6 2 3 3 2" xfId="23991"/>
    <cellStyle name="Normal 2 3 3 6 2 3 4" xfId="23992"/>
    <cellStyle name="Normal 2 3 3 6 2 3 4 2" xfId="23993"/>
    <cellStyle name="Normal 2 3 3 6 2 3 5" xfId="23994"/>
    <cellStyle name="Normal 2 3 3 6 2 3 5 2" xfId="23995"/>
    <cellStyle name="Normal 2 3 3 6 2 3 6" xfId="23996"/>
    <cellStyle name="Normal 2 3 3 6 2 3 6 2" xfId="23997"/>
    <cellStyle name="Normal 2 3 3 6 2 3 7" xfId="23998"/>
    <cellStyle name="Normal 2 3 3 6 2 3 7 2" xfId="23999"/>
    <cellStyle name="Normal 2 3 3 6 2 3 8" xfId="24000"/>
    <cellStyle name="Normal 2 3 3 6 2 3 8 2" xfId="24001"/>
    <cellStyle name="Normal 2 3 3 6 2 3 9" xfId="24002"/>
    <cellStyle name="Normal 2 3 3 6 2 3 9 2" xfId="24003"/>
    <cellStyle name="Normal 2 3 3 6 2 4" xfId="24004"/>
    <cellStyle name="Normal 2 3 3 6 2 4 2" xfId="24005"/>
    <cellStyle name="Normal 2 3 3 6 2 5" xfId="24006"/>
    <cellStyle name="Normal 2 3 3 6 2 5 2" xfId="24007"/>
    <cellStyle name="Normal 2 3 3 6 2 6" xfId="24008"/>
    <cellStyle name="Normal 2 3 3 6 2 6 2" xfId="24009"/>
    <cellStyle name="Normal 2 3 3 6 2 7" xfId="24010"/>
    <cellStyle name="Normal 2 3 3 6 2 7 2" xfId="24011"/>
    <cellStyle name="Normal 2 3 3 6 2 8" xfId="24012"/>
    <cellStyle name="Normal 2 3 3 6 2 8 2" xfId="24013"/>
    <cellStyle name="Normal 2 3 3 6 2 9" xfId="24014"/>
    <cellStyle name="Normal 2 3 3 6 2 9 2" xfId="24015"/>
    <cellStyle name="Normal 2 3 3 6 3" xfId="672"/>
    <cellStyle name="Normal 2 3 3 6 3 10" xfId="24016"/>
    <cellStyle name="Normal 2 3 3 6 3 10 2" xfId="24017"/>
    <cellStyle name="Normal 2 3 3 6 3 11" xfId="24018"/>
    <cellStyle name="Normal 2 3 3 6 3 11 2" xfId="24019"/>
    <cellStyle name="Normal 2 3 3 6 3 12" xfId="24020"/>
    <cellStyle name="Normal 2 3 3 6 3 12 2" xfId="24021"/>
    <cellStyle name="Normal 2 3 3 6 3 13" xfId="24022"/>
    <cellStyle name="Normal 2 3 3 6 3 2" xfId="24023"/>
    <cellStyle name="Normal 2 3 3 6 3 2 10" xfId="24024"/>
    <cellStyle name="Normal 2 3 3 6 3 2 10 2" xfId="24025"/>
    <cellStyle name="Normal 2 3 3 6 3 2 11" xfId="24026"/>
    <cellStyle name="Normal 2 3 3 6 3 2 11 2" xfId="24027"/>
    <cellStyle name="Normal 2 3 3 6 3 2 12" xfId="24028"/>
    <cellStyle name="Normal 2 3 3 6 3 2 2" xfId="24029"/>
    <cellStyle name="Normal 2 3 3 6 3 2 2 10" xfId="24030"/>
    <cellStyle name="Normal 2 3 3 6 3 2 2 10 2" xfId="24031"/>
    <cellStyle name="Normal 2 3 3 6 3 2 2 11" xfId="24032"/>
    <cellStyle name="Normal 2 3 3 6 3 2 2 2" xfId="24033"/>
    <cellStyle name="Normal 2 3 3 6 3 2 2 2 2" xfId="24034"/>
    <cellStyle name="Normal 2 3 3 6 3 2 2 3" xfId="24035"/>
    <cellStyle name="Normal 2 3 3 6 3 2 2 3 2" xfId="24036"/>
    <cellStyle name="Normal 2 3 3 6 3 2 2 4" xfId="24037"/>
    <cellStyle name="Normal 2 3 3 6 3 2 2 4 2" xfId="24038"/>
    <cellStyle name="Normal 2 3 3 6 3 2 2 5" xfId="24039"/>
    <cellStyle name="Normal 2 3 3 6 3 2 2 5 2" xfId="24040"/>
    <cellStyle name="Normal 2 3 3 6 3 2 2 6" xfId="24041"/>
    <cellStyle name="Normal 2 3 3 6 3 2 2 6 2" xfId="24042"/>
    <cellStyle name="Normal 2 3 3 6 3 2 2 7" xfId="24043"/>
    <cellStyle name="Normal 2 3 3 6 3 2 2 7 2" xfId="24044"/>
    <cellStyle name="Normal 2 3 3 6 3 2 2 8" xfId="24045"/>
    <cellStyle name="Normal 2 3 3 6 3 2 2 8 2" xfId="24046"/>
    <cellStyle name="Normal 2 3 3 6 3 2 2 9" xfId="24047"/>
    <cellStyle name="Normal 2 3 3 6 3 2 2 9 2" xfId="24048"/>
    <cellStyle name="Normal 2 3 3 6 3 2 3" xfId="24049"/>
    <cellStyle name="Normal 2 3 3 6 3 2 3 2" xfId="24050"/>
    <cellStyle name="Normal 2 3 3 6 3 2 4" xfId="24051"/>
    <cellStyle name="Normal 2 3 3 6 3 2 4 2" xfId="24052"/>
    <cellStyle name="Normal 2 3 3 6 3 2 5" xfId="24053"/>
    <cellStyle name="Normal 2 3 3 6 3 2 5 2" xfId="24054"/>
    <cellStyle name="Normal 2 3 3 6 3 2 6" xfId="24055"/>
    <cellStyle name="Normal 2 3 3 6 3 2 6 2" xfId="24056"/>
    <cellStyle name="Normal 2 3 3 6 3 2 7" xfId="24057"/>
    <cellStyle name="Normal 2 3 3 6 3 2 7 2" xfId="24058"/>
    <cellStyle name="Normal 2 3 3 6 3 2 8" xfId="24059"/>
    <cellStyle name="Normal 2 3 3 6 3 2 8 2" xfId="24060"/>
    <cellStyle name="Normal 2 3 3 6 3 2 9" xfId="24061"/>
    <cellStyle name="Normal 2 3 3 6 3 2 9 2" xfId="24062"/>
    <cellStyle name="Normal 2 3 3 6 3 3" xfId="24063"/>
    <cellStyle name="Normal 2 3 3 6 3 3 10" xfId="24064"/>
    <cellStyle name="Normal 2 3 3 6 3 3 10 2" xfId="24065"/>
    <cellStyle name="Normal 2 3 3 6 3 3 11" xfId="24066"/>
    <cellStyle name="Normal 2 3 3 6 3 3 2" xfId="24067"/>
    <cellStyle name="Normal 2 3 3 6 3 3 2 2" xfId="24068"/>
    <cellStyle name="Normal 2 3 3 6 3 3 3" xfId="24069"/>
    <cellStyle name="Normal 2 3 3 6 3 3 3 2" xfId="24070"/>
    <cellStyle name="Normal 2 3 3 6 3 3 4" xfId="24071"/>
    <cellStyle name="Normal 2 3 3 6 3 3 4 2" xfId="24072"/>
    <cellStyle name="Normal 2 3 3 6 3 3 5" xfId="24073"/>
    <cellStyle name="Normal 2 3 3 6 3 3 5 2" xfId="24074"/>
    <cellStyle name="Normal 2 3 3 6 3 3 6" xfId="24075"/>
    <cellStyle name="Normal 2 3 3 6 3 3 6 2" xfId="24076"/>
    <cellStyle name="Normal 2 3 3 6 3 3 7" xfId="24077"/>
    <cellStyle name="Normal 2 3 3 6 3 3 7 2" xfId="24078"/>
    <cellStyle name="Normal 2 3 3 6 3 3 8" xfId="24079"/>
    <cellStyle name="Normal 2 3 3 6 3 3 8 2" xfId="24080"/>
    <cellStyle name="Normal 2 3 3 6 3 3 9" xfId="24081"/>
    <cellStyle name="Normal 2 3 3 6 3 3 9 2" xfId="24082"/>
    <cellStyle name="Normal 2 3 3 6 3 4" xfId="24083"/>
    <cellStyle name="Normal 2 3 3 6 3 4 2" xfId="24084"/>
    <cellStyle name="Normal 2 3 3 6 3 5" xfId="24085"/>
    <cellStyle name="Normal 2 3 3 6 3 5 2" xfId="24086"/>
    <cellStyle name="Normal 2 3 3 6 3 6" xfId="24087"/>
    <cellStyle name="Normal 2 3 3 6 3 6 2" xfId="24088"/>
    <cellStyle name="Normal 2 3 3 6 3 7" xfId="24089"/>
    <cellStyle name="Normal 2 3 3 6 3 7 2" xfId="24090"/>
    <cellStyle name="Normal 2 3 3 6 3 8" xfId="24091"/>
    <cellStyle name="Normal 2 3 3 6 3 8 2" xfId="24092"/>
    <cellStyle name="Normal 2 3 3 6 3 9" xfId="24093"/>
    <cellStyle name="Normal 2 3 3 6 3 9 2" xfId="24094"/>
    <cellStyle name="Normal 2 3 3 6 4" xfId="673"/>
    <cellStyle name="Normal 2 3 3 6 4 10" xfId="24095"/>
    <cellStyle name="Normal 2 3 3 6 4 10 2" xfId="24096"/>
    <cellStyle name="Normal 2 3 3 6 4 11" xfId="24097"/>
    <cellStyle name="Normal 2 3 3 6 4 11 2" xfId="24098"/>
    <cellStyle name="Normal 2 3 3 6 4 12" xfId="24099"/>
    <cellStyle name="Normal 2 3 3 6 4 12 2" xfId="24100"/>
    <cellStyle name="Normal 2 3 3 6 4 13" xfId="24101"/>
    <cellStyle name="Normal 2 3 3 6 4 2" xfId="24102"/>
    <cellStyle name="Normal 2 3 3 6 4 2 10" xfId="24103"/>
    <cellStyle name="Normal 2 3 3 6 4 2 10 2" xfId="24104"/>
    <cellStyle name="Normal 2 3 3 6 4 2 11" xfId="24105"/>
    <cellStyle name="Normal 2 3 3 6 4 2 11 2" xfId="24106"/>
    <cellStyle name="Normal 2 3 3 6 4 2 12" xfId="24107"/>
    <cellStyle name="Normal 2 3 3 6 4 2 2" xfId="24108"/>
    <cellStyle name="Normal 2 3 3 6 4 2 2 10" xfId="24109"/>
    <cellStyle name="Normal 2 3 3 6 4 2 2 10 2" xfId="24110"/>
    <cellStyle name="Normal 2 3 3 6 4 2 2 11" xfId="24111"/>
    <cellStyle name="Normal 2 3 3 6 4 2 2 2" xfId="24112"/>
    <cellStyle name="Normal 2 3 3 6 4 2 2 2 2" xfId="24113"/>
    <cellStyle name="Normal 2 3 3 6 4 2 2 3" xfId="24114"/>
    <cellStyle name="Normal 2 3 3 6 4 2 2 3 2" xfId="24115"/>
    <cellStyle name="Normal 2 3 3 6 4 2 2 4" xfId="24116"/>
    <cellStyle name="Normal 2 3 3 6 4 2 2 4 2" xfId="24117"/>
    <cellStyle name="Normal 2 3 3 6 4 2 2 5" xfId="24118"/>
    <cellStyle name="Normal 2 3 3 6 4 2 2 5 2" xfId="24119"/>
    <cellStyle name="Normal 2 3 3 6 4 2 2 6" xfId="24120"/>
    <cellStyle name="Normal 2 3 3 6 4 2 2 6 2" xfId="24121"/>
    <cellStyle name="Normal 2 3 3 6 4 2 2 7" xfId="24122"/>
    <cellStyle name="Normal 2 3 3 6 4 2 2 7 2" xfId="24123"/>
    <cellStyle name="Normal 2 3 3 6 4 2 2 8" xfId="24124"/>
    <cellStyle name="Normal 2 3 3 6 4 2 2 8 2" xfId="24125"/>
    <cellStyle name="Normal 2 3 3 6 4 2 2 9" xfId="24126"/>
    <cellStyle name="Normal 2 3 3 6 4 2 2 9 2" xfId="24127"/>
    <cellStyle name="Normal 2 3 3 6 4 2 3" xfId="24128"/>
    <cellStyle name="Normal 2 3 3 6 4 2 3 2" xfId="24129"/>
    <cellStyle name="Normal 2 3 3 6 4 2 4" xfId="24130"/>
    <cellStyle name="Normal 2 3 3 6 4 2 4 2" xfId="24131"/>
    <cellStyle name="Normal 2 3 3 6 4 2 5" xfId="24132"/>
    <cellStyle name="Normal 2 3 3 6 4 2 5 2" xfId="24133"/>
    <cellStyle name="Normal 2 3 3 6 4 2 6" xfId="24134"/>
    <cellStyle name="Normal 2 3 3 6 4 2 6 2" xfId="24135"/>
    <cellStyle name="Normal 2 3 3 6 4 2 7" xfId="24136"/>
    <cellStyle name="Normal 2 3 3 6 4 2 7 2" xfId="24137"/>
    <cellStyle name="Normal 2 3 3 6 4 2 8" xfId="24138"/>
    <cellStyle name="Normal 2 3 3 6 4 2 8 2" xfId="24139"/>
    <cellStyle name="Normal 2 3 3 6 4 2 9" xfId="24140"/>
    <cellStyle name="Normal 2 3 3 6 4 2 9 2" xfId="24141"/>
    <cellStyle name="Normal 2 3 3 6 4 3" xfId="24142"/>
    <cellStyle name="Normal 2 3 3 6 4 3 10" xfId="24143"/>
    <cellStyle name="Normal 2 3 3 6 4 3 10 2" xfId="24144"/>
    <cellStyle name="Normal 2 3 3 6 4 3 11" xfId="24145"/>
    <cellStyle name="Normal 2 3 3 6 4 3 2" xfId="24146"/>
    <cellStyle name="Normal 2 3 3 6 4 3 2 2" xfId="24147"/>
    <cellStyle name="Normal 2 3 3 6 4 3 3" xfId="24148"/>
    <cellStyle name="Normal 2 3 3 6 4 3 3 2" xfId="24149"/>
    <cellStyle name="Normal 2 3 3 6 4 3 4" xfId="24150"/>
    <cellStyle name="Normal 2 3 3 6 4 3 4 2" xfId="24151"/>
    <cellStyle name="Normal 2 3 3 6 4 3 5" xfId="24152"/>
    <cellStyle name="Normal 2 3 3 6 4 3 5 2" xfId="24153"/>
    <cellStyle name="Normal 2 3 3 6 4 3 6" xfId="24154"/>
    <cellStyle name="Normal 2 3 3 6 4 3 6 2" xfId="24155"/>
    <cellStyle name="Normal 2 3 3 6 4 3 7" xfId="24156"/>
    <cellStyle name="Normal 2 3 3 6 4 3 7 2" xfId="24157"/>
    <cellStyle name="Normal 2 3 3 6 4 3 8" xfId="24158"/>
    <cellStyle name="Normal 2 3 3 6 4 3 8 2" xfId="24159"/>
    <cellStyle name="Normal 2 3 3 6 4 3 9" xfId="24160"/>
    <cellStyle name="Normal 2 3 3 6 4 3 9 2" xfId="24161"/>
    <cellStyle name="Normal 2 3 3 6 4 4" xfId="24162"/>
    <cellStyle name="Normal 2 3 3 6 4 4 2" xfId="24163"/>
    <cellStyle name="Normal 2 3 3 6 4 5" xfId="24164"/>
    <cellStyle name="Normal 2 3 3 6 4 5 2" xfId="24165"/>
    <cellStyle name="Normal 2 3 3 6 4 6" xfId="24166"/>
    <cellStyle name="Normal 2 3 3 6 4 6 2" xfId="24167"/>
    <cellStyle name="Normal 2 3 3 6 4 7" xfId="24168"/>
    <cellStyle name="Normal 2 3 3 6 4 7 2" xfId="24169"/>
    <cellStyle name="Normal 2 3 3 6 4 8" xfId="24170"/>
    <cellStyle name="Normal 2 3 3 6 4 8 2" xfId="24171"/>
    <cellStyle name="Normal 2 3 3 6 4 9" xfId="24172"/>
    <cellStyle name="Normal 2 3 3 6 4 9 2" xfId="24173"/>
    <cellStyle name="Normal 2 3 3 6 5" xfId="674"/>
    <cellStyle name="Normal 2 3 3 6 5 10" xfId="24174"/>
    <cellStyle name="Normal 2 3 3 6 5 10 2" xfId="24175"/>
    <cellStyle name="Normal 2 3 3 6 5 11" xfId="24176"/>
    <cellStyle name="Normal 2 3 3 6 5 11 2" xfId="24177"/>
    <cellStyle name="Normal 2 3 3 6 5 12" xfId="24178"/>
    <cellStyle name="Normal 2 3 3 6 5 12 2" xfId="24179"/>
    <cellStyle name="Normal 2 3 3 6 5 13" xfId="24180"/>
    <cellStyle name="Normal 2 3 3 6 5 2" xfId="24181"/>
    <cellStyle name="Normal 2 3 3 6 5 2 10" xfId="24182"/>
    <cellStyle name="Normal 2 3 3 6 5 2 10 2" xfId="24183"/>
    <cellStyle name="Normal 2 3 3 6 5 2 11" xfId="24184"/>
    <cellStyle name="Normal 2 3 3 6 5 2 11 2" xfId="24185"/>
    <cellStyle name="Normal 2 3 3 6 5 2 12" xfId="24186"/>
    <cellStyle name="Normal 2 3 3 6 5 2 2" xfId="24187"/>
    <cellStyle name="Normal 2 3 3 6 5 2 2 10" xfId="24188"/>
    <cellStyle name="Normal 2 3 3 6 5 2 2 10 2" xfId="24189"/>
    <cellStyle name="Normal 2 3 3 6 5 2 2 11" xfId="24190"/>
    <cellStyle name="Normal 2 3 3 6 5 2 2 2" xfId="24191"/>
    <cellStyle name="Normal 2 3 3 6 5 2 2 2 2" xfId="24192"/>
    <cellStyle name="Normal 2 3 3 6 5 2 2 3" xfId="24193"/>
    <cellStyle name="Normal 2 3 3 6 5 2 2 3 2" xfId="24194"/>
    <cellStyle name="Normal 2 3 3 6 5 2 2 4" xfId="24195"/>
    <cellStyle name="Normal 2 3 3 6 5 2 2 4 2" xfId="24196"/>
    <cellStyle name="Normal 2 3 3 6 5 2 2 5" xfId="24197"/>
    <cellStyle name="Normal 2 3 3 6 5 2 2 5 2" xfId="24198"/>
    <cellStyle name="Normal 2 3 3 6 5 2 2 6" xfId="24199"/>
    <cellStyle name="Normal 2 3 3 6 5 2 2 6 2" xfId="24200"/>
    <cellStyle name="Normal 2 3 3 6 5 2 2 7" xfId="24201"/>
    <cellStyle name="Normal 2 3 3 6 5 2 2 7 2" xfId="24202"/>
    <cellStyle name="Normal 2 3 3 6 5 2 2 8" xfId="24203"/>
    <cellStyle name="Normal 2 3 3 6 5 2 2 8 2" xfId="24204"/>
    <cellStyle name="Normal 2 3 3 6 5 2 2 9" xfId="24205"/>
    <cellStyle name="Normal 2 3 3 6 5 2 2 9 2" xfId="24206"/>
    <cellStyle name="Normal 2 3 3 6 5 2 3" xfId="24207"/>
    <cellStyle name="Normal 2 3 3 6 5 2 3 2" xfId="24208"/>
    <cellStyle name="Normal 2 3 3 6 5 2 4" xfId="24209"/>
    <cellStyle name="Normal 2 3 3 6 5 2 4 2" xfId="24210"/>
    <cellStyle name="Normal 2 3 3 6 5 2 5" xfId="24211"/>
    <cellStyle name="Normal 2 3 3 6 5 2 5 2" xfId="24212"/>
    <cellStyle name="Normal 2 3 3 6 5 2 6" xfId="24213"/>
    <cellStyle name="Normal 2 3 3 6 5 2 6 2" xfId="24214"/>
    <cellStyle name="Normal 2 3 3 6 5 2 7" xfId="24215"/>
    <cellStyle name="Normal 2 3 3 6 5 2 7 2" xfId="24216"/>
    <cellStyle name="Normal 2 3 3 6 5 2 8" xfId="24217"/>
    <cellStyle name="Normal 2 3 3 6 5 2 8 2" xfId="24218"/>
    <cellStyle name="Normal 2 3 3 6 5 2 9" xfId="24219"/>
    <cellStyle name="Normal 2 3 3 6 5 2 9 2" xfId="24220"/>
    <cellStyle name="Normal 2 3 3 6 5 3" xfId="24221"/>
    <cellStyle name="Normal 2 3 3 6 5 3 10" xfId="24222"/>
    <cellStyle name="Normal 2 3 3 6 5 3 10 2" xfId="24223"/>
    <cellStyle name="Normal 2 3 3 6 5 3 11" xfId="24224"/>
    <cellStyle name="Normal 2 3 3 6 5 3 2" xfId="24225"/>
    <cellStyle name="Normal 2 3 3 6 5 3 2 2" xfId="24226"/>
    <cellStyle name="Normal 2 3 3 6 5 3 3" xfId="24227"/>
    <cellStyle name="Normal 2 3 3 6 5 3 3 2" xfId="24228"/>
    <cellStyle name="Normal 2 3 3 6 5 3 4" xfId="24229"/>
    <cellStyle name="Normal 2 3 3 6 5 3 4 2" xfId="24230"/>
    <cellStyle name="Normal 2 3 3 6 5 3 5" xfId="24231"/>
    <cellStyle name="Normal 2 3 3 6 5 3 5 2" xfId="24232"/>
    <cellStyle name="Normal 2 3 3 6 5 3 6" xfId="24233"/>
    <cellStyle name="Normal 2 3 3 6 5 3 6 2" xfId="24234"/>
    <cellStyle name="Normal 2 3 3 6 5 3 7" xfId="24235"/>
    <cellStyle name="Normal 2 3 3 6 5 3 7 2" xfId="24236"/>
    <cellStyle name="Normal 2 3 3 6 5 3 8" xfId="24237"/>
    <cellStyle name="Normal 2 3 3 6 5 3 8 2" xfId="24238"/>
    <cellStyle name="Normal 2 3 3 6 5 3 9" xfId="24239"/>
    <cellStyle name="Normal 2 3 3 6 5 3 9 2" xfId="24240"/>
    <cellStyle name="Normal 2 3 3 6 5 4" xfId="24241"/>
    <cellStyle name="Normal 2 3 3 6 5 4 2" xfId="24242"/>
    <cellStyle name="Normal 2 3 3 6 5 5" xfId="24243"/>
    <cellStyle name="Normal 2 3 3 6 5 5 2" xfId="24244"/>
    <cellStyle name="Normal 2 3 3 6 5 6" xfId="24245"/>
    <cellStyle name="Normal 2 3 3 6 5 6 2" xfId="24246"/>
    <cellStyle name="Normal 2 3 3 6 5 7" xfId="24247"/>
    <cellStyle name="Normal 2 3 3 6 5 7 2" xfId="24248"/>
    <cellStyle name="Normal 2 3 3 6 5 8" xfId="24249"/>
    <cellStyle name="Normal 2 3 3 6 5 8 2" xfId="24250"/>
    <cellStyle name="Normal 2 3 3 6 5 9" xfId="24251"/>
    <cellStyle name="Normal 2 3 3 6 5 9 2" xfId="24252"/>
    <cellStyle name="Normal 2 3 3 6 6" xfId="675"/>
    <cellStyle name="Normal 2 3 3 7" xfId="676"/>
    <cellStyle name="Normal 2 3 3 7 2" xfId="677"/>
    <cellStyle name="Normal 2 3 3 8" xfId="678"/>
    <cellStyle name="Normal 2 3 3 8 2" xfId="679"/>
    <cellStyle name="Normal 2 3 3 9" xfId="680"/>
    <cellStyle name="Normal 2 3 3 9 2" xfId="681"/>
    <cellStyle name="Normal 2 3 4" xfId="682"/>
    <cellStyle name="Normal 2 3 4 2" xfId="683"/>
    <cellStyle name="Normal 2 3 5" xfId="684"/>
    <cellStyle name="Normal 2 3 5 2" xfId="685"/>
    <cellStyle name="Normal 2 3 6" xfId="686"/>
    <cellStyle name="Normal 2 3 6 2" xfId="687"/>
    <cellStyle name="Normal 2 3 7" xfId="688"/>
    <cellStyle name="Normal 2 3 7 2" xfId="689"/>
    <cellStyle name="Normal 2 3 8" xfId="690"/>
    <cellStyle name="Normal 2 3 8 2" xfId="691"/>
    <cellStyle name="Normal 2 3 9" xfId="692"/>
    <cellStyle name="Normal 2 3 9 10" xfId="24253"/>
    <cellStyle name="Normal 2 3 9 10 2" xfId="24254"/>
    <cellStyle name="Normal 2 3 9 11" xfId="24255"/>
    <cellStyle name="Normal 2 3 9 11 2" xfId="24256"/>
    <cellStyle name="Normal 2 3 9 12" xfId="24257"/>
    <cellStyle name="Normal 2 3 9 12 2" xfId="24258"/>
    <cellStyle name="Normal 2 3 9 13" xfId="24259"/>
    <cellStyle name="Normal 2 3 9 13 2" xfId="24260"/>
    <cellStyle name="Normal 2 3 9 14" xfId="24261"/>
    <cellStyle name="Normal 2 3 9 14 2" xfId="24262"/>
    <cellStyle name="Normal 2 3 9 15" xfId="24263"/>
    <cellStyle name="Normal 2 3 9 15 2" xfId="24264"/>
    <cellStyle name="Normal 2 3 9 16" xfId="24265"/>
    <cellStyle name="Normal 2 3 9 16 2" xfId="24266"/>
    <cellStyle name="Normal 2 3 9 17" xfId="24267"/>
    <cellStyle name="Normal 2 3 9 17 2" xfId="24268"/>
    <cellStyle name="Normal 2 3 9 18" xfId="24269"/>
    <cellStyle name="Normal 2 3 9 2" xfId="693"/>
    <cellStyle name="Normal 2 3 9 2 2" xfId="694"/>
    <cellStyle name="Normal 2 3 9 2 2 10" xfId="24270"/>
    <cellStyle name="Normal 2 3 9 2 2 10 2" xfId="24271"/>
    <cellStyle name="Normal 2 3 9 2 2 11" xfId="24272"/>
    <cellStyle name="Normal 2 3 9 2 2 11 2" xfId="24273"/>
    <cellStyle name="Normal 2 3 9 2 2 12" xfId="24274"/>
    <cellStyle name="Normal 2 3 9 2 2 12 2" xfId="24275"/>
    <cellStyle name="Normal 2 3 9 2 2 13" xfId="24276"/>
    <cellStyle name="Normal 2 3 9 2 2 13 2" xfId="24277"/>
    <cellStyle name="Normal 2 3 9 2 2 14" xfId="24278"/>
    <cellStyle name="Normal 2 3 9 2 2 14 2" xfId="24279"/>
    <cellStyle name="Normal 2 3 9 2 2 15" xfId="24280"/>
    <cellStyle name="Normal 2 3 9 2 2 15 2" xfId="24281"/>
    <cellStyle name="Normal 2 3 9 2 2 16" xfId="24282"/>
    <cellStyle name="Normal 2 3 9 2 2 16 2" xfId="24283"/>
    <cellStyle name="Normal 2 3 9 2 2 17" xfId="24284"/>
    <cellStyle name="Normal 2 3 9 2 2 2" xfId="695"/>
    <cellStyle name="Normal 2 3 9 2 2 2 2" xfId="696"/>
    <cellStyle name="Normal 2 3 9 2 2 3" xfId="697"/>
    <cellStyle name="Normal 2 3 9 2 2 3 2" xfId="698"/>
    <cellStyle name="Normal 2 3 9 2 2 4" xfId="699"/>
    <cellStyle name="Normal 2 3 9 2 2 4 2" xfId="700"/>
    <cellStyle name="Normal 2 3 9 2 2 5" xfId="701"/>
    <cellStyle name="Normal 2 3 9 2 2 5 2" xfId="702"/>
    <cellStyle name="Normal 2 3 9 2 2 6" xfId="24285"/>
    <cellStyle name="Normal 2 3 9 2 2 6 10" xfId="24286"/>
    <cellStyle name="Normal 2 3 9 2 2 6 10 2" xfId="24287"/>
    <cellStyle name="Normal 2 3 9 2 2 6 11" xfId="24288"/>
    <cellStyle name="Normal 2 3 9 2 2 6 11 2" xfId="24289"/>
    <cellStyle name="Normal 2 3 9 2 2 6 12" xfId="24290"/>
    <cellStyle name="Normal 2 3 9 2 2 6 2" xfId="24291"/>
    <cellStyle name="Normal 2 3 9 2 2 6 2 10" xfId="24292"/>
    <cellStyle name="Normal 2 3 9 2 2 6 2 10 2" xfId="24293"/>
    <cellStyle name="Normal 2 3 9 2 2 6 2 11" xfId="24294"/>
    <cellStyle name="Normal 2 3 9 2 2 6 2 2" xfId="24295"/>
    <cellStyle name="Normal 2 3 9 2 2 6 2 2 2" xfId="24296"/>
    <cellStyle name="Normal 2 3 9 2 2 6 2 3" xfId="24297"/>
    <cellStyle name="Normal 2 3 9 2 2 6 2 3 2" xfId="24298"/>
    <cellStyle name="Normal 2 3 9 2 2 6 2 4" xfId="24299"/>
    <cellStyle name="Normal 2 3 9 2 2 6 2 4 2" xfId="24300"/>
    <cellStyle name="Normal 2 3 9 2 2 6 2 5" xfId="24301"/>
    <cellStyle name="Normal 2 3 9 2 2 6 2 5 2" xfId="24302"/>
    <cellStyle name="Normal 2 3 9 2 2 6 2 6" xfId="24303"/>
    <cellStyle name="Normal 2 3 9 2 2 6 2 6 2" xfId="24304"/>
    <cellStyle name="Normal 2 3 9 2 2 6 2 7" xfId="24305"/>
    <cellStyle name="Normal 2 3 9 2 2 6 2 7 2" xfId="24306"/>
    <cellStyle name="Normal 2 3 9 2 2 6 2 8" xfId="24307"/>
    <cellStyle name="Normal 2 3 9 2 2 6 2 8 2" xfId="24308"/>
    <cellStyle name="Normal 2 3 9 2 2 6 2 9" xfId="24309"/>
    <cellStyle name="Normal 2 3 9 2 2 6 2 9 2" xfId="24310"/>
    <cellStyle name="Normal 2 3 9 2 2 6 3" xfId="24311"/>
    <cellStyle name="Normal 2 3 9 2 2 6 3 2" xfId="24312"/>
    <cellStyle name="Normal 2 3 9 2 2 6 4" xfId="24313"/>
    <cellStyle name="Normal 2 3 9 2 2 6 4 2" xfId="24314"/>
    <cellStyle name="Normal 2 3 9 2 2 6 5" xfId="24315"/>
    <cellStyle name="Normal 2 3 9 2 2 6 5 2" xfId="24316"/>
    <cellStyle name="Normal 2 3 9 2 2 6 6" xfId="24317"/>
    <cellStyle name="Normal 2 3 9 2 2 6 6 2" xfId="24318"/>
    <cellStyle name="Normal 2 3 9 2 2 6 7" xfId="24319"/>
    <cellStyle name="Normal 2 3 9 2 2 6 7 2" xfId="24320"/>
    <cellStyle name="Normal 2 3 9 2 2 6 8" xfId="24321"/>
    <cellStyle name="Normal 2 3 9 2 2 6 8 2" xfId="24322"/>
    <cellStyle name="Normal 2 3 9 2 2 6 9" xfId="24323"/>
    <cellStyle name="Normal 2 3 9 2 2 6 9 2" xfId="24324"/>
    <cellStyle name="Normal 2 3 9 2 2 7" xfId="24325"/>
    <cellStyle name="Normal 2 3 9 2 2 7 10" xfId="24326"/>
    <cellStyle name="Normal 2 3 9 2 2 7 10 2" xfId="24327"/>
    <cellStyle name="Normal 2 3 9 2 2 7 11" xfId="24328"/>
    <cellStyle name="Normal 2 3 9 2 2 7 2" xfId="24329"/>
    <cellStyle name="Normal 2 3 9 2 2 7 2 2" xfId="24330"/>
    <cellStyle name="Normal 2 3 9 2 2 7 3" xfId="24331"/>
    <cellStyle name="Normal 2 3 9 2 2 7 3 2" xfId="24332"/>
    <cellStyle name="Normal 2 3 9 2 2 7 4" xfId="24333"/>
    <cellStyle name="Normal 2 3 9 2 2 7 4 2" xfId="24334"/>
    <cellStyle name="Normal 2 3 9 2 2 7 5" xfId="24335"/>
    <cellStyle name="Normal 2 3 9 2 2 7 5 2" xfId="24336"/>
    <cellStyle name="Normal 2 3 9 2 2 7 6" xfId="24337"/>
    <cellStyle name="Normal 2 3 9 2 2 7 6 2" xfId="24338"/>
    <cellStyle name="Normal 2 3 9 2 2 7 7" xfId="24339"/>
    <cellStyle name="Normal 2 3 9 2 2 7 7 2" xfId="24340"/>
    <cellStyle name="Normal 2 3 9 2 2 7 8" xfId="24341"/>
    <cellStyle name="Normal 2 3 9 2 2 7 8 2" xfId="24342"/>
    <cellStyle name="Normal 2 3 9 2 2 7 9" xfId="24343"/>
    <cellStyle name="Normal 2 3 9 2 2 7 9 2" xfId="24344"/>
    <cellStyle name="Normal 2 3 9 2 2 8" xfId="24345"/>
    <cellStyle name="Normal 2 3 9 2 2 8 2" xfId="24346"/>
    <cellStyle name="Normal 2 3 9 2 2 9" xfId="24347"/>
    <cellStyle name="Normal 2 3 9 2 2 9 2" xfId="24348"/>
    <cellStyle name="Normal 2 3 9 2 3" xfId="703"/>
    <cellStyle name="Normal 2 3 9 2 3 10" xfId="24349"/>
    <cellStyle name="Normal 2 3 9 2 3 10 2" xfId="24350"/>
    <cellStyle name="Normal 2 3 9 2 3 11" xfId="24351"/>
    <cellStyle name="Normal 2 3 9 2 3 11 2" xfId="24352"/>
    <cellStyle name="Normal 2 3 9 2 3 12" xfId="24353"/>
    <cellStyle name="Normal 2 3 9 2 3 12 2" xfId="24354"/>
    <cellStyle name="Normal 2 3 9 2 3 13" xfId="24355"/>
    <cellStyle name="Normal 2 3 9 2 3 2" xfId="24356"/>
    <cellStyle name="Normal 2 3 9 2 3 2 10" xfId="24357"/>
    <cellStyle name="Normal 2 3 9 2 3 2 10 2" xfId="24358"/>
    <cellStyle name="Normal 2 3 9 2 3 2 11" xfId="24359"/>
    <cellStyle name="Normal 2 3 9 2 3 2 11 2" xfId="24360"/>
    <cellStyle name="Normal 2 3 9 2 3 2 12" xfId="24361"/>
    <cellStyle name="Normal 2 3 9 2 3 2 2" xfId="24362"/>
    <cellStyle name="Normal 2 3 9 2 3 2 2 10" xfId="24363"/>
    <cellStyle name="Normal 2 3 9 2 3 2 2 10 2" xfId="24364"/>
    <cellStyle name="Normal 2 3 9 2 3 2 2 11" xfId="24365"/>
    <cellStyle name="Normal 2 3 9 2 3 2 2 2" xfId="24366"/>
    <cellStyle name="Normal 2 3 9 2 3 2 2 2 2" xfId="24367"/>
    <cellStyle name="Normal 2 3 9 2 3 2 2 3" xfId="24368"/>
    <cellStyle name="Normal 2 3 9 2 3 2 2 3 2" xfId="24369"/>
    <cellStyle name="Normal 2 3 9 2 3 2 2 4" xfId="24370"/>
    <cellStyle name="Normal 2 3 9 2 3 2 2 4 2" xfId="24371"/>
    <cellStyle name="Normal 2 3 9 2 3 2 2 5" xfId="24372"/>
    <cellStyle name="Normal 2 3 9 2 3 2 2 5 2" xfId="24373"/>
    <cellStyle name="Normal 2 3 9 2 3 2 2 6" xfId="24374"/>
    <cellStyle name="Normal 2 3 9 2 3 2 2 6 2" xfId="24375"/>
    <cellStyle name="Normal 2 3 9 2 3 2 2 7" xfId="24376"/>
    <cellStyle name="Normal 2 3 9 2 3 2 2 7 2" xfId="24377"/>
    <cellStyle name="Normal 2 3 9 2 3 2 2 8" xfId="24378"/>
    <cellStyle name="Normal 2 3 9 2 3 2 2 8 2" xfId="24379"/>
    <cellStyle name="Normal 2 3 9 2 3 2 2 9" xfId="24380"/>
    <cellStyle name="Normal 2 3 9 2 3 2 2 9 2" xfId="24381"/>
    <cellStyle name="Normal 2 3 9 2 3 2 3" xfId="24382"/>
    <cellStyle name="Normal 2 3 9 2 3 2 3 2" xfId="24383"/>
    <cellStyle name="Normal 2 3 9 2 3 2 4" xfId="24384"/>
    <cellStyle name="Normal 2 3 9 2 3 2 4 2" xfId="24385"/>
    <cellStyle name="Normal 2 3 9 2 3 2 5" xfId="24386"/>
    <cellStyle name="Normal 2 3 9 2 3 2 5 2" xfId="24387"/>
    <cellStyle name="Normal 2 3 9 2 3 2 6" xfId="24388"/>
    <cellStyle name="Normal 2 3 9 2 3 2 6 2" xfId="24389"/>
    <cellStyle name="Normal 2 3 9 2 3 2 7" xfId="24390"/>
    <cellStyle name="Normal 2 3 9 2 3 2 7 2" xfId="24391"/>
    <cellStyle name="Normal 2 3 9 2 3 2 8" xfId="24392"/>
    <cellStyle name="Normal 2 3 9 2 3 2 8 2" xfId="24393"/>
    <cellStyle name="Normal 2 3 9 2 3 2 9" xfId="24394"/>
    <cellStyle name="Normal 2 3 9 2 3 2 9 2" xfId="24395"/>
    <cellStyle name="Normal 2 3 9 2 3 3" xfId="24396"/>
    <cellStyle name="Normal 2 3 9 2 3 3 10" xfId="24397"/>
    <cellStyle name="Normal 2 3 9 2 3 3 10 2" xfId="24398"/>
    <cellStyle name="Normal 2 3 9 2 3 3 11" xfId="24399"/>
    <cellStyle name="Normal 2 3 9 2 3 3 2" xfId="24400"/>
    <cellStyle name="Normal 2 3 9 2 3 3 2 2" xfId="24401"/>
    <cellStyle name="Normal 2 3 9 2 3 3 3" xfId="24402"/>
    <cellStyle name="Normal 2 3 9 2 3 3 3 2" xfId="24403"/>
    <cellStyle name="Normal 2 3 9 2 3 3 4" xfId="24404"/>
    <cellStyle name="Normal 2 3 9 2 3 3 4 2" xfId="24405"/>
    <cellStyle name="Normal 2 3 9 2 3 3 5" xfId="24406"/>
    <cellStyle name="Normal 2 3 9 2 3 3 5 2" xfId="24407"/>
    <cellStyle name="Normal 2 3 9 2 3 3 6" xfId="24408"/>
    <cellStyle name="Normal 2 3 9 2 3 3 6 2" xfId="24409"/>
    <cellStyle name="Normal 2 3 9 2 3 3 7" xfId="24410"/>
    <cellStyle name="Normal 2 3 9 2 3 3 7 2" xfId="24411"/>
    <cellStyle name="Normal 2 3 9 2 3 3 8" xfId="24412"/>
    <cellStyle name="Normal 2 3 9 2 3 3 8 2" xfId="24413"/>
    <cellStyle name="Normal 2 3 9 2 3 3 9" xfId="24414"/>
    <cellStyle name="Normal 2 3 9 2 3 3 9 2" xfId="24415"/>
    <cellStyle name="Normal 2 3 9 2 3 4" xfId="24416"/>
    <cellStyle name="Normal 2 3 9 2 3 4 2" xfId="24417"/>
    <cellStyle name="Normal 2 3 9 2 3 5" xfId="24418"/>
    <cellStyle name="Normal 2 3 9 2 3 5 2" xfId="24419"/>
    <cellStyle name="Normal 2 3 9 2 3 6" xfId="24420"/>
    <cellStyle name="Normal 2 3 9 2 3 6 2" xfId="24421"/>
    <cellStyle name="Normal 2 3 9 2 3 7" xfId="24422"/>
    <cellStyle name="Normal 2 3 9 2 3 7 2" xfId="24423"/>
    <cellStyle name="Normal 2 3 9 2 3 8" xfId="24424"/>
    <cellStyle name="Normal 2 3 9 2 3 8 2" xfId="24425"/>
    <cellStyle name="Normal 2 3 9 2 3 9" xfId="24426"/>
    <cellStyle name="Normal 2 3 9 2 3 9 2" xfId="24427"/>
    <cellStyle name="Normal 2 3 9 2 4" xfId="704"/>
    <cellStyle name="Normal 2 3 9 2 4 10" xfId="24428"/>
    <cellStyle name="Normal 2 3 9 2 4 10 2" xfId="24429"/>
    <cellStyle name="Normal 2 3 9 2 4 11" xfId="24430"/>
    <cellStyle name="Normal 2 3 9 2 4 11 2" xfId="24431"/>
    <cellStyle name="Normal 2 3 9 2 4 12" xfId="24432"/>
    <cellStyle name="Normal 2 3 9 2 4 12 2" xfId="24433"/>
    <cellStyle name="Normal 2 3 9 2 4 13" xfId="24434"/>
    <cellStyle name="Normal 2 3 9 2 4 2" xfId="24435"/>
    <cellStyle name="Normal 2 3 9 2 4 2 10" xfId="24436"/>
    <cellStyle name="Normal 2 3 9 2 4 2 10 2" xfId="24437"/>
    <cellStyle name="Normal 2 3 9 2 4 2 11" xfId="24438"/>
    <cellStyle name="Normal 2 3 9 2 4 2 11 2" xfId="24439"/>
    <cellStyle name="Normal 2 3 9 2 4 2 12" xfId="24440"/>
    <cellStyle name="Normal 2 3 9 2 4 2 2" xfId="24441"/>
    <cellStyle name="Normal 2 3 9 2 4 2 2 10" xfId="24442"/>
    <cellStyle name="Normal 2 3 9 2 4 2 2 10 2" xfId="24443"/>
    <cellStyle name="Normal 2 3 9 2 4 2 2 11" xfId="24444"/>
    <cellStyle name="Normal 2 3 9 2 4 2 2 2" xfId="24445"/>
    <cellStyle name="Normal 2 3 9 2 4 2 2 2 2" xfId="24446"/>
    <cellStyle name="Normal 2 3 9 2 4 2 2 3" xfId="24447"/>
    <cellStyle name="Normal 2 3 9 2 4 2 2 3 2" xfId="24448"/>
    <cellStyle name="Normal 2 3 9 2 4 2 2 4" xfId="24449"/>
    <cellStyle name="Normal 2 3 9 2 4 2 2 4 2" xfId="24450"/>
    <cellStyle name="Normal 2 3 9 2 4 2 2 5" xfId="24451"/>
    <cellStyle name="Normal 2 3 9 2 4 2 2 5 2" xfId="24452"/>
    <cellStyle name="Normal 2 3 9 2 4 2 2 6" xfId="24453"/>
    <cellStyle name="Normal 2 3 9 2 4 2 2 6 2" xfId="24454"/>
    <cellStyle name="Normal 2 3 9 2 4 2 2 7" xfId="24455"/>
    <cellStyle name="Normal 2 3 9 2 4 2 2 7 2" xfId="24456"/>
    <cellStyle name="Normal 2 3 9 2 4 2 2 8" xfId="24457"/>
    <cellStyle name="Normal 2 3 9 2 4 2 2 8 2" xfId="24458"/>
    <cellStyle name="Normal 2 3 9 2 4 2 2 9" xfId="24459"/>
    <cellStyle name="Normal 2 3 9 2 4 2 2 9 2" xfId="24460"/>
    <cellStyle name="Normal 2 3 9 2 4 2 3" xfId="24461"/>
    <cellStyle name="Normal 2 3 9 2 4 2 3 2" xfId="24462"/>
    <cellStyle name="Normal 2 3 9 2 4 2 4" xfId="24463"/>
    <cellStyle name="Normal 2 3 9 2 4 2 4 2" xfId="24464"/>
    <cellStyle name="Normal 2 3 9 2 4 2 5" xfId="24465"/>
    <cellStyle name="Normal 2 3 9 2 4 2 5 2" xfId="24466"/>
    <cellStyle name="Normal 2 3 9 2 4 2 6" xfId="24467"/>
    <cellStyle name="Normal 2 3 9 2 4 2 6 2" xfId="24468"/>
    <cellStyle name="Normal 2 3 9 2 4 2 7" xfId="24469"/>
    <cellStyle name="Normal 2 3 9 2 4 2 7 2" xfId="24470"/>
    <cellStyle name="Normal 2 3 9 2 4 2 8" xfId="24471"/>
    <cellStyle name="Normal 2 3 9 2 4 2 8 2" xfId="24472"/>
    <cellStyle name="Normal 2 3 9 2 4 2 9" xfId="24473"/>
    <cellStyle name="Normal 2 3 9 2 4 2 9 2" xfId="24474"/>
    <cellStyle name="Normal 2 3 9 2 4 3" xfId="24475"/>
    <cellStyle name="Normal 2 3 9 2 4 3 10" xfId="24476"/>
    <cellStyle name="Normal 2 3 9 2 4 3 10 2" xfId="24477"/>
    <cellStyle name="Normal 2 3 9 2 4 3 11" xfId="24478"/>
    <cellStyle name="Normal 2 3 9 2 4 3 2" xfId="24479"/>
    <cellStyle name="Normal 2 3 9 2 4 3 2 2" xfId="24480"/>
    <cellStyle name="Normal 2 3 9 2 4 3 3" xfId="24481"/>
    <cellStyle name="Normal 2 3 9 2 4 3 3 2" xfId="24482"/>
    <cellStyle name="Normal 2 3 9 2 4 3 4" xfId="24483"/>
    <cellStyle name="Normal 2 3 9 2 4 3 4 2" xfId="24484"/>
    <cellStyle name="Normal 2 3 9 2 4 3 5" xfId="24485"/>
    <cellStyle name="Normal 2 3 9 2 4 3 5 2" xfId="24486"/>
    <cellStyle name="Normal 2 3 9 2 4 3 6" xfId="24487"/>
    <cellStyle name="Normal 2 3 9 2 4 3 6 2" xfId="24488"/>
    <cellStyle name="Normal 2 3 9 2 4 3 7" xfId="24489"/>
    <cellStyle name="Normal 2 3 9 2 4 3 7 2" xfId="24490"/>
    <cellStyle name="Normal 2 3 9 2 4 3 8" xfId="24491"/>
    <cellStyle name="Normal 2 3 9 2 4 3 8 2" xfId="24492"/>
    <cellStyle name="Normal 2 3 9 2 4 3 9" xfId="24493"/>
    <cellStyle name="Normal 2 3 9 2 4 3 9 2" xfId="24494"/>
    <cellStyle name="Normal 2 3 9 2 4 4" xfId="24495"/>
    <cellStyle name="Normal 2 3 9 2 4 4 2" xfId="24496"/>
    <cellStyle name="Normal 2 3 9 2 4 5" xfId="24497"/>
    <cellStyle name="Normal 2 3 9 2 4 5 2" xfId="24498"/>
    <cellStyle name="Normal 2 3 9 2 4 6" xfId="24499"/>
    <cellStyle name="Normal 2 3 9 2 4 6 2" xfId="24500"/>
    <cellStyle name="Normal 2 3 9 2 4 7" xfId="24501"/>
    <cellStyle name="Normal 2 3 9 2 4 7 2" xfId="24502"/>
    <cellStyle name="Normal 2 3 9 2 4 8" xfId="24503"/>
    <cellStyle name="Normal 2 3 9 2 4 8 2" xfId="24504"/>
    <cellStyle name="Normal 2 3 9 2 4 9" xfId="24505"/>
    <cellStyle name="Normal 2 3 9 2 4 9 2" xfId="24506"/>
    <cellStyle name="Normal 2 3 9 2 5" xfId="705"/>
    <cellStyle name="Normal 2 3 9 2 5 10" xfId="24507"/>
    <cellStyle name="Normal 2 3 9 2 5 10 2" xfId="24508"/>
    <cellStyle name="Normal 2 3 9 2 5 11" xfId="24509"/>
    <cellStyle name="Normal 2 3 9 2 5 11 2" xfId="24510"/>
    <cellStyle name="Normal 2 3 9 2 5 12" xfId="24511"/>
    <cellStyle name="Normal 2 3 9 2 5 12 2" xfId="24512"/>
    <cellStyle name="Normal 2 3 9 2 5 13" xfId="24513"/>
    <cellStyle name="Normal 2 3 9 2 5 2" xfId="24514"/>
    <cellStyle name="Normal 2 3 9 2 5 2 10" xfId="24515"/>
    <cellStyle name="Normal 2 3 9 2 5 2 10 2" xfId="24516"/>
    <cellStyle name="Normal 2 3 9 2 5 2 11" xfId="24517"/>
    <cellStyle name="Normal 2 3 9 2 5 2 11 2" xfId="24518"/>
    <cellStyle name="Normal 2 3 9 2 5 2 12" xfId="24519"/>
    <cellStyle name="Normal 2 3 9 2 5 2 2" xfId="24520"/>
    <cellStyle name="Normal 2 3 9 2 5 2 2 10" xfId="24521"/>
    <cellStyle name="Normal 2 3 9 2 5 2 2 10 2" xfId="24522"/>
    <cellStyle name="Normal 2 3 9 2 5 2 2 11" xfId="24523"/>
    <cellStyle name="Normal 2 3 9 2 5 2 2 2" xfId="24524"/>
    <cellStyle name="Normal 2 3 9 2 5 2 2 2 2" xfId="24525"/>
    <cellStyle name="Normal 2 3 9 2 5 2 2 3" xfId="24526"/>
    <cellStyle name="Normal 2 3 9 2 5 2 2 3 2" xfId="24527"/>
    <cellStyle name="Normal 2 3 9 2 5 2 2 4" xfId="24528"/>
    <cellStyle name="Normal 2 3 9 2 5 2 2 4 2" xfId="24529"/>
    <cellStyle name="Normal 2 3 9 2 5 2 2 5" xfId="24530"/>
    <cellStyle name="Normal 2 3 9 2 5 2 2 5 2" xfId="24531"/>
    <cellStyle name="Normal 2 3 9 2 5 2 2 6" xfId="24532"/>
    <cellStyle name="Normal 2 3 9 2 5 2 2 6 2" xfId="24533"/>
    <cellStyle name="Normal 2 3 9 2 5 2 2 7" xfId="24534"/>
    <cellStyle name="Normal 2 3 9 2 5 2 2 7 2" xfId="24535"/>
    <cellStyle name="Normal 2 3 9 2 5 2 2 8" xfId="24536"/>
    <cellStyle name="Normal 2 3 9 2 5 2 2 8 2" xfId="24537"/>
    <cellStyle name="Normal 2 3 9 2 5 2 2 9" xfId="24538"/>
    <cellStyle name="Normal 2 3 9 2 5 2 2 9 2" xfId="24539"/>
    <cellStyle name="Normal 2 3 9 2 5 2 3" xfId="24540"/>
    <cellStyle name="Normal 2 3 9 2 5 2 3 2" xfId="24541"/>
    <cellStyle name="Normal 2 3 9 2 5 2 4" xfId="24542"/>
    <cellStyle name="Normal 2 3 9 2 5 2 4 2" xfId="24543"/>
    <cellStyle name="Normal 2 3 9 2 5 2 5" xfId="24544"/>
    <cellStyle name="Normal 2 3 9 2 5 2 5 2" xfId="24545"/>
    <cellStyle name="Normal 2 3 9 2 5 2 6" xfId="24546"/>
    <cellStyle name="Normal 2 3 9 2 5 2 6 2" xfId="24547"/>
    <cellStyle name="Normal 2 3 9 2 5 2 7" xfId="24548"/>
    <cellStyle name="Normal 2 3 9 2 5 2 7 2" xfId="24549"/>
    <cellStyle name="Normal 2 3 9 2 5 2 8" xfId="24550"/>
    <cellStyle name="Normal 2 3 9 2 5 2 8 2" xfId="24551"/>
    <cellStyle name="Normal 2 3 9 2 5 2 9" xfId="24552"/>
    <cellStyle name="Normal 2 3 9 2 5 2 9 2" xfId="24553"/>
    <cellStyle name="Normal 2 3 9 2 5 3" xfId="24554"/>
    <cellStyle name="Normal 2 3 9 2 5 3 10" xfId="24555"/>
    <cellStyle name="Normal 2 3 9 2 5 3 10 2" xfId="24556"/>
    <cellStyle name="Normal 2 3 9 2 5 3 11" xfId="24557"/>
    <cellStyle name="Normal 2 3 9 2 5 3 2" xfId="24558"/>
    <cellStyle name="Normal 2 3 9 2 5 3 2 2" xfId="24559"/>
    <cellStyle name="Normal 2 3 9 2 5 3 3" xfId="24560"/>
    <cellStyle name="Normal 2 3 9 2 5 3 3 2" xfId="24561"/>
    <cellStyle name="Normal 2 3 9 2 5 3 4" xfId="24562"/>
    <cellStyle name="Normal 2 3 9 2 5 3 4 2" xfId="24563"/>
    <cellStyle name="Normal 2 3 9 2 5 3 5" xfId="24564"/>
    <cellStyle name="Normal 2 3 9 2 5 3 5 2" xfId="24565"/>
    <cellStyle name="Normal 2 3 9 2 5 3 6" xfId="24566"/>
    <cellStyle name="Normal 2 3 9 2 5 3 6 2" xfId="24567"/>
    <cellStyle name="Normal 2 3 9 2 5 3 7" xfId="24568"/>
    <cellStyle name="Normal 2 3 9 2 5 3 7 2" xfId="24569"/>
    <cellStyle name="Normal 2 3 9 2 5 3 8" xfId="24570"/>
    <cellStyle name="Normal 2 3 9 2 5 3 8 2" xfId="24571"/>
    <cellStyle name="Normal 2 3 9 2 5 3 9" xfId="24572"/>
    <cellStyle name="Normal 2 3 9 2 5 3 9 2" xfId="24573"/>
    <cellStyle name="Normal 2 3 9 2 5 4" xfId="24574"/>
    <cellStyle name="Normal 2 3 9 2 5 4 2" xfId="24575"/>
    <cellStyle name="Normal 2 3 9 2 5 5" xfId="24576"/>
    <cellStyle name="Normal 2 3 9 2 5 5 2" xfId="24577"/>
    <cellStyle name="Normal 2 3 9 2 5 6" xfId="24578"/>
    <cellStyle name="Normal 2 3 9 2 5 6 2" xfId="24579"/>
    <cellStyle name="Normal 2 3 9 2 5 7" xfId="24580"/>
    <cellStyle name="Normal 2 3 9 2 5 7 2" xfId="24581"/>
    <cellStyle name="Normal 2 3 9 2 5 8" xfId="24582"/>
    <cellStyle name="Normal 2 3 9 2 5 8 2" xfId="24583"/>
    <cellStyle name="Normal 2 3 9 2 5 9" xfId="24584"/>
    <cellStyle name="Normal 2 3 9 2 5 9 2" xfId="24585"/>
    <cellStyle name="Normal 2 3 9 2 6" xfId="706"/>
    <cellStyle name="Normal 2 3 9 3" xfId="707"/>
    <cellStyle name="Normal 2 3 9 3 2" xfId="708"/>
    <cellStyle name="Normal 2 3 9 4" xfId="709"/>
    <cellStyle name="Normal 2 3 9 4 2" xfId="710"/>
    <cellStyle name="Normal 2 3 9 5" xfId="711"/>
    <cellStyle name="Normal 2 3 9 5 2" xfId="712"/>
    <cellStyle name="Normal 2 3 9 6" xfId="713"/>
    <cellStyle name="Normal 2 3 9 6 2" xfId="714"/>
    <cellStyle name="Normal 2 3 9 7" xfId="24586"/>
    <cellStyle name="Normal 2 3 9 7 10" xfId="24587"/>
    <cellStyle name="Normal 2 3 9 7 10 2" xfId="24588"/>
    <cellStyle name="Normal 2 3 9 7 11" xfId="24589"/>
    <cellStyle name="Normal 2 3 9 7 11 2" xfId="24590"/>
    <cellStyle name="Normal 2 3 9 7 12" xfId="24591"/>
    <cellStyle name="Normal 2 3 9 7 2" xfId="24592"/>
    <cellStyle name="Normal 2 3 9 7 2 10" xfId="24593"/>
    <cellStyle name="Normal 2 3 9 7 2 10 2" xfId="24594"/>
    <cellStyle name="Normal 2 3 9 7 2 11" xfId="24595"/>
    <cellStyle name="Normal 2 3 9 7 2 2" xfId="24596"/>
    <cellStyle name="Normal 2 3 9 7 2 2 2" xfId="24597"/>
    <cellStyle name="Normal 2 3 9 7 2 3" xfId="24598"/>
    <cellStyle name="Normal 2 3 9 7 2 3 2" xfId="24599"/>
    <cellStyle name="Normal 2 3 9 7 2 4" xfId="24600"/>
    <cellStyle name="Normal 2 3 9 7 2 4 2" xfId="24601"/>
    <cellStyle name="Normal 2 3 9 7 2 5" xfId="24602"/>
    <cellStyle name="Normal 2 3 9 7 2 5 2" xfId="24603"/>
    <cellStyle name="Normal 2 3 9 7 2 6" xfId="24604"/>
    <cellStyle name="Normal 2 3 9 7 2 6 2" xfId="24605"/>
    <cellStyle name="Normal 2 3 9 7 2 7" xfId="24606"/>
    <cellStyle name="Normal 2 3 9 7 2 7 2" xfId="24607"/>
    <cellStyle name="Normal 2 3 9 7 2 8" xfId="24608"/>
    <cellStyle name="Normal 2 3 9 7 2 8 2" xfId="24609"/>
    <cellStyle name="Normal 2 3 9 7 2 9" xfId="24610"/>
    <cellStyle name="Normal 2 3 9 7 2 9 2" xfId="24611"/>
    <cellStyle name="Normal 2 3 9 7 3" xfId="24612"/>
    <cellStyle name="Normal 2 3 9 7 3 2" xfId="24613"/>
    <cellStyle name="Normal 2 3 9 7 4" xfId="24614"/>
    <cellStyle name="Normal 2 3 9 7 4 2" xfId="24615"/>
    <cellStyle name="Normal 2 3 9 7 5" xfId="24616"/>
    <cellStyle name="Normal 2 3 9 7 5 2" xfId="24617"/>
    <cellStyle name="Normal 2 3 9 7 6" xfId="24618"/>
    <cellStyle name="Normal 2 3 9 7 6 2" xfId="24619"/>
    <cellStyle name="Normal 2 3 9 7 7" xfId="24620"/>
    <cellStyle name="Normal 2 3 9 7 7 2" xfId="24621"/>
    <cellStyle name="Normal 2 3 9 7 8" xfId="24622"/>
    <cellStyle name="Normal 2 3 9 7 8 2" xfId="24623"/>
    <cellStyle name="Normal 2 3 9 7 9" xfId="24624"/>
    <cellStyle name="Normal 2 3 9 7 9 2" xfId="24625"/>
    <cellStyle name="Normal 2 3 9 8" xfId="24626"/>
    <cellStyle name="Normal 2 3 9 8 10" xfId="24627"/>
    <cellStyle name="Normal 2 3 9 8 10 2" xfId="24628"/>
    <cellStyle name="Normal 2 3 9 8 11" xfId="24629"/>
    <cellStyle name="Normal 2 3 9 8 2" xfId="24630"/>
    <cellStyle name="Normal 2 3 9 8 2 2" xfId="24631"/>
    <cellStyle name="Normal 2 3 9 8 3" xfId="24632"/>
    <cellStyle name="Normal 2 3 9 8 3 2" xfId="24633"/>
    <cellStyle name="Normal 2 3 9 8 4" xfId="24634"/>
    <cellStyle name="Normal 2 3 9 8 4 2" xfId="24635"/>
    <cellStyle name="Normal 2 3 9 8 5" xfId="24636"/>
    <cellStyle name="Normal 2 3 9 8 5 2" xfId="24637"/>
    <cellStyle name="Normal 2 3 9 8 6" xfId="24638"/>
    <cellStyle name="Normal 2 3 9 8 6 2" xfId="24639"/>
    <cellStyle name="Normal 2 3 9 8 7" xfId="24640"/>
    <cellStyle name="Normal 2 3 9 8 7 2" xfId="24641"/>
    <cellStyle name="Normal 2 3 9 8 8" xfId="24642"/>
    <cellStyle name="Normal 2 3 9 8 8 2" xfId="24643"/>
    <cellStyle name="Normal 2 3 9 8 9" xfId="24644"/>
    <cellStyle name="Normal 2 3 9 8 9 2" xfId="24645"/>
    <cellStyle name="Normal 2 3 9 9" xfId="24646"/>
    <cellStyle name="Normal 2 3 9 9 2" xfId="24647"/>
    <cellStyle name="Normal 2 4" xfId="715"/>
    <cellStyle name="Normal 2 4 10" xfId="716"/>
    <cellStyle name="Normal 2 4 11" xfId="24648"/>
    <cellStyle name="Normal 2 4 12" xfId="24649"/>
    <cellStyle name="Normal 2 4 13" xfId="24650"/>
    <cellStyle name="Normal 2 4 14" xfId="24651"/>
    <cellStyle name="Normal 2 4 15" xfId="24652"/>
    <cellStyle name="Normal 2 4 16" xfId="24653"/>
    <cellStyle name="Normal 2 4 17" xfId="24654"/>
    <cellStyle name="Normal 2 4 18" xfId="24655"/>
    <cellStyle name="Normal 2 4 19" xfId="24656"/>
    <cellStyle name="Normal 2 4 2" xfId="717"/>
    <cellStyle name="Normal 2 4 2 10" xfId="24657"/>
    <cellStyle name="Normal 2 4 2 10 10" xfId="24658"/>
    <cellStyle name="Normal 2 4 2 10 10 2" xfId="24659"/>
    <cellStyle name="Normal 2 4 2 10 11" xfId="24660"/>
    <cellStyle name="Normal 2 4 2 10 11 2" xfId="24661"/>
    <cellStyle name="Normal 2 4 2 10 12" xfId="24662"/>
    <cellStyle name="Normal 2 4 2 10 12 2" xfId="24663"/>
    <cellStyle name="Normal 2 4 2 10 13" xfId="24664"/>
    <cellStyle name="Normal 2 4 2 10 2" xfId="24665"/>
    <cellStyle name="Normal 2 4 2 10 2 10" xfId="24666"/>
    <cellStyle name="Normal 2 4 2 10 2 10 2" xfId="24667"/>
    <cellStyle name="Normal 2 4 2 10 2 11" xfId="24668"/>
    <cellStyle name="Normal 2 4 2 10 2 11 2" xfId="24669"/>
    <cellStyle name="Normal 2 4 2 10 2 12" xfId="24670"/>
    <cellStyle name="Normal 2 4 2 10 2 2" xfId="24671"/>
    <cellStyle name="Normal 2 4 2 10 2 2 10" xfId="24672"/>
    <cellStyle name="Normal 2 4 2 10 2 2 10 2" xfId="24673"/>
    <cellStyle name="Normal 2 4 2 10 2 2 11" xfId="24674"/>
    <cellStyle name="Normal 2 4 2 10 2 2 2" xfId="24675"/>
    <cellStyle name="Normal 2 4 2 10 2 2 2 2" xfId="24676"/>
    <cellStyle name="Normal 2 4 2 10 2 2 3" xfId="24677"/>
    <cellStyle name="Normal 2 4 2 10 2 2 3 2" xfId="24678"/>
    <cellStyle name="Normal 2 4 2 10 2 2 4" xfId="24679"/>
    <cellStyle name="Normal 2 4 2 10 2 2 4 2" xfId="24680"/>
    <cellStyle name="Normal 2 4 2 10 2 2 5" xfId="24681"/>
    <cellStyle name="Normal 2 4 2 10 2 2 5 2" xfId="24682"/>
    <cellStyle name="Normal 2 4 2 10 2 2 6" xfId="24683"/>
    <cellStyle name="Normal 2 4 2 10 2 2 6 2" xfId="24684"/>
    <cellStyle name="Normal 2 4 2 10 2 2 7" xfId="24685"/>
    <cellStyle name="Normal 2 4 2 10 2 2 7 2" xfId="24686"/>
    <cellStyle name="Normal 2 4 2 10 2 2 8" xfId="24687"/>
    <cellStyle name="Normal 2 4 2 10 2 2 8 2" xfId="24688"/>
    <cellStyle name="Normal 2 4 2 10 2 2 9" xfId="24689"/>
    <cellStyle name="Normal 2 4 2 10 2 2 9 2" xfId="24690"/>
    <cellStyle name="Normal 2 4 2 10 2 3" xfId="24691"/>
    <cellStyle name="Normal 2 4 2 10 2 3 2" xfId="24692"/>
    <cellStyle name="Normal 2 4 2 10 2 4" xfId="24693"/>
    <cellStyle name="Normal 2 4 2 10 2 4 2" xfId="24694"/>
    <cellStyle name="Normal 2 4 2 10 2 5" xfId="24695"/>
    <cellStyle name="Normal 2 4 2 10 2 5 2" xfId="24696"/>
    <cellStyle name="Normal 2 4 2 10 2 6" xfId="24697"/>
    <cellStyle name="Normal 2 4 2 10 2 6 2" xfId="24698"/>
    <cellStyle name="Normal 2 4 2 10 2 7" xfId="24699"/>
    <cellStyle name="Normal 2 4 2 10 2 7 2" xfId="24700"/>
    <cellStyle name="Normal 2 4 2 10 2 8" xfId="24701"/>
    <cellStyle name="Normal 2 4 2 10 2 8 2" xfId="24702"/>
    <cellStyle name="Normal 2 4 2 10 2 9" xfId="24703"/>
    <cellStyle name="Normal 2 4 2 10 2 9 2" xfId="24704"/>
    <cellStyle name="Normal 2 4 2 10 3" xfId="24705"/>
    <cellStyle name="Normal 2 4 2 10 3 10" xfId="24706"/>
    <cellStyle name="Normal 2 4 2 10 3 10 2" xfId="24707"/>
    <cellStyle name="Normal 2 4 2 10 3 11" xfId="24708"/>
    <cellStyle name="Normal 2 4 2 10 3 2" xfId="24709"/>
    <cellStyle name="Normal 2 4 2 10 3 2 2" xfId="24710"/>
    <cellStyle name="Normal 2 4 2 10 3 3" xfId="24711"/>
    <cellStyle name="Normal 2 4 2 10 3 3 2" xfId="24712"/>
    <cellStyle name="Normal 2 4 2 10 3 4" xfId="24713"/>
    <cellStyle name="Normal 2 4 2 10 3 4 2" xfId="24714"/>
    <cellStyle name="Normal 2 4 2 10 3 5" xfId="24715"/>
    <cellStyle name="Normal 2 4 2 10 3 5 2" xfId="24716"/>
    <cellStyle name="Normal 2 4 2 10 3 6" xfId="24717"/>
    <cellStyle name="Normal 2 4 2 10 3 6 2" xfId="24718"/>
    <cellStyle name="Normal 2 4 2 10 3 7" xfId="24719"/>
    <cellStyle name="Normal 2 4 2 10 3 7 2" xfId="24720"/>
    <cellStyle name="Normal 2 4 2 10 3 8" xfId="24721"/>
    <cellStyle name="Normal 2 4 2 10 3 8 2" xfId="24722"/>
    <cellStyle name="Normal 2 4 2 10 3 9" xfId="24723"/>
    <cellStyle name="Normal 2 4 2 10 3 9 2" xfId="24724"/>
    <cellStyle name="Normal 2 4 2 10 4" xfId="24725"/>
    <cellStyle name="Normal 2 4 2 10 4 2" xfId="24726"/>
    <cellStyle name="Normal 2 4 2 10 5" xfId="24727"/>
    <cellStyle name="Normal 2 4 2 10 5 2" xfId="24728"/>
    <cellStyle name="Normal 2 4 2 10 6" xfId="24729"/>
    <cellStyle name="Normal 2 4 2 10 6 2" xfId="24730"/>
    <cellStyle name="Normal 2 4 2 10 7" xfId="24731"/>
    <cellStyle name="Normal 2 4 2 10 7 2" xfId="24732"/>
    <cellStyle name="Normal 2 4 2 10 8" xfId="24733"/>
    <cellStyle name="Normal 2 4 2 10 8 2" xfId="24734"/>
    <cellStyle name="Normal 2 4 2 10 9" xfId="24735"/>
    <cellStyle name="Normal 2 4 2 10 9 2" xfId="24736"/>
    <cellStyle name="Normal 2 4 2 2" xfId="718"/>
    <cellStyle name="Normal 2 4 2 2 2" xfId="719"/>
    <cellStyle name="Normal 2 4 2 2 2 10" xfId="24737"/>
    <cellStyle name="Normal 2 4 2 2 2 10 2" xfId="24738"/>
    <cellStyle name="Normal 2 4 2 2 2 11" xfId="24739"/>
    <cellStyle name="Normal 2 4 2 2 2 11 2" xfId="24740"/>
    <cellStyle name="Normal 2 4 2 2 2 12" xfId="24741"/>
    <cellStyle name="Normal 2 4 2 2 2 12 2" xfId="24742"/>
    <cellStyle name="Normal 2 4 2 2 2 13" xfId="24743"/>
    <cellStyle name="Normal 2 4 2 2 2 13 2" xfId="24744"/>
    <cellStyle name="Normal 2 4 2 2 2 14" xfId="24745"/>
    <cellStyle name="Normal 2 4 2 2 2 14 2" xfId="24746"/>
    <cellStyle name="Normal 2 4 2 2 2 15" xfId="24747"/>
    <cellStyle name="Normal 2 4 2 2 2 15 2" xfId="24748"/>
    <cellStyle name="Normal 2 4 2 2 2 16" xfId="24749"/>
    <cellStyle name="Normal 2 4 2 2 2 16 2" xfId="24750"/>
    <cellStyle name="Normal 2 4 2 2 2 17" xfId="24751"/>
    <cellStyle name="Normal 2 4 2 2 2 2" xfId="720"/>
    <cellStyle name="Normal 2 4 2 2 2 2 2" xfId="721"/>
    <cellStyle name="Normal 2 4 2 2 2 2 2 10" xfId="24752"/>
    <cellStyle name="Normal 2 4 2 2 2 2 2 10 2" xfId="24753"/>
    <cellStyle name="Normal 2 4 2 2 2 2 2 11" xfId="24754"/>
    <cellStyle name="Normal 2 4 2 2 2 2 2 11 2" xfId="24755"/>
    <cellStyle name="Normal 2 4 2 2 2 2 2 12" xfId="24756"/>
    <cellStyle name="Normal 2 4 2 2 2 2 2 12 2" xfId="24757"/>
    <cellStyle name="Normal 2 4 2 2 2 2 2 13" xfId="24758"/>
    <cellStyle name="Normal 2 4 2 2 2 2 2 2" xfId="24759"/>
    <cellStyle name="Normal 2 4 2 2 2 2 2 2 10" xfId="24760"/>
    <cellStyle name="Normal 2 4 2 2 2 2 2 2 10 2" xfId="24761"/>
    <cellStyle name="Normal 2 4 2 2 2 2 2 2 11" xfId="24762"/>
    <cellStyle name="Normal 2 4 2 2 2 2 2 2 11 2" xfId="24763"/>
    <cellStyle name="Normal 2 4 2 2 2 2 2 2 12" xfId="24764"/>
    <cellStyle name="Normal 2 4 2 2 2 2 2 2 2" xfId="24765"/>
    <cellStyle name="Normal 2 4 2 2 2 2 2 2 2 10" xfId="24766"/>
    <cellStyle name="Normal 2 4 2 2 2 2 2 2 2 10 2" xfId="24767"/>
    <cellStyle name="Normal 2 4 2 2 2 2 2 2 2 11" xfId="24768"/>
    <cellStyle name="Normal 2 4 2 2 2 2 2 2 2 2" xfId="24769"/>
    <cellStyle name="Normal 2 4 2 2 2 2 2 2 2 2 2" xfId="24770"/>
    <cellStyle name="Normal 2 4 2 2 2 2 2 2 2 3" xfId="24771"/>
    <cellStyle name="Normal 2 4 2 2 2 2 2 2 2 3 2" xfId="24772"/>
    <cellStyle name="Normal 2 4 2 2 2 2 2 2 2 4" xfId="24773"/>
    <cellStyle name="Normal 2 4 2 2 2 2 2 2 2 4 2" xfId="24774"/>
    <cellStyle name="Normal 2 4 2 2 2 2 2 2 2 5" xfId="24775"/>
    <cellStyle name="Normal 2 4 2 2 2 2 2 2 2 5 2" xfId="24776"/>
    <cellStyle name="Normal 2 4 2 2 2 2 2 2 2 6" xfId="24777"/>
    <cellStyle name="Normal 2 4 2 2 2 2 2 2 2 6 2" xfId="24778"/>
    <cellStyle name="Normal 2 4 2 2 2 2 2 2 2 7" xfId="24779"/>
    <cellStyle name="Normal 2 4 2 2 2 2 2 2 2 7 2" xfId="24780"/>
    <cellStyle name="Normal 2 4 2 2 2 2 2 2 2 8" xfId="24781"/>
    <cellStyle name="Normal 2 4 2 2 2 2 2 2 2 8 2" xfId="24782"/>
    <cellStyle name="Normal 2 4 2 2 2 2 2 2 2 9" xfId="24783"/>
    <cellStyle name="Normal 2 4 2 2 2 2 2 2 2 9 2" xfId="24784"/>
    <cellStyle name="Normal 2 4 2 2 2 2 2 2 3" xfId="24785"/>
    <cellStyle name="Normal 2 4 2 2 2 2 2 2 3 2" xfId="24786"/>
    <cellStyle name="Normal 2 4 2 2 2 2 2 2 4" xfId="24787"/>
    <cellStyle name="Normal 2 4 2 2 2 2 2 2 4 2" xfId="24788"/>
    <cellStyle name="Normal 2 4 2 2 2 2 2 2 5" xfId="24789"/>
    <cellStyle name="Normal 2 4 2 2 2 2 2 2 5 2" xfId="24790"/>
    <cellStyle name="Normal 2 4 2 2 2 2 2 2 6" xfId="24791"/>
    <cellStyle name="Normal 2 4 2 2 2 2 2 2 6 2" xfId="24792"/>
    <cellStyle name="Normal 2 4 2 2 2 2 2 2 7" xfId="24793"/>
    <cellStyle name="Normal 2 4 2 2 2 2 2 2 7 2" xfId="24794"/>
    <cellStyle name="Normal 2 4 2 2 2 2 2 2 8" xfId="24795"/>
    <cellStyle name="Normal 2 4 2 2 2 2 2 2 8 2" xfId="24796"/>
    <cellStyle name="Normal 2 4 2 2 2 2 2 2 9" xfId="24797"/>
    <cellStyle name="Normal 2 4 2 2 2 2 2 2 9 2" xfId="24798"/>
    <cellStyle name="Normal 2 4 2 2 2 2 2 3" xfId="24799"/>
    <cellStyle name="Normal 2 4 2 2 2 2 2 3 10" xfId="24800"/>
    <cellStyle name="Normal 2 4 2 2 2 2 2 3 10 2" xfId="24801"/>
    <cellStyle name="Normal 2 4 2 2 2 2 2 3 11" xfId="24802"/>
    <cellStyle name="Normal 2 4 2 2 2 2 2 3 2" xfId="24803"/>
    <cellStyle name="Normal 2 4 2 2 2 2 2 3 2 2" xfId="24804"/>
    <cellStyle name="Normal 2 4 2 2 2 2 2 3 3" xfId="24805"/>
    <cellStyle name="Normal 2 4 2 2 2 2 2 3 3 2" xfId="24806"/>
    <cellStyle name="Normal 2 4 2 2 2 2 2 3 4" xfId="24807"/>
    <cellStyle name="Normal 2 4 2 2 2 2 2 3 4 2" xfId="24808"/>
    <cellStyle name="Normal 2 4 2 2 2 2 2 3 5" xfId="24809"/>
    <cellStyle name="Normal 2 4 2 2 2 2 2 3 5 2" xfId="24810"/>
    <cellStyle name="Normal 2 4 2 2 2 2 2 3 6" xfId="24811"/>
    <cellStyle name="Normal 2 4 2 2 2 2 2 3 6 2" xfId="24812"/>
    <cellStyle name="Normal 2 4 2 2 2 2 2 3 7" xfId="24813"/>
    <cellStyle name="Normal 2 4 2 2 2 2 2 3 7 2" xfId="24814"/>
    <cellStyle name="Normal 2 4 2 2 2 2 2 3 8" xfId="24815"/>
    <cellStyle name="Normal 2 4 2 2 2 2 2 3 8 2" xfId="24816"/>
    <cellStyle name="Normal 2 4 2 2 2 2 2 3 9" xfId="24817"/>
    <cellStyle name="Normal 2 4 2 2 2 2 2 3 9 2" xfId="24818"/>
    <cellStyle name="Normal 2 4 2 2 2 2 2 4" xfId="24819"/>
    <cellStyle name="Normal 2 4 2 2 2 2 2 4 2" xfId="24820"/>
    <cellStyle name="Normal 2 4 2 2 2 2 2 5" xfId="24821"/>
    <cellStyle name="Normal 2 4 2 2 2 2 2 5 2" xfId="24822"/>
    <cellStyle name="Normal 2 4 2 2 2 2 2 6" xfId="24823"/>
    <cellStyle name="Normal 2 4 2 2 2 2 2 6 2" xfId="24824"/>
    <cellStyle name="Normal 2 4 2 2 2 2 2 7" xfId="24825"/>
    <cellStyle name="Normal 2 4 2 2 2 2 2 7 2" xfId="24826"/>
    <cellStyle name="Normal 2 4 2 2 2 2 2 8" xfId="24827"/>
    <cellStyle name="Normal 2 4 2 2 2 2 2 8 2" xfId="24828"/>
    <cellStyle name="Normal 2 4 2 2 2 2 2 9" xfId="24829"/>
    <cellStyle name="Normal 2 4 2 2 2 2 2 9 2" xfId="24830"/>
    <cellStyle name="Normal 2 4 2 2 2 2 3" xfId="722"/>
    <cellStyle name="Normal 2 4 2 2 2 2 3 10" xfId="24831"/>
    <cellStyle name="Normal 2 4 2 2 2 2 3 10 2" xfId="24832"/>
    <cellStyle name="Normal 2 4 2 2 2 2 3 11" xfId="24833"/>
    <cellStyle name="Normal 2 4 2 2 2 2 3 11 2" xfId="24834"/>
    <cellStyle name="Normal 2 4 2 2 2 2 3 12" xfId="24835"/>
    <cellStyle name="Normal 2 4 2 2 2 2 3 12 2" xfId="24836"/>
    <cellStyle name="Normal 2 4 2 2 2 2 3 13" xfId="24837"/>
    <cellStyle name="Normal 2 4 2 2 2 2 3 2" xfId="24838"/>
    <cellStyle name="Normal 2 4 2 2 2 2 3 2 10" xfId="24839"/>
    <cellStyle name="Normal 2 4 2 2 2 2 3 2 10 2" xfId="24840"/>
    <cellStyle name="Normal 2 4 2 2 2 2 3 2 11" xfId="24841"/>
    <cellStyle name="Normal 2 4 2 2 2 2 3 2 11 2" xfId="24842"/>
    <cellStyle name="Normal 2 4 2 2 2 2 3 2 12" xfId="24843"/>
    <cellStyle name="Normal 2 4 2 2 2 2 3 2 2" xfId="24844"/>
    <cellStyle name="Normal 2 4 2 2 2 2 3 2 2 10" xfId="24845"/>
    <cellStyle name="Normal 2 4 2 2 2 2 3 2 2 10 2" xfId="24846"/>
    <cellStyle name="Normal 2 4 2 2 2 2 3 2 2 11" xfId="24847"/>
    <cellStyle name="Normal 2 4 2 2 2 2 3 2 2 2" xfId="24848"/>
    <cellStyle name="Normal 2 4 2 2 2 2 3 2 2 2 2" xfId="24849"/>
    <cellStyle name="Normal 2 4 2 2 2 2 3 2 2 3" xfId="24850"/>
    <cellStyle name="Normal 2 4 2 2 2 2 3 2 2 3 2" xfId="24851"/>
    <cellStyle name="Normal 2 4 2 2 2 2 3 2 2 4" xfId="24852"/>
    <cellStyle name="Normal 2 4 2 2 2 2 3 2 2 4 2" xfId="24853"/>
    <cellStyle name="Normal 2 4 2 2 2 2 3 2 2 5" xfId="24854"/>
    <cellStyle name="Normal 2 4 2 2 2 2 3 2 2 5 2" xfId="24855"/>
    <cellStyle name="Normal 2 4 2 2 2 2 3 2 2 6" xfId="24856"/>
    <cellStyle name="Normal 2 4 2 2 2 2 3 2 2 6 2" xfId="24857"/>
    <cellStyle name="Normal 2 4 2 2 2 2 3 2 2 7" xfId="24858"/>
    <cellStyle name="Normal 2 4 2 2 2 2 3 2 2 7 2" xfId="24859"/>
    <cellStyle name="Normal 2 4 2 2 2 2 3 2 2 8" xfId="24860"/>
    <cellStyle name="Normal 2 4 2 2 2 2 3 2 2 8 2" xfId="24861"/>
    <cellStyle name="Normal 2 4 2 2 2 2 3 2 2 9" xfId="24862"/>
    <cellStyle name="Normal 2 4 2 2 2 2 3 2 2 9 2" xfId="24863"/>
    <cellStyle name="Normal 2 4 2 2 2 2 3 2 3" xfId="24864"/>
    <cellStyle name="Normal 2 4 2 2 2 2 3 2 3 2" xfId="24865"/>
    <cellStyle name="Normal 2 4 2 2 2 2 3 2 4" xfId="24866"/>
    <cellStyle name="Normal 2 4 2 2 2 2 3 2 4 2" xfId="24867"/>
    <cellStyle name="Normal 2 4 2 2 2 2 3 2 5" xfId="24868"/>
    <cellStyle name="Normal 2 4 2 2 2 2 3 2 5 2" xfId="24869"/>
    <cellStyle name="Normal 2 4 2 2 2 2 3 2 6" xfId="24870"/>
    <cellStyle name="Normal 2 4 2 2 2 2 3 2 6 2" xfId="24871"/>
    <cellStyle name="Normal 2 4 2 2 2 2 3 2 7" xfId="24872"/>
    <cellStyle name="Normal 2 4 2 2 2 2 3 2 7 2" xfId="24873"/>
    <cellStyle name="Normal 2 4 2 2 2 2 3 2 8" xfId="24874"/>
    <cellStyle name="Normal 2 4 2 2 2 2 3 2 8 2" xfId="24875"/>
    <cellStyle name="Normal 2 4 2 2 2 2 3 2 9" xfId="24876"/>
    <cellStyle name="Normal 2 4 2 2 2 2 3 2 9 2" xfId="24877"/>
    <cellStyle name="Normal 2 4 2 2 2 2 3 3" xfId="24878"/>
    <cellStyle name="Normal 2 4 2 2 2 2 3 3 10" xfId="24879"/>
    <cellStyle name="Normal 2 4 2 2 2 2 3 3 10 2" xfId="24880"/>
    <cellStyle name="Normal 2 4 2 2 2 2 3 3 11" xfId="24881"/>
    <cellStyle name="Normal 2 4 2 2 2 2 3 3 2" xfId="24882"/>
    <cellStyle name="Normal 2 4 2 2 2 2 3 3 2 2" xfId="24883"/>
    <cellStyle name="Normal 2 4 2 2 2 2 3 3 3" xfId="24884"/>
    <cellStyle name="Normal 2 4 2 2 2 2 3 3 3 2" xfId="24885"/>
    <cellStyle name="Normal 2 4 2 2 2 2 3 3 4" xfId="24886"/>
    <cellStyle name="Normal 2 4 2 2 2 2 3 3 4 2" xfId="24887"/>
    <cellStyle name="Normal 2 4 2 2 2 2 3 3 5" xfId="24888"/>
    <cellStyle name="Normal 2 4 2 2 2 2 3 3 5 2" xfId="24889"/>
    <cellStyle name="Normal 2 4 2 2 2 2 3 3 6" xfId="24890"/>
    <cellStyle name="Normal 2 4 2 2 2 2 3 3 6 2" xfId="24891"/>
    <cellStyle name="Normal 2 4 2 2 2 2 3 3 7" xfId="24892"/>
    <cellStyle name="Normal 2 4 2 2 2 2 3 3 7 2" xfId="24893"/>
    <cellStyle name="Normal 2 4 2 2 2 2 3 3 8" xfId="24894"/>
    <cellStyle name="Normal 2 4 2 2 2 2 3 3 8 2" xfId="24895"/>
    <cellStyle name="Normal 2 4 2 2 2 2 3 3 9" xfId="24896"/>
    <cellStyle name="Normal 2 4 2 2 2 2 3 3 9 2" xfId="24897"/>
    <cellStyle name="Normal 2 4 2 2 2 2 3 4" xfId="24898"/>
    <cellStyle name="Normal 2 4 2 2 2 2 3 4 2" xfId="24899"/>
    <cellStyle name="Normal 2 4 2 2 2 2 3 5" xfId="24900"/>
    <cellStyle name="Normal 2 4 2 2 2 2 3 5 2" xfId="24901"/>
    <cellStyle name="Normal 2 4 2 2 2 2 3 6" xfId="24902"/>
    <cellStyle name="Normal 2 4 2 2 2 2 3 6 2" xfId="24903"/>
    <cellStyle name="Normal 2 4 2 2 2 2 3 7" xfId="24904"/>
    <cellStyle name="Normal 2 4 2 2 2 2 3 7 2" xfId="24905"/>
    <cellStyle name="Normal 2 4 2 2 2 2 3 8" xfId="24906"/>
    <cellStyle name="Normal 2 4 2 2 2 2 3 8 2" xfId="24907"/>
    <cellStyle name="Normal 2 4 2 2 2 2 3 9" xfId="24908"/>
    <cellStyle name="Normal 2 4 2 2 2 2 3 9 2" xfId="24909"/>
    <cellStyle name="Normal 2 4 2 2 2 2 4" xfId="723"/>
    <cellStyle name="Normal 2 4 2 2 2 2 4 10" xfId="24910"/>
    <cellStyle name="Normal 2 4 2 2 2 2 4 10 2" xfId="24911"/>
    <cellStyle name="Normal 2 4 2 2 2 2 4 11" xfId="24912"/>
    <cellStyle name="Normal 2 4 2 2 2 2 4 11 2" xfId="24913"/>
    <cellStyle name="Normal 2 4 2 2 2 2 4 12" xfId="24914"/>
    <cellStyle name="Normal 2 4 2 2 2 2 4 12 2" xfId="24915"/>
    <cellStyle name="Normal 2 4 2 2 2 2 4 13" xfId="24916"/>
    <cellStyle name="Normal 2 4 2 2 2 2 4 2" xfId="24917"/>
    <cellStyle name="Normal 2 4 2 2 2 2 4 2 10" xfId="24918"/>
    <cellStyle name="Normal 2 4 2 2 2 2 4 2 10 2" xfId="24919"/>
    <cellStyle name="Normal 2 4 2 2 2 2 4 2 11" xfId="24920"/>
    <cellStyle name="Normal 2 4 2 2 2 2 4 2 11 2" xfId="24921"/>
    <cellStyle name="Normal 2 4 2 2 2 2 4 2 12" xfId="24922"/>
    <cellStyle name="Normal 2 4 2 2 2 2 4 2 2" xfId="24923"/>
    <cellStyle name="Normal 2 4 2 2 2 2 4 2 2 10" xfId="24924"/>
    <cellStyle name="Normal 2 4 2 2 2 2 4 2 2 10 2" xfId="24925"/>
    <cellStyle name="Normal 2 4 2 2 2 2 4 2 2 11" xfId="24926"/>
    <cellStyle name="Normal 2 4 2 2 2 2 4 2 2 2" xfId="24927"/>
    <cellStyle name="Normal 2 4 2 2 2 2 4 2 2 2 2" xfId="24928"/>
    <cellStyle name="Normal 2 4 2 2 2 2 4 2 2 3" xfId="24929"/>
    <cellStyle name="Normal 2 4 2 2 2 2 4 2 2 3 2" xfId="24930"/>
    <cellStyle name="Normal 2 4 2 2 2 2 4 2 2 4" xfId="24931"/>
    <cellStyle name="Normal 2 4 2 2 2 2 4 2 2 4 2" xfId="24932"/>
    <cellStyle name="Normal 2 4 2 2 2 2 4 2 2 5" xfId="24933"/>
    <cellStyle name="Normal 2 4 2 2 2 2 4 2 2 5 2" xfId="24934"/>
    <cellStyle name="Normal 2 4 2 2 2 2 4 2 2 6" xfId="24935"/>
    <cellStyle name="Normal 2 4 2 2 2 2 4 2 2 6 2" xfId="24936"/>
    <cellStyle name="Normal 2 4 2 2 2 2 4 2 2 7" xfId="24937"/>
    <cellStyle name="Normal 2 4 2 2 2 2 4 2 2 7 2" xfId="24938"/>
    <cellStyle name="Normal 2 4 2 2 2 2 4 2 2 8" xfId="24939"/>
    <cellStyle name="Normal 2 4 2 2 2 2 4 2 2 8 2" xfId="24940"/>
    <cellStyle name="Normal 2 4 2 2 2 2 4 2 2 9" xfId="24941"/>
    <cellStyle name="Normal 2 4 2 2 2 2 4 2 2 9 2" xfId="24942"/>
    <cellStyle name="Normal 2 4 2 2 2 2 4 2 3" xfId="24943"/>
    <cellStyle name="Normal 2 4 2 2 2 2 4 2 3 2" xfId="24944"/>
    <cellStyle name="Normal 2 4 2 2 2 2 4 2 4" xfId="24945"/>
    <cellStyle name="Normal 2 4 2 2 2 2 4 2 4 2" xfId="24946"/>
    <cellStyle name="Normal 2 4 2 2 2 2 4 2 5" xfId="24947"/>
    <cellStyle name="Normal 2 4 2 2 2 2 4 2 5 2" xfId="24948"/>
    <cellStyle name="Normal 2 4 2 2 2 2 4 2 6" xfId="24949"/>
    <cellStyle name="Normal 2 4 2 2 2 2 4 2 6 2" xfId="24950"/>
    <cellStyle name="Normal 2 4 2 2 2 2 4 2 7" xfId="24951"/>
    <cellStyle name="Normal 2 4 2 2 2 2 4 2 7 2" xfId="24952"/>
    <cellStyle name="Normal 2 4 2 2 2 2 4 2 8" xfId="24953"/>
    <cellStyle name="Normal 2 4 2 2 2 2 4 2 8 2" xfId="24954"/>
    <cellStyle name="Normal 2 4 2 2 2 2 4 2 9" xfId="24955"/>
    <cellStyle name="Normal 2 4 2 2 2 2 4 2 9 2" xfId="24956"/>
    <cellStyle name="Normal 2 4 2 2 2 2 4 3" xfId="24957"/>
    <cellStyle name="Normal 2 4 2 2 2 2 4 3 10" xfId="24958"/>
    <cellStyle name="Normal 2 4 2 2 2 2 4 3 10 2" xfId="24959"/>
    <cellStyle name="Normal 2 4 2 2 2 2 4 3 11" xfId="24960"/>
    <cellStyle name="Normal 2 4 2 2 2 2 4 3 2" xfId="24961"/>
    <cellStyle name="Normal 2 4 2 2 2 2 4 3 2 2" xfId="24962"/>
    <cellStyle name="Normal 2 4 2 2 2 2 4 3 3" xfId="24963"/>
    <cellStyle name="Normal 2 4 2 2 2 2 4 3 3 2" xfId="24964"/>
    <cellStyle name="Normal 2 4 2 2 2 2 4 3 4" xfId="24965"/>
    <cellStyle name="Normal 2 4 2 2 2 2 4 3 4 2" xfId="24966"/>
    <cellStyle name="Normal 2 4 2 2 2 2 4 3 5" xfId="24967"/>
    <cellStyle name="Normal 2 4 2 2 2 2 4 3 5 2" xfId="24968"/>
    <cellStyle name="Normal 2 4 2 2 2 2 4 3 6" xfId="24969"/>
    <cellStyle name="Normal 2 4 2 2 2 2 4 3 6 2" xfId="24970"/>
    <cellStyle name="Normal 2 4 2 2 2 2 4 3 7" xfId="24971"/>
    <cellStyle name="Normal 2 4 2 2 2 2 4 3 7 2" xfId="24972"/>
    <cellStyle name="Normal 2 4 2 2 2 2 4 3 8" xfId="24973"/>
    <cellStyle name="Normal 2 4 2 2 2 2 4 3 8 2" xfId="24974"/>
    <cellStyle name="Normal 2 4 2 2 2 2 4 3 9" xfId="24975"/>
    <cellStyle name="Normal 2 4 2 2 2 2 4 3 9 2" xfId="24976"/>
    <cellStyle name="Normal 2 4 2 2 2 2 4 4" xfId="24977"/>
    <cellStyle name="Normal 2 4 2 2 2 2 4 4 2" xfId="24978"/>
    <cellStyle name="Normal 2 4 2 2 2 2 4 5" xfId="24979"/>
    <cellStyle name="Normal 2 4 2 2 2 2 4 5 2" xfId="24980"/>
    <cellStyle name="Normal 2 4 2 2 2 2 4 6" xfId="24981"/>
    <cellStyle name="Normal 2 4 2 2 2 2 4 6 2" xfId="24982"/>
    <cellStyle name="Normal 2 4 2 2 2 2 4 7" xfId="24983"/>
    <cellStyle name="Normal 2 4 2 2 2 2 4 7 2" xfId="24984"/>
    <cellStyle name="Normal 2 4 2 2 2 2 4 8" xfId="24985"/>
    <cellStyle name="Normal 2 4 2 2 2 2 4 8 2" xfId="24986"/>
    <cellStyle name="Normal 2 4 2 2 2 2 4 9" xfId="24987"/>
    <cellStyle name="Normal 2 4 2 2 2 2 4 9 2" xfId="24988"/>
    <cellStyle name="Normal 2 4 2 2 2 2 5" xfId="724"/>
    <cellStyle name="Normal 2 4 2 2 2 2 5 10" xfId="24989"/>
    <cellStyle name="Normal 2 4 2 2 2 2 5 10 2" xfId="24990"/>
    <cellStyle name="Normal 2 4 2 2 2 2 5 11" xfId="24991"/>
    <cellStyle name="Normal 2 4 2 2 2 2 5 11 2" xfId="24992"/>
    <cellStyle name="Normal 2 4 2 2 2 2 5 12" xfId="24993"/>
    <cellStyle name="Normal 2 4 2 2 2 2 5 12 2" xfId="24994"/>
    <cellStyle name="Normal 2 4 2 2 2 2 5 13" xfId="24995"/>
    <cellStyle name="Normal 2 4 2 2 2 2 5 2" xfId="24996"/>
    <cellStyle name="Normal 2 4 2 2 2 2 5 2 10" xfId="24997"/>
    <cellStyle name="Normal 2 4 2 2 2 2 5 2 10 2" xfId="24998"/>
    <cellStyle name="Normal 2 4 2 2 2 2 5 2 11" xfId="24999"/>
    <cellStyle name="Normal 2 4 2 2 2 2 5 2 11 2" xfId="25000"/>
    <cellStyle name="Normal 2 4 2 2 2 2 5 2 12" xfId="25001"/>
    <cellStyle name="Normal 2 4 2 2 2 2 5 2 2" xfId="25002"/>
    <cellStyle name="Normal 2 4 2 2 2 2 5 2 2 10" xfId="25003"/>
    <cellStyle name="Normal 2 4 2 2 2 2 5 2 2 10 2" xfId="25004"/>
    <cellStyle name="Normal 2 4 2 2 2 2 5 2 2 11" xfId="25005"/>
    <cellStyle name="Normal 2 4 2 2 2 2 5 2 2 2" xfId="25006"/>
    <cellStyle name="Normal 2 4 2 2 2 2 5 2 2 2 2" xfId="25007"/>
    <cellStyle name="Normal 2 4 2 2 2 2 5 2 2 3" xfId="25008"/>
    <cellStyle name="Normal 2 4 2 2 2 2 5 2 2 3 2" xfId="25009"/>
    <cellStyle name="Normal 2 4 2 2 2 2 5 2 2 4" xfId="25010"/>
    <cellStyle name="Normal 2 4 2 2 2 2 5 2 2 4 2" xfId="25011"/>
    <cellStyle name="Normal 2 4 2 2 2 2 5 2 2 5" xfId="25012"/>
    <cellStyle name="Normal 2 4 2 2 2 2 5 2 2 5 2" xfId="25013"/>
    <cellStyle name="Normal 2 4 2 2 2 2 5 2 2 6" xfId="25014"/>
    <cellStyle name="Normal 2 4 2 2 2 2 5 2 2 6 2" xfId="25015"/>
    <cellStyle name="Normal 2 4 2 2 2 2 5 2 2 7" xfId="25016"/>
    <cellStyle name="Normal 2 4 2 2 2 2 5 2 2 7 2" xfId="25017"/>
    <cellStyle name="Normal 2 4 2 2 2 2 5 2 2 8" xfId="25018"/>
    <cellStyle name="Normal 2 4 2 2 2 2 5 2 2 8 2" xfId="25019"/>
    <cellStyle name="Normal 2 4 2 2 2 2 5 2 2 9" xfId="25020"/>
    <cellStyle name="Normal 2 4 2 2 2 2 5 2 2 9 2" xfId="25021"/>
    <cellStyle name="Normal 2 4 2 2 2 2 5 2 3" xfId="25022"/>
    <cellStyle name="Normal 2 4 2 2 2 2 5 2 3 2" xfId="25023"/>
    <cellStyle name="Normal 2 4 2 2 2 2 5 2 4" xfId="25024"/>
    <cellStyle name="Normal 2 4 2 2 2 2 5 2 4 2" xfId="25025"/>
    <cellStyle name="Normal 2 4 2 2 2 2 5 2 5" xfId="25026"/>
    <cellStyle name="Normal 2 4 2 2 2 2 5 2 5 2" xfId="25027"/>
    <cellStyle name="Normal 2 4 2 2 2 2 5 2 6" xfId="25028"/>
    <cellStyle name="Normal 2 4 2 2 2 2 5 2 6 2" xfId="25029"/>
    <cellStyle name="Normal 2 4 2 2 2 2 5 2 7" xfId="25030"/>
    <cellStyle name="Normal 2 4 2 2 2 2 5 2 7 2" xfId="25031"/>
    <cellStyle name="Normal 2 4 2 2 2 2 5 2 8" xfId="25032"/>
    <cellStyle name="Normal 2 4 2 2 2 2 5 2 8 2" xfId="25033"/>
    <cellStyle name="Normal 2 4 2 2 2 2 5 2 9" xfId="25034"/>
    <cellStyle name="Normal 2 4 2 2 2 2 5 2 9 2" xfId="25035"/>
    <cellStyle name="Normal 2 4 2 2 2 2 5 3" xfId="25036"/>
    <cellStyle name="Normal 2 4 2 2 2 2 5 3 10" xfId="25037"/>
    <cellStyle name="Normal 2 4 2 2 2 2 5 3 10 2" xfId="25038"/>
    <cellStyle name="Normal 2 4 2 2 2 2 5 3 11" xfId="25039"/>
    <cellStyle name="Normal 2 4 2 2 2 2 5 3 2" xfId="25040"/>
    <cellStyle name="Normal 2 4 2 2 2 2 5 3 2 2" xfId="25041"/>
    <cellStyle name="Normal 2 4 2 2 2 2 5 3 3" xfId="25042"/>
    <cellStyle name="Normal 2 4 2 2 2 2 5 3 3 2" xfId="25043"/>
    <cellStyle name="Normal 2 4 2 2 2 2 5 3 4" xfId="25044"/>
    <cellStyle name="Normal 2 4 2 2 2 2 5 3 4 2" xfId="25045"/>
    <cellStyle name="Normal 2 4 2 2 2 2 5 3 5" xfId="25046"/>
    <cellStyle name="Normal 2 4 2 2 2 2 5 3 5 2" xfId="25047"/>
    <cellStyle name="Normal 2 4 2 2 2 2 5 3 6" xfId="25048"/>
    <cellStyle name="Normal 2 4 2 2 2 2 5 3 6 2" xfId="25049"/>
    <cellStyle name="Normal 2 4 2 2 2 2 5 3 7" xfId="25050"/>
    <cellStyle name="Normal 2 4 2 2 2 2 5 3 7 2" xfId="25051"/>
    <cellStyle name="Normal 2 4 2 2 2 2 5 3 8" xfId="25052"/>
    <cellStyle name="Normal 2 4 2 2 2 2 5 3 8 2" xfId="25053"/>
    <cellStyle name="Normal 2 4 2 2 2 2 5 3 9" xfId="25054"/>
    <cellStyle name="Normal 2 4 2 2 2 2 5 3 9 2" xfId="25055"/>
    <cellStyle name="Normal 2 4 2 2 2 2 5 4" xfId="25056"/>
    <cellStyle name="Normal 2 4 2 2 2 2 5 4 2" xfId="25057"/>
    <cellStyle name="Normal 2 4 2 2 2 2 5 5" xfId="25058"/>
    <cellStyle name="Normal 2 4 2 2 2 2 5 5 2" xfId="25059"/>
    <cellStyle name="Normal 2 4 2 2 2 2 5 6" xfId="25060"/>
    <cellStyle name="Normal 2 4 2 2 2 2 5 6 2" xfId="25061"/>
    <cellStyle name="Normal 2 4 2 2 2 2 5 7" xfId="25062"/>
    <cellStyle name="Normal 2 4 2 2 2 2 5 7 2" xfId="25063"/>
    <cellStyle name="Normal 2 4 2 2 2 2 5 8" xfId="25064"/>
    <cellStyle name="Normal 2 4 2 2 2 2 5 8 2" xfId="25065"/>
    <cellStyle name="Normal 2 4 2 2 2 2 5 9" xfId="25066"/>
    <cellStyle name="Normal 2 4 2 2 2 2 5 9 2" xfId="25067"/>
    <cellStyle name="Normal 2 4 2 2 2 2 6" xfId="725"/>
    <cellStyle name="Normal 2 4 2 2 2 3" xfId="726"/>
    <cellStyle name="Normal 2 4 2 2 2 3 2" xfId="727"/>
    <cellStyle name="Normal 2 4 2 2 2 4" xfId="728"/>
    <cellStyle name="Normal 2 4 2 2 2 4 2" xfId="729"/>
    <cellStyle name="Normal 2 4 2 2 2 5" xfId="730"/>
    <cellStyle name="Normal 2 4 2 2 2 5 2" xfId="731"/>
    <cellStyle name="Normal 2 4 2 2 2 6" xfId="25068"/>
    <cellStyle name="Normal 2 4 2 2 2 6 10" xfId="25069"/>
    <cellStyle name="Normal 2 4 2 2 2 6 10 2" xfId="25070"/>
    <cellStyle name="Normal 2 4 2 2 2 6 11" xfId="25071"/>
    <cellStyle name="Normal 2 4 2 2 2 6 11 2" xfId="25072"/>
    <cellStyle name="Normal 2 4 2 2 2 6 12" xfId="25073"/>
    <cellStyle name="Normal 2 4 2 2 2 6 2" xfId="25074"/>
    <cellStyle name="Normal 2 4 2 2 2 6 2 10" xfId="25075"/>
    <cellStyle name="Normal 2 4 2 2 2 6 2 10 2" xfId="25076"/>
    <cellStyle name="Normal 2 4 2 2 2 6 2 11" xfId="25077"/>
    <cellStyle name="Normal 2 4 2 2 2 6 2 2" xfId="25078"/>
    <cellStyle name="Normal 2 4 2 2 2 6 2 2 2" xfId="25079"/>
    <cellStyle name="Normal 2 4 2 2 2 6 2 3" xfId="25080"/>
    <cellStyle name="Normal 2 4 2 2 2 6 2 3 2" xfId="25081"/>
    <cellStyle name="Normal 2 4 2 2 2 6 2 4" xfId="25082"/>
    <cellStyle name="Normal 2 4 2 2 2 6 2 4 2" xfId="25083"/>
    <cellStyle name="Normal 2 4 2 2 2 6 2 5" xfId="25084"/>
    <cellStyle name="Normal 2 4 2 2 2 6 2 5 2" xfId="25085"/>
    <cellStyle name="Normal 2 4 2 2 2 6 2 6" xfId="25086"/>
    <cellStyle name="Normal 2 4 2 2 2 6 2 6 2" xfId="25087"/>
    <cellStyle name="Normal 2 4 2 2 2 6 2 7" xfId="25088"/>
    <cellStyle name="Normal 2 4 2 2 2 6 2 7 2" xfId="25089"/>
    <cellStyle name="Normal 2 4 2 2 2 6 2 8" xfId="25090"/>
    <cellStyle name="Normal 2 4 2 2 2 6 2 8 2" xfId="25091"/>
    <cellStyle name="Normal 2 4 2 2 2 6 2 9" xfId="25092"/>
    <cellStyle name="Normal 2 4 2 2 2 6 2 9 2" xfId="25093"/>
    <cellStyle name="Normal 2 4 2 2 2 6 3" xfId="25094"/>
    <cellStyle name="Normal 2 4 2 2 2 6 3 2" xfId="25095"/>
    <cellStyle name="Normal 2 4 2 2 2 6 4" xfId="25096"/>
    <cellStyle name="Normal 2 4 2 2 2 6 4 2" xfId="25097"/>
    <cellStyle name="Normal 2 4 2 2 2 6 5" xfId="25098"/>
    <cellStyle name="Normal 2 4 2 2 2 6 5 2" xfId="25099"/>
    <cellStyle name="Normal 2 4 2 2 2 6 6" xfId="25100"/>
    <cellStyle name="Normal 2 4 2 2 2 6 6 2" xfId="25101"/>
    <cellStyle name="Normal 2 4 2 2 2 6 7" xfId="25102"/>
    <cellStyle name="Normal 2 4 2 2 2 6 7 2" xfId="25103"/>
    <cellStyle name="Normal 2 4 2 2 2 6 8" xfId="25104"/>
    <cellStyle name="Normal 2 4 2 2 2 6 8 2" xfId="25105"/>
    <cellStyle name="Normal 2 4 2 2 2 6 9" xfId="25106"/>
    <cellStyle name="Normal 2 4 2 2 2 6 9 2" xfId="25107"/>
    <cellStyle name="Normal 2 4 2 2 2 7" xfId="25108"/>
    <cellStyle name="Normal 2 4 2 2 2 7 10" xfId="25109"/>
    <cellStyle name="Normal 2 4 2 2 2 7 10 2" xfId="25110"/>
    <cellStyle name="Normal 2 4 2 2 2 7 11" xfId="25111"/>
    <cellStyle name="Normal 2 4 2 2 2 7 2" xfId="25112"/>
    <cellStyle name="Normal 2 4 2 2 2 7 2 2" xfId="25113"/>
    <cellStyle name="Normal 2 4 2 2 2 7 3" xfId="25114"/>
    <cellStyle name="Normal 2 4 2 2 2 7 3 2" xfId="25115"/>
    <cellStyle name="Normal 2 4 2 2 2 7 4" xfId="25116"/>
    <cellStyle name="Normal 2 4 2 2 2 7 4 2" xfId="25117"/>
    <cellStyle name="Normal 2 4 2 2 2 7 5" xfId="25118"/>
    <cellStyle name="Normal 2 4 2 2 2 7 5 2" xfId="25119"/>
    <cellStyle name="Normal 2 4 2 2 2 7 6" xfId="25120"/>
    <cellStyle name="Normal 2 4 2 2 2 7 6 2" xfId="25121"/>
    <cellStyle name="Normal 2 4 2 2 2 7 7" xfId="25122"/>
    <cellStyle name="Normal 2 4 2 2 2 7 7 2" xfId="25123"/>
    <cellStyle name="Normal 2 4 2 2 2 7 8" xfId="25124"/>
    <cellStyle name="Normal 2 4 2 2 2 7 8 2" xfId="25125"/>
    <cellStyle name="Normal 2 4 2 2 2 7 9" xfId="25126"/>
    <cellStyle name="Normal 2 4 2 2 2 7 9 2" xfId="25127"/>
    <cellStyle name="Normal 2 4 2 2 2 8" xfId="25128"/>
    <cellStyle name="Normal 2 4 2 2 2 8 2" xfId="25129"/>
    <cellStyle name="Normal 2 4 2 2 2 9" xfId="25130"/>
    <cellStyle name="Normal 2 4 2 2 2 9 2" xfId="25131"/>
    <cellStyle name="Normal 2 4 2 2 3" xfId="732"/>
    <cellStyle name="Normal 2 4 2 2 3 10" xfId="25132"/>
    <cellStyle name="Normal 2 4 2 2 3 10 2" xfId="25133"/>
    <cellStyle name="Normal 2 4 2 2 3 11" xfId="25134"/>
    <cellStyle name="Normal 2 4 2 2 3 11 2" xfId="25135"/>
    <cellStyle name="Normal 2 4 2 2 3 12" xfId="25136"/>
    <cellStyle name="Normal 2 4 2 2 3 12 2" xfId="25137"/>
    <cellStyle name="Normal 2 4 2 2 3 13" xfId="25138"/>
    <cellStyle name="Normal 2 4 2 2 3 2" xfId="25139"/>
    <cellStyle name="Normal 2 4 2 2 3 2 10" xfId="25140"/>
    <cellStyle name="Normal 2 4 2 2 3 2 10 2" xfId="25141"/>
    <cellStyle name="Normal 2 4 2 2 3 2 11" xfId="25142"/>
    <cellStyle name="Normal 2 4 2 2 3 2 11 2" xfId="25143"/>
    <cellStyle name="Normal 2 4 2 2 3 2 12" xfId="25144"/>
    <cellStyle name="Normal 2 4 2 2 3 2 2" xfId="25145"/>
    <cellStyle name="Normal 2 4 2 2 3 2 2 10" xfId="25146"/>
    <cellStyle name="Normal 2 4 2 2 3 2 2 10 2" xfId="25147"/>
    <cellStyle name="Normal 2 4 2 2 3 2 2 11" xfId="25148"/>
    <cellStyle name="Normal 2 4 2 2 3 2 2 2" xfId="25149"/>
    <cellStyle name="Normal 2 4 2 2 3 2 2 2 2" xfId="25150"/>
    <cellStyle name="Normal 2 4 2 2 3 2 2 3" xfId="25151"/>
    <cellStyle name="Normal 2 4 2 2 3 2 2 3 2" xfId="25152"/>
    <cellStyle name="Normal 2 4 2 2 3 2 2 4" xfId="25153"/>
    <cellStyle name="Normal 2 4 2 2 3 2 2 4 2" xfId="25154"/>
    <cellStyle name="Normal 2 4 2 2 3 2 2 5" xfId="25155"/>
    <cellStyle name="Normal 2 4 2 2 3 2 2 5 2" xfId="25156"/>
    <cellStyle name="Normal 2 4 2 2 3 2 2 6" xfId="25157"/>
    <cellStyle name="Normal 2 4 2 2 3 2 2 6 2" xfId="25158"/>
    <cellStyle name="Normal 2 4 2 2 3 2 2 7" xfId="25159"/>
    <cellStyle name="Normal 2 4 2 2 3 2 2 7 2" xfId="25160"/>
    <cellStyle name="Normal 2 4 2 2 3 2 2 8" xfId="25161"/>
    <cellStyle name="Normal 2 4 2 2 3 2 2 8 2" xfId="25162"/>
    <cellStyle name="Normal 2 4 2 2 3 2 2 9" xfId="25163"/>
    <cellStyle name="Normal 2 4 2 2 3 2 2 9 2" xfId="25164"/>
    <cellStyle name="Normal 2 4 2 2 3 2 3" xfId="25165"/>
    <cellStyle name="Normal 2 4 2 2 3 2 3 2" xfId="25166"/>
    <cellStyle name="Normal 2 4 2 2 3 2 4" xfId="25167"/>
    <cellStyle name="Normal 2 4 2 2 3 2 4 2" xfId="25168"/>
    <cellStyle name="Normal 2 4 2 2 3 2 5" xfId="25169"/>
    <cellStyle name="Normal 2 4 2 2 3 2 5 2" xfId="25170"/>
    <cellStyle name="Normal 2 4 2 2 3 2 6" xfId="25171"/>
    <cellStyle name="Normal 2 4 2 2 3 2 6 2" xfId="25172"/>
    <cellStyle name="Normal 2 4 2 2 3 2 7" xfId="25173"/>
    <cellStyle name="Normal 2 4 2 2 3 2 7 2" xfId="25174"/>
    <cellStyle name="Normal 2 4 2 2 3 2 8" xfId="25175"/>
    <cellStyle name="Normal 2 4 2 2 3 2 8 2" xfId="25176"/>
    <cellStyle name="Normal 2 4 2 2 3 2 9" xfId="25177"/>
    <cellStyle name="Normal 2 4 2 2 3 2 9 2" xfId="25178"/>
    <cellStyle name="Normal 2 4 2 2 3 3" xfId="25179"/>
    <cellStyle name="Normal 2 4 2 2 3 3 10" xfId="25180"/>
    <cellStyle name="Normal 2 4 2 2 3 3 10 2" xfId="25181"/>
    <cellStyle name="Normal 2 4 2 2 3 3 11" xfId="25182"/>
    <cellStyle name="Normal 2 4 2 2 3 3 2" xfId="25183"/>
    <cellStyle name="Normal 2 4 2 2 3 3 2 2" xfId="25184"/>
    <cellStyle name="Normal 2 4 2 2 3 3 3" xfId="25185"/>
    <cellStyle name="Normal 2 4 2 2 3 3 3 2" xfId="25186"/>
    <cellStyle name="Normal 2 4 2 2 3 3 4" xfId="25187"/>
    <cellStyle name="Normal 2 4 2 2 3 3 4 2" xfId="25188"/>
    <cellStyle name="Normal 2 4 2 2 3 3 5" xfId="25189"/>
    <cellStyle name="Normal 2 4 2 2 3 3 5 2" xfId="25190"/>
    <cellStyle name="Normal 2 4 2 2 3 3 6" xfId="25191"/>
    <cellStyle name="Normal 2 4 2 2 3 3 6 2" xfId="25192"/>
    <cellStyle name="Normal 2 4 2 2 3 3 7" xfId="25193"/>
    <cellStyle name="Normal 2 4 2 2 3 3 7 2" xfId="25194"/>
    <cellStyle name="Normal 2 4 2 2 3 3 8" xfId="25195"/>
    <cellStyle name="Normal 2 4 2 2 3 3 8 2" xfId="25196"/>
    <cellStyle name="Normal 2 4 2 2 3 3 9" xfId="25197"/>
    <cellStyle name="Normal 2 4 2 2 3 3 9 2" xfId="25198"/>
    <cellStyle name="Normal 2 4 2 2 3 4" xfId="25199"/>
    <cellStyle name="Normal 2 4 2 2 3 4 2" xfId="25200"/>
    <cellStyle name="Normal 2 4 2 2 3 5" xfId="25201"/>
    <cellStyle name="Normal 2 4 2 2 3 5 2" xfId="25202"/>
    <cellStyle name="Normal 2 4 2 2 3 6" xfId="25203"/>
    <cellStyle name="Normal 2 4 2 2 3 6 2" xfId="25204"/>
    <cellStyle name="Normal 2 4 2 2 3 7" xfId="25205"/>
    <cellStyle name="Normal 2 4 2 2 3 7 2" xfId="25206"/>
    <cellStyle name="Normal 2 4 2 2 3 8" xfId="25207"/>
    <cellStyle name="Normal 2 4 2 2 3 8 2" xfId="25208"/>
    <cellStyle name="Normal 2 4 2 2 3 9" xfId="25209"/>
    <cellStyle name="Normal 2 4 2 2 3 9 2" xfId="25210"/>
    <cellStyle name="Normal 2 4 2 2 4" xfId="733"/>
    <cellStyle name="Normal 2 4 2 2 4 10" xfId="25211"/>
    <cellStyle name="Normal 2 4 2 2 4 10 2" xfId="25212"/>
    <cellStyle name="Normal 2 4 2 2 4 11" xfId="25213"/>
    <cellStyle name="Normal 2 4 2 2 4 11 2" xfId="25214"/>
    <cellStyle name="Normal 2 4 2 2 4 12" xfId="25215"/>
    <cellStyle name="Normal 2 4 2 2 4 12 2" xfId="25216"/>
    <cellStyle name="Normal 2 4 2 2 4 13" xfId="25217"/>
    <cellStyle name="Normal 2 4 2 2 4 2" xfId="25218"/>
    <cellStyle name="Normal 2 4 2 2 4 2 10" xfId="25219"/>
    <cellStyle name="Normal 2 4 2 2 4 2 10 2" xfId="25220"/>
    <cellStyle name="Normal 2 4 2 2 4 2 11" xfId="25221"/>
    <cellStyle name="Normal 2 4 2 2 4 2 11 2" xfId="25222"/>
    <cellStyle name="Normal 2 4 2 2 4 2 12" xfId="25223"/>
    <cellStyle name="Normal 2 4 2 2 4 2 2" xfId="25224"/>
    <cellStyle name="Normal 2 4 2 2 4 2 2 10" xfId="25225"/>
    <cellStyle name="Normal 2 4 2 2 4 2 2 10 2" xfId="25226"/>
    <cellStyle name="Normal 2 4 2 2 4 2 2 11" xfId="25227"/>
    <cellStyle name="Normal 2 4 2 2 4 2 2 2" xfId="25228"/>
    <cellStyle name="Normal 2 4 2 2 4 2 2 2 2" xfId="25229"/>
    <cellStyle name="Normal 2 4 2 2 4 2 2 3" xfId="25230"/>
    <cellStyle name="Normal 2 4 2 2 4 2 2 3 2" xfId="25231"/>
    <cellStyle name="Normal 2 4 2 2 4 2 2 4" xfId="25232"/>
    <cellStyle name="Normal 2 4 2 2 4 2 2 4 2" xfId="25233"/>
    <cellStyle name="Normal 2 4 2 2 4 2 2 5" xfId="25234"/>
    <cellStyle name="Normal 2 4 2 2 4 2 2 5 2" xfId="25235"/>
    <cellStyle name="Normal 2 4 2 2 4 2 2 6" xfId="25236"/>
    <cellStyle name="Normal 2 4 2 2 4 2 2 6 2" xfId="25237"/>
    <cellStyle name="Normal 2 4 2 2 4 2 2 7" xfId="25238"/>
    <cellStyle name="Normal 2 4 2 2 4 2 2 7 2" xfId="25239"/>
    <cellStyle name="Normal 2 4 2 2 4 2 2 8" xfId="25240"/>
    <cellStyle name="Normal 2 4 2 2 4 2 2 8 2" xfId="25241"/>
    <cellStyle name="Normal 2 4 2 2 4 2 2 9" xfId="25242"/>
    <cellStyle name="Normal 2 4 2 2 4 2 2 9 2" xfId="25243"/>
    <cellStyle name="Normal 2 4 2 2 4 2 3" xfId="25244"/>
    <cellStyle name="Normal 2 4 2 2 4 2 3 2" xfId="25245"/>
    <cellStyle name="Normal 2 4 2 2 4 2 4" xfId="25246"/>
    <cellStyle name="Normal 2 4 2 2 4 2 4 2" xfId="25247"/>
    <cellStyle name="Normal 2 4 2 2 4 2 5" xfId="25248"/>
    <cellStyle name="Normal 2 4 2 2 4 2 5 2" xfId="25249"/>
    <cellStyle name="Normal 2 4 2 2 4 2 6" xfId="25250"/>
    <cellStyle name="Normal 2 4 2 2 4 2 6 2" xfId="25251"/>
    <cellStyle name="Normal 2 4 2 2 4 2 7" xfId="25252"/>
    <cellStyle name="Normal 2 4 2 2 4 2 7 2" xfId="25253"/>
    <cellStyle name="Normal 2 4 2 2 4 2 8" xfId="25254"/>
    <cellStyle name="Normal 2 4 2 2 4 2 8 2" xfId="25255"/>
    <cellStyle name="Normal 2 4 2 2 4 2 9" xfId="25256"/>
    <cellStyle name="Normal 2 4 2 2 4 2 9 2" xfId="25257"/>
    <cellStyle name="Normal 2 4 2 2 4 3" xfId="25258"/>
    <cellStyle name="Normal 2 4 2 2 4 3 10" xfId="25259"/>
    <cellStyle name="Normal 2 4 2 2 4 3 10 2" xfId="25260"/>
    <cellStyle name="Normal 2 4 2 2 4 3 11" xfId="25261"/>
    <cellStyle name="Normal 2 4 2 2 4 3 2" xfId="25262"/>
    <cellStyle name="Normal 2 4 2 2 4 3 2 2" xfId="25263"/>
    <cellStyle name="Normal 2 4 2 2 4 3 3" xfId="25264"/>
    <cellStyle name="Normal 2 4 2 2 4 3 3 2" xfId="25265"/>
    <cellStyle name="Normal 2 4 2 2 4 3 4" xfId="25266"/>
    <cellStyle name="Normal 2 4 2 2 4 3 4 2" xfId="25267"/>
    <cellStyle name="Normal 2 4 2 2 4 3 5" xfId="25268"/>
    <cellStyle name="Normal 2 4 2 2 4 3 5 2" xfId="25269"/>
    <cellStyle name="Normal 2 4 2 2 4 3 6" xfId="25270"/>
    <cellStyle name="Normal 2 4 2 2 4 3 6 2" xfId="25271"/>
    <cellStyle name="Normal 2 4 2 2 4 3 7" xfId="25272"/>
    <cellStyle name="Normal 2 4 2 2 4 3 7 2" xfId="25273"/>
    <cellStyle name="Normal 2 4 2 2 4 3 8" xfId="25274"/>
    <cellStyle name="Normal 2 4 2 2 4 3 8 2" xfId="25275"/>
    <cellStyle name="Normal 2 4 2 2 4 3 9" xfId="25276"/>
    <cellStyle name="Normal 2 4 2 2 4 3 9 2" xfId="25277"/>
    <cellStyle name="Normal 2 4 2 2 4 4" xfId="25278"/>
    <cellStyle name="Normal 2 4 2 2 4 4 2" xfId="25279"/>
    <cellStyle name="Normal 2 4 2 2 4 5" xfId="25280"/>
    <cellStyle name="Normal 2 4 2 2 4 5 2" xfId="25281"/>
    <cellStyle name="Normal 2 4 2 2 4 6" xfId="25282"/>
    <cellStyle name="Normal 2 4 2 2 4 6 2" xfId="25283"/>
    <cellStyle name="Normal 2 4 2 2 4 7" xfId="25284"/>
    <cellStyle name="Normal 2 4 2 2 4 7 2" xfId="25285"/>
    <cellStyle name="Normal 2 4 2 2 4 8" xfId="25286"/>
    <cellStyle name="Normal 2 4 2 2 4 8 2" xfId="25287"/>
    <cellStyle name="Normal 2 4 2 2 4 9" xfId="25288"/>
    <cellStyle name="Normal 2 4 2 2 4 9 2" xfId="25289"/>
    <cellStyle name="Normal 2 4 2 2 5" xfId="734"/>
    <cellStyle name="Normal 2 4 2 2 5 10" xfId="25290"/>
    <cellStyle name="Normal 2 4 2 2 5 10 2" xfId="25291"/>
    <cellStyle name="Normal 2 4 2 2 5 11" xfId="25292"/>
    <cellStyle name="Normal 2 4 2 2 5 11 2" xfId="25293"/>
    <cellStyle name="Normal 2 4 2 2 5 12" xfId="25294"/>
    <cellStyle name="Normal 2 4 2 2 5 12 2" xfId="25295"/>
    <cellStyle name="Normal 2 4 2 2 5 13" xfId="25296"/>
    <cellStyle name="Normal 2 4 2 2 5 2" xfId="25297"/>
    <cellStyle name="Normal 2 4 2 2 5 2 10" xfId="25298"/>
    <cellStyle name="Normal 2 4 2 2 5 2 10 2" xfId="25299"/>
    <cellStyle name="Normal 2 4 2 2 5 2 11" xfId="25300"/>
    <cellStyle name="Normal 2 4 2 2 5 2 11 2" xfId="25301"/>
    <cellStyle name="Normal 2 4 2 2 5 2 12" xfId="25302"/>
    <cellStyle name="Normal 2 4 2 2 5 2 2" xfId="25303"/>
    <cellStyle name="Normal 2 4 2 2 5 2 2 10" xfId="25304"/>
    <cellStyle name="Normal 2 4 2 2 5 2 2 10 2" xfId="25305"/>
    <cellStyle name="Normal 2 4 2 2 5 2 2 11" xfId="25306"/>
    <cellStyle name="Normal 2 4 2 2 5 2 2 2" xfId="25307"/>
    <cellStyle name="Normal 2 4 2 2 5 2 2 2 2" xfId="25308"/>
    <cellStyle name="Normal 2 4 2 2 5 2 2 3" xfId="25309"/>
    <cellStyle name="Normal 2 4 2 2 5 2 2 3 2" xfId="25310"/>
    <cellStyle name="Normal 2 4 2 2 5 2 2 4" xfId="25311"/>
    <cellStyle name="Normal 2 4 2 2 5 2 2 4 2" xfId="25312"/>
    <cellStyle name="Normal 2 4 2 2 5 2 2 5" xfId="25313"/>
    <cellStyle name="Normal 2 4 2 2 5 2 2 5 2" xfId="25314"/>
    <cellStyle name="Normal 2 4 2 2 5 2 2 6" xfId="25315"/>
    <cellStyle name="Normal 2 4 2 2 5 2 2 6 2" xfId="25316"/>
    <cellStyle name="Normal 2 4 2 2 5 2 2 7" xfId="25317"/>
    <cellStyle name="Normal 2 4 2 2 5 2 2 7 2" xfId="25318"/>
    <cellStyle name="Normal 2 4 2 2 5 2 2 8" xfId="25319"/>
    <cellStyle name="Normal 2 4 2 2 5 2 2 8 2" xfId="25320"/>
    <cellStyle name="Normal 2 4 2 2 5 2 2 9" xfId="25321"/>
    <cellStyle name="Normal 2 4 2 2 5 2 2 9 2" xfId="25322"/>
    <cellStyle name="Normal 2 4 2 2 5 2 3" xfId="25323"/>
    <cellStyle name="Normal 2 4 2 2 5 2 3 2" xfId="25324"/>
    <cellStyle name="Normal 2 4 2 2 5 2 4" xfId="25325"/>
    <cellStyle name="Normal 2 4 2 2 5 2 4 2" xfId="25326"/>
    <cellStyle name="Normal 2 4 2 2 5 2 5" xfId="25327"/>
    <cellStyle name="Normal 2 4 2 2 5 2 5 2" xfId="25328"/>
    <cellStyle name="Normal 2 4 2 2 5 2 6" xfId="25329"/>
    <cellStyle name="Normal 2 4 2 2 5 2 6 2" xfId="25330"/>
    <cellStyle name="Normal 2 4 2 2 5 2 7" xfId="25331"/>
    <cellStyle name="Normal 2 4 2 2 5 2 7 2" xfId="25332"/>
    <cellStyle name="Normal 2 4 2 2 5 2 8" xfId="25333"/>
    <cellStyle name="Normal 2 4 2 2 5 2 8 2" xfId="25334"/>
    <cellStyle name="Normal 2 4 2 2 5 2 9" xfId="25335"/>
    <cellStyle name="Normal 2 4 2 2 5 2 9 2" xfId="25336"/>
    <cellStyle name="Normal 2 4 2 2 5 3" xfId="25337"/>
    <cellStyle name="Normal 2 4 2 2 5 3 10" xfId="25338"/>
    <cellStyle name="Normal 2 4 2 2 5 3 10 2" xfId="25339"/>
    <cellStyle name="Normal 2 4 2 2 5 3 11" xfId="25340"/>
    <cellStyle name="Normal 2 4 2 2 5 3 2" xfId="25341"/>
    <cellStyle name="Normal 2 4 2 2 5 3 2 2" xfId="25342"/>
    <cellStyle name="Normal 2 4 2 2 5 3 3" xfId="25343"/>
    <cellStyle name="Normal 2 4 2 2 5 3 3 2" xfId="25344"/>
    <cellStyle name="Normal 2 4 2 2 5 3 4" xfId="25345"/>
    <cellStyle name="Normal 2 4 2 2 5 3 4 2" xfId="25346"/>
    <cellStyle name="Normal 2 4 2 2 5 3 5" xfId="25347"/>
    <cellStyle name="Normal 2 4 2 2 5 3 5 2" xfId="25348"/>
    <cellStyle name="Normal 2 4 2 2 5 3 6" xfId="25349"/>
    <cellStyle name="Normal 2 4 2 2 5 3 6 2" xfId="25350"/>
    <cellStyle name="Normal 2 4 2 2 5 3 7" xfId="25351"/>
    <cellStyle name="Normal 2 4 2 2 5 3 7 2" xfId="25352"/>
    <cellStyle name="Normal 2 4 2 2 5 3 8" xfId="25353"/>
    <cellStyle name="Normal 2 4 2 2 5 3 8 2" xfId="25354"/>
    <cellStyle name="Normal 2 4 2 2 5 3 9" xfId="25355"/>
    <cellStyle name="Normal 2 4 2 2 5 3 9 2" xfId="25356"/>
    <cellStyle name="Normal 2 4 2 2 5 4" xfId="25357"/>
    <cellStyle name="Normal 2 4 2 2 5 4 2" xfId="25358"/>
    <cellStyle name="Normal 2 4 2 2 5 5" xfId="25359"/>
    <cellStyle name="Normal 2 4 2 2 5 5 2" xfId="25360"/>
    <cellStyle name="Normal 2 4 2 2 5 6" xfId="25361"/>
    <cellStyle name="Normal 2 4 2 2 5 6 2" xfId="25362"/>
    <cellStyle name="Normal 2 4 2 2 5 7" xfId="25363"/>
    <cellStyle name="Normal 2 4 2 2 5 7 2" xfId="25364"/>
    <cellStyle name="Normal 2 4 2 2 5 8" xfId="25365"/>
    <cellStyle name="Normal 2 4 2 2 5 8 2" xfId="25366"/>
    <cellStyle name="Normal 2 4 2 2 5 9" xfId="25367"/>
    <cellStyle name="Normal 2 4 2 2 5 9 2" xfId="25368"/>
    <cellStyle name="Normal 2 4 2 2 6" xfId="735"/>
    <cellStyle name="Normal 2 4 2 2 6 10" xfId="25369"/>
    <cellStyle name="Normal 2 4 2 2 6 10 2" xfId="25370"/>
    <cellStyle name="Normal 2 4 2 2 6 11" xfId="25371"/>
    <cellStyle name="Normal 2 4 2 2 6 11 2" xfId="25372"/>
    <cellStyle name="Normal 2 4 2 2 6 12" xfId="25373"/>
    <cellStyle name="Normal 2 4 2 2 6 12 2" xfId="25374"/>
    <cellStyle name="Normal 2 4 2 2 6 13" xfId="25375"/>
    <cellStyle name="Normal 2 4 2 2 6 2" xfId="25376"/>
    <cellStyle name="Normal 2 4 2 2 6 2 10" xfId="25377"/>
    <cellStyle name="Normal 2 4 2 2 6 2 10 2" xfId="25378"/>
    <cellStyle name="Normal 2 4 2 2 6 2 11" xfId="25379"/>
    <cellStyle name="Normal 2 4 2 2 6 2 11 2" xfId="25380"/>
    <cellStyle name="Normal 2 4 2 2 6 2 12" xfId="25381"/>
    <cellStyle name="Normal 2 4 2 2 6 2 2" xfId="25382"/>
    <cellStyle name="Normal 2 4 2 2 6 2 2 10" xfId="25383"/>
    <cellStyle name="Normal 2 4 2 2 6 2 2 10 2" xfId="25384"/>
    <cellStyle name="Normal 2 4 2 2 6 2 2 11" xfId="25385"/>
    <cellStyle name="Normal 2 4 2 2 6 2 2 2" xfId="25386"/>
    <cellStyle name="Normal 2 4 2 2 6 2 2 2 2" xfId="25387"/>
    <cellStyle name="Normal 2 4 2 2 6 2 2 3" xfId="25388"/>
    <cellStyle name="Normal 2 4 2 2 6 2 2 3 2" xfId="25389"/>
    <cellStyle name="Normal 2 4 2 2 6 2 2 4" xfId="25390"/>
    <cellStyle name="Normal 2 4 2 2 6 2 2 4 2" xfId="25391"/>
    <cellStyle name="Normal 2 4 2 2 6 2 2 5" xfId="25392"/>
    <cellStyle name="Normal 2 4 2 2 6 2 2 5 2" xfId="25393"/>
    <cellStyle name="Normal 2 4 2 2 6 2 2 6" xfId="25394"/>
    <cellStyle name="Normal 2 4 2 2 6 2 2 6 2" xfId="25395"/>
    <cellStyle name="Normal 2 4 2 2 6 2 2 7" xfId="25396"/>
    <cellStyle name="Normal 2 4 2 2 6 2 2 7 2" xfId="25397"/>
    <cellStyle name="Normal 2 4 2 2 6 2 2 8" xfId="25398"/>
    <cellStyle name="Normal 2 4 2 2 6 2 2 8 2" xfId="25399"/>
    <cellStyle name="Normal 2 4 2 2 6 2 2 9" xfId="25400"/>
    <cellStyle name="Normal 2 4 2 2 6 2 2 9 2" xfId="25401"/>
    <cellStyle name="Normal 2 4 2 2 6 2 3" xfId="25402"/>
    <cellStyle name="Normal 2 4 2 2 6 2 3 2" xfId="25403"/>
    <cellStyle name="Normal 2 4 2 2 6 2 4" xfId="25404"/>
    <cellStyle name="Normal 2 4 2 2 6 2 4 2" xfId="25405"/>
    <cellStyle name="Normal 2 4 2 2 6 2 5" xfId="25406"/>
    <cellStyle name="Normal 2 4 2 2 6 2 5 2" xfId="25407"/>
    <cellStyle name="Normal 2 4 2 2 6 2 6" xfId="25408"/>
    <cellStyle name="Normal 2 4 2 2 6 2 6 2" xfId="25409"/>
    <cellStyle name="Normal 2 4 2 2 6 2 7" xfId="25410"/>
    <cellStyle name="Normal 2 4 2 2 6 2 7 2" xfId="25411"/>
    <cellStyle name="Normal 2 4 2 2 6 2 8" xfId="25412"/>
    <cellStyle name="Normal 2 4 2 2 6 2 8 2" xfId="25413"/>
    <cellStyle name="Normal 2 4 2 2 6 2 9" xfId="25414"/>
    <cellStyle name="Normal 2 4 2 2 6 2 9 2" xfId="25415"/>
    <cellStyle name="Normal 2 4 2 2 6 3" xfId="25416"/>
    <cellStyle name="Normal 2 4 2 2 6 3 10" xfId="25417"/>
    <cellStyle name="Normal 2 4 2 2 6 3 10 2" xfId="25418"/>
    <cellStyle name="Normal 2 4 2 2 6 3 11" xfId="25419"/>
    <cellStyle name="Normal 2 4 2 2 6 3 2" xfId="25420"/>
    <cellStyle name="Normal 2 4 2 2 6 3 2 2" xfId="25421"/>
    <cellStyle name="Normal 2 4 2 2 6 3 3" xfId="25422"/>
    <cellStyle name="Normal 2 4 2 2 6 3 3 2" xfId="25423"/>
    <cellStyle name="Normal 2 4 2 2 6 3 4" xfId="25424"/>
    <cellStyle name="Normal 2 4 2 2 6 3 4 2" xfId="25425"/>
    <cellStyle name="Normal 2 4 2 2 6 3 5" xfId="25426"/>
    <cellStyle name="Normal 2 4 2 2 6 3 5 2" xfId="25427"/>
    <cellStyle name="Normal 2 4 2 2 6 3 6" xfId="25428"/>
    <cellStyle name="Normal 2 4 2 2 6 3 6 2" xfId="25429"/>
    <cellStyle name="Normal 2 4 2 2 6 3 7" xfId="25430"/>
    <cellStyle name="Normal 2 4 2 2 6 3 7 2" xfId="25431"/>
    <cellStyle name="Normal 2 4 2 2 6 3 8" xfId="25432"/>
    <cellStyle name="Normal 2 4 2 2 6 3 8 2" xfId="25433"/>
    <cellStyle name="Normal 2 4 2 2 6 3 9" xfId="25434"/>
    <cellStyle name="Normal 2 4 2 2 6 3 9 2" xfId="25435"/>
    <cellStyle name="Normal 2 4 2 2 6 4" xfId="25436"/>
    <cellStyle name="Normal 2 4 2 2 6 4 2" xfId="25437"/>
    <cellStyle name="Normal 2 4 2 2 6 5" xfId="25438"/>
    <cellStyle name="Normal 2 4 2 2 6 5 2" xfId="25439"/>
    <cellStyle name="Normal 2 4 2 2 6 6" xfId="25440"/>
    <cellStyle name="Normal 2 4 2 2 6 6 2" xfId="25441"/>
    <cellStyle name="Normal 2 4 2 2 6 7" xfId="25442"/>
    <cellStyle name="Normal 2 4 2 2 6 7 2" xfId="25443"/>
    <cellStyle name="Normal 2 4 2 2 6 8" xfId="25444"/>
    <cellStyle name="Normal 2 4 2 2 6 8 2" xfId="25445"/>
    <cellStyle name="Normal 2 4 2 2 6 9" xfId="25446"/>
    <cellStyle name="Normal 2 4 2 2 6 9 2" xfId="25447"/>
    <cellStyle name="Normal 2 4 2 2 7" xfId="736"/>
    <cellStyle name="Normal 2 4 2 3" xfId="737"/>
    <cellStyle name="Normal 2 4 2 3 10" xfId="25448"/>
    <cellStyle name="Normal 2 4 2 3 10 2" xfId="25449"/>
    <cellStyle name="Normal 2 4 2 3 11" xfId="25450"/>
    <cellStyle name="Normal 2 4 2 3 11 2" xfId="25451"/>
    <cellStyle name="Normal 2 4 2 3 12" xfId="25452"/>
    <cellStyle name="Normal 2 4 2 3 12 2" xfId="25453"/>
    <cellStyle name="Normal 2 4 2 3 13" xfId="25454"/>
    <cellStyle name="Normal 2 4 2 3 2" xfId="25455"/>
    <cellStyle name="Normal 2 4 2 3 2 10" xfId="25456"/>
    <cellStyle name="Normal 2 4 2 3 2 10 2" xfId="25457"/>
    <cellStyle name="Normal 2 4 2 3 2 11" xfId="25458"/>
    <cellStyle name="Normal 2 4 2 3 2 11 2" xfId="25459"/>
    <cellStyle name="Normal 2 4 2 3 2 12" xfId="25460"/>
    <cellStyle name="Normal 2 4 2 3 2 2" xfId="25461"/>
    <cellStyle name="Normal 2 4 2 3 2 2 10" xfId="25462"/>
    <cellStyle name="Normal 2 4 2 3 2 2 10 2" xfId="25463"/>
    <cellStyle name="Normal 2 4 2 3 2 2 11" xfId="25464"/>
    <cellStyle name="Normal 2 4 2 3 2 2 2" xfId="25465"/>
    <cellStyle name="Normal 2 4 2 3 2 2 2 2" xfId="25466"/>
    <cellStyle name="Normal 2 4 2 3 2 2 3" xfId="25467"/>
    <cellStyle name="Normal 2 4 2 3 2 2 3 2" xfId="25468"/>
    <cellStyle name="Normal 2 4 2 3 2 2 4" xfId="25469"/>
    <cellStyle name="Normal 2 4 2 3 2 2 4 2" xfId="25470"/>
    <cellStyle name="Normal 2 4 2 3 2 2 5" xfId="25471"/>
    <cellStyle name="Normal 2 4 2 3 2 2 5 2" xfId="25472"/>
    <cellStyle name="Normal 2 4 2 3 2 2 6" xfId="25473"/>
    <cellStyle name="Normal 2 4 2 3 2 2 6 2" xfId="25474"/>
    <cellStyle name="Normal 2 4 2 3 2 2 7" xfId="25475"/>
    <cellStyle name="Normal 2 4 2 3 2 2 7 2" xfId="25476"/>
    <cellStyle name="Normal 2 4 2 3 2 2 8" xfId="25477"/>
    <cellStyle name="Normal 2 4 2 3 2 2 8 2" xfId="25478"/>
    <cellStyle name="Normal 2 4 2 3 2 2 9" xfId="25479"/>
    <cellStyle name="Normal 2 4 2 3 2 2 9 2" xfId="25480"/>
    <cellStyle name="Normal 2 4 2 3 2 3" xfId="25481"/>
    <cellStyle name="Normal 2 4 2 3 2 3 2" xfId="25482"/>
    <cellStyle name="Normal 2 4 2 3 2 4" xfId="25483"/>
    <cellStyle name="Normal 2 4 2 3 2 4 2" xfId="25484"/>
    <cellStyle name="Normal 2 4 2 3 2 5" xfId="25485"/>
    <cellStyle name="Normal 2 4 2 3 2 5 2" xfId="25486"/>
    <cellStyle name="Normal 2 4 2 3 2 6" xfId="25487"/>
    <cellStyle name="Normal 2 4 2 3 2 6 2" xfId="25488"/>
    <cellStyle name="Normal 2 4 2 3 2 7" xfId="25489"/>
    <cellStyle name="Normal 2 4 2 3 2 7 2" xfId="25490"/>
    <cellStyle name="Normal 2 4 2 3 2 8" xfId="25491"/>
    <cellStyle name="Normal 2 4 2 3 2 8 2" xfId="25492"/>
    <cellStyle name="Normal 2 4 2 3 2 9" xfId="25493"/>
    <cellStyle name="Normal 2 4 2 3 2 9 2" xfId="25494"/>
    <cellStyle name="Normal 2 4 2 3 3" xfId="25495"/>
    <cellStyle name="Normal 2 4 2 3 3 10" xfId="25496"/>
    <cellStyle name="Normal 2 4 2 3 3 10 2" xfId="25497"/>
    <cellStyle name="Normal 2 4 2 3 3 11" xfId="25498"/>
    <cellStyle name="Normal 2 4 2 3 3 2" xfId="25499"/>
    <cellStyle name="Normal 2 4 2 3 3 2 2" xfId="25500"/>
    <cellStyle name="Normal 2 4 2 3 3 3" xfId="25501"/>
    <cellStyle name="Normal 2 4 2 3 3 3 2" xfId="25502"/>
    <cellStyle name="Normal 2 4 2 3 3 4" xfId="25503"/>
    <cellStyle name="Normal 2 4 2 3 3 4 2" xfId="25504"/>
    <cellStyle name="Normal 2 4 2 3 3 5" xfId="25505"/>
    <cellStyle name="Normal 2 4 2 3 3 5 2" xfId="25506"/>
    <cellStyle name="Normal 2 4 2 3 3 6" xfId="25507"/>
    <cellStyle name="Normal 2 4 2 3 3 6 2" xfId="25508"/>
    <cellStyle name="Normal 2 4 2 3 3 7" xfId="25509"/>
    <cellStyle name="Normal 2 4 2 3 3 7 2" xfId="25510"/>
    <cellStyle name="Normal 2 4 2 3 3 8" xfId="25511"/>
    <cellStyle name="Normal 2 4 2 3 3 8 2" xfId="25512"/>
    <cellStyle name="Normal 2 4 2 3 3 9" xfId="25513"/>
    <cellStyle name="Normal 2 4 2 3 3 9 2" xfId="25514"/>
    <cellStyle name="Normal 2 4 2 3 4" xfId="25515"/>
    <cellStyle name="Normal 2 4 2 3 4 2" xfId="25516"/>
    <cellStyle name="Normal 2 4 2 3 5" xfId="25517"/>
    <cellStyle name="Normal 2 4 2 3 5 2" xfId="25518"/>
    <cellStyle name="Normal 2 4 2 3 6" xfId="25519"/>
    <cellStyle name="Normal 2 4 2 3 6 2" xfId="25520"/>
    <cellStyle name="Normal 2 4 2 3 7" xfId="25521"/>
    <cellStyle name="Normal 2 4 2 3 7 2" xfId="25522"/>
    <cellStyle name="Normal 2 4 2 3 8" xfId="25523"/>
    <cellStyle name="Normal 2 4 2 3 8 2" xfId="25524"/>
    <cellStyle name="Normal 2 4 2 3 9" xfId="25525"/>
    <cellStyle name="Normal 2 4 2 3 9 2" xfId="25526"/>
    <cellStyle name="Normal 2 4 2 4" xfId="738"/>
    <cellStyle name="Normal 2 4 2 4 10" xfId="25527"/>
    <cellStyle name="Normal 2 4 2 4 10 2" xfId="25528"/>
    <cellStyle name="Normal 2 4 2 4 11" xfId="25529"/>
    <cellStyle name="Normal 2 4 2 4 11 2" xfId="25530"/>
    <cellStyle name="Normal 2 4 2 4 12" xfId="25531"/>
    <cellStyle name="Normal 2 4 2 4 12 2" xfId="25532"/>
    <cellStyle name="Normal 2 4 2 4 13" xfId="25533"/>
    <cellStyle name="Normal 2 4 2 4 2" xfId="25534"/>
    <cellStyle name="Normal 2 4 2 4 2 10" xfId="25535"/>
    <cellStyle name="Normal 2 4 2 4 2 10 2" xfId="25536"/>
    <cellStyle name="Normal 2 4 2 4 2 11" xfId="25537"/>
    <cellStyle name="Normal 2 4 2 4 2 11 2" xfId="25538"/>
    <cellStyle name="Normal 2 4 2 4 2 12" xfId="25539"/>
    <cellStyle name="Normal 2 4 2 4 2 2" xfId="25540"/>
    <cellStyle name="Normal 2 4 2 4 2 2 10" xfId="25541"/>
    <cellStyle name="Normal 2 4 2 4 2 2 10 2" xfId="25542"/>
    <cellStyle name="Normal 2 4 2 4 2 2 11" xfId="25543"/>
    <cellStyle name="Normal 2 4 2 4 2 2 2" xfId="25544"/>
    <cellStyle name="Normal 2 4 2 4 2 2 2 2" xfId="25545"/>
    <cellStyle name="Normal 2 4 2 4 2 2 3" xfId="25546"/>
    <cellStyle name="Normal 2 4 2 4 2 2 3 2" xfId="25547"/>
    <cellStyle name="Normal 2 4 2 4 2 2 4" xfId="25548"/>
    <cellStyle name="Normal 2 4 2 4 2 2 4 2" xfId="25549"/>
    <cellStyle name="Normal 2 4 2 4 2 2 5" xfId="25550"/>
    <cellStyle name="Normal 2 4 2 4 2 2 5 2" xfId="25551"/>
    <cellStyle name="Normal 2 4 2 4 2 2 6" xfId="25552"/>
    <cellStyle name="Normal 2 4 2 4 2 2 6 2" xfId="25553"/>
    <cellStyle name="Normal 2 4 2 4 2 2 7" xfId="25554"/>
    <cellStyle name="Normal 2 4 2 4 2 2 7 2" xfId="25555"/>
    <cellStyle name="Normal 2 4 2 4 2 2 8" xfId="25556"/>
    <cellStyle name="Normal 2 4 2 4 2 2 8 2" xfId="25557"/>
    <cellStyle name="Normal 2 4 2 4 2 2 9" xfId="25558"/>
    <cellStyle name="Normal 2 4 2 4 2 2 9 2" xfId="25559"/>
    <cellStyle name="Normal 2 4 2 4 2 3" xfId="25560"/>
    <cellStyle name="Normal 2 4 2 4 2 3 2" xfId="25561"/>
    <cellStyle name="Normal 2 4 2 4 2 4" xfId="25562"/>
    <cellStyle name="Normal 2 4 2 4 2 4 2" xfId="25563"/>
    <cellStyle name="Normal 2 4 2 4 2 5" xfId="25564"/>
    <cellStyle name="Normal 2 4 2 4 2 5 2" xfId="25565"/>
    <cellStyle name="Normal 2 4 2 4 2 6" xfId="25566"/>
    <cellStyle name="Normal 2 4 2 4 2 6 2" xfId="25567"/>
    <cellStyle name="Normal 2 4 2 4 2 7" xfId="25568"/>
    <cellStyle name="Normal 2 4 2 4 2 7 2" xfId="25569"/>
    <cellStyle name="Normal 2 4 2 4 2 8" xfId="25570"/>
    <cellStyle name="Normal 2 4 2 4 2 8 2" xfId="25571"/>
    <cellStyle name="Normal 2 4 2 4 2 9" xfId="25572"/>
    <cellStyle name="Normal 2 4 2 4 2 9 2" xfId="25573"/>
    <cellStyle name="Normal 2 4 2 4 3" xfId="25574"/>
    <cellStyle name="Normal 2 4 2 4 3 10" xfId="25575"/>
    <cellStyle name="Normal 2 4 2 4 3 10 2" xfId="25576"/>
    <cellStyle name="Normal 2 4 2 4 3 11" xfId="25577"/>
    <cellStyle name="Normal 2 4 2 4 3 2" xfId="25578"/>
    <cellStyle name="Normal 2 4 2 4 3 2 2" xfId="25579"/>
    <cellStyle name="Normal 2 4 2 4 3 3" xfId="25580"/>
    <cellStyle name="Normal 2 4 2 4 3 3 2" xfId="25581"/>
    <cellStyle name="Normal 2 4 2 4 3 4" xfId="25582"/>
    <cellStyle name="Normal 2 4 2 4 3 4 2" xfId="25583"/>
    <cellStyle name="Normal 2 4 2 4 3 5" xfId="25584"/>
    <cellStyle name="Normal 2 4 2 4 3 5 2" xfId="25585"/>
    <cellStyle name="Normal 2 4 2 4 3 6" xfId="25586"/>
    <cellStyle name="Normal 2 4 2 4 3 6 2" xfId="25587"/>
    <cellStyle name="Normal 2 4 2 4 3 7" xfId="25588"/>
    <cellStyle name="Normal 2 4 2 4 3 7 2" xfId="25589"/>
    <cellStyle name="Normal 2 4 2 4 3 8" xfId="25590"/>
    <cellStyle name="Normal 2 4 2 4 3 8 2" xfId="25591"/>
    <cellStyle name="Normal 2 4 2 4 3 9" xfId="25592"/>
    <cellStyle name="Normal 2 4 2 4 3 9 2" xfId="25593"/>
    <cellStyle name="Normal 2 4 2 4 4" xfId="25594"/>
    <cellStyle name="Normal 2 4 2 4 4 2" xfId="25595"/>
    <cellStyle name="Normal 2 4 2 4 5" xfId="25596"/>
    <cellStyle name="Normal 2 4 2 4 5 2" xfId="25597"/>
    <cellStyle name="Normal 2 4 2 4 6" xfId="25598"/>
    <cellStyle name="Normal 2 4 2 4 6 2" xfId="25599"/>
    <cellStyle name="Normal 2 4 2 4 7" xfId="25600"/>
    <cellStyle name="Normal 2 4 2 4 7 2" xfId="25601"/>
    <cellStyle name="Normal 2 4 2 4 8" xfId="25602"/>
    <cellStyle name="Normal 2 4 2 4 8 2" xfId="25603"/>
    <cellStyle name="Normal 2 4 2 4 9" xfId="25604"/>
    <cellStyle name="Normal 2 4 2 4 9 2" xfId="25605"/>
    <cellStyle name="Normal 2 4 2 5" xfId="739"/>
    <cellStyle name="Normal 2 4 2 5 10" xfId="25606"/>
    <cellStyle name="Normal 2 4 2 5 10 2" xfId="25607"/>
    <cellStyle name="Normal 2 4 2 5 11" xfId="25608"/>
    <cellStyle name="Normal 2 4 2 5 11 2" xfId="25609"/>
    <cellStyle name="Normal 2 4 2 5 12" xfId="25610"/>
    <cellStyle name="Normal 2 4 2 5 12 2" xfId="25611"/>
    <cellStyle name="Normal 2 4 2 5 13" xfId="25612"/>
    <cellStyle name="Normal 2 4 2 5 2" xfId="25613"/>
    <cellStyle name="Normal 2 4 2 5 2 10" xfId="25614"/>
    <cellStyle name="Normal 2 4 2 5 2 10 2" xfId="25615"/>
    <cellStyle name="Normal 2 4 2 5 2 11" xfId="25616"/>
    <cellStyle name="Normal 2 4 2 5 2 11 2" xfId="25617"/>
    <cellStyle name="Normal 2 4 2 5 2 12" xfId="25618"/>
    <cellStyle name="Normal 2 4 2 5 2 2" xfId="25619"/>
    <cellStyle name="Normal 2 4 2 5 2 2 10" xfId="25620"/>
    <cellStyle name="Normal 2 4 2 5 2 2 10 2" xfId="25621"/>
    <cellStyle name="Normal 2 4 2 5 2 2 11" xfId="25622"/>
    <cellStyle name="Normal 2 4 2 5 2 2 2" xfId="25623"/>
    <cellStyle name="Normal 2 4 2 5 2 2 2 2" xfId="25624"/>
    <cellStyle name="Normal 2 4 2 5 2 2 3" xfId="25625"/>
    <cellStyle name="Normal 2 4 2 5 2 2 3 2" xfId="25626"/>
    <cellStyle name="Normal 2 4 2 5 2 2 4" xfId="25627"/>
    <cellStyle name="Normal 2 4 2 5 2 2 4 2" xfId="25628"/>
    <cellStyle name="Normal 2 4 2 5 2 2 5" xfId="25629"/>
    <cellStyle name="Normal 2 4 2 5 2 2 5 2" xfId="25630"/>
    <cellStyle name="Normal 2 4 2 5 2 2 6" xfId="25631"/>
    <cellStyle name="Normal 2 4 2 5 2 2 6 2" xfId="25632"/>
    <cellStyle name="Normal 2 4 2 5 2 2 7" xfId="25633"/>
    <cellStyle name="Normal 2 4 2 5 2 2 7 2" xfId="25634"/>
    <cellStyle name="Normal 2 4 2 5 2 2 8" xfId="25635"/>
    <cellStyle name="Normal 2 4 2 5 2 2 8 2" xfId="25636"/>
    <cellStyle name="Normal 2 4 2 5 2 2 9" xfId="25637"/>
    <cellStyle name="Normal 2 4 2 5 2 2 9 2" xfId="25638"/>
    <cellStyle name="Normal 2 4 2 5 2 3" xfId="25639"/>
    <cellStyle name="Normal 2 4 2 5 2 3 2" xfId="25640"/>
    <cellStyle name="Normal 2 4 2 5 2 4" xfId="25641"/>
    <cellStyle name="Normal 2 4 2 5 2 4 2" xfId="25642"/>
    <cellStyle name="Normal 2 4 2 5 2 5" xfId="25643"/>
    <cellStyle name="Normal 2 4 2 5 2 5 2" xfId="25644"/>
    <cellStyle name="Normal 2 4 2 5 2 6" xfId="25645"/>
    <cellStyle name="Normal 2 4 2 5 2 6 2" xfId="25646"/>
    <cellStyle name="Normal 2 4 2 5 2 7" xfId="25647"/>
    <cellStyle name="Normal 2 4 2 5 2 7 2" xfId="25648"/>
    <cellStyle name="Normal 2 4 2 5 2 8" xfId="25649"/>
    <cellStyle name="Normal 2 4 2 5 2 8 2" xfId="25650"/>
    <cellStyle name="Normal 2 4 2 5 2 9" xfId="25651"/>
    <cellStyle name="Normal 2 4 2 5 2 9 2" xfId="25652"/>
    <cellStyle name="Normal 2 4 2 5 3" xfId="25653"/>
    <cellStyle name="Normal 2 4 2 5 3 10" xfId="25654"/>
    <cellStyle name="Normal 2 4 2 5 3 10 2" xfId="25655"/>
    <cellStyle name="Normal 2 4 2 5 3 11" xfId="25656"/>
    <cellStyle name="Normal 2 4 2 5 3 2" xfId="25657"/>
    <cellStyle name="Normal 2 4 2 5 3 2 2" xfId="25658"/>
    <cellStyle name="Normal 2 4 2 5 3 3" xfId="25659"/>
    <cellStyle name="Normal 2 4 2 5 3 3 2" xfId="25660"/>
    <cellStyle name="Normal 2 4 2 5 3 4" xfId="25661"/>
    <cellStyle name="Normal 2 4 2 5 3 4 2" xfId="25662"/>
    <cellStyle name="Normal 2 4 2 5 3 5" xfId="25663"/>
    <cellStyle name="Normal 2 4 2 5 3 5 2" xfId="25664"/>
    <cellStyle name="Normal 2 4 2 5 3 6" xfId="25665"/>
    <cellStyle name="Normal 2 4 2 5 3 6 2" xfId="25666"/>
    <cellStyle name="Normal 2 4 2 5 3 7" xfId="25667"/>
    <cellStyle name="Normal 2 4 2 5 3 7 2" xfId="25668"/>
    <cellStyle name="Normal 2 4 2 5 3 8" xfId="25669"/>
    <cellStyle name="Normal 2 4 2 5 3 8 2" xfId="25670"/>
    <cellStyle name="Normal 2 4 2 5 3 9" xfId="25671"/>
    <cellStyle name="Normal 2 4 2 5 3 9 2" xfId="25672"/>
    <cellStyle name="Normal 2 4 2 5 4" xfId="25673"/>
    <cellStyle name="Normal 2 4 2 5 4 2" xfId="25674"/>
    <cellStyle name="Normal 2 4 2 5 5" xfId="25675"/>
    <cellStyle name="Normal 2 4 2 5 5 2" xfId="25676"/>
    <cellStyle name="Normal 2 4 2 5 6" xfId="25677"/>
    <cellStyle name="Normal 2 4 2 5 6 2" xfId="25678"/>
    <cellStyle name="Normal 2 4 2 5 7" xfId="25679"/>
    <cellStyle name="Normal 2 4 2 5 7 2" xfId="25680"/>
    <cellStyle name="Normal 2 4 2 5 8" xfId="25681"/>
    <cellStyle name="Normal 2 4 2 5 8 2" xfId="25682"/>
    <cellStyle name="Normal 2 4 2 5 9" xfId="25683"/>
    <cellStyle name="Normal 2 4 2 5 9 2" xfId="25684"/>
    <cellStyle name="Normal 2 4 2 6" xfId="740"/>
    <cellStyle name="Normal 2 4 2 6 2" xfId="741"/>
    <cellStyle name="Normal 2 4 2 6 2 10" xfId="25685"/>
    <cellStyle name="Normal 2 4 2 6 2 10 2" xfId="25686"/>
    <cellStyle name="Normal 2 4 2 6 2 11" xfId="25687"/>
    <cellStyle name="Normal 2 4 2 6 2 11 2" xfId="25688"/>
    <cellStyle name="Normal 2 4 2 6 2 12" xfId="25689"/>
    <cellStyle name="Normal 2 4 2 6 2 12 2" xfId="25690"/>
    <cellStyle name="Normal 2 4 2 6 2 13" xfId="25691"/>
    <cellStyle name="Normal 2 4 2 6 2 2" xfId="25692"/>
    <cellStyle name="Normal 2 4 2 6 2 2 10" xfId="25693"/>
    <cellStyle name="Normal 2 4 2 6 2 2 10 2" xfId="25694"/>
    <cellStyle name="Normal 2 4 2 6 2 2 11" xfId="25695"/>
    <cellStyle name="Normal 2 4 2 6 2 2 11 2" xfId="25696"/>
    <cellStyle name="Normal 2 4 2 6 2 2 12" xfId="25697"/>
    <cellStyle name="Normal 2 4 2 6 2 2 2" xfId="25698"/>
    <cellStyle name="Normal 2 4 2 6 2 2 2 10" xfId="25699"/>
    <cellStyle name="Normal 2 4 2 6 2 2 2 10 2" xfId="25700"/>
    <cellStyle name="Normal 2 4 2 6 2 2 2 11" xfId="25701"/>
    <cellStyle name="Normal 2 4 2 6 2 2 2 2" xfId="25702"/>
    <cellStyle name="Normal 2 4 2 6 2 2 2 2 2" xfId="25703"/>
    <cellStyle name="Normal 2 4 2 6 2 2 2 3" xfId="25704"/>
    <cellStyle name="Normal 2 4 2 6 2 2 2 3 2" xfId="25705"/>
    <cellStyle name="Normal 2 4 2 6 2 2 2 4" xfId="25706"/>
    <cellStyle name="Normal 2 4 2 6 2 2 2 4 2" xfId="25707"/>
    <cellStyle name="Normal 2 4 2 6 2 2 2 5" xfId="25708"/>
    <cellStyle name="Normal 2 4 2 6 2 2 2 5 2" xfId="25709"/>
    <cellStyle name="Normal 2 4 2 6 2 2 2 6" xfId="25710"/>
    <cellStyle name="Normal 2 4 2 6 2 2 2 6 2" xfId="25711"/>
    <cellStyle name="Normal 2 4 2 6 2 2 2 7" xfId="25712"/>
    <cellStyle name="Normal 2 4 2 6 2 2 2 7 2" xfId="25713"/>
    <cellStyle name="Normal 2 4 2 6 2 2 2 8" xfId="25714"/>
    <cellStyle name="Normal 2 4 2 6 2 2 2 8 2" xfId="25715"/>
    <cellStyle name="Normal 2 4 2 6 2 2 2 9" xfId="25716"/>
    <cellStyle name="Normal 2 4 2 6 2 2 2 9 2" xfId="25717"/>
    <cellStyle name="Normal 2 4 2 6 2 2 3" xfId="25718"/>
    <cellStyle name="Normal 2 4 2 6 2 2 3 2" xfId="25719"/>
    <cellStyle name="Normal 2 4 2 6 2 2 4" xfId="25720"/>
    <cellStyle name="Normal 2 4 2 6 2 2 4 2" xfId="25721"/>
    <cellStyle name="Normal 2 4 2 6 2 2 5" xfId="25722"/>
    <cellStyle name="Normal 2 4 2 6 2 2 5 2" xfId="25723"/>
    <cellStyle name="Normal 2 4 2 6 2 2 6" xfId="25724"/>
    <cellStyle name="Normal 2 4 2 6 2 2 6 2" xfId="25725"/>
    <cellStyle name="Normal 2 4 2 6 2 2 7" xfId="25726"/>
    <cellStyle name="Normal 2 4 2 6 2 2 7 2" xfId="25727"/>
    <cellStyle name="Normal 2 4 2 6 2 2 8" xfId="25728"/>
    <cellStyle name="Normal 2 4 2 6 2 2 8 2" xfId="25729"/>
    <cellStyle name="Normal 2 4 2 6 2 2 9" xfId="25730"/>
    <cellStyle name="Normal 2 4 2 6 2 2 9 2" xfId="25731"/>
    <cellStyle name="Normal 2 4 2 6 2 3" xfId="25732"/>
    <cellStyle name="Normal 2 4 2 6 2 3 10" xfId="25733"/>
    <cellStyle name="Normal 2 4 2 6 2 3 10 2" xfId="25734"/>
    <cellStyle name="Normal 2 4 2 6 2 3 11" xfId="25735"/>
    <cellStyle name="Normal 2 4 2 6 2 3 2" xfId="25736"/>
    <cellStyle name="Normal 2 4 2 6 2 3 2 2" xfId="25737"/>
    <cellStyle name="Normal 2 4 2 6 2 3 3" xfId="25738"/>
    <cellStyle name="Normal 2 4 2 6 2 3 3 2" xfId="25739"/>
    <cellStyle name="Normal 2 4 2 6 2 3 4" xfId="25740"/>
    <cellStyle name="Normal 2 4 2 6 2 3 4 2" xfId="25741"/>
    <cellStyle name="Normal 2 4 2 6 2 3 5" xfId="25742"/>
    <cellStyle name="Normal 2 4 2 6 2 3 5 2" xfId="25743"/>
    <cellStyle name="Normal 2 4 2 6 2 3 6" xfId="25744"/>
    <cellStyle name="Normal 2 4 2 6 2 3 6 2" xfId="25745"/>
    <cellStyle name="Normal 2 4 2 6 2 3 7" xfId="25746"/>
    <cellStyle name="Normal 2 4 2 6 2 3 7 2" xfId="25747"/>
    <cellStyle name="Normal 2 4 2 6 2 3 8" xfId="25748"/>
    <cellStyle name="Normal 2 4 2 6 2 3 8 2" xfId="25749"/>
    <cellStyle name="Normal 2 4 2 6 2 3 9" xfId="25750"/>
    <cellStyle name="Normal 2 4 2 6 2 3 9 2" xfId="25751"/>
    <cellStyle name="Normal 2 4 2 6 2 4" xfId="25752"/>
    <cellStyle name="Normal 2 4 2 6 2 4 2" xfId="25753"/>
    <cellStyle name="Normal 2 4 2 6 2 5" xfId="25754"/>
    <cellStyle name="Normal 2 4 2 6 2 5 2" xfId="25755"/>
    <cellStyle name="Normal 2 4 2 6 2 6" xfId="25756"/>
    <cellStyle name="Normal 2 4 2 6 2 6 2" xfId="25757"/>
    <cellStyle name="Normal 2 4 2 6 2 7" xfId="25758"/>
    <cellStyle name="Normal 2 4 2 6 2 7 2" xfId="25759"/>
    <cellStyle name="Normal 2 4 2 6 2 8" xfId="25760"/>
    <cellStyle name="Normal 2 4 2 6 2 8 2" xfId="25761"/>
    <cellStyle name="Normal 2 4 2 6 2 9" xfId="25762"/>
    <cellStyle name="Normal 2 4 2 6 2 9 2" xfId="25763"/>
    <cellStyle name="Normal 2 4 2 6 3" xfId="742"/>
    <cellStyle name="Normal 2 4 2 6 3 10" xfId="25764"/>
    <cellStyle name="Normal 2 4 2 6 3 10 2" xfId="25765"/>
    <cellStyle name="Normal 2 4 2 6 3 11" xfId="25766"/>
    <cellStyle name="Normal 2 4 2 6 3 11 2" xfId="25767"/>
    <cellStyle name="Normal 2 4 2 6 3 12" xfId="25768"/>
    <cellStyle name="Normal 2 4 2 6 3 12 2" xfId="25769"/>
    <cellStyle name="Normal 2 4 2 6 3 13" xfId="25770"/>
    <cellStyle name="Normal 2 4 2 6 3 2" xfId="25771"/>
    <cellStyle name="Normal 2 4 2 6 3 2 10" xfId="25772"/>
    <cellStyle name="Normal 2 4 2 6 3 2 10 2" xfId="25773"/>
    <cellStyle name="Normal 2 4 2 6 3 2 11" xfId="25774"/>
    <cellStyle name="Normal 2 4 2 6 3 2 11 2" xfId="25775"/>
    <cellStyle name="Normal 2 4 2 6 3 2 12" xfId="25776"/>
    <cellStyle name="Normal 2 4 2 6 3 2 2" xfId="25777"/>
    <cellStyle name="Normal 2 4 2 6 3 2 2 10" xfId="25778"/>
    <cellStyle name="Normal 2 4 2 6 3 2 2 10 2" xfId="25779"/>
    <cellStyle name="Normal 2 4 2 6 3 2 2 11" xfId="25780"/>
    <cellStyle name="Normal 2 4 2 6 3 2 2 2" xfId="25781"/>
    <cellStyle name="Normal 2 4 2 6 3 2 2 2 2" xfId="25782"/>
    <cellStyle name="Normal 2 4 2 6 3 2 2 3" xfId="25783"/>
    <cellStyle name="Normal 2 4 2 6 3 2 2 3 2" xfId="25784"/>
    <cellStyle name="Normal 2 4 2 6 3 2 2 4" xfId="25785"/>
    <cellStyle name="Normal 2 4 2 6 3 2 2 4 2" xfId="25786"/>
    <cellStyle name="Normal 2 4 2 6 3 2 2 5" xfId="25787"/>
    <cellStyle name="Normal 2 4 2 6 3 2 2 5 2" xfId="25788"/>
    <cellStyle name="Normal 2 4 2 6 3 2 2 6" xfId="25789"/>
    <cellStyle name="Normal 2 4 2 6 3 2 2 6 2" xfId="25790"/>
    <cellStyle name="Normal 2 4 2 6 3 2 2 7" xfId="25791"/>
    <cellStyle name="Normal 2 4 2 6 3 2 2 7 2" xfId="25792"/>
    <cellStyle name="Normal 2 4 2 6 3 2 2 8" xfId="25793"/>
    <cellStyle name="Normal 2 4 2 6 3 2 2 8 2" xfId="25794"/>
    <cellStyle name="Normal 2 4 2 6 3 2 2 9" xfId="25795"/>
    <cellStyle name="Normal 2 4 2 6 3 2 2 9 2" xfId="25796"/>
    <cellStyle name="Normal 2 4 2 6 3 2 3" xfId="25797"/>
    <cellStyle name="Normal 2 4 2 6 3 2 3 2" xfId="25798"/>
    <cellStyle name="Normal 2 4 2 6 3 2 4" xfId="25799"/>
    <cellStyle name="Normal 2 4 2 6 3 2 4 2" xfId="25800"/>
    <cellStyle name="Normal 2 4 2 6 3 2 5" xfId="25801"/>
    <cellStyle name="Normal 2 4 2 6 3 2 5 2" xfId="25802"/>
    <cellStyle name="Normal 2 4 2 6 3 2 6" xfId="25803"/>
    <cellStyle name="Normal 2 4 2 6 3 2 6 2" xfId="25804"/>
    <cellStyle name="Normal 2 4 2 6 3 2 7" xfId="25805"/>
    <cellStyle name="Normal 2 4 2 6 3 2 7 2" xfId="25806"/>
    <cellStyle name="Normal 2 4 2 6 3 2 8" xfId="25807"/>
    <cellStyle name="Normal 2 4 2 6 3 2 8 2" xfId="25808"/>
    <cellStyle name="Normal 2 4 2 6 3 2 9" xfId="25809"/>
    <cellStyle name="Normal 2 4 2 6 3 2 9 2" xfId="25810"/>
    <cellStyle name="Normal 2 4 2 6 3 3" xfId="25811"/>
    <cellStyle name="Normal 2 4 2 6 3 3 10" xfId="25812"/>
    <cellStyle name="Normal 2 4 2 6 3 3 10 2" xfId="25813"/>
    <cellStyle name="Normal 2 4 2 6 3 3 11" xfId="25814"/>
    <cellStyle name="Normal 2 4 2 6 3 3 2" xfId="25815"/>
    <cellStyle name="Normal 2 4 2 6 3 3 2 2" xfId="25816"/>
    <cellStyle name="Normal 2 4 2 6 3 3 3" xfId="25817"/>
    <cellStyle name="Normal 2 4 2 6 3 3 3 2" xfId="25818"/>
    <cellStyle name="Normal 2 4 2 6 3 3 4" xfId="25819"/>
    <cellStyle name="Normal 2 4 2 6 3 3 4 2" xfId="25820"/>
    <cellStyle name="Normal 2 4 2 6 3 3 5" xfId="25821"/>
    <cellStyle name="Normal 2 4 2 6 3 3 5 2" xfId="25822"/>
    <cellStyle name="Normal 2 4 2 6 3 3 6" xfId="25823"/>
    <cellStyle name="Normal 2 4 2 6 3 3 6 2" xfId="25824"/>
    <cellStyle name="Normal 2 4 2 6 3 3 7" xfId="25825"/>
    <cellStyle name="Normal 2 4 2 6 3 3 7 2" xfId="25826"/>
    <cellStyle name="Normal 2 4 2 6 3 3 8" xfId="25827"/>
    <cellStyle name="Normal 2 4 2 6 3 3 8 2" xfId="25828"/>
    <cellStyle name="Normal 2 4 2 6 3 3 9" xfId="25829"/>
    <cellStyle name="Normal 2 4 2 6 3 3 9 2" xfId="25830"/>
    <cellStyle name="Normal 2 4 2 6 3 4" xfId="25831"/>
    <cellStyle name="Normal 2 4 2 6 3 4 2" xfId="25832"/>
    <cellStyle name="Normal 2 4 2 6 3 5" xfId="25833"/>
    <cellStyle name="Normal 2 4 2 6 3 5 2" xfId="25834"/>
    <cellStyle name="Normal 2 4 2 6 3 6" xfId="25835"/>
    <cellStyle name="Normal 2 4 2 6 3 6 2" xfId="25836"/>
    <cellStyle name="Normal 2 4 2 6 3 7" xfId="25837"/>
    <cellStyle name="Normal 2 4 2 6 3 7 2" xfId="25838"/>
    <cellStyle name="Normal 2 4 2 6 3 8" xfId="25839"/>
    <cellStyle name="Normal 2 4 2 6 3 8 2" xfId="25840"/>
    <cellStyle name="Normal 2 4 2 6 3 9" xfId="25841"/>
    <cellStyle name="Normal 2 4 2 6 3 9 2" xfId="25842"/>
    <cellStyle name="Normal 2 4 2 6 4" xfId="743"/>
    <cellStyle name="Normal 2 4 2 6 4 10" xfId="25843"/>
    <cellStyle name="Normal 2 4 2 6 4 10 2" xfId="25844"/>
    <cellStyle name="Normal 2 4 2 6 4 11" xfId="25845"/>
    <cellStyle name="Normal 2 4 2 6 4 11 2" xfId="25846"/>
    <cellStyle name="Normal 2 4 2 6 4 12" xfId="25847"/>
    <cellStyle name="Normal 2 4 2 6 4 12 2" xfId="25848"/>
    <cellStyle name="Normal 2 4 2 6 4 13" xfId="25849"/>
    <cellStyle name="Normal 2 4 2 6 4 2" xfId="25850"/>
    <cellStyle name="Normal 2 4 2 6 4 2 10" xfId="25851"/>
    <cellStyle name="Normal 2 4 2 6 4 2 10 2" xfId="25852"/>
    <cellStyle name="Normal 2 4 2 6 4 2 11" xfId="25853"/>
    <cellStyle name="Normal 2 4 2 6 4 2 11 2" xfId="25854"/>
    <cellStyle name="Normal 2 4 2 6 4 2 12" xfId="25855"/>
    <cellStyle name="Normal 2 4 2 6 4 2 2" xfId="25856"/>
    <cellStyle name="Normal 2 4 2 6 4 2 2 10" xfId="25857"/>
    <cellStyle name="Normal 2 4 2 6 4 2 2 10 2" xfId="25858"/>
    <cellStyle name="Normal 2 4 2 6 4 2 2 11" xfId="25859"/>
    <cellStyle name="Normal 2 4 2 6 4 2 2 2" xfId="25860"/>
    <cellStyle name="Normal 2 4 2 6 4 2 2 2 2" xfId="25861"/>
    <cellStyle name="Normal 2 4 2 6 4 2 2 3" xfId="25862"/>
    <cellStyle name="Normal 2 4 2 6 4 2 2 3 2" xfId="25863"/>
    <cellStyle name="Normal 2 4 2 6 4 2 2 4" xfId="25864"/>
    <cellStyle name="Normal 2 4 2 6 4 2 2 4 2" xfId="25865"/>
    <cellStyle name="Normal 2 4 2 6 4 2 2 5" xfId="25866"/>
    <cellStyle name="Normal 2 4 2 6 4 2 2 5 2" xfId="25867"/>
    <cellStyle name="Normal 2 4 2 6 4 2 2 6" xfId="25868"/>
    <cellStyle name="Normal 2 4 2 6 4 2 2 6 2" xfId="25869"/>
    <cellStyle name="Normal 2 4 2 6 4 2 2 7" xfId="25870"/>
    <cellStyle name="Normal 2 4 2 6 4 2 2 7 2" xfId="25871"/>
    <cellStyle name="Normal 2 4 2 6 4 2 2 8" xfId="25872"/>
    <cellStyle name="Normal 2 4 2 6 4 2 2 8 2" xfId="25873"/>
    <cellStyle name="Normal 2 4 2 6 4 2 2 9" xfId="25874"/>
    <cellStyle name="Normal 2 4 2 6 4 2 2 9 2" xfId="25875"/>
    <cellStyle name="Normal 2 4 2 6 4 2 3" xfId="25876"/>
    <cellStyle name="Normal 2 4 2 6 4 2 3 2" xfId="25877"/>
    <cellStyle name="Normal 2 4 2 6 4 2 4" xfId="25878"/>
    <cellStyle name="Normal 2 4 2 6 4 2 4 2" xfId="25879"/>
    <cellStyle name="Normal 2 4 2 6 4 2 5" xfId="25880"/>
    <cellStyle name="Normal 2 4 2 6 4 2 5 2" xfId="25881"/>
    <cellStyle name="Normal 2 4 2 6 4 2 6" xfId="25882"/>
    <cellStyle name="Normal 2 4 2 6 4 2 6 2" xfId="25883"/>
    <cellStyle name="Normal 2 4 2 6 4 2 7" xfId="25884"/>
    <cellStyle name="Normal 2 4 2 6 4 2 7 2" xfId="25885"/>
    <cellStyle name="Normal 2 4 2 6 4 2 8" xfId="25886"/>
    <cellStyle name="Normal 2 4 2 6 4 2 8 2" xfId="25887"/>
    <cellStyle name="Normal 2 4 2 6 4 2 9" xfId="25888"/>
    <cellStyle name="Normal 2 4 2 6 4 2 9 2" xfId="25889"/>
    <cellStyle name="Normal 2 4 2 6 4 3" xfId="25890"/>
    <cellStyle name="Normal 2 4 2 6 4 3 10" xfId="25891"/>
    <cellStyle name="Normal 2 4 2 6 4 3 10 2" xfId="25892"/>
    <cellStyle name="Normal 2 4 2 6 4 3 11" xfId="25893"/>
    <cellStyle name="Normal 2 4 2 6 4 3 2" xfId="25894"/>
    <cellStyle name="Normal 2 4 2 6 4 3 2 2" xfId="25895"/>
    <cellStyle name="Normal 2 4 2 6 4 3 3" xfId="25896"/>
    <cellStyle name="Normal 2 4 2 6 4 3 3 2" xfId="25897"/>
    <cellStyle name="Normal 2 4 2 6 4 3 4" xfId="25898"/>
    <cellStyle name="Normal 2 4 2 6 4 3 4 2" xfId="25899"/>
    <cellStyle name="Normal 2 4 2 6 4 3 5" xfId="25900"/>
    <cellStyle name="Normal 2 4 2 6 4 3 5 2" xfId="25901"/>
    <cellStyle name="Normal 2 4 2 6 4 3 6" xfId="25902"/>
    <cellStyle name="Normal 2 4 2 6 4 3 6 2" xfId="25903"/>
    <cellStyle name="Normal 2 4 2 6 4 3 7" xfId="25904"/>
    <cellStyle name="Normal 2 4 2 6 4 3 7 2" xfId="25905"/>
    <cellStyle name="Normal 2 4 2 6 4 3 8" xfId="25906"/>
    <cellStyle name="Normal 2 4 2 6 4 3 8 2" xfId="25907"/>
    <cellStyle name="Normal 2 4 2 6 4 3 9" xfId="25908"/>
    <cellStyle name="Normal 2 4 2 6 4 3 9 2" xfId="25909"/>
    <cellStyle name="Normal 2 4 2 6 4 4" xfId="25910"/>
    <cellStyle name="Normal 2 4 2 6 4 4 2" xfId="25911"/>
    <cellStyle name="Normal 2 4 2 6 4 5" xfId="25912"/>
    <cellStyle name="Normal 2 4 2 6 4 5 2" xfId="25913"/>
    <cellStyle name="Normal 2 4 2 6 4 6" xfId="25914"/>
    <cellStyle name="Normal 2 4 2 6 4 6 2" xfId="25915"/>
    <cellStyle name="Normal 2 4 2 6 4 7" xfId="25916"/>
    <cellStyle name="Normal 2 4 2 6 4 7 2" xfId="25917"/>
    <cellStyle name="Normal 2 4 2 6 4 8" xfId="25918"/>
    <cellStyle name="Normal 2 4 2 6 4 8 2" xfId="25919"/>
    <cellStyle name="Normal 2 4 2 6 4 9" xfId="25920"/>
    <cellStyle name="Normal 2 4 2 6 4 9 2" xfId="25921"/>
    <cellStyle name="Normal 2 4 2 6 5" xfId="744"/>
    <cellStyle name="Normal 2 4 2 6 5 10" xfId="25922"/>
    <cellStyle name="Normal 2 4 2 6 5 10 2" xfId="25923"/>
    <cellStyle name="Normal 2 4 2 6 5 11" xfId="25924"/>
    <cellStyle name="Normal 2 4 2 6 5 11 2" xfId="25925"/>
    <cellStyle name="Normal 2 4 2 6 5 12" xfId="25926"/>
    <cellStyle name="Normal 2 4 2 6 5 12 2" xfId="25927"/>
    <cellStyle name="Normal 2 4 2 6 5 13" xfId="25928"/>
    <cellStyle name="Normal 2 4 2 6 5 2" xfId="25929"/>
    <cellStyle name="Normal 2 4 2 6 5 2 10" xfId="25930"/>
    <cellStyle name="Normal 2 4 2 6 5 2 10 2" xfId="25931"/>
    <cellStyle name="Normal 2 4 2 6 5 2 11" xfId="25932"/>
    <cellStyle name="Normal 2 4 2 6 5 2 11 2" xfId="25933"/>
    <cellStyle name="Normal 2 4 2 6 5 2 12" xfId="25934"/>
    <cellStyle name="Normal 2 4 2 6 5 2 2" xfId="25935"/>
    <cellStyle name="Normal 2 4 2 6 5 2 2 10" xfId="25936"/>
    <cellStyle name="Normal 2 4 2 6 5 2 2 10 2" xfId="25937"/>
    <cellStyle name="Normal 2 4 2 6 5 2 2 11" xfId="25938"/>
    <cellStyle name="Normal 2 4 2 6 5 2 2 2" xfId="25939"/>
    <cellStyle name="Normal 2 4 2 6 5 2 2 2 2" xfId="25940"/>
    <cellStyle name="Normal 2 4 2 6 5 2 2 3" xfId="25941"/>
    <cellStyle name="Normal 2 4 2 6 5 2 2 3 2" xfId="25942"/>
    <cellStyle name="Normal 2 4 2 6 5 2 2 4" xfId="25943"/>
    <cellStyle name="Normal 2 4 2 6 5 2 2 4 2" xfId="25944"/>
    <cellStyle name="Normal 2 4 2 6 5 2 2 5" xfId="25945"/>
    <cellStyle name="Normal 2 4 2 6 5 2 2 5 2" xfId="25946"/>
    <cellStyle name="Normal 2 4 2 6 5 2 2 6" xfId="25947"/>
    <cellStyle name="Normal 2 4 2 6 5 2 2 6 2" xfId="25948"/>
    <cellStyle name="Normal 2 4 2 6 5 2 2 7" xfId="25949"/>
    <cellStyle name="Normal 2 4 2 6 5 2 2 7 2" xfId="25950"/>
    <cellStyle name="Normal 2 4 2 6 5 2 2 8" xfId="25951"/>
    <cellStyle name="Normal 2 4 2 6 5 2 2 8 2" xfId="25952"/>
    <cellStyle name="Normal 2 4 2 6 5 2 2 9" xfId="25953"/>
    <cellStyle name="Normal 2 4 2 6 5 2 2 9 2" xfId="25954"/>
    <cellStyle name="Normal 2 4 2 6 5 2 3" xfId="25955"/>
    <cellStyle name="Normal 2 4 2 6 5 2 3 2" xfId="25956"/>
    <cellStyle name="Normal 2 4 2 6 5 2 4" xfId="25957"/>
    <cellStyle name="Normal 2 4 2 6 5 2 4 2" xfId="25958"/>
    <cellStyle name="Normal 2 4 2 6 5 2 5" xfId="25959"/>
    <cellStyle name="Normal 2 4 2 6 5 2 5 2" xfId="25960"/>
    <cellStyle name="Normal 2 4 2 6 5 2 6" xfId="25961"/>
    <cellStyle name="Normal 2 4 2 6 5 2 6 2" xfId="25962"/>
    <cellStyle name="Normal 2 4 2 6 5 2 7" xfId="25963"/>
    <cellStyle name="Normal 2 4 2 6 5 2 7 2" xfId="25964"/>
    <cellStyle name="Normal 2 4 2 6 5 2 8" xfId="25965"/>
    <cellStyle name="Normal 2 4 2 6 5 2 8 2" xfId="25966"/>
    <cellStyle name="Normal 2 4 2 6 5 2 9" xfId="25967"/>
    <cellStyle name="Normal 2 4 2 6 5 2 9 2" xfId="25968"/>
    <cellStyle name="Normal 2 4 2 6 5 3" xfId="25969"/>
    <cellStyle name="Normal 2 4 2 6 5 3 10" xfId="25970"/>
    <cellStyle name="Normal 2 4 2 6 5 3 10 2" xfId="25971"/>
    <cellStyle name="Normal 2 4 2 6 5 3 11" xfId="25972"/>
    <cellStyle name="Normal 2 4 2 6 5 3 2" xfId="25973"/>
    <cellStyle name="Normal 2 4 2 6 5 3 2 2" xfId="25974"/>
    <cellStyle name="Normal 2 4 2 6 5 3 3" xfId="25975"/>
    <cellStyle name="Normal 2 4 2 6 5 3 3 2" xfId="25976"/>
    <cellStyle name="Normal 2 4 2 6 5 3 4" xfId="25977"/>
    <cellStyle name="Normal 2 4 2 6 5 3 4 2" xfId="25978"/>
    <cellStyle name="Normal 2 4 2 6 5 3 5" xfId="25979"/>
    <cellStyle name="Normal 2 4 2 6 5 3 5 2" xfId="25980"/>
    <cellStyle name="Normal 2 4 2 6 5 3 6" xfId="25981"/>
    <cellStyle name="Normal 2 4 2 6 5 3 6 2" xfId="25982"/>
    <cellStyle name="Normal 2 4 2 6 5 3 7" xfId="25983"/>
    <cellStyle name="Normal 2 4 2 6 5 3 7 2" xfId="25984"/>
    <cellStyle name="Normal 2 4 2 6 5 3 8" xfId="25985"/>
    <cellStyle name="Normal 2 4 2 6 5 3 8 2" xfId="25986"/>
    <cellStyle name="Normal 2 4 2 6 5 3 9" xfId="25987"/>
    <cellStyle name="Normal 2 4 2 6 5 3 9 2" xfId="25988"/>
    <cellStyle name="Normal 2 4 2 6 5 4" xfId="25989"/>
    <cellStyle name="Normal 2 4 2 6 5 4 2" xfId="25990"/>
    <cellStyle name="Normal 2 4 2 6 5 5" xfId="25991"/>
    <cellStyle name="Normal 2 4 2 6 5 5 2" xfId="25992"/>
    <cellStyle name="Normal 2 4 2 6 5 6" xfId="25993"/>
    <cellStyle name="Normal 2 4 2 6 5 6 2" xfId="25994"/>
    <cellStyle name="Normal 2 4 2 6 5 7" xfId="25995"/>
    <cellStyle name="Normal 2 4 2 6 5 7 2" xfId="25996"/>
    <cellStyle name="Normal 2 4 2 6 5 8" xfId="25997"/>
    <cellStyle name="Normal 2 4 2 6 5 8 2" xfId="25998"/>
    <cellStyle name="Normal 2 4 2 6 5 9" xfId="25999"/>
    <cellStyle name="Normal 2 4 2 6 5 9 2" xfId="26000"/>
    <cellStyle name="Normal 2 4 2 6 6" xfId="745"/>
    <cellStyle name="Normal 2 4 2 7" xfId="746"/>
    <cellStyle name="Normal 2 4 2 7 2" xfId="747"/>
    <cellStyle name="Normal 2 4 2 8" xfId="748"/>
    <cellStyle name="Normal 2 4 2 8 2" xfId="749"/>
    <cellStyle name="Normal 2 4 2 9" xfId="750"/>
    <cellStyle name="Normal 2 4 2 9 2" xfId="751"/>
    <cellStyle name="Normal 2 4 20" xfId="26001"/>
    <cellStyle name="Normal 2 4 21" xfId="26002"/>
    <cellStyle name="Normal 2 4 3" xfId="752"/>
    <cellStyle name="Normal 2 4 3 10" xfId="26003"/>
    <cellStyle name="Normal 2 4 3 10 2" xfId="26004"/>
    <cellStyle name="Normal 2 4 3 11" xfId="26005"/>
    <cellStyle name="Normal 2 4 3 11 2" xfId="26006"/>
    <cellStyle name="Normal 2 4 3 12" xfId="26007"/>
    <cellStyle name="Normal 2 4 3 12 2" xfId="26008"/>
    <cellStyle name="Normal 2 4 3 13" xfId="26009"/>
    <cellStyle name="Normal 2 4 3 13 2" xfId="26010"/>
    <cellStyle name="Normal 2 4 3 14" xfId="26011"/>
    <cellStyle name="Normal 2 4 3 14 2" xfId="26012"/>
    <cellStyle name="Normal 2 4 3 15" xfId="26013"/>
    <cellStyle name="Normal 2 4 3 15 2" xfId="26014"/>
    <cellStyle name="Normal 2 4 3 16" xfId="26015"/>
    <cellStyle name="Normal 2 4 3 16 2" xfId="26016"/>
    <cellStyle name="Normal 2 4 3 17" xfId="26017"/>
    <cellStyle name="Normal 2 4 3 17 2" xfId="26018"/>
    <cellStyle name="Normal 2 4 3 18" xfId="26019"/>
    <cellStyle name="Normal 2 4 3 2" xfId="753"/>
    <cellStyle name="Normal 2 4 3 2 2" xfId="754"/>
    <cellStyle name="Normal 2 4 3 2 2 10" xfId="26020"/>
    <cellStyle name="Normal 2 4 3 2 2 10 2" xfId="26021"/>
    <cellStyle name="Normal 2 4 3 2 2 11" xfId="26022"/>
    <cellStyle name="Normal 2 4 3 2 2 11 2" xfId="26023"/>
    <cellStyle name="Normal 2 4 3 2 2 12" xfId="26024"/>
    <cellStyle name="Normal 2 4 3 2 2 12 2" xfId="26025"/>
    <cellStyle name="Normal 2 4 3 2 2 13" xfId="26026"/>
    <cellStyle name="Normal 2 4 3 2 2 13 2" xfId="26027"/>
    <cellStyle name="Normal 2 4 3 2 2 14" xfId="26028"/>
    <cellStyle name="Normal 2 4 3 2 2 14 2" xfId="26029"/>
    <cellStyle name="Normal 2 4 3 2 2 15" xfId="26030"/>
    <cellStyle name="Normal 2 4 3 2 2 15 2" xfId="26031"/>
    <cellStyle name="Normal 2 4 3 2 2 16" xfId="26032"/>
    <cellStyle name="Normal 2 4 3 2 2 16 2" xfId="26033"/>
    <cellStyle name="Normal 2 4 3 2 2 17" xfId="26034"/>
    <cellStyle name="Normal 2 4 3 2 2 2" xfId="755"/>
    <cellStyle name="Normal 2 4 3 2 2 2 2" xfId="756"/>
    <cellStyle name="Normal 2 4 3 2 2 3" xfId="757"/>
    <cellStyle name="Normal 2 4 3 2 2 3 2" xfId="758"/>
    <cellStyle name="Normal 2 4 3 2 2 4" xfId="759"/>
    <cellStyle name="Normal 2 4 3 2 2 4 2" xfId="760"/>
    <cellStyle name="Normal 2 4 3 2 2 5" xfId="761"/>
    <cellStyle name="Normal 2 4 3 2 2 5 2" xfId="762"/>
    <cellStyle name="Normal 2 4 3 2 2 6" xfId="26035"/>
    <cellStyle name="Normal 2 4 3 2 2 6 10" xfId="26036"/>
    <cellStyle name="Normal 2 4 3 2 2 6 10 2" xfId="26037"/>
    <cellStyle name="Normal 2 4 3 2 2 6 11" xfId="26038"/>
    <cellStyle name="Normal 2 4 3 2 2 6 11 2" xfId="26039"/>
    <cellStyle name="Normal 2 4 3 2 2 6 12" xfId="26040"/>
    <cellStyle name="Normal 2 4 3 2 2 6 2" xfId="26041"/>
    <cellStyle name="Normal 2 4 3 2 2 6 2 10" xfId="26042"/>
    <cellStyle name="Normal 2 4 3 2 2 6 2 10 2" xfId="26043"/>
    <cellStyle name="Normal 2 4 3 2 2 6 2 11" xfId="26044"/>
    <cellStyle name="Normal 2 4 3 2 2 6 2 2" xfId="26045"/>
    <cellStyle name="Normal 2 4 3 2 2 6 2 2 2" xfId="26046"/>
    <cellStyle name="Normal 2 4 3 2 2 6 2 3" xfId="26047"/>
    <cellStyle name="Normal 2 4 3 2 2 6 2 3 2" xfId="26048"/>
    <cellStyle name="Normal 2 4 3 2 2 6 2 4" xfId="26049"/>
    <cellStyle name="Normal 2 4 3 2 2 6 2 4 2" xfId="26050"/>
    <cellStyle name="Normal 2 4 3 2 2 6 2 5" xfId="26051"/>
    <cellStyle name="Normal 2 4 3 2 2 6 2 5 2" xfId="26052"/>
    <cellStyle name="Normal 2 4 3 2 2 6 2 6" xfId="26053"/>
    <cellStyle name="Normal 2 4 3 2 2 6 2 6 2" xfId="26054"/>
    <cellStyle name="Normal 2 4 3 2 2 6 2 7" xfId="26055"/>
    <cellStyle name="Normal 2 4 3 2 2 6 2 7 2" xfId="26056"/>
    <cellStyle name="Normal 2 4 3 2 2 6 2 8" xfId="26057"/>
    <cellStyle name="Normal 2 4 3 2 2 6 2 8 2" xfId="26058"/>
    <cellStyle name="Normal 2 4 3 2 2 6 2 9" xfId="26059"/>
    <cellStyle name="Normal 2 4 3 2 2 6 2 9 2" xfId="26060"/>
    <cellStyle name="Normal 2 4 3 2 2 6 3" xfId="26061"/>
    <cellStyle name="Normal 2 4 3 2 2 6 3 2" xfId="26062"/>
    <cellStyle name="Normal 2 4 3 2 2 6 4" xfId="26063"/>
    <cellStyle name="Normal 2 4 3 2 2 6 4 2" xfId="26064"/>
    <cellStyle name="Normal 2 4 3 2 2 6 5" xfId="26065"/>
    <cellStyle name="Normal 2 4 3 2 2 6 5 2" xfId="26066"/>
    <cellStyle name="Normal 2 4 3 2 2 6 6" xfId="26067"/>
    <cellStyle name="Normal 2 4 3 2 2 6 6 2" xfId="26068"/>
    <cellStyle name="Normal 2 4 3 2 2 6 7" xfId="26069"/>
    <cellStyle name="Normal 2 4 3 2 2 6 7 2" xfId="26070"/>
    <cellStyle name="Normal 2 4 3 2 2 6 8" xfId="26071"/>
    <cellStyle name="Normal 2 4 3 2 2 6 8 2" xfId="26072"/>
    <cellStyle name="Normal 2 4 3 2 2 6 9" xfId="26073"/>
    <cellStyle name="Normal 2 4 3 2 2 6 9 2" xfId="26074"/>
    <cellStyle name="Normal 2 4 3 2 2 7" xfId="26075"/>
    <cellStyle name="Normal 2 4 3 2 2 7 10" xfId="26076"/>
    <cellStyle name="Normal 2 4 3 2 2 7 10 2" xfId="26077"/>
    <cellStyle name="Normal 2 4 3 2 2 7 11" xfId="26078"/>
    <cellStyle name="Normal 2 4 3 2 2 7 2" xfId="26079"/>
    <cellStyle name="Normal 2 4 3 2 2 7 2 2" xfId="26080"/>
    <cellStyle name="Normal 2 4 3 2 2 7 3" xfId="26081"/>
    <cellStyle name="Normal 2 4 3 2 2 7 3 2" xfId="26082"/>
    <cellStyle name="Normal 2 4 3 2 2 7 4" xfId="26083"/>
    <cellStyle name="Normal 2 4 3 2 2 7 4 2" xfId="26084"/>
    <cellStyle name="Normal 2 4 3 2 2 7 5" xfId="26085"/>
    <cellStyle name="Normal 2 4 3 2 2 7 5 2" xfId="26086"/>
    <cellStyle name="Normal 2 4 3 2 2 7 6" xfId="26087"/>
    <cellStyle name="Normal 2 4 3 2 2 7 6 2" xfId="26088"/>
    <cellStyle name="Normal 2 4 3 2 2 7 7" xfId="26089"/>
    <cellStyle name="Normal 2 4 3 2 2 7 7 2" xfId="26090"/>
    <cellStyle name="Normal 2 4 3 2 2 7 8" xfId="26091"/>
    <cellStyle name="Normal 2 4 3 2 2 7 8 2" xfId="26092"/>
    <cellStyle name="Normal 2 4 3 2 2 7 9" xfId="26093"/>
    <cellStyle name="Normal 2 4 3 2 2 7 9 2" xfId="26094"/>
    <cellStyle name="Normal 2 4 3 2 2 8" xfId="26095"/>
    <cellStyle name="Normal 2 4 3 2 2 8 2" xfId="26096"/>
    <cellStyle name="Normal 2 4 3 2 2 9" xfId="26097"/>
    <cellStyle name="Normal 2 4 3 2 2 9 2" xfId="26098"/>
    <cellStyle name="Normal 2 4 3 2 3" xfId="763"/>
    <cellStyle name="Normal 2 4 3 2 3 10" xfId="26099"/>
    <cellStyle name="Normal 2 4 3 2 3 10 2" xfId="26100"/>
    <cellStyle name="Normal 2 4 3 2 3 11" xfId="26101"/>
    <cellStyle name="Normal 2 4 3 2 3 11 2" xfId="26102"/>
    <cellStyle name="Normal 2 4 3 2 3 12" xfId="26103"/>
    <cellStyle name="Normal 2 4 3 2 3 12 2" xfId="26104"/>
    <cellStyle name="Normal 2 4 3 2 3 13" xfId="26105"/>
    <cellStyle name="Normal 2 4 3 2 3 2" xfId="26106"/>
    <cellStyle name="Normal 2 4 3 2 3 2 10" xfId="26107"/>
    <cellStyle name="Normal 2 4 3 2 3 2 10 2" xfId="26108"/>
    <cellStyle name="Normal 2 4 3 2 3 2 11" xfId="26109"/>
    <cellStyle name="Normal 2 4 3 2 3 2 11 2" xfId="26110"/>
    <cellStyle name="Normal 2 4 3 2 3 2 12" xfId="26111"/>
    <cellStyle name="Normal 2 4 3 2 3 2 2" xfId="26112"/>
    <cellStyle name="Normal 2 4 3 2 3 2 2 10" xfId="26113"/>
    <cellStyle name="Normal 2 4 3 2 3 2 2 10 2" xfId="26114"/>
    <cellStyle name="Normal 2 4 3 2 3 2 2 11" xfId="26115"/>
    <cellStyle name="Normal 2 4 3 2 3 2 2 2" xfId="26116"/>
    <cellStyle name="Normal 2 4 3 2 3 2 2 2 2" xfId="26117"/>
    <cellStyle name="Normal 2 4 3 2 3 2 2 3" xfId="26118"/>
    <cellStyle name="Normal 2 4 3 2 3 2 2 3 2" xfId="26119"/>
    <cellStyle name="Normal 2 4 3 2 3 2 2 4" xfId="26120"/>
    <cellStyle name="Normal 2 4 3 2 3 2 2 4 2" xfId="26121"/>
    <cellStyle name="Normal 2 4 3 2 3 2 2 5" xfId="26122"/>
    <cellStyle name="Normal 2 4 3 2 3 2 2 5 2" xfId="26123"/>
    <cellStyle name="Normal 2 4 3 2 3 2 2 6" xfId="26124"/>
    <cellStyle name="Normal 2 4 3 2 3 2 2 6 2" xfId="26125"/>
    <cellStyle name="Normal 2 4 3 2 3 2 2 7" xfId="26126"/>
    <cellStyle name="Normal 2 4 3 2 3 2 2 7 2" xfId="26127"/>
    <cellStyle name="Normal 2 4 3 2 3 2 2 8" xfId="26128"/>
    <cellStyle name="Normal 2 4 3 2 3 2 2 8 2" xfId="26129"/>
    <cellStyle name="Normal 2 4 3 2 3 2 2 9" xfId="26130"/>
    <cellStyle name="Normal 2 4 3 2 3 2 2 9 2" xfId="26131"/>
    <cellStyle name="Normal 2 4 3 2 3 2 3" xfId="26132"/>
    <cellStyle name="Normal 2 4 3 2 3 2 3 2" xfId="26133"/>
    <cellStyle name="Normal 2 4 3 2 3 2 4" xfId="26134"/>
    <cellStyle name="Normal 2 4 3 2 3 2 4 2" xfId="26135"/>
    <cellStyle name="Normal 2 4 3 2 3 2 5" xfId="26136"/>
    <cellStyle name="Normal 2 4 3 2 3 2 5 2" xfId="26137"/>
    <cellStyle name="Normal 2 4 3 2 3 2 6" xfId="26138"/>
    <cellStyle name="Normal 2 4 3 2 3 2 6 2" xfId="26139"/>
    <cellStyle name="Normal 2 4 3 2 3 2 7" xfId="26140"/>
    <cellStyle name="Normal 2 4 3 2 3 2 7 2" xfId="26141"/>
    <cellStyle name="Normal 2 4 3 2 3 2 8" xfId="26142"/>
    <cellStyle name="Normal 2 4 3 2 3 2 8 2" xfId="26143"/>
    <cellStyle name="Normal 2 4 3 2 3 2 9" xfId="26144"/>
    <cellStyle name="Normal 2 4 3 2 3 2 9 2" xfId="26145"/>
    <cellStyle name="Normal 2 4 3 2 3 3" xfId="26146"/>
    <cellStyle name="Normal 2 4 3 2 3 3 10" xfId="26147"/>
    <cellStyle name="Normal 2 4 3 2 3 3 10 2" xfId="26148"/>
    <cellStyle name="Normal 2 4 3 2 3 3 11" xfId="26149"/>
    <cellStyle name="Normal 2 4 3 2 3 3 2" xfId="26150"/>
    <cellStyle name="Normal 2 4 3 2 3 3 2 2" xfId="26151"/>
    <cellStyle name="Normal 2 4 3 2 3 3 3" xfId="26152"/>
    <cellStyle name="Normal 2 4 3 2 3 3 3 2" xfId="26153"/>
    <cellStyle name="Normal 2 4 3 2 3 3 4" xfId="26154"/>
    <cellStyle name="Normal 2 4 3 2 3 3 4 2" xfId="26155"/>
    <cellStyle name="Normal 2 4 3 2 3 3 5" xfId="26156"/>
    <cellStyle name="Normal 2 4 3 2 3 3 5 2" xfId="26157"/>
    <cellStyle name="Normal 2 4 3 2 3 3 6" xfId="26158"/>
    <cellStyle name="Normal 2 4 3 2 3 3 6 2" xfId="26159"/>
    <cellStyle name="Normal 2 4 3 2 3 3 7" xfId="26160"/>
    <cellStyle name="Normal 2 4 3 2 3 3 7 2" xfId="26161"/>
    <cellStyle name="Normal 2 4 3 2 3 3 8" xfId="26162"/>
    <cellStyle name="Normal 2 4 3 2 3 3 8 2" xfId="26163"/>
    <cellStyle name="Normal 2 4 3 2 3 3 9" xfId="26164"/>
    <cellStyle name="Normal 2 4 3 2 3 3 9 2" xfId="26165"/>
    <cellStyle name="Normal 2 4 3 2 3 4" xfId="26166"/>
    <cellStyle name="Normal 2 4 3 2 3 4 2" xfId="26167"/>
    <cellStyle name="Normal 2 4 3 2 3 5" xfId="26168"/>
    <cellStyle name="Normal 2 4 3 2 3 5 2" xfId="26169"/>
    <cellStyle name="Normal 2 4 3 2 3 6" xfId="26170"/>
    <cellStyle name="Normal 2 4 3 2 3 6 2" xfId="26171"/>
    <cellStyle name="Normal 2 4 3 2 3 7" xfId="26172"/>
    <cellStyle name="Normal 2 4 3 2 3 7 2" xfId="26173"/>
    <cellStyle name="Normal 2 4 3 2 3 8" xfId="26174"/>
    <cellStyle name="Normal 2 4 3 2 3 8 2" xfId="26175"/>
    <cellStyle name="Normal 2 4 3 2 3 9" xfId="26176"/>
    <cellStyle name="Normal 2 4 3 2 3 9 2" xfId="26177"/>
    <cellStyle name="Normal 2 4 3 2 4" xfId="764"/>
    <cellStyle name="Normal 2 4 3 2 4 10" xfId="26178"/>
    <cellStyle name="Normal 2 4 3 2 4 10 2" xfId="26179"/>
    <cellStyle name="Normal 2 4 3 2 4 11" xfId="26180"/>
    <cellStyle name="Normal 2 4 3 2 4 11 2" xfId="26181"/>
    <cellStyle name="Normal 2 4 3 2 4 12" xfId="26182"/>
    <cellStyle name="Normal 2 4 3 2 4 12 2" xfId="26183"/>
    <cellStyle name="Normal 2 4 3 2 4 13" xfId="26184"/>
    <cellStyle name="Normal 2 4 3 2 4 2" xfId="26185"/>
    <cellStyle name="Normal 2 4 3 2 4 2 10" xfId="26186"/>
    <cellStyle name="Normal 2 4 3 2 4 2 10 2" xfId="26187"/>
    <cellStyle name="Normal 2 4 3 2 4 2 11" xfId="26188"/>
    <cellStyle name="Normal 2 4 3 2 4 2 11 2" xfId="26189"/>
    <cellStyle name="Normal 2 4 3 2 4 2 12" xfId="26190"/>
    <cellStyle name="Normal 2 4 3 2 4 2 2" xfId="26191"/>
    <cellStyle name="Normal 2 4 3 2 4 2 2 10" xfId="26192"/>
    <cellStyle name="Normal 2 4 3 2 4 2 2 10 2" xfId="26193"/>
    <cellStyle name="Normal 2 4 3 2 4 2 2 11" xfId="26194"/>
    <cellStyle name="Normal 2 4 3 2 4 2 2 2" xfId="26195"/>
    <cellStyle name="Normal 2 4 3 2 4 2 2 2 2" xfId="26196"/>
    <cellStyle name="Normal 2 4 3 2 4 2 2 3" xfId="26197"/>
    <cellStyle name="Normal 2 4 3 2 4 2 2 3 2" xfId="26198"/>
    <cellStyle name="Normal 2 4 3 2 4 2 2 4" xfId="26199"/>
    <cellStyle name="Normal 2 4 3 2 4 2 2 4 2" xfId="26200"/>
    <cellStyle name="Normal 2 4 3 2 4 2 2 5" xfId="26201"/>
    <cellStyle name="Normal 2 4 3 2 4 2 2 5 2" xfId="26202"/>
    <cellStyle name="Normal 2 4 3 2 4 2 2 6" xfId="26203"/>
    <cellStyle name="Normal 2 4 3 2 4 2 2 6 2" xfId="26204"/>
    <cellStyle name="Normal 2 4 3 2 4 2 2 7" xfId="26205"/>
    <cellStyle name="Normal 2 4 3 2 4 2 2 7 2" xfId="26206"/>
    <cellStyle name="Normal 2 4 3 2 4 2 2 8" xfId="26207"/>
    <cellStyle name="Normal 2 4 3 2 4 2 2 8 2" xfId="26208"/>
    <cellStyle name="Normal 2 4 3 2 4 2 2 9" xfId="26209"/>
    <cellStyle name="Normal 2 4 3 2 4 2 2 9 2" xfId="26210"/>
    <cellStyle name="Normal 2 4 3 2 4 2 3" xfId="26211"/>
    <cellStyle name="Normal 2 4 3 2 4 2 3 2" xfId="26212"/>
    <cellStyle name="Normal 2 4 3 2 4 2 4" xfId="26213"/>
    <cellStyle name="Normal 2 4 3 2 4 2 4 2" xfId="26214"/>
    <cellStyle name="Normal 2 4 3 2 4 2 5" xfId="26215"/>
    <cellStyle name="Normal 2 4 3 2 4 2 5 2" xfId="26216"/>
    <cellStyle name="Normal 2 4 3 2 4 2 6" xfId="26217"/>
    <cellStyle name="Normal 2 4 3 2 4 2 6 2" xfId="26218"/>
    <cellStyle name="Normal 2 4 3 2 4 2 7" xfId="26219"/>
    <cellStyle name="Normal 2 4 3 2 4 2 7 2" xfId="26220"/>
    <cellStyle name="Normal 2 4 3 2 4 2 8" xfId="26221"/>
    <cellStyle name="Normal 2 4 3 2 4 2 8 2" xfId="26222"/>
    <cellStyle name="Normal 2 4 3 2 4 2 9" xfId="26223"/>
    <cellStyle name="Normal 2 4 3 2 4 2 9 2" xfId="26224"/>
    <cellStyle name="Normal 2 4 3 2 4 3" xfId="26225"/>
    <cellStyle name="Normal 2 4 3 2 4 3 10" xfId="26226"/>
    <cellStyle name="Normal 2 4 3 2 4 3 10 2" xfId="26227"/>
    <cellStyle name="Normal 2 4 3 2 4 3 11" xfId="26228"/>
    <cellStyle name="Normal 2 4 3 2 4 3 2" xfId="26229"/>
    <cellStyle name="Normal 2 4 3 2 4 3 2 2" xfId="26230"/>
    <cellStyle name="Normal 2 4 3 2 4 3 3" xfId="26231"/>
    <cellStyle name="Normal 2 4 3 2 4 3 3 2" xfId="26232"/>
    <cellStyle name="Normal 2 4 3 2 4 3 4" xfId="26233"/>
    <cellStyle name="Normal 2 4 3 2 4 3 4 2" xfId="26234"/>
    <cellStyle name="Normal 2 4 3 2 4 3 5" xfId="26235"/>
    <cellStyle name="Normal 2 4 3 2 4 3 5 2" xfId="26236"/>
    <cellStyle name="Normal 2 4 3 2 4 3 6" xfId="26237"/>
    <cellStyle name="Normal 2 4 3 2 4 3 6 2" xfId="26238"/>
    <cellStyle name="Normal 2 4 3 2 4 3 7" xfId="26239"/>
    <cellStyle name="Normal 2 4 3 2 4 3 7 2" xfId="26240"/>
    <cellStyle name="Normal 2 4 3 2 4 3 8" xfId="26241"/>
    <cellStyle name="Normal 2 4 3 2 4 3 8 2" xfId="26242"/>
    <cellStyle name="Normal 2 4 3 2 4 3 9" xfId="26243"/>
    <cellStyle name="Normal 2 4 3 2 4 3 9 2" xfId="26244"/>
    <cellStyle name="Normal 2 4 3 2 4 4" xfId="26245"/>
    <cellStyle name="Normal 2 4 3 2 4 4 2" xfId="26246"/>
    <cellStyle name="Normal 2 4 3 2 4 5" xfId="26247"/>
    <cellStyle name="Normal 2 4 3 2 4 5 2" xfId="26248"/>
    <cellStyle name="Normal 2 4 3 2 4 6" xfId="26249"/>
    <cellStyle name="Normal 2 4 3 2 4 6 2" xfId="26250"/>
    <cellStyle name="Normal 2 4 3 2 4 7" xfId="26251"/>
    <cellStyle name="Normal 2 4 3 2 4 7 2" xfId="26252"/>
    <cellStyle name="Normal 2 4 3 2 4 8" xfId="26253"/>
    <cellStyle name="Normal 2 4 3 2 4 8 2" xfId="26254"/>
    <cellStyle name="Normal 2 4 3 2 4 9" xfId="26255"/>
    <cellStyle name="Normal 2 4 3 2 4 9 2" xfId="26256"/>
    <cellStyle name="Normal 2 4 3 2 5" xfId="765"/>
    <cellStyle name="Normal 2 4 3 2 5 10" xfId="26257"/>
    <cellStyle name="Normal 2 4 3 2 5 10 2" xfId="26258"/>
    <cellStyle name="Normal 2 4 3 2 5 11" xfId="26259"/>
    <cellStyle name="Normal 2 4 3 2 5 11 2" xfId="26260"/>
    <cellStyle name="Normal 2 4 3 2 5 12" xfId="26261"/>
    <cellStyle name="Normal 2 4 3 2 5 12 2" xfId="26262"/>
    <cellStyle name="Normal 2 4 3 2 5 13" xfId="26263"/>
    <cellStyle name="Normal 2 4 3 2 5 2" xfId="26264"/>
    <cellStyle name="Normal 2 4 3 2 5 2 10" xfId="26265"/>
    <cellStyle name="Normal 2 4 3 2 5 2 10 2" xfId="26266"/>
    <cellStyle name="Normal 2 4 3 2 5 2 11" xfId="26267"/>
    <cellStyle name="Normal 2 4 3 2 5 2 11 2" xfId="26268"/>
    <cellStyle name="Normal 2 4 3 2 5 2 12" xfId="26269"/>
    <cellStyle name="Normal 2 4 3 2 5 2 2" xfId="26270"/>
    <cellStyle name="Normal 2 4 3 2 5 2 2 10" xfId="26271"/>
    <cellStyle name="Normal 2 4 3 2 5 2 2 10 2" xfId="26272"/>
    <cellStyle name="Normal 2 4 3 2 5 2 2 11" xfId="26273"/>
    <cellStyle name="Normal 2 4 3 2 5 2 2 2" xfId="26274"/>
    <cellStyle name="Normal 2 4 3 2 5 2 2 2 2" xfId="26275"/>
    <cellStyle name="Normal 2 4 3 2 5 2 2 3" xfId="26276"/>
    <cellStyle name="Normal 2 4 3 2 5 2 2 3 2" xfId="26277"/>
    <cellStyle name="Normal 2 4 3 2 5 2 2 4" xfId="26278"/>
    <cellStyle name="Normal 2 4 3 2 5 2 2 4 2" xfId="26279"/>
    <cellStyle name="Normal 2 4 3 2 5 2 2 5" xfId="26280"/>
    <cellStyle name="Normal 2 4 3 2 5 2 2 5 2" xfId="26281"/>
    <cellStyle name="Normal 2 4 3 2 5 2 2 6" xfId="26282"/>
    <cellStyle name="Normal 2 4 3 2 5 2 2 6 2" xfId="26283"/>
    <cellStyle name="Normal 2 4 3 2 5 2 2 7" xfId="26284"/>
    <cellStyle name="Normal 2 4 3 2 5 2 2 7 2" xfId="26285"/>
    <cellStyle name="Normal 2 4 3 2 5 2 2 8" xfId="26286"/>
    <cellStyle name="Normal 2 4 3 2 5 2 2 8 2" xfId="26287"/>
    <cellStyle name="Normal 2 4 3 2 5 2 2 9" xfId="26288"/>
    <cellStyle name="Normal 2 4 3 2 5 2 2 9 2" xfId="26289"/>
    <cellStyle name="Normal 2 4 3 2 5 2 3" xfId="26290"/>
    <cellStyle name="Normal 2 4 3 2 5 2 3 2" xfId="26291"/>
    <cellStyle name="Normal 2 4 3 2 5 2 4" xfId="26292"/>
    <cellStyle name="Normal 2 4 3 2 5 2 4 2" xfId="26293"/>
    <cellStyle name="Normal 2 4 3 2 5 2 5" xfId="26294"/>
    <cellStyle name="Normal 2 4 3 2 5 2 5 2" xfId="26295"/>
    <cellStyle name="Normal 2 4 3 2 5 2 6" xfId="26296"/>
    <cellStyle name="Normal 2 4 3 2 5 2 6 2" xfId="26297"/>
    <cellStyle name="Normal 2 4 3 2 5 2 7" xfId="26298"/>
    <cellStyle name="Normal 2 4 3 2 5 2 7 2" xfId="26299"/>
    <cellStyle name="Normal 2 4 3 2 5 2 8" xfId="26300"/>
    <cellStyle name="Normal 2 4 3 2 5 2 8 2" xfId="26301"/>
    <cellStyle name="Normal 2 4 3 2 5 2 9" xfId="26302"/>
    <cellStyle name="Normal 2 4 3 2 5 2 9 2" xfId="26303"/>
    <cellStyle name="Normal 2 4 3 2 5 3" xfId="26304"/>
    <cellStyle name="Normal 2 4 3 2 5 3 10" xfId="26305"/>
    <cellStyle name="Normal 2 4 3 2 5 3 10 2" xfId="26306"/>
    <cellStyle name="Normal 2 4 3 2 5 3 11" xfId="26307"/>
    <cellStyle name="Normal 2 4 3 2 5 3 2" xfId="26308"/>
    <cellStyle name="Normal 2 4 3 2 5 3 2 2" xfId="26309"/>
    <cellStyle name="Normal 2 4 3 2 5 3 3" xfId="26310"/>
    <cellStyle name="Normal 2 4 3 2 5 3 3 2" xfId="26311"/>
    <cellStyle name="Normal 2 4 3 2 5 3 4" xfId="26312"/>
    <cellStyle name="Normal 2 4 3 2 5 3 4 2" xfId="26313"/>
    <cellStyle name="Normal 2 4 3 2 5 3 5" xfId="26314"/>
    <cellStyle name="Normal 2 4 3 2 5 3 5 2" xfId="26315"/>
    <cellStyle name="Normal 2 4 3 2 5 3 6" xfId="26316"/>
    <cellStyle name="Normal 2 4 3 2 5 3 6 2" xfId="26317"/>
    <cellStyle name="Normal 2 4 3 2 5 3 7" xfId="26318"/>
    <cellStyle name="Normal 2 4 3 2 5 3 7 2" xfId="26319"/>
    <cellStyle name="Normal 2 4 3 2 5 3 8" xfId="26320"/>
    <cellStyle name="Normal 2 4 3 2 5 3 8 2" xfId="26321"/>
    <cellStyle name="Normal 2 4 3 2 5 3 9" xfId="26322"/>
    <cellStyle name="Normal 2 4 3 2 5 3 9 2" xfId="26323"/>
    <cellStyle name="Normal 2 4 3 2 5 4" xfId="26324"/>
    <cellStyle name="Normal 2 4 3 2 5 4 2" xfId="26325"/>
    <cellStyle name="Normal 2 4 3 2 5 5" xfId="26326"/>
    <cellStyle name="Normal 2 4 3 2 5 5 2" xfId="26327"/>
    <cellStyle name="Normal 2 4 3 2 5 6" xfId="26328"/>
    <cellStyle name="Normal 2 4 3 2 5 6 2" xfId="26329"/>
    <cellStyle name="Normal 2 4 3 2 5 7" xfId="26330"/>
    <cellStyle name="Normal 2 4 3 2 5 7 2" xfId="26331"/>
    <cellStyle name="Normal 2 4 3 2 5 8" xfId="26332"/>
    <cellStyle name="Normal 2 4 3 2 5 8 2" xfId="26333"/>
    <cellStyle name="Normal 2 4 3 2 5 9" xfId="26334"/>
    <cellStyle name="Normal 2 4 3 2 5 9 2" xfId="26335"/>
    <cellStyle name="Normal 2 4 3 2 6" xfId="766"/>
    <cellStyle name="Normal 2 4 3 3" xfId="767"/>
    <cellStyle name="Normal 2 4 3 3 2" xfId="768"/>
    <cellStyle name="Normal 2 4 3 4" xfId="769"/>
    <cellStyle name="Normal 2 4 3 4 2" xfId="770"/>
    <cellStyle name="Normal 2 4 3 5" xfId="771"/>
    <cellStyle name="Normal 2 4 3 5 2" xfId="772"/>
    <cellStyle name="Normal 2 4 3 6" xfId="773"/>
    <cellStyle name="Normal 2 4 3 6 2" xfId="774"/>
    <cellStyle name="Normal 2 4 3 7" xfId="26336"/>
    <cellStyle name="Normal 2 4 3 7 10" xfId="26337"/>
    <cellStyle name="Normal 2 4 3 7 10 2" xfId="26338"/>
    <cellStyle name="Normal 2 4 3 7 11" xfId="26339"/>
    <cellStyle name="Normal 2 4 3 7 11 2" xfId="26340"/>
    <cellStyle name="Normal 2 4 3 7 12" xfId="26341"/>
    <cellStyle name="Normal 2 4 3 7 2" xfId="26342"/>
    <cellStyle name="Normal 2 4 3 7 2 10" xfId="26343"/>
    <cellStyle name="Normal 2 4 3 7 2 10 2" xfId="26344"/>
    <cellStyle name="Normal 2 4 3 7 2 11" xfId="26345"/>
    <cellStyle name="Normal 2 4 3 7 2 2" xfId="26346"/>
    <cellStyle name="Normal 2 4 3 7 2 2 2" xfId="26347"/>
    <cellStyle name="Normal 2 4 3 7 2 3" xfId="26348"/>
    <cellStyle name="Normal 2 4 3 7 2 3 2" xfId="26349"/>
    <cellStyle name="Normal 2 4 3 7 2 4" xfId="26350"/>
    <cellStyle name="Normal 2 4 3 7 2 4 2" xfId="26351"/>
    <cellStyle name="Normal 2 4 3 7 2 5" xfId="26352"/>
    <cellStyle name="Normal 2 4 3 7 2 5 2" xfId="26353"/>
    <cellStyle name="Normal 2 4 3 7 2 6" xfId="26354"/>
    <cellStyle name="Normal 2 4 3 7 2 6 2" xfId="26355"/>
    <cellStyle name="Normal 2 4 3 7 2 7" xfId="26356"/>
    <cellStyle name="Normal 2 4 3 7 2 7 2" xfId="26357"/>
    <cellStyle name="Normal 2 4 3 7 2 8" xfId="26358"/>
    <cellStyle name="Normal 2 4 3 7 2 8 2" xfId="26359"/>
    <cellStyle name="Normal 2 4 3 7 2 9" xfId="26360"/>
    <cellStyle name="Normal 2 4 3 7 2 9 2" xfId="26361"/>
    <cellStyle name="Normal 2 4 3 7 3" xfId="26362"/>
    <cellStyle name="Normal 2 4 3 7 3 2" xfId="26363"/>
    <cellStyle name="Normal 2 4 3 7 4" xfId="26364"/>
    <cellStyle name="Normal 2 4 3 7 4 2" xfId="26365"/>
    <cellStyle name="Normal 2 4 3 7 5" xfId="26366"/>
    <cellStyle name="Normal 2 4 3 7 5 2" xfId="26367"/>
    <cellStyle name="Normal 2 4 3 7 6" xfId="26368"/>
    <cellStyle name="Normal 2 4 3 7 6 2" xfId="26369"/>
    <cellStyle name="Normal 2 4 3 7 7" xfId="26370"/>
    <cellStyle name="Normal 2 4 3 7 7 2" xfId="26371"/>
    <cellStyle name="Normal 2 4 3 7 8" xfId="26372"/>
    <cellStyle name="Normal 2 4 3 7 8 2" xfId="26373"/>
    <cellStyle name="Normal 2 4 3 7 9" xfId="26374"/>
    <cellStyle name="Normal 2 4 3 7 9 2" xfId="26375"/>
    <cellStyle name="Normal 2 4 3 8" xfId="26376"/>
    <cellStyle name="Normal 2 4 3 8 10" xfId="26377"/>
    <cellStyle name="Normal 2 4 3 8 10 2" xfId="26378"/>
    <cellStyle name="Normal 2 4 3 8 11" xfId="26379"/>
    <cellStyle name="Normal 2 4 3 8 2" xfId="26380"/>
    <cellStyle name="Normal 2 4 3 8 2 2" xfId="26381"/>
    <cellStyle name="Normal 2 4 3 8 3" xfId="26382"/>
    <cellStyle name="Normal 2 4 3 8 3 2" xfId="26383"/>
    <cellStyle name="Normal 2 4 3 8 4" xfId="26384"/>
    <cellStyle name="Normal 2 4 3 8 4 2" xfId="26385"/>
    <cellStyle name="Normal 2 4 3 8 5" xfId="26386"/>
    <cellStyle name="Normal 2 4 3 8 5 2" xfId="26387"/>
    <cellStyle name="Normal 2 4 3 8 6" xfId="26388"/>
    <cellStyle name="Normal 2 4 3 8 6 2" xfId="26389"/>
    <cellStyle name="Normal 2 4 3 8 7" xfId="26390"/>
    <cellStyle name="Normal 2 4 3 8 7 2" xfId="26391"/>
    <cellStyle name="Normal 2 4 3 8 8" xfId="26392"/>
    <cellStyle name="Normal 2 4 3 8 8 2" xfId="26393"/>
    <cellStyle name="Normal 2 4 3 8 9" xfId="26394"/>
    <cellStyle name="Normal 2 4 3 8 9 2" xfId="26395"/>
    <cellStyle name="Normal 2 4 3 9" xfId="26396"/>
    <cellStyle name="Normal 2 4 3 9 2" xfId="26397"/>
    <cellStyle name="Normal 2 4 4" xfId="775"/>
    <cellStyle name="Normal 2 4 4 2" xfId="776"/>
    <cellStyle name="Normal 2 4 5" xfId="777"/>
    <cellStyle name="Normal 2 4 5 2" xfId="778"/>
    <cellStyle name="Normal 2 4 6" xfId="779"/>
    <cellStyle name="Normal 2 4 6 10" xfId="26398"/>
    <cellStyle name="Normal 2 4 6 10 2" xfId="26399"/>
    <cellStyle name="Normal 2 4 6 11" xfId="26400"/>
    <cellStyle name="Normal 2 4 6 11 2" xfId="26401"/>
    <cellStyle name="Normal 2 4 6 12" xfId="26402"/>
    <cellStyle name="Normal 2 4 6 12 2" xfId="26403"/>
    <cellStyle name="Normal 2 4 6 13" xfId="26404"/>
    <cellStyle name="Normal 2 4 6 13 2" xfId="26405"/>
    <cellStyle name="Normal 2 4 6 14" xfId="26406"/>
    <cellStyle name="Normal 2 4 6 14 2" xfId="26407"/>
    <cellStyle name="Normal 2 4 6 15" xfId="26408"/>
    <cellStyle name="Normal 2 4 6 15 2" xfId="26409"/>
    <cellStyle name="Normal 2 4 6 16" xfId="26410"/>
    <cellStyle name="Normal 2 4 6 16 2" xfId="26411"/>
    <cellStyle name="Normal 2 4 6 17" xfId="26412"/>
    <cellStyle name="Normal 2 4 6 2" xfId="780"/>
    <cellStyle name="Normal 2 4 6 2 2" xfId="781"/>
    <cellStyle name="Normal 2 4 6 3" xfId="782"/>
    <cellStyle name="Normal 2 4 6 3 2" xfId="783"/>
    <cellStyle name="Normal 2 4 6 4" xfId="784"/>
    <cellStyle name="Normal 2 4 6 4 2" xfId="785"/>
    <cellStyle name="Normal 2 4 6 5" xfId="786"/>
    <cellStyle name="Normal 2 4 6 5 2" xfId="787"/>
    <cellStyle name="Normal 2 4 6 6" xfId="26413"/>
    <cellStyle name="Normal 2 4 6 6 10" xfId="26414"/>
    <cellStyle name="Normal 2 4 6 6 10 2" xfId="26415"/>
    <cellStyle name="Normal 2 4 6 6 11" xfId="26416"/>
    <cellStyle name="Normal 2 4 6 6 11 2" xfId="26417"/>
    <cellStyle name="Normal 2 4 6 6 12" xfId="26418"/>
    <cellStyle name="Normal 2 4 6 6 2" xfId="26419"/>
    <cellStyle name="Normal 2 4 6 6 2 10" xfId="26420"/>
    <cellStyle name="Normal 2 4 6 6 2 10 2" xfId="26421"/>
    <cellStyle name="Normal 2 4 6 6 2 11" xfId="26422"/>
    <cellStyle name="Normal 2 4 6 6 2 2" xfId="26423"/>
    <cellStyle name="Normal 2 4 6 6 2 2 2" xfId="26424"/>
    <cellStyle name="Normal 2 4 6 6 2 3" xfId="26425"/>
    <cellStyle name="Normal 2 4 6 6 2 3 2" xfId="26426"/>
    <cellStyle name="Normal 2 4 6 6 2 4" xfId="26427"/>
    <cellStyle name="Normal 2 4 6 6 2 4 2" xfId="26428"/>
    <cellStyle name="Normal 2 4 6 6 2 5" xfId="26429"/>
    <cellStyle name="Normal 2 4 6 6 2 5 2" xfId="26430"/>
    <cellStyle name="Normal 2 4 6 6 2 6" xfId="26431"/>
    <cellStyle name="Normal 2 4 6 6 2 6 2" xfId="26432"/>
    <cellStyle name="Normal 2 4 6 6 2 7" xfId="26433"/>
    <cellStyle name="Normal 2 4 6 6 2 7 2" xfId="26434"/>
    <cellStyle name="Normal 2 4 6 6 2 8" xfId="26435"/>
    <cellStyle name="Normal 2 4 6 6 2 8 2" xfId="26436"/>
    <cellStyle name="Normal 2 4 6 6 2 9" xfId="26437"/>
    <cellStyle name="Normal 2 4 6 6 2 9 2" xfId="26438"/>
    <cellStyle name="Normal 2 4 6 6 3" xfId="26439"/>
    <cellStyle name="Normal 2 4 6 6 3 2" xfId="26440"/>
    <cellStyle name="Normal 2 4 6 6 4" xfId="26441"/>
    <cellStyle name="Normal 2 4 6 6 4 2" xfId="26442"/>
    <cellStyle name="Normal 2 4 6 6 5" xfId="26443"/>
    <cellStyle name="Normal 2 4 6 6 5 2" xfId="26444"/>
    <cellStyle name="Normal 2 4 6 6 6" xfId="26445"/>
    <cellStyle name="Normal 2 4 6 6 6 2" xfId="26446"/>
    <cellStyle name="Normal 2 4 6 6 7" xfId="26447"/>
    <cellStyle name="Normal 2 4 6 6 7 2" xfId="26448"/>
    <cellStyle name="Normal 2 4 6 6 8" xfId="26449"/>
    <cellStyle name="Normal 2 4 6 6 8 2" xfId="26450"/>
    <cellStyle name="Normal 2 4 6 6 9" xfId="26451"/>
    <cellStyle name="Normal 2 4 6 6 9 2" xfId="26452"/>
    <cellStyle name="Normal 2 4 6 7" xfId="26453"/>
    <cellStyle name="Normal 2 4 6 7 10" xfId="26454"/>
    <cellStyle name="Normal 2 4 6 7 10 2" xfId="26455"/>
    <cellStyle name="Normal 2 4 6 7 11" xfId="26456"/>
    <cellStyle name="Normal 2 4 6 7 2" xfId="26457"/>
    <cellStyle name="Normal 2 4 6 7 2 2" xfId="26458"/>
    <cellStyle name="Normal 2 4 6 7 3" xfId="26459"/>
    <cellStyle name="Normal 2 4 6 7 3 2" xfId="26460"/>
    <cellStyle name="Normal 2 4 6 7 4" xfId="26461"/>
    <cellStyle name="Normal 2 4 6 7 4 2" xfId="26462"/>
    <cellStyle name="Normal 2 4 6 7 5" xfId="26463"/>
    <cellStyle name="Normal 2 4 6 7 5 2" xfId="26464"/>
    <cellStyle name="Normal 2 4 6 7 6" xfId="26465"/>
    <cellStyle name="Normal 2 4 6 7 6 2" xfId="26466"/>
    <cellStyle name="Normal 2 4 6 7 7" xfId="26467"/>
    <cellStyle name="Normal 2 4 6 7 7 2" xfId="26468"/>
    <cellStyle name="Normal 2 4 6 7 8" xfId="26469"/>
    <cellStyle name="Normal 2 4 6 7 8 2" xfId="26470"/>
    <cellStyle name="Normal 2 4 6 7 9" xfId="26471"/>
    <cellStyle name="Normal 2 4 6 7 9 2" xfId="26472"/>
    <cellStyle name="Normal 2 4 6 8" xfId="26473"/>
    <cellStyle name="Normal 2 4 6 8 2" xfId="26474"/>
    <cellStyle name="Normal 2 4 6 9" xfId="26475"/>
    <cellStyle name="Normal 2 4 6 9 2" xfId="26476"/>
    <cellStyle name="Normal 2 4 7" xfId="788"/>
    <cellStyle name="Normal 2 4 7 10" xfId="26477"/>
    <cellStyle name="Normal 2 4 7 10 2" xfId="26478"/>
    <cellStyle name="Normal 2 4 7 11" xfId="26479"/>
    <cellStyle name="Normal 2 4 7 11 2" xfId="26480"/>
    <cellStyle name="Normal 2 4 7 12" xfId="26481"/>
    <cellStyle name="Normal 2 4 7 12 2" xfId="26482"/>
    <cellStyle name="Normal 2 4 7 13" xfId="26483"/>
    <cellStyle name="Normal 2 4 7 2" xfId="26484"/>
    <cellStyle name="Normal 2 4 7 2 10" xfId="26485"/>
    <cellStyle name="Normal 2 4 7 2 10 2" xfId="26486"/>
    <cellStyle name="Normal 2 4 7 2 11" xfId="26487"/>
    <cellStyle name="Normal 2 4 7 2 11 2" xfId="26488"/>
    <cellStyle name="Normal 2 4 7 2 12" xfId="26489"/>
    <cellStyle name="Normal 2 4 7 2 2" xfId="26490"/>
    <cellStyle name="Normal 2 4 7 2 2 10" xfId="26491"/>
    <cellStyle name="Normal 2 4 7 2 2 10 2" xfId="26492"/>
    <cellStyle name="Normal 2 4 7 2 2 11" xfId="26493"/>
    <cellStyle name="Normal 2 4 7 2 2 2" xfId="26494"/>
    <cellStyle name="Normal 2 4 7 2 2 2 2" xfId="26495"/>
    <cellStyle name="Normal 2 4 7 2 2 3" xfId="26496"/>
    <cellStyle name="Normal 2 4 7 2 2 3 2" xfId="26497"/>
    <cellStyle name="Normal 2 4 7 2 2 4" xfId="26498"/>
    <cellStyle name="Normal 2 4 7 2 2 4 2" xfId="26499"/>
    <cellStyle name="Normal 2 4 7 2 2 5" xfId="26500"/>
    <cellStyle name="Normal 2 4 7 2 2 5 2" xfId="26501"/>
    <cellStyle name="Normal 2 4 7 2 2 6" xfId="26502"/>
    <cellStyle name="Normal 2 4 7 2 2 6 2" xfId="26503"/>
    <cellStyle name="Normal 2 4 7 2 2 7" xfId="26504"/>
    <cellStyle name="Normal 2 4 7 2 2 7 2" xfId="26505"/>
    <cellStyle name="Normal 2 4 7 2 2 8" xfId="26506"/>
    <cellStyle name="Normal 2 4 7 2 2 8 2" xfId="26507"/>
    <cellStyle name="Normal 2 4 7 2 2 9" xfId="26508"/>
    <cellStyle name="Normal 2 4 7 2 2 9 2" xfId="26509"/>
    <cellStyle name="Normal 2 4 7 2 3" xfId="26510"/>
    <cellStyle name="Normal 2 4 7 2 3 2" xfId="26511"/>
    <cellStyle name="Normal 2 4 7 2 4" xfId="26512"/>
    <cellStyle name="Normal 2 4 7 2 4 2" xfId="26513"/>
    <cellStyle name="Normal 2 4 7 2 5" xfId="26514"/>
    <cellStyle name="Normal 2 4 7 2 5 2" xfId="26515"/>
    <cellStyle name="Normal 2 4 7 2 6" xfId="26516"/>
    <cellStyle name="Normal 2 4 7 2 6 2" xfId="26517"/>
    <cellStyle name="Normal 2 4 7 2 7" xfId="26518"/>
    <cellStyle name="Normal 2 4 7 2 7 2" xfId="26519"/>
    <cellStyle name="Normal 2 4 7 2 8" xfId="26520"/>
    <cellStyle name="Normal 2 4 7 2 8 2" xfId="26521"/>
    <cellStyle name="Normal 2 4 7 2 9" xfId="26522"/>
    <cellStyle name="Normal 2 4 7 2 9 2" xfId="26523"/>
    <cellStyle name="Normal 2 4 7 3" xfId="26524"/>
    <cellStyle name="Normal 2 4 7 3 10" xfId="26525"/>
    <cellStyle name="Normal 2 4 7 3 10 2" xfId="26526"/>
    <cellStyle name="Normal 2 4 7 3 11" xfId="26527"/>
    <cellStyle name="Normal 2 4 7 3 2" xfId="26528"/>
    <cellStyle name="Normal 2 4 7 3 2 2" xfId="26529"/>
    <cellStyle name="Normal 2 4 7 3 3" xfId="26530"/>
    <cellStyle name="Normal 2 4 7 3 3 2" xfId="26531"/>
    <cellStyle name="Normal 2 4 7 3 4" xfId="26532"/>
    <cellStyle name="Normal 2 4 7 3 4 2" xfId="26533"/>
    <cellStyle name="Normal 2 4 7 3 5" xfId="26534"/>
    <cellStyle name="Normal 2 4 7 3 5 2" xfId="26535"/>
    <cellStyle name="Normal 2 4 7 3 6" xfId="26536"/>
    <cellStyle name="Normal 2 4 7 3 6 2" xfId="26537"/>
    <cellStyle name="Normal 2 4 7 3 7" xfId="26538"/>
    <cellStyle name="Normal 2 4 7 3 7 2" xfId="26539"/>
    <cellStyle name="Normal 2 4 7 3 8" xfId="26540"/>
    <cellStyle name="Normal 2 4 7 3 8 2" xfId="26541"/>
    <cellStyle name="Normal 2 4 7 3 9" xfId="26542"/>
    <cellStyle name="Normal 2 4 7 3 9 2" xfId="26543"/>
    <cellStyle name="Normal 2 4 7 4" xfId="26544"/>
    <cellStyle name="Normal 2 4 7 4 2" xfId="26545"/>
    <cellStyle name="Normal 2 4 7 5" xfId="26546"/>
    <cellStyle name="Normal 2 4 7 5 2" xfId="26547"/>
    <cellStyle name="Normal 2 4 7 6" xfId="26548"/>
    <cellStyle name="Normal 2 4 7 6 2" xfId="26549"/>
    <cellStyle name="Normal 2 4 7 7" xfId="26550"/>
    <cellStyle name="Normal 2 4 7 7 2" xfId="26551"/>
    <cellStyle name="Normal 2 4 7 8" xfId="26552"/>
    <cellStyle name="Normal 2 4 7 8 2" xfId="26553"/>
    <cellStyle name="Normal 2 4 7 9" xfId="26554"/>
    <cellStyle name="Normal 2 4 7 9 2" xfId="26555"/>
    <cellStyle name="Normal 2 4 8" xfId="789"/>
    <cellStyle name="Normal 2 4 8 10" xfId="26556"/>
    <cellStyle name="Normal 2 4 8 10 2" xfId="26557"/>
    <cellStyle name="Normal 2 4 8 11" xfId="26558"/>
    <cellStyle name="Normal 2 4 8 11 2" xfId="26559"/>
    <cellStyle name="Normal 2 4 8 12" xfId="26560"/>
    <cellStyle name="Normal 2 4 8 12 2" xfId="26561"/>
    <cellStyle name="Normal 2 4 8 13" xfId="26562"/>
    <cellStyle name="Normal 2 4 8 2" xfId="26563"/>
    <cellStyle name="Normal 2 4 8 2 10" xfId="26564"/>
    <cellStyle name="Normal 2 4 8 2 10 2" xfId="26565"/>
    <cellStyle name="Normal 2 4 8 2 11" xfId="26566"/>
    <cellStyle name="Normal 2 4 8 2 11 2" xfId="26567"/>
    <cellStyle name="Normal 2 4 8 2 12" xfId="26568"/>
    <cellStyle name="Normal 2 4 8 2 2" xfId="26569"/>
    <cellStyle name="Normal 2 4 8 2 2 10" xfId="26570"/>
    <cellStyle name="Normal 2 4 8 2 2 10 2" xfId="26571"/>
    <cellStyle name="Normal 2 4 8 2 2 11" xfId="26572"/>
    <cellStyle name="Normal 2 4 8 2 2 2" xfId="26573"/>
    <cellStyle name="Normal 2 4 8 2 2 2 2" xfId="26574"/>
    <cellStyle name="Normal 2 4 8 2 2 3" xfId="26575"/>
    <cellStyle name="Normal 2 4 8 2 2 3 2" xfId="26576"/>
    <cellStyle name="Normal 2 4 8 2 2 4" xfId="26577"/>
    <cellStyle name="Normal 2 4 8 2 2 4 2" xfId="26578"/>
    <cellStyle name="Normal 2 4 8 2 2 5" xfId="26579"/>
    <cellStyle name="Normal 2 4 8 2 2 5 2" xfId="26580"/>
    <cellStyle name="Normal 2 4 8 2 2 6" xfId="26581"/>
    <cellStyle name="Normal 2 4 8 2 2 6 2" xfId="26582"/>
    <cellStyle name="Normal 2 4 8 2 2 7" xfId="26583"/>
    <cellStyle name="Normal 2 4 8 2 2 7 2" xfId="26584"/>
    <cellStyle name="Normal 2 4 8 2 2 8" xfId="26585"/>
    <cellStyle name="Normal 2 4 8 2 2 8 2" xfId="26586"/>
    <cellStyle name="Normal 2 4 8 2 2 9" xfId="26587"/>
    <cellStyle name="Normal 2 4 8 2 2 9 2" xfId="26588"/>
    <cellStyle name="Normal 2 4 8 2 3" xfId="26589"/>
    <cellStyle name="Normal 2 4 8 2 3 2" xfId="26590"/>
    <cellStyle name="Normal 2 4 8 2 4" xfId="26591"/>
    <cellStyle name="Normal 2 4 8 2 4 2" xfId="26592"/>
    <cellStyle name="Normal 2 4 8 2 5" xfId="26593"/>
    <cellStyle name="Normal 2 4 8 2 5 2" xfId="26594"/>
    <cellStyle name="Normal 2 4 8 2 6" xfId="26595"/>
    <cellStyle name="Normal 2 4 8 2 6 2" xfId="26596"/>
    <cellStyle name="Normal 2 4 8 2 7" xfId="26597"/>
    <cellStyle name="Normal 2 4 8 2 7 2" xfId="26598"/>
    <cellStyle name="Normal 2 4 8 2 8" xfId="26599"/>
    <cellStyle name="Normal 2 4 8 2 8 2" xfId="26600"/>
    <cellStyle name="Normal 2 4 8 2 9" xfId="26601"/>
    <cellStyle name="Normal 2 4 8 2 9 2" xfId="26602"/>
    <cellStyle name="Normal 2 4 8 3" xfId="26603"/>
    <cellStyle name="Normal 2 4 8 3 10" xfId="26604"/>
    <cellStyle name="Normal 2 4 8 3 10 2" xfId="26605"/>
    <cellStyle name="Normal 2 4 8 3 11" xfId="26606"/>
    <cellStyle name="Normal 2 4 8 3 2" xfId="26607"/>
    <cellStyle name="Normal 2 4 8 3 2 2" xfId="26608"/>
    <cellStyle name="Normal 2 4 8 3 3" xfId="26609"/>
    <cellStyle name="Normal 2 4 8 3 3 2" xfId="26610"/>
    <cellStyle name="Normal 2 4 8 3 4" xfId="26611"/>
    <cellStyle name="Normal 2 4 8 3 4 2" xfId="26612"/>
    <cellStyle name="Normal 2 4 8 3 5" xfId="26613"/>
    <cellStyle name="Normal 2 4 8 3 5 2" xfId="26614"/>
    <cellStyle name="Normal 2 4 8 3 6" xfId="26615"/>
    <cellStyle name="Normal 2 4 8 3 6 2" xfId="26616"/>
    <cellStyle name="Normal 2 4 8 3 7" xfId="26617"/>
    <cellStyle name="Normal 2 4 8 3 7 2" xfId="26618"/>
    <cellStyle name="Normal 2 4 8 3 8" xfId="26619"/>
    <cellStyle name="Normal 2 4 8 3 8 2" xfId="26620"/>
    <cellStyle name="Normal 2 4 8 3 9" xfId="26621"/>
    <cellStyle name="Normal 2 4 8 3 9 2" xfId="26622"/>
    <cellStyle name="Normal 2 4 8 4" xfId="26623"/>
    <cellStyle name="Normal 2 4 8 4 2" xfId="26624"/>
    <cellStyle name="Normal 2 4 8 5" xfId="26625"/>
    <cellStyle name="Normal 2 4 8 5 2" xfId="26626"/>
    <cellStyle name="Normal 2 4 8 6" xfId="26627"/>
    <cellStyle name="Normal 2 4 8 6 2" xfId="26628"/>
    <cellStyle name="Normal 2 4 8 7" xfId="26629"/>
    <cellStyle name="Normal 2 4 8 7 2" xfId="26630"/>
    <cellStyle name="Normal 2 4 8 8" xfId="26631"/>
    <cellStyle name="Normal 2 4 8 8 2" xfId="26632"/>
    <cellStyle name="Normal 2 4 8 9" xfId="26633"/>
    <cellStyle name="Normal 2 4 8 9 2" xfId="26634"/>
    <cellStyle name="Normal 2 4 9" xfId="790"/>
    <cellStyle name="Normal 2 4 9 10" xfId="26635"/>
    <cellStyle name="Normal 2 4 9 10 2" xfId="26636"/>
    <cellStyle name="Normal 2 4 9 11" xfId="26637"/>
    <cellStyle name="Normal 2 4 9 11 2" xfId="26638"/>
    <cellStyle name="Normal 2 4 9 12" xfId="26639"/>
    <cellStyle name="Normal 2 4 9 12 2" xfId="26640"/>
    <cellStyle name="Normal 2 4 9 13" xfId="26641"/>
    <cellStyle name="Normal 2 4 9 2" xfId="26642"/>
    <cellStyle name="Normal 2 4 9 2 10" xfId="26643"/>
    <cellStyle name="Normal 2 4 9 2 10 2" xfId="26644"/>
    <cellStyle name="Normal 2 4 9 2 11" xfId="26645"/>
    <cellStyle name="Normal 2 4 9 2 11 2" xfId="26646"/>
    <cellStyle name="Normal 2 4 9 2 12" xfId="26647"/>
    <cellStyle name="Normal 2 4 9 2 2" xfId="26648"/>
    <cellStyle name="Normal 2 4 9 2 2 10" xfId="26649"/>
    <cellStyle name="Normal 2 4 9 2 2 10 2" xfId="26650"/>
    <cellStyle name="Normal 2 4 9 2 2 11" xfId="26651"/>
    <cellStyle name="Normal 2 4 9 2 2 2" xfId="26652"/>
    <cellStyle name="Normal 2 4 9 2 2 2 2" xfId="26653"/>
    <cellStyle name="Normal 2 4 9 2 2 3" xfId="26654"/>
    <cellStyle name="Normal 2 4 9 2 2 3 2" xfId="26655"/>
    <cellStyle name="Normal 2 4 9 2 2 4" xfId="26656"/>
    <cellStyle name="Normal 2 4 9 2 2 4 2" xfId="26657"/>
    <cellStyle name="Normal 2 4 9 2 2 5" xfId="26658"/>
    <cellStyle name="Normal 2 4 9 2 2 5 2" xfId="26659"/>
    <cellStyle name="Normal 2 4 9 2 2 6" xfId="26660"/>
    <cellStyle name="Normal 2 4 9 2 2 6 2" xfId="26661"/>
    <cellStyle name="Normal 2 4 9 2 2 7" xfId="26662"/>
    <cellStyle name="Normal 2 4 9 2 2 7 2" xfId="26663"/>
    <cellStyle name="Normal 2 4 9 2 2 8" xfId="26664"/>
    <cellStyle name="Normal 2 4 9 2 2 8 2" xfId="26665"/>
    <cellStyle name="Normal 2 4 9 2 2 9" xfId="26666"/>
    <cellStyle name="Normal 2 4 9 2 2 9 2" xfId="26667"/>
    <cellStyle name="Normal 2 4 9 2 3" xfId="26668"/>
    <cellStyle name="Normal 2 4 9 2 3 2" xfId="26669"/>
    <cellStyle name="Normal 2 4 9 2 4" xfId="26670"/>
    <cellStyle name="Normal 2 4 9 2 4 2" xfId="26671"/>
    <cellStyle name="Normal 2 4 9 2 5" xfId="26672"/>
    <cellStyle name="Normal 2 4 9 2 5 2" xfId="26673"/>
    <cellStyle name="Normal 2 4 9 2 6" xfId="26674"/>
    <cellStyle name="Normal 2 4 9 2 6 2" xfId="26675"/>
    <cellStyle name="Normal 2 4 9 2 7" xfId="26676"/>
    <cellStyle name="Normal 2 4 9 2 7 2" xfId="26677"/>
    <cellStyle name="Normal 2 4 9 2 8" xfId="26678"/>
    <cellStyle name="Normal 2 4 9 2 8 2" xfId="26679"/>
    <cellStyle name="Normal 2 4 9 2 9" xfId="26680"/>
    <cellStyle name="Normal 2 4 9 2 9 2" xfId="26681"/>
    <cellStyle name="Normal 2 4 9 3" xfId="26682"/>
    <cellStyle name="Normal 2 4 9 3 10" xfId="26683"/>
    <cellStyle name="Normal 2 4 9 3 10 2" xfId="26684"/>
    <cellStyle name="Normal 2 4 9 3 11" xfId="26685"/>
    <cellStyle name="Normal 2 4 9 3 2" xfId="26686"/>
    <cellStyle name="Normal 2 4 9 3 2 2" xfId="26687"/>
    <cellStyle name="Normal 2 4 9 3 3" xfId="26688"/>
    <cellStyle name="Normal 2 4 9 3 3 2" xfId="26689"/>
    <cellStyle name="Normal 2 4 9 3 4" xfId="26690"/>
    <cellStyle name="Normal 2 4 9 3 4 2" xfId="26691"/>
    <cellStyle name="Normal 2 4 9 3 5" xfId="26692"/>
    <cellStyle name="Normal 2 4 9 3 5 2" xfId="26693"/>
    <cellStyle name="Normal 2 4 9 3 6" xfId="26694"/>
    <cellStyle name="Normal 2 4 9 3 6 2" xfId="26695"/>
    <cellStyle name="Normal 2 4 9 3 7" xfId="26696"/>
    <cellStyle name="Normal 2 4 9 3 7 2" xfId="26697"/>
    <cellStyle name="Normal 2 4 9 3 8" xfId="26698"/>
    <cellStyle name="Normal 2 4 9 3 8 2" xfId="26699"/>
    <cellStyle name="Normal 2 4 9 3 9" xfId="26700"/>
    <cellStyle name="Normal 2 4 9 3 9 2" xfId="26701"/>
    <cellStyle name="Normal 2 4 9 4" xfId="26702"/>
    <cellStyle name="Normal 2 4 9 4 2" xfId="26703"/>
    <cellStyle name="Normal 2 4 9 5" xfId="26704"/>
    <cellStyle name="Normal 2 4 9 5 2" xfId="26705"/>
    <cellStyle name="Normal 2 4 9 6" xfId="26706"/>
    <cellStyle name="Normal 2 4 9 6 2" xfId="26707"/>
    <cellStyle name="Normal 2 4 9 7" xfId="26708"/>
    <cellStyle name="Normal 2 4 9 7 2" xfId="26709"/>
    <cellStyle name="Normal 2 4 9 8" xfId="26710"/>
    <cellStyle name="Normal 2 4 9 8 2" xfId="26711"/>
    <cellStyle name="Normal 2 4 9 9" xfId="26712"/>
    <cellStyle name="Normal 2 4 9 9 2" xfId="26713"/>
    <cellStyle name="Normal 2 5" xfId="791"/>
    <cellStyle name="Normal 2 5 2" xfId="26715"/>
    <cellStyle name="Normal 2 5 2 10" xfId="26716"/>
    <cellStyle name="Normal 2 5 2 10 2" xfId="26717"/>
    <cellStyle name="Normal 2 5 2 11" xfId="26718"/>
    <cellStyle name="Normal 2 5 2 11 2" xfId="26719"/>
    <cellStyle name="Normal 2 5 2 12" xfId="26720"/>
    <cellStyle name="Normal 2 5 2 12 2" xfId="26721"/>
    <cellStyle name="Normal 2 5 2 13" xfId="26722"/>
    <cellStyle name="Normal 2 5 2 2" xfId="26723"/>
    <cellStyle name="Normal 2 5 2 2 10" xfId="26724"/>
    <cellStyle name="Normal 2 5 2 2 10 2" xfId="26725"/>
    <cellStyle name="Normal 2 5 2 2 11" xfId="26726"/>
    <cellStyle name="Normal 2 5 2 2 11 2" xfId="26727"/>
    <cellStyle name="Normal 2 5 2 2 12" xfId="26728"/>
    <cellStyle name="Normal 2 5 2 2 2" xfId="26729"/>
    <cellStyle name="Normal 2 5 2 2 2 10" xfId="26730"/>
    <cellStyle name="Normal 2 5 2 2 2 10 2" xfId="26731"/>
    <cellStyle name="Normal 2 5 2 2 2 11" xfId="26732"/>
    <cellStyle name="Normal 2 5 2 2 2 2" xfId="26733"/>
    <cellStyle name="Normal 2 5 2 2 2 2 2" xfId="26734"/>
    <cellStyle name="Normal 2 5 2 2 2 3" xfId="26735"/>
    <cellStyle name="Normal 2 5 2 2 2 3 2" xfId="26736"/>
    <cellStyle name="Normal 2 5 2 2 2 4" xfId="26737"/>
    <cellStyle name="Normal 2 5 2 2 2 4 2" xfId="26738"/>
    <cellStyle name="Normal 2 5 2 2 2 5" xfId="26739"/>
    <cellStyle name="Normal 2 5 2 2 2 5 2" xfId="26740"/>
    <cellStyle name="Normal 2 5 2 2 2 6" xfId="26741"/>
    <cellStyle name="Normal 2 5 2 2 2 6 2" xfId="26742"/>
    <cellStyle name="Normal 2 5 2 2 2 7" xfId="26743"/>
    <cellStyle name="Normal 2 5 2 2 2 7 2" xfId="26744"/>
    <cellStyle name="Normal 2 5 2 2 2 8" xfId="26745"/>
    <cellStyle name="Normal 2 5 2 2 2 8 2" xfId="26746"/>
    <cellStyle name="Normal 2 5 2 2 2 9" xfId="26747"/>
    <cellStyle name="Normal 2 5 2 2 2 9 2" xfId="26748"/>
    <cellStyle name="Normal 2 5 2 2 3" xfId="26749"/>
    <cellStyle name="Normal 2 5 2 2 3 2" xfId="26750"/>
    <cellStyle name="Normal 2 5 2 2 4" xfId="26751"/>
    <cellStyle name="Normal 2 5 2 2 4 2" xfId="26752"/>
    <cellStyle name="Normal 2 5 2 2 5" xfId="26753"/>
    <cellStyle name="Normal 2 5 2 2 5 2" xfId="26754"/>
    <cellStyle name="Normal 2 5 2 2 6" xfId="26755"/>
    <cellStyle name="Normal 2 5 2 2 6 2" xfId="26756"/>
    <cellStyle name="Normal 2 5 2 2 7" xfId="26757"/>
    <cellStyle name="Normal 2 5 2 2 7 2" xfId="26758"/>
    <cellStyle name="Normal 2 5 2 2 8" xfId="26759"/>
    <cellStyle name="Normal 2 5 2 2 8 2" xfId="26760"/>
    <cellStyle name="Normal 2 5 2 2 9" xfId="26761"/>
    <cellStyle name="Normal 2 5 2 2 9 2" xfId="26762"/>
    <cellStyle name="Normal 2 5 2 3" xfId="26763"/>
    <cellStyle name="Normal 2 5 2 3 10" xfId="26764"/>
    <cellStyle name="Normal 2 5 2 3 10 2" xfId="26765"/>
    <cellStyle name="Normal 2 5 2 3 11" xfId="26766"/>
    <cellStyle name="Normal 2 5 2 3 2" xfId="26767"/>
    <cellStyle name="Normal 2 5 2 3 2 2" xfId="26768"/>
    <cellStyle name="Normal 2 5 2 3 3" xfId="26769"/>
    <cellStyle name="Normal 2 5 2 3 3 2" xfId="26770"/>
    <cellStyle name="Normal 2 5 2 3 4" xfId="26771"/>
    <cellStyle name="Normal 2 5 2 3 4 2" xfId="26772"/>
    <cellStyle name="Normal 2 5 2 3 5" xfId="26773"/>
    <cellStyle name="Normal 2 5 2 3 5 2" xfId="26774"/>
    <cellStyle name="Normal 2 5 2 3 6" xfId="26775"/>
    <cellStyle name="Normal 2 5 2 3 6 2" xfId="26776"/>
    <cellStyle name="Normal 2 5 2 3 7" xfId="26777"/>
    <cellStyle name="Normal 2 5 2 3 7 2" xfId="26778"/>
    <cellStyle name="Normal 2 5 2 3 8" xfId="26779"/>
    <cellStyle name="Normal 2 5 2 3 8 2" xfId="26780"/>
    <cellStyle name="Normal 2 5 2 3 9" xfId="26781"/>
    <cellStyle name="Normal 2 5 2 3 9 2" xfId="26782"/>
    <cellStyle name="Normal 2 5 2 4" xfId="26783"/>
    <cellStyle name="Normal 2 5 2 4 2" xfId="26784"/>
    <cellStyle name="Normal 2 5 2 5" xfId="26785"/>
    <cellStyle name="Normal 2 5 2 5 2" xfId="26786"/>
    <cellStyle name="Normal 2 5 2 6" xfId="26787"/>
    <cellStyle name="Normal 2 5 2 6 2" xfId="26788"/>
    <cellStyle name="Normal 2 5 2 7" xfId="26789"/>
    <cellStyle name="Normal 2 5 2 7 2" xfId="26790"/>
    <cellStyle name="Normal 2 5 2 8" xfId="26791"/>
    <cellStyle name="Normal 2 5 2 8 2" xfId="26792"/>
    <cellStyle name="Normal 2 5 2 9" xfId="26793"/>
    <cellStyle name="Normal 2 5 2 9 2" xfId="26794"/>
    <cellStyle name="Normal 2 5 3" xfId="26714"/>
    <cellStyle name="Normal 2 6" xfId="792"/>
    <cellStyle name="Normal 2 6 2" xfId="26796"/>
    <cellStyle name="Normal 2 6 2 10" xfId="26797"/>
    <cellStyle name="Normal 2 6 2 10 2" xfId="26798"/>
    <cellStyle name="Normal 2 6 2 11" xfId="26799"/>
    <cellStyle name="Normal 2 6 2 11 2" xfId="26800"/>
    <cellStyle name="Normal 2 6 2 12" xfId="26801"/>
    <cellStyle name="Normal 2 6 2 12 2" xfId="26802"/>
    <cellStyle name="Normal 2 6 2 13" xfId="26803"/>
    <cellStyle name="Normal 2 6 2 2" xfId="26804"/>
    <cellStyle name="Normal 2 6 2 2 10" xfId="26805"/>
    <cellStyle name="Normal 2 6 2 2 10 2" xfId="26806"/>
    <cellStyle name="Normal 2 6 2 2 11" xfId="26807"/>
    <cellStyle name="Normal 2 6 2 2 11 2" xfId="26808"/>
    <cellStyle name="Normal 2 6 2 2 12" xfId="26809"/>
    <cellStyle name="Normal 2 6 2 2 2" xfId="26810"/>
    <cellStyle name="Normal 2 6 2 2 2 10" xfId="26811"/>
    <cellStyle name="Normal 2 6 2 2 2 10 2" xfId="26812"/>
    <cellStyle name="Normal 2 6 2 2 2 11" xfId="26813"/>
    <cellStyle name="Normal 2 6 2 2 2 2" xfId="26814"/>
    <cellStyle name="Normal 2 6 2 2 2 2 2" xfId="26815"/>
    <cellStyle name="Normal 2 6 2 2 2 3" xfId="26816"/>
    <cellStyle name="Normal 2 6 2 2 2 3 2" xfId="26817"/>
    <cellStyle name="Normal 2 6 2 2 2 4" xfId="26818"/>
    <cellStyle name="Normal 2 6 2 2 2 4 2" xfId="26819"/>
    <cellStyle name="Normal 2 6 2 2 2 5" xfId="26820"/>
    <cellStyle name="Normal 2 6 2 2 2 5 2" xfId="26821"/>
    <cellStyle name="Normal 2 6 2 2 2 6" xfId="26822"/>
    <cellStyle name="Normal 2 6 2 2 2 6 2" xfId="26823"/>
    <cellStyle name="Normal 2 6 2 2 2 7" xfId="26824"/>
    <cellStyle name="Normal 2 6 2 2 2 7 2" xfId="26825"/>
    <cellStyle name="Normal 2 6 2 2 2 8" xfId="26826"/>
    <cellStyle name="Normal 2 6 2 2 2 8 2" xfId="26827"/>
    <cellStyle name="Normal 2 6 2 2 2 9" xfId="26828"/>
    <cellStyle name="Normal 2 6 2 2 2 9 2" xfId="26829"/>
    <cellStyle name="Normal 2 6 2 2 3" xfId="26830"/>
    <cellStyle name="Normal 2 6 2 2 3 2" xfId="26831"/>
    <cellStyle name="Normal 2 6 2 2 4" xfId="26832"/>
    <cellStyle name="Normal 2 6 2 2 4 2" xfId="26833"/>
    <cellStyle name="Normal 2 6 2 2 5" xfId="26834"/>
    <cellStyle name="Normal 2 6 2 2 5 2" xfId="26835"/>
    <cellStyle name="Normal 2 6 2 2 6" xfId="26836"/>
    <cellStyle name="Normal 2 6 2 2 6 2" xfId="26837"/>
    <cellStyle name="Normal 2 6 2 2 7" xfId="26838"/>
    <cellStyle name="Normal 2 6 2 2 7 2" xfId="26839"/>
    <cellStyle name="Normal 2 6 2 2 8" xfId="26840"/>
    <cellStyle name="Normal 2 6 2 2 8 2" xfId="26841"/>
    <cellStyle name="Normal 2 6 2 2 9" xfId="26842"/>
    <cellStyle name="Normal 2 6 2 2 9 2" xfId="26843"/>
    <cellStyle name="Normal 2 6 2 3" xfId="26844"/>
    <cellStyle name="Normal 2 6 2 3 10" xfId="26845"/>
    <cellStyle name="Normal 2 6 2 3 10 2" xfId="26846"/>
    <cellStyle name="Normal 2 6 2 3 11" xfId="26847"/>
    <cellStyle name="Normal 2 6 2 3 2" xfId="26848"/>
    <cellStyle name="Normal 2 6 2 3 2 2" xfId="26849"/>
    <cellStyle name="Normal 2 6 2 3 3" xfId="26850"/>
    <cellStyle name="Normal 2 6 2 3 3 2" xfId="26851"/>
    <cellStyle name="Normal 2 6 2 3 4" xfId="26852"/>
    <cellStyle name="Normal 2 6 2 3 4 2" xfId="26853"/>
    <cellStyle name="Normal 2 6 2 3 5" xfId="26854"/>
    <cellStyle name="Normal 2 6 2 3 5 2" xfId="26855"/>
    <cellStyle name="Normal 2 6 2 3 6" xfId="26856"/>
    <cellStyle name="Normal 2 6 2 3 6 2" xfId="26857"/>
    <cellStyle name="Normal 2 6 2 3 7" xfId="26858"/>
    <cellStyle name="Normal 2 6 2 3 7 2" xfId="26859"/>
    <cellStyle name="Normal 2 6 2 3 8" xfId="26860"/>
    <cellStyle name="Normal 2 6 2 3 8 2" xfId="26861"/>
    <cellStyle name="Normal 2 6 2 3 9" xfId="26862"/>
    <cellStyle name="Normal 2 6 2 3 9 2" xfId="26863"/>
    <cellStyle name="Normal 2 6 2 4" xfId="26864"/>
    <cellStyle name="Normal 2 6 2 4 2" xfId="26865"/>
    <cellStyle name="Normal 2 6 2 5" xfId="26866"/>
    <cellStyle name="Normal 2 6 2 5 2" xfId="26867"/>
    <cellStyle name="Normal 2 6 2 6" xfId="26868"/>
    <cellStyle name="Normal 2 6 2 6 2" xfId="26869"/>
    <cellStyle name="Normal 2 6 2 7" xfId="26870"/>
    <cellStyle name="Normal 2 6 2 7 2" xfId="26871"/>
    <cellStyle name="Normal 2 6 2 8" xfId="26872"/>
    <cellStyle name="Normal 2 6 2 8 2" xfId="26873"/>
    <cellStyle name="Normal 2 6 2 9" xfId="26874"/>
    <cellStyle name="Normal 2 6 2 9 2" xfId="26875"/>
    <cellStyle name="Normal 2 6 3" xfId="26795"/>
    <cellStyle name="Normal 2 7" xfId="793"/>
    <cellStyle name="Normal 2 7 10" xfId="26876"/>
    <cellStyle name="Normal 2 7 10 2" xfId="26877"/>
    <cellStyle name="Normal 2 7 11" xfId="26878"/>
    <cellStyle name="Normal 2 7 11 2" xfId="26879"/>
    <cellStyle name="Normal 2 7 12" xfId="26880"/>
    <cellStyle name="Normal 2 7 12 2" xfId="26881"/>
    <cellStyle name="Normal 2 7 13" xfId="26882"/>
    <cellStyle name="Normal 2 7 2" xfId="26883"/>
    <cellStyle name="Normal 2 7 2 10" xfId="26884"/>
    <cellStyle name="Normal 2 7 2 10 2" xfId="26885"/>
    <cellStyle name="Normal 2 7 2 11" xfId="26886"/>
    <cellStyle name="Normal 2 7 2 11 2" xfId="26887"/>
    <cellStyle name="Normal 2 7 2 12" xfId="26888"/>
    <cellStyle name="Normal 2 7 2 2" xfId="26889"/>
    <cellStyle name="Normal 2 7 2 2 10" xfId="26890"/>
    <cellStyle name="Normal 2 7 2 2 10 2" xfId="26891"/>
    <cellStyle name="Normal 2 7 2 2 11" xfId="26892"/>
    <cellStyle name="Normal 2 7 2 2 2" xfId="26893"/>
    <cellStyle name="Normal 2 7 2 2 2 2" xfId="26894"/>
    <cellStyle name="Normal 2 7 2 2 3" xfId="26895"/>
    <cellStyle name="Normal 2 7 2 2 3 2" xfId="26896"/>
    <cellStyle name="Normal 2 7 2 2 4" xfId="26897"/>
    <cellStyle name="Normal 2 7 2 2 4 2" xfId="26898"/>
    <cellStyle name="Normal 2 7 2 2 5" xfId="26899"/>
    <cellStyle name="Normal 2 7 2 2 5 2" xfId="26900"/>
    <cellStyle name="Normal 2 7 2 2 6" xfId="26901"/>
    <cellStyle name="Normal 2 7 2 2 6 2" xfId="26902"/>
    <cellStyle name="Normal 2 7 2 2 7" xfId="26903"/>
    <cellStyle name="Normal 2 7 2 2 7 2" xfId="26904"/>
    <cellStyle name="Normal 2 7 2 2 8" xfId="26905"/>
    <cellStyle name="Normal 2 7 2 2 8 2" xfId="26906"/>
    <cellStyle name="Normal 2 7 2 2 9" xfId="26907"/>
    <cellStyle name="Normal 2 7 2 2 9 2" xfId="26908"/>
    <cellStyle name="Normal 2 7 2 3" xfId="26909"/>
    <cellStyle name="Normal 2 7 2 3 2" xfId="26910"/>
    <cellStyle name="Normal 2 7 2 4" xfId="26911"/>
    <cellStyle name="Normal 2 7 2 4 2" xfId="26912"/>
    <cellStyle name="Normal 2 7 2 5" xfId="26913"/>
    <cellStyle name="Normal 2 7 2 5 2" xfId="26914"/>
    <cellStyle name="Normal 2 7 2 6" xfId="26915"/>
    <cellStyle name="Normal 2 7 2 6 2" xfId="26916"/>
    <cellStyle name="Normal 2 7 2 7" xfId="26917"/>
    <cellStyle name="Normal 2 7 2 7 2" xfId="26918"/>
    <cellStyle name="Normal 2 7 2 8" xfId="26919"/>
    <cellStyle name="Normal 2 7 2 8 2" xfId="26920"/>
    <cellStyle name="Normal 2 7 2 9" xfId="26921"/>
    <cellStyle name="Normal 2 7 2 9 2" xfId="26922"/>
    <cellStyle name="Normal 2 7 3" xfId="26923"/>
    <cellStyle name="Normal 2 7 3 10" xfId="26924"/>
    <cellStyle name="Normal 2 7 3 10 2" xfId="26925"/>
    <cellStyle name="Normal 2 7 3 11" xfId="26926"/>
    <cellStyle name="Normal 2 7 3 2" xfId="26927"/>
    <cellStyle name="Normal 2 7 3 2 2" xfId="26928"/>
    <cellStyle name="Normal 2 7 3 3" xfId="26929"/>
    <cellStyle name="Normal 2 7 3 3 2" xfId="26930"/>
    <cellStyle name="Normal 2 7 3 4" xfId="26931"/>
    <cellStyle name="Normal 2 7 3 4 2" xfId="26932"/>
    <cellStyle name="Normal 2 7 3 5" xfId="26933"/>
    <cellStyle name="Normal 2 7 3 5 2" xfId="26934"/>
    <cellStyle name="Normal 2 7 3 6" xfId="26935"/>
    <cellStyle name="Normal 2 7 3 6 2" xfId="26936"/>
    <cellStyle name="Normal 2 7 3 7" xfId="26937"/>
    <cellStyle name="Normal 2 7 3 7 2" xfId="26938"/>
    <cellStyle name="Normal 2 7 3 8" xfId="26939"/>
    <cellStyle name="Normal 2 7 3 8 2" xfId="26940"/>
    <cellStyle name="Normal 2 7 3 9" xfId="26941"/>
    <cellStyle name="Normal 2 7 3 9 2" xfId="26942"/>
    <cellStyle name="Normal 2 7 4" xfId="26943"/>
    <cellStyle name="Normal 2 7 4 2" xfId="26944"/>
    <cellStyle name="Normal 2 7 5" xfId="26945"/>
    <cellStyle name="Normal 2 7 5 2" xfId="26946"/>
    <cellStyle name="Normal 2 7 6" xfId="26947"/>
    <cellStyle name="Normal 2 7 6 2" xfId="26948"/>
    <cellStyle name="Normal 2 7 7" xfId="26949"/>
    <cellStyle name="Normal 2 7 7 2" xfId="26950"/>
    <cellStyle name="Normal 2 7 8" xfId="26951"/>
    <cellStyle name="Normal 2 7 8 2" xfId="26952"/>
    <cellStyle name="Normal 2 7 9" xfId="26953"/>
    <cellStyle name="Normal 2 7 9 2" xfId="26954"/>
    <cellStyle name="Normal 2 8" xfId="794"/>
    <cellStyle name="Normal 2 8 10" xfId="26955"/>
    <cellStyle name="Normal 2 8 10 2" xfId="26956"/>
    <cellStyle name="Normal 2 8 11" xfId="26957"/>
    <cellStyle name="Normal 2 8 11 2" xfId="26958"/>
    <cellStyle name="Normal 2 8 12" xfId="26959"/>
    <cellStyle name="Normal 2 8 12 2" xfId="26960"/>
    <cellStyle name="Normal 2 8 13" xfId="26961"/>
    <cellStyle name="Normal 2 8 2" xfId="26962"/>
    <cellStyle name="Normal 2 8 2 10" xfId="26963"/>
    <cellStyle name="Normal 2 8 2 10 2" xfId="26964"/>
    <cellStyle name="Normal 2 8 2 11" xfId="26965"/>
    <cellStyle name="Normal 2 8 2 11 2" xfId="26966"/>
    <cellStyle name="Normal 2 8 2 12" xfId="26967"/>
    <cellStyle name="Normal 2 8 2 2" xfId="26968"/>
    <cellStyle name="Normal 2 8 2 2 10" xfId="26969"/>
    <cellStyle name="Normal 2 8 2 2 10 2" xfId="26970"/>
    <cellStyle name="Normal 2 8 2 2 11" xfId="26971"/>
    <cellStyle name="Normal 2 8 2 2 2" xfId="26972"/>
    <cellStyle name="Normal 2 8 2 2 2 2" xfId="26973"/>
    <cellStyle name="Normal 2 8 2 2 3" xfId="26974"/>
    <cellStyle name="Normal 2 8 2 2 3 2" xfId="26975"/>
    <cellStyle name="Normal 2 8 2 2 4" xfId="26976"/>
    <cellStyle name="Normal 2 8 2 2 4 2" xfId="26977"/>
    <cellStyle name="Normal 2 8 2 2 5" xfId="26978"/>
    <cellStyle name="Normal 2 8 2 2 5 2" xfId="26979"/>
    <cellStyle name="Normal 2 8 2 2 6" xfId="26980"/>
    <cellStyle name="Normal 2 8 2 2 6 2" xfId="26981"/>
    <cellStyle name="Normal 2 8 2 2 7" xfId="26982"/>
    <cellStyle name="Normal 2 8 2 2 7 2" xfId="26983"/>
    <cellStyle name="Normal 2 8 2 2 8" xfId="26984"/>
    <cellStyle name="Normal 2 8 2 2 8 2" xfId="26985"/>
    <cellStyle name="Normal 2 8 2 2 9" xfId="26986"/>
    <cellStyle name="Normal 2 8 2 2 9 2" xfId="26987"/>
    <cellStyle name="Normal 2 8 2 3" xfId="26988"/>
    <cellStyle name="Normal 2 8 2 3 2" xfId="26989"/>
    <cellStyle name="Normal 2 8 2 4" xfId="26990"/>
    <cellStyle name="Normal 2 8 2 4 2" xfId="26991"/>
    <cellStyle name="Normal 2 8 2 5" xfId="26992"/>
    <cellStyle name="Normal 2 8 2 5 2" xfId="26993"/>
    <cellStyle name="Normal 2 8 2 6" xfId="26994"/>
    <cellStyle name="Normal 2 8 2 6 2" xfId="26995"/>
    <cellStyle name="Normal 2 8 2 7" xfId="26996"/>
    <cellStyle name="Normal 2 8 2 7 2" xfId="26997"/>
    <cellStyle name="Normal 2 8 2 8" xfId="26998"/>
    <cellStyle name="Normal 2 8 2 8 2" xfId="26999"/>
    <cellStyle name="Normal 2 8 2 9" xfId="27000"/>
    <cellStyle name="Normal 2 8 2 9 2" xfId="27001"/>
    <cellStyle name="Normal 2 8 3" xfId="27002"/>
    <cellStyle name="Normal 2 8 3 10" xfId="27003"/>
    <cellStyle name="Normal 2 8 3 10 2" xfId="27004"/>
    <cellStyle name="Normal 2 8 3 11" xfId="27005"/>
    <cellStyle name="Normal 2 8 3 2" xfId="27006"/>
    <cellStyle name="Normal 2 8 3 2 2" xfId="27007"/>
    <cellStyle name="Normal 2 8 3 3" xfId="27008"/>
    <cellStyle name="Normal 2 8 3 3 2" xfId="27009"/>
    <cellStyle name="Normal 2 8 3 4" xfId="27010"/>
    <cellStyle name="Normal 2 8 3 4 2" xfId="27011"/>
    <cellStyle name="Normal 2 8 3 5" xfId="27012"/>
    <cellStyle name="Normal 2 8 3 5 2" xfId="27013"/>
    <cellStyle name="Normal 2 8 3 6" xfId="27014"/>
    <cellStyle name="Normal 2 8 3 6 2" xfId="27015"/>
    <cellStyle name="Normal 2 8 3 7" xfId="27016"/>
    <cellStyle name="Normal 2 8 3 7 2" xfId="27017"/>
    <cellStyle name="Normal 2 8 3 8" xfId="27018"/>
    <cellStyle name="Normal 2 8 3 8 2" xfId="27019"/>
    <cellStyle name="Normal 2 8 3 9" xfId="27020"/>
    <cellStyle name="Normal 2 8 3 9 2" xfId="27021"/>
    <cellStyle name="Normal 2 8 4" xfId="27022"/>
    <cellStyle name="Normal 2 8 4 2" xfId="27023"/>
    <cellStyle name="Normal 2 8 5" xfId="27024"/>
    <cellStyle name="Normal 2 8 5 2" xfId="27025"/>
    <cellStyle name="Normal 2 8 6" xfId="27026"/>
    <cellStyle name="Normal 2 8 6 2" xfId="27027"/>
    <cellStyle name="Normal 2 8 7" xfId="27028"/>
    <cellStyle name="Normal 2 8 7 2" xfId="27029"/>
    <cellStyle name="Normal 2 8 8" xfId="27030"/>
    <cellStyle name="Normal 2 8 8 2" xfId="27031"/>
    <cellStyle name="Normal 2 8 9" xfId="27032"/>
    <cellStyle name="Normal 2 8 9 2" xfId="27033"/>
    <cellStyle name="Normal 2 9" xfId="795"/>
    <cellStyle name="Normal 2 9 10" xfId="27034"/>
    <cellStyle name="Normal 2 9 10 2" xfId="27035"/>
    <cellStyle name="Normal 2 9 11" xfId="27036"/>
    <cellStyle name="Normal 2 9 11 2" xfId="27037"/>
    <cellStyle name="Normal 2 9 12" xfId="27038"/>
    <cellStyle name="Normal 2 9 12 2" xfId="27039"/>
    <cellStyle name="Normal 2 9 13" xfId="27040"/>
    <cellStyle name="Normal 2 9 2" xfId="27041"/>
    <cellStyle name="Normal 2 9 2 10" xfId="27042"/>
    <cellStyle name="Normal 2 9 2 10 2" xfId="27043"/>
    <cellStyle name="Normal 2 9 2 11" xfId="27044"/>
    <cellStyle name="Normal 2 9 2 11 2" xfId="27045"/>
    <cellStyle name="Normal 2 9 2 12" xfId="27046"/>
    <cellStyle name="Normal 2 9 2 2" xfId="27047"/>
    <cellStyle name="Normal 2 9 2 2 10" xfId="27048"/>
    <cellStyle name="Normal 2 9 2 2 10 2" xfId="27049"/>
    <cellStyle name="Normal 2 9 2 2 11" xfId="27050"/>
    <cellStyle name="Normal 2 9 2 2 2" xfId="27051"/>
    <cellStyle name="Normal 2 9 2 2 2 2" xfId="27052"/>
    <cellStyle name="Normal 2 9 2 2 3" xfId="27053"/>
    <cellStyle name="Normal 2 9 2 2 3 2" xfId="27054"/>
    <cellStyle name="Normal 2 9 2 2 4" xfId="27055"/>
    <cellStyle name="Normal 2 9 2 2 4 2" xfId="27056"/>
    <cellStyle name="Normal 2 9 2 2 5" xfId="27057"/>
    <cellStyle name="Normal 2 9 2 2 5 2" xfId="27058"/>
    <cellStyle name="Normal 2 9 2 2 6" xfId="27059"/>
    <cellStyle name="Normal 2 9 2 2 6 2" xfId="27060"/>
    <cellStyle name="Normal 2 9 2 2 7" xfId="27061"/>
    <cellStyle name="Normal 2 9 2 2 7 2" xfId="27062"/>
    <cellStyle name="Normal 2 9 2 2 8" xfId="27063"/>
    <cellStyle name="Normal 2 9 2 2 8 2" xfId="27064"/>
    <cellStyle name="Normal 2 9 2 2 9" xfId="27065"/>
    <cellStyle name="Normal 2 9 2 2 9 2" xfId="27066"/>
    <cellStyle name="Normal 2 9 2 3" xfId="27067"/>
    <cellStyle name="Normal 2 9 2 3 2" xfId="27068"/>
    <cellStyle name="Normal 2 9 2 4" xfId="27069"/>
    <cellStyle name="Normal 2 9 2 4 2" xfId="27070"/>
    <cellStyle name="Normal 2 9 2 5" xfId="27071"/>
    <cellStyle name="Normal 2 9 2 5 2" xfId="27072"/>
    <cellStyle name="Normal 2 9 2 6" xfId="27073"/>
    <cellStyle name="Normal 2 9 2 6 2" xfId="27074"/>
    <cellStyle name="Normal 2 9 2 7" xfId="27075"/>
    <cellStyle name="Normal 2 9 2 7 2" xfId="27076"/>
    <cellStyle name="Normal 2 9 2 8" xfId="27077"/>
    <cellStyle name="Normal 2 9 2 8 2" xfId="27078"/>
    <cellStyle name="Normal 2 9 2 9" xfId="27079"/>
    <cellStyle name="Normal 2 9 2 9 2" xfId="27080"/>
    <cellStyle name="Normal 2 9 3" xfId="27081"/>
    <cellStyle name="Normal 2 9 3 10" xfId="27082"/>
    <cellStyle name="Normal 2 9 3 10 2" xfId="27083"/>
    <cellStyle name="Normal 2 9 3 11" xfId="27084"/>
    <cellStyle name="Normal 2 9 3 2" xfId="27085"/>
    <cellStyle name="Normal 2 9 3 2 2" xfId="27086"/>
    <cellStyle name="Normal 2 9 3 3" xfId="27087"/>
    <cellStyle name="Normal 2 9 3 3 2" xfId="27088"/>
    <cellStyle name="Normal 2 9 3 4" xfId="27089"/>
    <cellStyle name="Normal 2 9 3 4 2" xfId="27090"/>
    <cellStyle name="Normal 2 9 3 5" xfId="27091"/>
    <cellStyle name="Normal 2 9 3 5 2" xfId="27092"/>
    <cellStyle name="Normal 2 9 3 6" xfId="27093"/>
    <cellStyle name="Normal 2 9 3 6 2" xfId="27094"/>
    <cellStyle name="Normal 2 9 3 7" xfId="27095"/>
    <cellStyle name="Normal 2 9 3 7 2" xfId="27096"/>
    <cellStyle name="Normal 2 9 3 8" xfId="27097"/>
    <cellStyle name="Normal 2 9 3 8 2" xfId="27098"/>
    <cellStyle name="Normal 2 9 3 9" xfId="27099"/>
    <cellStyle name="Normal 2 9 3 9 2" xfId="27100"/>
    <cellStyle name="Normal 2 9 4" xfId="27101"/>
    <cellStyle name="Normal 2 9 4 2" xfId="27102"/>
    <cellStyle name="Normal 2 9 5" xfId="27103"/>
    <cellStyle name="Normal 2 9 5 2" xfId="27104"/>
    <cellStyle name="Normal 2 9 6" xfId="27105"/>
    <cellStyle name="Normal 2 9 6 2" xfId="27106"/>
    <cellStyle name="Normal 2 9 7" xfId="27107"/>
    <cellStyle name="Normal 2 9 7 2" xfId="27108"/>
    <cellStyle name="Normal 2 9 8" xfId="27109"/>
    <cellStyle name="Normal 2 9 8 2" xfId="27110"/>
    <cellStyle name="Normal 2 9 9" xfId="27111"/>
    <cellStyle name="Normal 2 9 9 2" xfId="27112"/>
    <cellStyle name="Normal 20" xfId="796"/>
    <cellStyle name="Normal 20 10" xfId="27113"/>
    <cellStyle name="Normal 20 11" xfId="27114"/>
    <cellStyle name="Normal 20 12" xfId="27115"/>
    <cellStyle name="Normal 20 13" xfId="27116"/>
    <cellStyle name="Normal 20 14" xfId="27117"/>
    <cellStyle name="Normal 20 15" xfId="27118"/>
    <cellStyle name="Normal 20 16" xfId="27119"/>
    <cellStyle name="Normal 20 17" xfId="27120"/>
    <cellStyle name="Normal 20 18" xfId="1136"/>
    <cellStyle name="Normal 20 2" xfId="1137"/>
    <cellStyle name="Normal 20 2 10" xfId="27121"/>
    <cellStyle name="Normal 20 2 11" xfId="27122"/>
    <cellStyle name="Normal 20 2 12" xfId="27123"/>
    <cellStyle name="Normal 20 2 13" xfId="27124"/>
    <cellStyle name="Normal 20 2 14" xfId="27125"/>
    <cellStyle name="Normal 20 2 2" xfId="27126"/>
    <cellStyle name="Normal 20 2 3" xfId="27127"/>
    <cellStyle name="Normal 20 2 4" xfId="27128"/>
    <cellStyle name="Normal 20 2 5" xfId="27129"/>
    <cellStyle name="Normal 20 2 6" xfId="27130"/>
    <cellStyle name="Normal 20 2 7" xfId="27131"/>
    <cellStyle name="Normal 20 2 8" xfId="27132"/>
    <cellStyle name="Normal 20 2 9" xfId="27133"/>
    <cellStyle name="Normal 20 3" xfId="27134"/>
    <cellStyle name="Normal 20 4" xfId="27135"/>
    <cellStyle name="Normal 20 4 10" xfId="27136"/>
    <cellStyle name="Normal 20 4 10 2" xfId="27137"/>
    <cellStyle name="Normal 20 4 11" xfId="27138"/>
    <cellStyle name="Normal 20 4 11 2" xfId="27139"/>
    <cellStyle name="Normal 20 4 12" xfId="27140"/>
    <cellStyle name="Normal 20 4 12 2" xfId="27141"/>
    <cellStyle name="Normal 20 4 13" xfId="27142"/>
    <cellStyle name="Normal 20 4 2" xfId="27143"/>
    <cellStyle name="Normal 20 4 2 10" xfId="27144"/>
    <cellStyle name="Normal 20 4 2 10 2" xfId="27145"/>
    <cellStyle name="Normal 20 4 2 11" xfId="27146"/>
    <cellStyle name="Normal 20 4 2 11 2" xfId="27147"/>
    <cellStyle name="Normal 20 4 2 12" xfId="27148"/>
    <cellStyle name="Normal 20 4 2 2" xfId="27149"/>
    <cellStyle name="Normal 20 4 2 2 10" xfId="27150"/>
    <cellStyle name="Normal 20 4 2 2 10 2" xfId="27151"/>
    <cellStyle name="Normal 20 4 2 2 11" xfId="27152"/>
    <cellStyle name="Normal 20 4 2 2 2" xfId="27153"/>
    <cellStyle name="Normal 20 4 2 2 2 2" xfId="27154"/>
    <cellStyle name="Normal 20 4 2 2 3" xfId="27155"/>
    <cellStyle name="Normal 20 4 2 2 3 2" xfId="27156"/>
    <cellStyle name="Normal 20 4 2 2 4" xfId="27157"/>
    <cellStyle name="Normal 20 4 2 2 4 2" xfId="27158"/>
    <cellStyle name="Normal 20 4 2 2 5" xfId="27159"/>
    <cellStyle name="Normal 20 4 2 2 5 2" xfId="27160"/>
    <cellStyle name="Normal 20 4 2 2 6" xfId="27161"/>
    <cellStyle name="Normal 20 4 2 2 6 2" xfId="27162"/>
    <cellStyle name="Normal 20 4 2 2 7" xfId="27163"/>
    <cellStyle name="Normal 20 4 2 2 7 2" xfId="27164"/>
    <cellStyle name="Normal 20 4 2 2 8" xfId="27165"/>
    <cellStyle name="Normal 20 4 2 2 8 2" xfId="27166"/>
    <cellStyle name="Normal 20 4 2 2 9" xfId="27167"/>
    <cellStyle name="Normal 20 4 2 2 9 2" xfId="27168"/>
    <cellStyle name="Normal 20 4 2 3" xfId="27169"/>
    <cellStyle name="Normal 20 4 2 3 2" xfId="27170"/>
    <cellStyle name="Normal 20 4 2 4" xfId="27171"/>
    <cellStyle name="Normal 20 4 2 4 2" xfId="27172"/>
    <cellStyle name="Normal 20 4 2 5" xfId="27173"/>
    <cellStyle name="Normal 20 4 2 5 2" xfId="27174"/>
    <cellStyle name="Normal 20 4 2 6" xfId="27175"/>
    <cellStyle name="Normal 20 4 2 6 2" xfId="27176"/>
    <cellStyle name="Normal 20 4 2 7" xfId="27177"/>
    <cellStyle name="Normal 20 4 2 7 2" xfId="27178"/>
    <cellStyle name="Normal 20 4 2 8" xfId="27179"/>
    <cellStyle name="Normal 20 4 2 8 2" xfId="27180"/>
    <cellStyle name="Normal 20 4 2 9" xfId="27181"/>
    <cellStyle name="Normal 20 4 2 9 2" xfId="27182"/>
    <cellStyle name="Normal 20 4 3" xfId="27183"/>
    <cellStyle name="Normal 20 4 3 10" xfId="27184"/>
    <cellStyle name="Normal 20 4 3 10 2" xfId="27185"/>
    <cellStyle name="Normal 20 4 3 11" xfId="27186"/>
    <cellStyle name="Normal 20 4 3 2" xfId="27187"/>
    <cellStyle name="Normal 20 4 3 2 2" xfId="27188"/>
    <cellStyle name="Normal 20 4 3 3" xfId="27189"/>
    <cellStyle name="Normal 20 4 3 3 2" xfId="27190"/>
    <cellStyle name="Normal 20 4 3 4" xfId="27191"/>
    <cellStyle name="Normal 20 4 3 4 2" xfId="27192"/>
    <cellStyle name="Normal 20 4 3 5" xfId="27193"/>
    <cellStyle name="Normal 20 4 3 5 2" xfId="27194"/>
    <cellStyle name="Normal 20 4 3 6" xfId="27195"/>
    <cellStyle name="Normal 20 4 3 6 2" xfId="27196"/>
    <cellStyle name="Normal 20 4 3 7" xfId="27197"/>
    <cellStyle name="Normal 20 4 3 7 2" xfId="27198"/>
    <cellStyle name="Normal 20 4 3 8" xfId="27199"/>
    <cellStyle name="Normal 20 4 3 8 2" xfId="27200"/>
    <cellStyle name="Normal 20 4 3 9" xfId="27201"/>
    <cellStyle name="Normal 20 4 3 9 2" xfId="27202"/>
    <cellStyle name="Normal 20 4 4" xfId="27203"/>
    <cellStyle name="Normal 20 4 4 2" xfId="27204"/>
    <cellStyle name="Normal 20 4 5" xfId="27205"/>
    <cellStyle name="Normal 20 4 5 2" xfId="27206"/>
    <cellStyle name="Normal 20 4 6" xfId="27207"/>
    <cellStyle name="Normal 20 4 6 2" xfId="27208"/>
    <cellStyle name="Normal 20 4 7" xfId="27209"/>
    <cellStyle name="Normal 20 4 7 2" xfId="27210"/>
    <cellStyle name="Normal 20 4 8" xfId="27211"/>
    <cellStyle name="Normal 20 4 8 2" xfId="27212"/>
    <cellStyle name="Normal 20 4 9" xfId="27213"/>
    <cellStyle name="Normal 20 4 9 2" xfId="27214"/>
    <cellStyle name="Normal 20 5" xfId="27215"/>
    <cellStyle name="Normal 20 6" xfId="27216"/>
    <cellStyle name="Normal 20 7" xfId="27217"/>
    <cellStyle name="Normal 20 8" xfId="27218"/>
    <cellStyle name="Normal 20 9" xfId="27219"/>
    <cellStyle name="Normal 21" xfId="797"/>
    <cellStyle name="Normal 21 10" xfId="27220"/>
    <cellStyle name="Normal 21 11" xfId="27221"/>
    <cellStyle name="Normal 21 12" xfId="27222"/>
    <cellStyle name="Normal 21 13" xfId="27223"/>
    <cellStyle name="Normal 21 14" xfId="27224"/>
    <cellStyle name="Normal 21 15" xfId="27225"/>
    <cellStyle name="Normal 21 2" xfId="798"/>
    <cellStyle name="Normal 21 3" xfId="27226"/>
    <cellStyle name="Normal 21 4" xfId="27227"/>
    <cellStyle name="Normal 21 5" xfId="27228"/>
    <cellStyle name="Normal 21 6" xfId="27229"/>
    <cellStyle name="Normal 21 7" xfId="27230"/>
    <cellStyle name="Normal 21 8" xfId="27231"/>
    <cellStyle name="Normal 21 9" xfId="27232"/>
    <cellStyle name="Normal 22" xfId="799"/>
    <cellStyle name="Normal 22 10" xfId="27234"/>
    <cellStyle name="Normal 22 10 2" xfId="27235"/>
    <cellStyle name="Normal 22 11" xfId="27236"/>
    <cellStyle name="Normal 22 11 2" xfId="27237"/>
    <cellStyle name="Normal 22 12" xfId="27238"/>
    <cellStyle name="Normal 22 12 2" xfId="27239"/>
    <cellStyle name="Normal 22 13" xfId="27240"/>
    <cellStyle name="Normal 22 14" xfId="27233"/>
    <cellStyle name="Normal 22 2" xfId="800"/>
    <cellStyle name="Normal 22 2 10" xfId="27242"/>
    <cellStyle name="Normal 22 2 10 2" xfId="27243"/>
    <cellStyle name="Normal 22 2 11" xfId="27244"/>
    <cellStyle name="Normal 22 2 11 2" xfId="27245"/>
    <cellStyle name="Normal 22 2 12" xfId="27246"/>
    <cellStyle name="Normal 22 2 13" xfId="27241"/>
    <cellStyle name="Normal 22 2 2" xfId="27247"/>
    <cellStyle name="Normal 22 2 2 10" xfId="27248"/>
    <cellStyle name="Normal 22 2 2 10 2" xfId="27249"/>
    <cellStyle name="Normal 22 2 2 11" xfId="27250"/>
    <cellStyle name="Normal 22 2 2 2" xfId="27251"/>
    <cellStyle name="Normal 22 2 2 2 2" xfId="27252"/>
    <cellStyle name="Normal 22 2 2 3" xfId="27253"/>
    <cellStyle name="Normal 22 2 2 3 2" xfId="27254"/>
    <cellStyle name="Normal 22 2 2 4" xfId="27255"/>
    <cellStyle name="Normal 22 2 2 4 2" xfId="27256"/>
    <cellStyle name="Normal 22 2 2 5" xfId="27257"/>
    <cellStyle name="Normal 22 2 2 5 2" xfId="27258"/>
    <cellStyle name="Normal 22 2 2 6" xfId="27259"/>
    <cellStyle name="Normal 22 2 2 6 2" xfId="27260"/>
    <cellStyle name="Normal 22 2 2 7" xfId="27261"/>
    <cellStyle name="Normal 22 2 2 7 2" xfId="27262"/>
    <cellStyle name="Normal 22 2 2 8" xfId="27263"/>
    <cellStyle name="Normal 22 2 2 8 2" xfId="27264"/>
    <cellStyle name="Normal 22 2 2 9" xfId="27265"/>
    <cellStyle name="Normal 22 2 2 9 2" xfId="27266"/>
    <cellStyle name="Normal 22 2 3" xfId="27267"/>
    <cellStyle name="Normal 22 2 3 2" xfId="27268"/>
    <cellStyle name="Normal 22 2 4" xfId="27269"/>
    <cellStyle name="Normal 22 2 4 2" xfId="27270"/>
    <cellStyle name="Normal 22 2 5" xfId="27271"/>
    <cellStyle name="Normal 22 2 5 2" xfId="27272"/>
    <cellStyle name="Normal 22 2 6" xfId="27273"/>
    <cellStyle name="Normal 22 2 6 2" xfId="27274"/>
    <cellStyle name="Normal 22 2 7" xfId="27275"/>
    <cellStyle name="Normal 22 2 7 2" xfId="27276"/>
    <cellStyle name="Normal 22 2 8" xfId="27277"/>
    <cellStyle name="Normal 22 2 8 2" xfId="27278"/>
    <cellStyle name="Normal 22 2 9" xfId="27279"/>
    <cellStyle name="Normal 22 2 9 2" xfId="27280"/>
    <cellStyle name="Normal 22 3" xfId="27281"/>
    <cellStyle name="Normal 22 3 10" xfId="27282"/>
    <cellStyle name="Normal 22 3 10 2" xfId="27283"/>
    <cellStyle name="Normal 22 3 11" xfId="27284"/>
    <cellStyle name="Normal 22 3 2" xfId="27285"/>
    <cellStyle name="Normal 22 3 2 2" xfId="27286"/>
    <cellStyle name="Normal 22 3 3" xfId="27287"/>
    <cellStyle name="Normal 22 3 3 2" xfId="27288"/>
    <cellStyle name="Normal 22 3 4" xfId="27289"/>
    <cellStyle name="Normal 22 3 4 2" xfId="27290"/>
    <cellStyle name="Normal 22 3 5" xfId="27291"/>
    <cellStyle name="Normal 22 3 5 2" xfId="27292"/>
    <cellStyle name="Normal 22 3 6" xfId="27293"/>
    <cellStyle name="Normal 22 3 6 2" xfId="27294"/>
    <cellStyle name="Normal 22 3 7" xfId="27295"/>
    <cellStyle name="Normal 22 3 7 2" xfId="27296"/>
    <cellStyle name="Normal 22 3 8" xfId="27297"/>
    <cellStyle name="Normal 22 3 8 2" xfId="27298"/>
    <cellStyle name="Normal 22 3 9" xfId="27299"/>
    <cellStyle name="Normal 22 3 9 2" xfId="27300"/>
    <cellStyle name="Normal 22 4" xfId="27301"/>
    <cellStyle name="Normal 22 4 2" xfId="27302"/>
    <cellStyle name="Normal 22 5" xfId="27303"/>
    <cellStyle name="Normal 22 5 2" xfId="27304"/>
    <cellStyle name="Normal 22 6" xfId="27305"/>
    <cellStyle name="Normal 22 6 2" xfId="27306"/>
    <cellStyle name="Normal 22 7" xfId="27307"/>
    <cellStyle name="Normal 22 7 2" xfId="27308"/>
    <cellStyle name="Normal 22 8" xfId="27309"/>
    <cellStyle name="Normal 22 8 2" xfId="27310"/>
    <cellStyle name="Normal 22 9" xfId="27311"/>
    <cellStyle name="Normal 22 9 2" xfId="27312"/>
    <cellStyle name="Normal 23" xfId="801"/>
    <cellStyle name="Normal 23 10" xfId="27314"/>
    <cellStyle name="Normal 23 10 2" xfId="27315"/>
    <cellStyle name="Normal 23 11" xfId="27316"/>
    <cellStyle name="Normal 23 11 2" xfId="27317"/>
    <cellStyle name="Normal 23 12" xfId="27318"/>
    <cellStyle name="Normal 23 12 2" xfId="27319"/>
    <cellStyle name="Normal 23 13" xfId="27320"/>
    <cellStyle name="Normal 23 14" xfId="27313"/>
    <cellStyle name="Normal 23 2" xfId="802"/>
    <cellStyle name="Normal 23 2 10" xfId="27322"/>
    <cellStyle name="Normal 23 2 10 2" xfId="27323"/>
    <cellStyle name="Normal 23 2 11" xfId="27324"/>
    <cellStyle name="Normal 23 2 11 2" xfId="27325"/>
    <cellStyle name="Normal 23 2 12" xfId="27326"/>
    <cellStyle name="Normal 23 2 13" xfId="27321"/>
    <cellStyle name="Normal 23 2 2" xfId="27327"/>
    <cellStyle name="Normal 23 2 2 10" xfId="27328"/>
    <cellStyle name="Normal 23 2 2 10 2" xfId="27329"/>
    <cellStyle name="Normal 23 2 2 11" xfId="27330"/>
    <cellStyle name="Normal 23 2 2 2" xfId="27331"/>
    <cellStyle name="Normal 23 2 2 2 2" xfId="27332"/>
    <cellStyle name="Normal 23 2 2 3" xfId="27333"/>
    <cellStyle name="Normal 23 2 2 3 2" xfId="27334"/>
    <cellStyle name="Normal 23 2 2 4" xfId="27335"/>
    <cellStyle name="Normal 23 2 2 4 2" xfId="27336"/>
    <cellStyle name="Normal 23 2 2 5" xfId="27337"/>
    <cellStyle name="Normal 23 2 2 5 2" xfId="27338"/>
    <cellStyle name="Normal 23 2 2 6" xfId="27339"/>
    <cellStyle name="Normal 23 2 2 6 2" xfId="27340"/>
    <cellStyle name="Normal 23 2 2 7" xfId="27341"/>
    <cellStyle name="Normal 23 2 2 7 2" xfId="27342"/>
    <cellStyle name="Normal 23 2 2 8" xfId="27343"/>
    <cellStyle name="Normal 23 2 2 8 2" xfId="27344"/>
    <cellStyle name="Normal 23 2 2 9" xfId="27345"/>
    <cellStyle name="Normal 23 2 2 9 2" xfId="27346"/>
    <cellStyle name="Normal 23 2 3" xfId="27347"/>
    <cellStyle name="Normal 23 2 3 2" xfId="27348"/>
    <cellStyle name="Normal 23 2 4" xfId="27349"/>
    <cellStyle name="Normal 23 2 4 2" xfId="27350"/>
    <cellStyle name="Normal 23 2 5" xfId="27351"/>
    <cellStyle name="Normal 23 2 5 2" xfId="27352"/>
    <cellStyle name="Normal 23 2 6" xfId="27353"/>
    <cellStyle name="Normal 23 2 6 2" xfId="27354"/>
    <cellStyle name="Normal 23 2 7" xfId="27355"/>
    <cellStyle name="Normal 23 2 7 2" xfId="27356"/>
    <cellStyle name="Normal 23 2 8" xfId="27357"/>
    <cellStyle name="Normal 23 2 8 2" xfId="27358"/>
    <cellStyle name="Normal 23 2 9" xfId="27359"/>
    <cellStyle name="Normal 23 2 9 2" xfId="27360"/>
    <cellStyle name="Normal 23 3" xfId="27361"/>
    <cellStyle name="Normal 23 3 10" xfId="27362"/>
    <cellStyle name="Normal 23 3 10 2" xfId="27363"/>
    <cellStyle name="Normal 23 3 11" xfId="27364"/>
    <cellStyle name="Normal 23 3 2" xfId="27365"/>
    <cellStyle name="Normal 23 3 2 2" xfId="27366"/>
    <cellStyle name="Normal 23 3 3" xfId="27367"/>
    <cellStyle name="Normal 23 3 3 2" xfId="27368"/>
    <cellStyle name="Normal 23 3 4" xfId="27369"/>
    <cellStyle name="Normal 23 3 4 2" xfId="27370"/>
    <cellStyle name="Normal 23 3 5" xfId="27371"/>
    <cellStyle name="Normal 23 3 5 2" xfId="27372"/>
    <cellStyle name="Normal 23 3 6" xfId="27373"/>
    <cellStyle name="Normal 23 3 6 2" xfId="27374"/>
    <cellStyle name="Normal 23 3 7" xfId="27375"/>
    <cellStyle name="Normal 23 3 7 2" xfId="27376"/>
    <cellStyle name="Normal 23 3 8" xfId="27377"/>
    <cellStyle name="Normal 23 3 8 2" xfId="27378"/>
    <cellStyle name="Normal 23 3 9" xfId="27379"/>
    <cellStyle name="Normal 23 3 9 2" xfId="27380"/>
    <cellStyle name="Normal 23 4" xfId="27381"/>
    <cellStyle name="Normal 23 4 2" xfId="27382"/>
    <cellStyle name="Normal 23 5" xfId="27383"/>
    <cellStyle name="Normal 23 5 2" xfId="27384"/>
    <cellStyle name="Normal 23 6" xfId="27385"/>
    <cellStyle name="Normal 23 6 2" xfId="27386"/>
    <cellStyle name="Normal 23 7" xfId="27387"/>
    <cellStyle name="Normal 23 7 2" xfId="27388"/>
    <cellStyle name="Normal 23 8" xfId="27389"/>
    <cellStyle name="Normal 23 8 2" xfId="27390"/>
    <cellStyle name="Normal 23 9" xfId="27391"/>
    <cellStyle name="Normal 23 9 2" xfId="27392"/>
    <cellStyle name="Normal 24" xfId="803"/>
    <cellStyle name="Normal 24 10" xfId="27393"/>
    <cellStyle name="Normal 24 11" xfId="27394"/>
    <cellStyle name="Normal 24 12" xfId="27395"/>
    <cellStyle name="Normal 24 13" xfId="27396"/>
    <cellStyle name="Normal 24 14" xfId="27397"/>
    <cellStyle name="Normal 24 2" xfId="804"/>
    <cellStyle name="Normal 24 3" xfId="27398"/>
    <cellStyle name="Normal 24 4" xfId="27399"/>
    <cellStyle name="Normal 24 5" xfId="27400"/>
    <cellStyle name="Normal 24 6" xfId="27401"/>
    <cellStyle name="Normal 24 7" xfId="27402"/>
    <cellStyle name="Normal 24 8" xfId="27403"/>
    <cellStyle name="Normal 24 9" xfId="27404"/>
    <cellStyle name="Normal 25" xfId="805"/>
    <cellStyle name="Normal 25 10" xfId="27406"/>
    <cellStyle name="Normal 25 10 2" xfId="27407"/>
    <cellStyle name="Normal 25 11" xfId="27408"/>
    <cellStyle name="Normal 25 11 2" xfId="27409"/>
    <cellStyle name="Normal 25 12" xfId="27410"/>
    <cellStyle name="Normal 25 12 2" xfId="27411"/>
    <cellStyle name="Normal 25 13" xfId="27412"/>
    <cellStyle name="Normal 25 14" xfId="27405"/>
    <cellStyle name="Normal 25 2" xfId="806"/>
    <cellStyle name="Normal 25 2 10" xfId="27414"/>
    <cellStyle name="Normal 25 2 10 2" xfId="27415"/>
    <cellStyle name="Normal 25 2 11" xfId="27416"/>
    <cellStyle name="Normal 25 2 11 2" xfId="27417"/>
    <cellStyle name="Normal 25 2 12" xfId="27418"/>
    <cellStyle name="Normal 25 2 13" xfId="27413"/>
    <cellStyle name="Normal 25 2 2" xfId="27419"/>
    <cellStyle name="Normal 25 2 2 10" xfId="27420"/>
    <cellStyle name="Normal 25 2 2 10 2" xfId="27421"/>
    <cellStyle name="Normal 25 2 2 11" xfId="27422"/>
    <cellStyle name="Normal 25 2 2 2" xfId="27423"/>
    <cellStyle name="Normal 25 2 2 2 2" xfId="27424"/>
    <cellStyle name="Normal 25 2 2 3" xfId="27425"/>
    <cellStyle name="Normal 25 2 2 3 2" xfId="27426"/>
    <cellStyle name="Normal 25 2 2 4" xfId="27427"/>
    <cellStyle name="Normal 25 2 2 4 2" xfId="27428"/>
    <cellStyle name="Normal 25 2 2 5" xfId="27429"/>
    <cellStyle name="Normal 25 2 2 5 2" xfId="27430"/>
    <cellStyle name="Normal 25 2 2 6" xfId="27431"/>
    <cellStyle name="Normal 25 2 2 6 2" xfId="27432"/>
    <cellStyle name="Normal 25 2 2 7" xfId="27433"/>
    <cellStyle name="Normal 25 2 2 7 2" xfId="27434"/>
    <cellStyle name="Normal 25 2 2 8" xfId="27435"/>
    <cellStyle name="Normal 25 2 2 8 2" xfId="27436"/>
    <cellStyle name="Normal 25 2 2 9" xfId="27437"/>
    <cellStyle name="Normal 25 2 2 9 2" xfId="27438"/>
    <cellStyle name="Normal 25 2 3" xfId="27439"/>
    <cellStyle name="Normal 25 2 3 2" xfId="27440"/>
    <cellStyle name="Normal 25 2 4" xfId="27441"/>
    <cellStyle name="Normal 25 2 4 2" xfId="27442"/>
    <cellStyle name="Normal 25 2 5" xfId="27443"/>
    <cellStyle name="Normal 25 2 5 2" xfId="27444"/>
    <cellStyle name="Normal 25 2 6" xfId="27445"/>
    <cellStyle name="Normal 25 2 6 2" xfId="27446"/>
    <cellStyle name="Normal 25 2 7" xfId="27447"/>
    <cellStyle name="Normal 25 2 7 2" xfId="27448"/>
    <cellStyle name="Normal 25 2 8" xfId="27449"/>
    <cellStyle name="Normal 25 2 8 2" xfId="27450"/>
    <cellStyle name="Normal 25 2 9" xfId="27451"/>
    <cellStyle name="Normal 25 2 9 2" xfId="27452"/>
    <cellStyle name="Normal 25 3" xfId="27453"/>
    <cellStyle name="Normal 25 3 10" xfId="27454"/>
    <cellStyle name="Normal 25 3 10 2" xfId="27455"/>
    <cellStyle name="Normal 25 3 11" xfId="27456"/>
    <cellStyle name="Normal 25 3 2" xfId="27457"/>
    <cellStyle name="Normal 25 3 2 2" xfId="27458"/>
    <cellStyle name="Normal 25 3 3" xfId="27459"/>
    <cellStyle name="Normal 25 3 3 2" xfId="27460"/>
    <cellStyle name="Normal 25 3 4" xfId="27461"/>
    <cellStyle name="Normal 25 3 4 2" xfId="27462"/>
    <cellStyle name="Normal 25 3 5" xfId="27463"/>
    <cellStyle name="Normal 25 3 5 2" xfId="27464"/>
    <cellStyle name="Normal 25 3 6" xfId="27465"/>
    <cellStyle name="Normal 25 3 6 2" xfId="27466"/>
    <cellStyle name="Normal 25 3 7" xfId="27467"/>
    <cellStyle name="Normal 25 3 7 2" xfId="27468"/>
    <cellStyle name="Normal 25 3 8" xfId="27469"/>
    <cellStyle name="Normal 25 3 8 2" xfId="27470"/>
    <cellStyle name="Normal 25 3 9" xfId="27471"/>
    <cellStyle name="Normal 25 3 9 2" xfId="27472"/>
    <cellStyle name="Normal 25 4" xfId="27473"/>
    <cellStyle name="Normal 25 4 2" xfId="27474"/>
    <cellStyle name="Normal 25 5" xfId="27475"/>
    <cellStyle name="Normal 25 5 2" xfId="27476"/>
    <cellStyle name="Normal 25 6" xfId="27477"/>
    <cellStyle name="Normal 25 6 2" xfId="27478"/>
    <cellStyle name="Normal 25 7" xfId="27479"/>
    <cellStyle name="Normal 25 7 2" xfId="27480"/>
    <cellStyle name="Normal 25 8" xfId="27481"/>
    <cellStyle name="Normal 25 8 2" xfId="27482"/>
    <cellStyle name="Normal 25 9" xfId="27483"/>
    <cellStyle name="Normal 25 9 2" xfId="27484"/>
    <cellStyle name="Normal 26" xfId="807"/>
    <cellStyle name="Normal 26 10" xfId="27486"/>
    <cellStyle name="Normal 26 10 2" xfId="27487"/>
    <cellStyle name="Normal 26 11" xfId="27488"/>
    <cellStyle name="Normal 26 11 2" xfId="27489"/>
    <cellStyle name="Normal 26 12" xfId="27490"/>
    <cellStyle name="Normal 26 12 2" xfId="27491"/>
    <cellStyle name="Normal 26 13" xfId="27492"/>
    <cellStyle name="Normal 26 14" xfId="27485"/>
    <cellStyle name="Normal 26 2" xfId="808"/>
    <cellStyle name="Normal 26 2 10" xfId="27494"/>
    <cellStyle name="Normal 26 2 10 2" xfId="27495"/>
    <cellStyle name="Normal 26 2 11" xfId="27496"/>
    <cellStyle name="Normal 26 2 11 2" xfId="27497"/>
    <cellStyle name="Normal 26 2 12" xfId="27498"/>
    <cellStyle name="Normal 26 2 13" xfId="27493"/>
    <cellStyle name="Normal 26 2 2" xfId="27499"/>
    <cellStyle name="Normal 26 2 2 10" xfId="27500"/>
    <cellStyle name="Normal 26 2 2 10 2" xfId="27501"/>
    <cellStyle name="Normal 26 2 2 11" xfId="27502"/>
    <cellStyle name="Normal 26 2 2 2" xfId="27503"/>
    <cellStyle name="Normal 26 2 2 2 2" xfId="27504"/>
    <cellStyle name="Normal 26 2 2 3" xfId="27505"/>
    <cellStyle name="Normal 26 2 2 3 2" xfId="27506"/>
    <cellStyle name="Normal 26 2 2 4" xfId="27507"/>
    <cellStyle name="Normal 26 2 2 4 2" xfId="27508"/>
    <cellStyle name="Normal 26 2 2 5" xfId="27509"/>
    <cellStyle name="Normal 26 2 2 5 2" xfId="27510"/>
    <cellStyle name="Normal 26 2 2 6" xfId="27511"/>
    <cellStyle name="Normal 26 2 2 6 2" xfId="27512"/>
    <cellStyle name="Normal 26 2 2 7" xfId="27513"/>
    <cellStyle name="Normal 26 2 2 7 2" xfId="27514"/>
    <cellStyle name="Normal 26 2 2 8" xfId="27515"/>
    <cellStyle name="Normal 26 2 2 8 2" xfId="27516"/>
    <cellStyle name="Normal 26 2 2 9" xfId="27517"/>
    <cellStyle name="Normal 26 2 2 9 2" xfId="27518"/>
    <cellStyle name="Normal 26 2 3" xfId="27519"/>
    <cellStyle name="Normal 26 2 3 2" xfId="27520"/>
    <cellStyle name="Normal 26 2 4" xfId="27521"/>
    <cellStyle name="Normal 26 2 4 2" xfId="27522"/>
    <cellStyle name="Normal 26 2 5" xfId="27523"/>
    <cellStyle name="Normal 26 2 5 2" xfId="27524"/>
    <cellStyle name="Normal 26 2 6" xfId="27525"/>
    <cellStyle name="Normal 26 2 6 2" xfId="27526"/>
    <cellStyle name="Normal 26 2 7" xfId="27527"/>
    <cellStyle name="Normal 26 2 7 2" xfId="27528"/>
    <cellStyle name="Normal 26 2 8" xfId="27529"/>
    <cellStyle name="Normal 26 2 8 2" xfId="27530"/>
    <cellStyle name="Normal 26 2 9" xfId="27531"/>
    <cellStyle name="Normal 26 2 9 2" xfId="27532"/>
    <cellStyle name="Normal 26 3" xfId="27533"/>
    <cellStyle name="Normal 26 3 10" xfId="27534"/>
    <cellStyle name="Normal 26 3 10 2" xfId="27535"/>
    <cellStyle name="Normal 26 3 11" xfId="27536"/>
    <cellStyle name="Normal 26 3 2" xfId="27537"/>
    <cellStyle name="Normal 26 3 2 2" xfId="27538"/>
    <cellStyle name="Normal 26 3 3" xfId="27539"/>
    <cellStyle name="Normal 26 3 3 2" xfId="27540"/>
    <cellStyle name="Normal 26 3 4" xfId="27541"/>
    <cellStyle name="Normal 26 3 4 2" xfId="27542"/>
    <cellStyle name="Normal 26 3 5" xfId="27543"/>
    <cellStyle name="Normal 26 3 5 2" xfId="27544"/>
    <cellStyle name="Normal 26 3 6" xfId="27545"/>
    <cellStyle name="Normal 26 3 6 2" xfId="27546"/>
    <cellStyle name="Normal 26 3 7" xfId="27547"/>
    <cellStyle name="Normal 26 3 7 2" xfId="27548"/>
    <cellStyle name="Normal 26 3 8" xfId="27549"/>
    <cellStyle name="Normal 26 3 8 2" xfId="27550"/>
    <cellStyle name="Normal 26 3 9" xfId="27551"/>
    <cellStyle name="Normal 26 3 9 2" xfId="27552"/>
    <cellStyle name="Normal 26 4" xfId="27553"/>
    <cellStyle name="Normal 26 4 2" xfId="27554"/>
    <cellStyle name="Normal 26 5" xfId="27555"/>
    <cellStyle name="Normal 26 5 2" xfId="27556"/>
    <cellStyle name="Normal 26 6" xfId="27557"/>
    <cellStyle name="Normal 26 6 2" xfId="27558"/>
    <cellStyle name="Normal 26 7" xfId="27559"/>
    <cellStyle name="Normal 26 7 2" xfId="27560"/>
    <cellStyle name="Normal 26 8" xfId="27561"/>
    <cellStyle name="Normal 26 8 2" xfId="27562"/>
    <cellStyle name="Normal 26 9" xfId="27563"/>
    <cellStyle name="Normal 26 9 2" xfId="27564"/>
    <cellStyle name="Normal 27" xfId="809"/>
    <cellStyle name="Normal 27 10" xfId="27566"/>
    <cellStyle name="Normal 27 10 2" xfId="27567"/>
    <cellStyle name="Normal 27 11" xfId="27568"/>
    <cellStyle name="Normal 27 11 2" xfId="27569"/>
    <cellStyle name="Normal 27 12" xfId="27570"/>
    <cellStyle name="Normal 27 12 2" xfId="27571"/>
    <cellStyle name="Normal 27 13" xfId="27572"/>
    <cellStyle name="Normal 27 14" xfId="27565"/>
    <cellStyle name="Normal 27 2" xfId="810"/>
    <cellStyle name="Normal 27 2 10" xfId="27574"/>
    <cellStyle name="Normal 27 2 10 2" xfId="27575"/>
    <cellStyle name="Normal 27 2 11" xfId="27576"/>
    <cellStyle name="Normal 27 2 11 2" xfId="27577"/>
    <cellStyle name="Normal 27 2 12" xfId="27578"/>
    <cellStyle name="Normal 27 2 13" xfId="27573"/>
    <cellStyle name="Normal 27 2 2" xfId="27579"/>
    <cellStyle name="Normal 27 2 2 10" xfId="27580"/>
    <cellStyle name="Normal 27 2 2 10 2" xfId="27581"/>
    <cellStyle name="Normal 27 2 2 11" xfId="27582"/>
    <cellStyle name="Normal 27 2 2 2" xfId="27583"/>
    <cellStyle name="Normal 27 2 2 2 2" xfId="27584"/>
    <cellStyle name="Normal 27 2 2 3" xfId="27585"/>
    <cellStyle name="Normal 27 2 2 3 2" xfId="27586"/>
    <cellStyle name="Normal 27 2 2 4" xfId="27587"/>
    <cellStyle name="Normal 27 2 2 4 2" xfId="27588"/>
    <cellStyle name="Normal 27 2 2 5" xfId="27589"/>
    <cellStyle name="Normal 27 2 2 5 2" xfId="27590"/>
    <cellStyle name="Normal 27 2 2 6" xfId="27591"/>
    <cellStyle name="Normal 27 2 2 6 2" xfId="27592"/>
    <cellStyle name="Normal 27 2 2 7" xfId="27593"/>
    <cellStyle name="Normal 27 2 2 7 2" xfId="27594"/>
    <cellStyle name="Normal 27 2 2 8" xfId="27595"/>
    <cellStyle name="Normal 27 2 2 8 2" xfId="27596"/>
    <cellStyle name="Normal 27 2 2 9" xfId="27597"/>
    <cellStyle name="Normal 27 2 2 9 2" xfId="27598"/>
    <cellStyle name="Normal 27 2 3" xfId="27599"/>
    <cellStyle name="Normal 27 2 3 2" xfId="27600"/>
    <cellStyle name="Normal 27 2 4" xfId="27601"/>
    <cellStyle name="Normal 27 2 4 2" xfId="27602"/>
    <cellStyle name="Normal 27 2 5" xfId="27603"/>
    <cellStyle name="Normal 27 2 5 2" xfId="27604"/>
    <cellStyle name="Normal 27 2 6" xfId="27605"/>
    <cellStyle name="Normal 27 2 6 2" xfId="27606"/>
    <cellStyle name="Normal 27 2 7" xfId="27607"/>
    <cellStyle name="Normal 27 2 7 2" xfId="27608"/>
    <cellStyle name="Normal 27 2 8" xfId="27609"/>
    <cellStyle name="Normal 27 2 8 2" xfId="27610"/>
    <cellStyle name="Normal 27 2 9" xfId="27611"/>
    <cellStyle name="Normal 27 2 9 2" xfId="27612"/>
    <cellStyle name="Normal 27 3" xfId="27613"/>
    <cellStyle name="Normal 27 3 10" xfId="27614"/>
    <cellStyle name="Normal 27 3 10 2" xfId="27615"/>
    <cellStyle name="Normal 27 3 11" xfId="27616"/>
    <cellStyle name="Normal 27 3 2" xfId="27617"/>
    <cellStyle name="Normal 27 3 2 2" xfId="27618"/>
    <cellStyle name="Normal 27 3 3" xfId="27619"/>
    <cellStyle name="Normal 27 3 3 2" xfId="27620"/>
    <cellStyle name="Normal 27 3 4" xfId="27621"/>
    <cellStyle name="Normal 27 3 4 2" xfId="27622"/>
    <cellStyle name="Normal 27 3 5" xfId="27623"/>
    <cellStyle name="Normal 27 3 5 2" xfId="27624"/>
    <cellStyle name="Normal 27 3 6" xfId="27625"/>
    <cellStyle name="Normal 27 3 6 2" xfId="27626"/>
    <cellStyle name="Normal 27 3 7" xfId="27627"/>
    <cellStyle name="Normal 27 3 7 2" xfId="27628"/>
    <cellStyle name="Normal 27 3 8" xfId="27629"/>
    <cellStyle name="Normal 27 3 8 2" xfId="27630"/>
    <cellStyle name="Normal 27 3 9" xfId="27631"/>
    <cellStyle name="Normal 27 3 9 2" xfId="27632"/>
    <cellStyle name="Normal 27 4" xfId="27633"/>
    <cellStyle name="Normal 27 4 2" xfId="27634"/>
    <cellStyle name="Normal 27 5" xfId="27635"/>
    <cellStyle name="Normal 27 5 2" xfId="27636"/>
    <cellStyle name="Normal 27 6" xfId="27637"/>
    <cellStyle name="Normal 27 6 2" xfId="27638"/>
    <cellStyle name="Normal 27 7" xfId="27639"/>
    <cellStyle name="Normal 27 7 2" xfId="27640"/>
    <cellStyle name="Normal 27 8" xfId="27641"/>
    <cellStyle name="Normal 27 8 2" xfId="27642"/>
    <cellStyle name="Normal 27 9" xfId="27643"/>
    <cellStyle name="Normal 27 9 2" xfId="27644"/>
    <cellStyle name="Normal 28" xfId="811"/>
    <cellStyle name="Normal 28 10" xfId="27646"/>
    <cellStyle name="Normal 28 10 2" xfId="27647"/>
    <cellStyle name="Normal 28 11" xfId="27648"/>
    <cellStyle name="Normal 28 11 2" xfId="27649"/>
    <cellStyle name="Normal 28 12" xfId="27650"/>
    <cellStyle name="Normal 28 12 2" xfId="27651"/>
    <cellStyle name="Normal 28 13" xfId="27652"/>
    <cellStyle name="Normal 28 14" xfId="27645"/>
    <cellStyle name="Normal 28 2" xfId="812"/>
    <cellStyle name="Normal 28 2 10" xfId="27654"/>
    <cellStyle name="Normal 28 2 10 2" xfId="27655"/>
    <cellStyle name="Normal 28 2 11" xfId="27656"/>
    <cellStyle name="Normal 28 2 11 2" xfId="27657"/>
    <cellStyle name="Normal 28 2 12" xfId="27658"/>
    <cellStyle name="Normal 28 2 13" xfId="27653"/>
    <cellStyle name="Normal 28 2 2" xfId="27659"/>
    <cellStyle name="Normal 28 2 2 10" xfId="27660"/>
    <cellStyle name="Normal 28 2 2 10 2" xfId="27661"/>
    <cellStyle name="Normal 28 2 2 11" xfId="27662"/>
    <cellStyle name="Normal 28 2 2 2" xfId="27663"/>
    <cellStyle name="Normal 28 2 2 2 2" xfId="27664"/>
    <cellStyle name="Normal 28 2 2 3" xfId="27665"/>
    <cellStyle name="Normal 28 2 2 3 2" xfId="27666"/>
    <cellStyle name="Normal 28 2 2 4" xfId="27667"/>
    <cellStyle name="Normal 28 2 2 4 2" xfId="27668"/>
    <cellStyle name="Normal 28 2 2 5" xfId="27669"/>
    <cellStyle name="Normal 28 2 2 5 2" xfId="27670"/>
    <cellStyle name="Normal 28 2 2 6" xfId="27671"/>
    <cellStyle name="Normal 28 2 2 6 2" xfId="27672"/>
    <cellStyle name="Normal 28 2 2 7" xfId="27673"/>
    <cellStyle name="Normal 28 2 2 7 2" xfId="27674"/>
    <cellStyle name="Normal 28 2 2 8" xfId="27675"/>
    <cellStyle name="Normal 28 2 2 8 2" xfId="27676"/>
    <cellStyle name="Normal 28 2 2 9" xfId="27677"/>
    <cellStyle name="Normal 28 2 2 9 2" xfId="27678"/>
    <cellStyle name="Normal 28 2 3" xfId="27679"/>
    <cellStyle name="Normal 28 2 3 2" xfId="27680"/>
    <cellStyle name="Normal 28 2 4" xfId="27681"/>
    <cellStyle name="Normal 28 2 4 2" xfId="27682"/>
    <cellStyle name="Normal 28 2 5" xfId="27683"/>
    <cellStyle name="Normal 28 2 5 2" xfId="27684"/>
    <cellStyle name="Normal 28 2 6" xfId="27685"/>
    <cellStyle name="Normal 28 2 6 2" xfId="27686"/>
    <cellStyle name="Normal 28 2 7" xfId="27687"/>
    <cellStyle name="Normal 28 2 7 2" xfId="27688"/>
    <cellStyle name="Normal 28 2 8" xfId="27689"/>
    <cellStyle name="Normal 28 2 8 2" xfId="27690"/>
    <cellStyle name="Normal 28 2 9" xfId="27691"/>
    <cellStyle name="Normal 28 2 9 2" xfId="27692"/>
    <cellStyle name="Normal 28 3" xfId="27693"/>
    <cellStyle name="Normal 28 3 10" xfId="27694"/>
    <cellStyle name="Normal 28 3 10 2" xfId="27695"/>
    <cellStyle name="Normal 28 3 11" xfId="27696"/>
    <cellStyle name="Normal 28 3 2" xfId="27697"/>
    <cellStyle name="Normal 28 3 2 2" xfId="27698"/>
    <cellStyle name="Normal 28 3 3" xfId="27699"/>
    <cellStyle name="Normal 28 3 3 2" xfId="27700"/>
    <cellStyle name="Normal 28 3 4" xfId="27701"/>
    <cellStyle name="Normal 28 3 4 2" xfId="27702"/>
    <cellStyle name="Normal 28 3 5" xfId="27703"/>
    <cellStyle name="Normal 28 3 5 2" xfId="27704"/>
    <cellStyle name="Normal 28 3 6" xfId="27705"/>
    <cellStyle name="Normal 28 3 6 2" xfId="27706"/>
    <cellStyle name="Normal 28 3 7" xfId="27707"/>
    <cellStyle name="Normal 28 3 7 2" xfId="27708"/>
    <cellStyle name="Normal 28 3 8" xfId="27709"/>
    <cellStyle name="Normal 28 3 8 2" xfId="27710"/>
    <cellStyle name="Normal 28 3 9" xfId="27711"/>
    <cellStyle name="Normal 28 3 9 2" xfId="27712"/>
    <cellStyle name="Normal 28 4" xfId="27713"/>
    <cellStyle name="Normal 28 4 2" xfId="27714"/>
    <cellStyle name="Normal 28 5" xfId="27715"/>
    <cellStyle name="Normal 28 5 2" xfId="27716"/>
    <cellStyle name="Normal 28 6" xfId="27717"/>
    <cellStyle name="Normal 28 6 2" xfId="27718"/>
    <cellStyle name="Normal 28 7" xfId="27719"/>
    <cellStyle name="Normal 28 7 2" xfId="27720"/>
    <cellStyle name="Normal 28 8" xfId="27721"/>
    <cellStyle name="Normal 28 8 2" xfId="27722"/>
    <cellStyle name="Normal 28 9" xfId="27723"/>
    <cellStyle name="Normal 28 9 2" xfId="27724"/>
    <cellStyle name="Normal 29" xfId="813"/>
    <cellStyle name="Normal 29 10" xfId="27726"/>
    <cellStyle name="Normal 29 10 2" xfId="27727"/>
    <cellStyle name="Normal 29 11" xfId="27728"/>
    <cellStyle name="Normal 29 11 2" xfId="27729"/>
    <cellStyle name="Normal 29 12" xfId="27730"/>
    <cellStyle name="Normal 29 12 2" xfId="27731"/>
    <cellStyle name="Normal 29 13" xfId="27732"/>
    <cellStyle name="Normal 29 14" xfId="27725"/>
    <cellStyle name="Normal 29 2" xfId="814"/>
    <cellStyle name="Normal 29 2 10" xfId="27734"/>
    <cellStyle name="Normal 29 2 10 2" xfId="27735"/>
    <cellStyle name="Normal 29 2 11" xfId="27736"/>
    <cellStyle name="Normal 29 2 11 2" xfId="27737"/>
    <cellStyle name="Normal 29 2 12" xfId="27738"/>
    <cellStyle name="Normal 29 2 13" xfId="27733"/>
    <cellStyle name="Normal 29 2 2" xfId="27739"/>
    <cellStyle name="Normal 29 2 2 10" xfId="27740"/>
    <cellStyle name="Normal 29 2 2 10 2" xfId="27741"/>
    <cellStyle name="Normal 29 2 2 11" xfId="27742"/>
    <cellStyle name="Normal 29 2 2 2" xfId="27743"/>
    <cellStyle name="Normal 29 2 2 2 2" xfId="27744"/>
    <cellStyle name="Normal 29 2 2 3" xfId="27745"/>
    <cellStyle name="Normal 29 2 2 3 2" xfId="27746"/>
    <cellStyle name="Normal 29 2 2 4" xfId="27747"/>
    <cellStyle name="Normal 29 2 2 4 2" xfId="27748"/>
    <cellStyle name="Normal 29 2 2 5" xfId="27749"/>
    <cellStyle name="Normal 29 2 2 5 2" xfId="27750"/>
    <cellStyle name="Normal 29 2 2 6" xfId="27751"/>
    <cellStyle name="Normal 29 2 2 6 2" xfId="27752"/>
    <cellStyle name="Normal 29 2 2 7" xfId="27753"/>
    <cellStyle name="Normal 29 2 2 7 2" xfId="27754"/>
    <cellStyle name="Normal 29 2 2 8" xfId="27755"/>
    <cellStyle name="Normal 29 2 2 8 2" xfId="27756"/>
    <cellStyle name="Normal 29 2 2 9" xfId="27757"/>
    <cellStyle name="Normal 29 2 2 9 2" xfId="27758"/>
    <cellStyle name="Normal 29 2 3" xfId="27759"/>
    <cellStyle name="Normal 29 2 3 2" xfId="27760"/>
    <cellStyle name="Normal 29 2 4" xfId="27761"/>
    <cellStyle name="Normal 29 2 4 2" xfId="27762"/>
    <cellStyle name="Normal 29 2 5" xfId="27763"/>
    <cellStyle name="Normal 29 2 5 2" xfId="27764"/>
    <cellStyle name="Normal 29 2 6" xfId="27765"/>
    <cellStyle name="Normal 29 2 6 2" xfId="27766"/>
    <cellStyle name="Normal 29 2 7" xfId="27767"/>
    <cellStyle name="Normal 29 2 7 2" xfId="27768"/>
    <cellStyle name="Normal 29 2 8" xfId="27769"/>
    <cellStyle name="Normal 29 2 8 2" xfId="27770"/>
    <cellStyle name="Normal 29 2 9" xfId="27771"/>
    <cellStyle name="Normal 29 2 9 2" xfId="27772"/>
    <cellStyle name="Normal 29 3" xfId="27773"/>
    <cellStyle name="Normal 29 3 10" xfId="27774"/>
    <cellStyle name="Normal 29 3 10 2" xfId="27775"/>
    <cellStyle name="Normal 29 3 11" xfId="27776"/>
    <cellStyle name="Normal 29 3 2" xfId="27777"/>
    <cellStyle name="Normal 29 3 2 2" xfId="27778"/>
    <cellStyle name="Normal 29 3 3" xfId="27779"/>
    <cellStyle name="Normal 29 3 3 2" xfId="27780"/>
    <cellStyle name="Normal 29 3 4" xfId="27781"/>
    <cellStyle name="Normal 29 3 4 2" xfId="27782"/>
    <cellStyle name="Normal 29 3 5" xfId="27783"/>
    <cellStyle name="Normal 29 3 5 2" xfId="27784"/>
    <cellStyle name="Normal 29 3 6" xfId="27785"/>
    <cellStyle name="Normal 29 3 6 2" xfId="27786"/>
    <cellStyle name="Normal 29 3 7" xfId="27787"/>
    <cellStyle name="Normal 29 3 7 2" xfId="27788"/>
    <cellStyle name="Normal 29 3 8" xfId="27789"/>
    <cellStyle name="Normal 29 3 8 2" xfId="27790"/>
    <cellStyle name="Normal 29 3 9" xfId="27791"/>
    <cellStyle name="Normal 29 3 9 2" xfId="27792"/>
    <cellStyle name="Normal 29 4" xfId="27793"/>
    <cellStyle name="Normal 29 4 2" xfId="27794"/>
    <cellStyle name="Normal 29 5" xfId="27795"/>
    <cellStyle name="Normal 29 5 2" xfId="27796"/>
    <cellStyle name="Normal 29 6" xfId="27797"/>
    <cellStyle name="Normal 29 6 2" xfId="27798"/>
    <cellStyle name="Normal 29 7" xfId="27799"/>
    <cellStyle name="Normal 29 7 2" xfId="27800"/>
    <cellStyle name="Normal 29 8" xfId="27801"/>
    <cellStyle name="Normal 29 8 2" xfId="27802"/>
    <cellStyle name="Normal 29 9" xfId="27803"/>
    <cellStyle name="Normal 29 9 2" xfId="27804"/>
    <cellStyle name="Normal 3" xfId="815"/>
    <cellStyle name="Normal 3 2" xfId="816"/>
    <cellStyle name="Normal 3 2 10" xfId="27805"/>
    <cellStyle name="Normal 3 2 11" xfId="27806"/>
    <cellStyle name="Normal 3 2 12" xfId="27807"/>
    <cellStyle name="Normal 3 2 13" xfId="27808"/>
    <cellStyle name="Normal 3 2 14" xfId="27809"/>
    <cellStyle name="Normal 3 2 2" xfId="817"/>
    <cellStyle name="Normal 3 2 3" xfId="27810"/>
    <cellStyle name="Normal 3 2 4" xfId="27811"/>
    <cellStyle name="Normal 3 2 5" xfId="27812"/>
    <cellStyle name="Normal 3 2 6" xfId="27813"/>
    <cellStyle name="Normal 3 2 7" xfId="27814"/>
    <cellStyle name="Normal 3 2 8" xfId="27815"/>
    <cellStyle name="Normal 3 2 9" xfId="27816"/>
    <cellStyle name="Normal 3 3" xfId="818"/>
    <cellStyle name="Normal 3 3 2" xfId="819"/>
    <cellStyle name="Normal 3 4" xfId="820"/>
    <cellStyle name="Normal 3 4 2" xfId="821"/>
    <cellStyle name="Normal 3 5" xfId="822"/>
    <cellStyle name="Normal 3 5 2" xfId="823"/>
    <cellStyle name="Normal 3 6" xfId="824"/>
    <cellStyle name="Normal 3 6 2" xfId="825"/>
    <cellStyle name="Normal 3 7" xfId="826"/>
    <cellStyle name="Normal 3 7 2" xfId="827"/>
    <cellStyle name="Normal 3 8" xfId="828"/>
    <cellStyle name="Normal 3 8 2" xfId="829"/>
    <cellStyle name="Normal 3 9" xfId="830"/>
    <cellStyle name="Normal 30" xfId="831"/>
    <cellStyle name="Normal 30 10" xfId="27818"/>
    <cellStyle name="Normal 30 10 2" xfId="27819"/>
    <cellStyle name="Normal 30 11" xfId="27820"/>
    <cellStyle name="Normal 30 11 2" xfId="27821"/>
    <cellStyle name="Normal 30 12" xfId="27822"/>
    <cellStyle name="Normal 30 12 2" xfId="27823"/>
    <cellStyle name="Normal 30 13" xfId="27824"/>
    <cellStyle name="Normal 30 14" xfId="27817"/>
    <cellStyle name="Normal 30 2" xfId="832"/>
    <cellStyle name="Normal 30 2 10" xfId="27826"/>
    <cellStyle name="Normal 30 2 10 2" xfId="27827"/>
    <cellStyle name="Normal 30 2 11" xfId="27828"/>
    <cellStyle name="Normal 30 2 11 2" xfId="27829"/>
    <cellStyle name="Normal 30 2 12" xfId="27830"/>
    <cellStyle name="Normal 30 2 13" xfId="27825"/>
    <cellStyle name="Normal 30 2 2" xfId="27831"/>
    <cellStyle name="Normal 30 2 2 10" xfId="27832"/>
    <cellStyle name="Normal 30 2 2 10 2" xfId="27833"/>
    <cellStyle name="Normal 30 2 2 11" xfId="27834"/>
    <cellStyle name="Normal 30 2 2 2" xfId="27835"/>
    <cellStyle name="Normal 30 2 2 2 2" xfId="27836"/>
    <cellStyle name="Normal 30 2 2 3" xfId="27837"/>
    <cellStyle name="Normal 30 2 2 3 2" xfId="27838"/>
    <cellStyle name="Normal 30 2 2 4" xfId="27839"/>
    <cellStyle name="Normal 30 2 2 4 2" xfId="27840"/>
    <cellStyle name="Normal 30 2 2 5" xfId="27841"/>
    <cellStyle name="Normal 30 2 2 5 2" xfId="27842"/>
    <cellStyle name="Normal 30 2 2 6" xfId="27843"/>
    <cellStyle name="Normal 30 2 2 6 2" xfId="27844"/>
    <cellStyle name="Normal 30 2 2 7" xfId="27845"/>
    <cellStyle name="Normal 30 2 2 7 2" xfId="27846"/>
    <cellStyle name="Normal 30 2 2 8" xfId="27847"/>
    <cellStyle name="Normal 30 2 2 8 2" xfId="27848"/>
    <cellStyle name="Normal 30 2 2 9" xfId="27849"/>
    <cellStyle name="Normal 30 2 2 9 2" xfId="27850"/>
    <cellStyle name="Normal 30 2 3" xfId="27851"/>
    <cellStyle name="Normal 30 2 3 2" xfId="27852"/>
    <cellStyle name="Normal 30 2 4" xfId="27853"/>
    <cellStyle name="Normal 30 2 4 2" xfId="27854"/>
    <cellStyle name="Normal 30 2 5" xfId="27855"/>
    <cellStyle name="Normal 30 2 5 2" xfId="27856"/>
    <cellStyle name="Normal 30 2 6" xfId="27857"/>
    <cellStyle name="Normal 30 2 6 2" xfId="27858"/>
    <cellStyle name="Normal 30 2 7" xfId="27859"/>
    <cellStyle name="Normal 30 2 7 2" xfId="27860"/>
    <cellStyle name="Normal 30 2 8" xfId="27861"/>
    <cellStyle name="Normal 30 2 8 2" xfId="27862"/>
    <cellStyle name="Normal 30 2 9" xfId="27863"/>
    <cellStyle name="Normal 30 2 9 2" xfId="27864"/>
    <cellStyle name="Normal 30 3" xfId="27865"/>
    <cellStyle name="Normal 30 3 10" xfId="27866"/>
    <cellStyle name="Normal 30 3 10 2" xfId="27867"/>
    <cellStyle name="Normal 30 3 11" xfId="27868"/>
    <cellStyle name="Normal 30 3 2" xfId="27869"/>
    <cellStyle name="Normal 30 3 2 2" xfId="27870"/>
    <cellStyle name="Normal 30 3 3" xfId="27871"/>
    <cellStyle name="Normal 30 3 3 2" xfId="27872"/>
    <cellStyle name="Normal 30 3 4" xfId="27873"/>
    <cellStyle name="Normal 30 3 4 2" xfId="27874"/>
    <cellStyle name="Normal 30 3 5" xfId="27875"/>
    <cellStyle name="Normal 30 3 5 2" xfId="27876"/>
    <cellStyle name="Normal 30 3 6" xfId="27877"/>
    <cellStyle name="Normal 30 3 6 2" xfId="27878"/>
    <cellStyle name="Normal 30 3 7" xfId="27879"/>
    <cellStyle name="Normal 30 3 7 2" xfId="27880"/>
    <cellStyle name="Normal 30 3 8" xfId="27881"/>
    <cellStyle name="Normal 30 3 8 2" xfId="27882"/>
    <cellStyle name="Normal 30 3 9" xfId="27883"/>
    <cellStyle name="Normal 30 3 9 2" xfId="27884"/>
    <cellStyle name="Normal 30 4" xfId="27885"/>
    <cellStyle name="Normal 30 4 2" xfId="27886"/>
    <cellStyle name="Normal 30 5" xfId="27887"/>
    <cellStyle name="Normal 30 5 2" xfId="27888"/>
    <cellStyle name="Normal 30 6" xfId="27889"/>
    <cellStyle name="Normal 30 6 2" xfId="27890"/>
    <cellStyle name="Normal 30 7" xfId="27891"/>
    <cellStyle name="Normal 30 7 2" xfId="27892"/>
    <cellStyle name="Normal 30 8" xfId="27893"/>
    <cellStyle name="Normal 30 8 2" xfId="27894"/>
    <cellStyle name="Normal 30 9" xfId="27895"/>
    <cellStyle name="Normal 30 9 2" xfId="27896"/>
    <cellStyle name="Normal 31" xfId="833"/>
    <cellStyle name="Normal 31 10" xfId="27898"/>
    <cellStyle name="Normal 31 10 2" xfId="27899"/>
    <cellStyle name="Normal 31 11" xfId="27900"/>
    <cellStyle name="Normal 31 11 2" xfId="27901"/>
    <cellStyle name="Normal 31 12" xfId="27902"/>
    <cellStyle name="Normal 31 12 2" xfId="27903"/>
    <cellStyle name="Normal 31 13" xfId="27904"/>
    <cellStyle name="Normal 31 14" xfId="27897"/>
    <cellStyle name="Normal 31 2" xfId="834"/>
    <cellStyle name="Normal 31 2 10" xfId="27906"/>
    <cellStyle name="Normal 31 2 10 2" xfId="27907"/>
    <cellStyle name="Normal 31 2 11" xfId="27908"/>
    <cellStyle name="Normal 31 2 11 2" xfId="27909"/>
    <cellStyle name="Normal 31 2 12" xfId="27910"/>
    <cellStyle name="Normal 31 2 13" xfId="27905"/>
    <cellStyle name="Normal 31 2 2" xfId="27911"/>
    <cellStyle name="Normal 31 2 2 10" xfId="27912"/>
    <cellStyle name="Normal 31 2 2 10 2" xfId="27913"/>
    <cellStyle name="Normal 31 2 2 11" xfId="27914"/>
    <cellStyle name="Normal 31 2 2 2" xfId="27915"/>
    <cellStyle name="Normal 31 2 2 2 2" xfId="27916"/>
    <cellStyle name="Normal 31 2 2 3" xfId="27917"/>
    <cellStyle name="Normal 31 2 2 3 2" xfId="27918"/>
    <cellStyle name="Normal 31 2 2 4" xfId="27919"/>
    <cellStyle name="Normal 31 2 2 4 2" xfId="27920"/>
    <cellStyle name="Normal 31 2 2 5" xfId="27921"/>
    <cellStyle name="Normal 31 2 2 5 2" xfId="27922"/>
    <cellStyle name="Normal 31 2 2 6" xfId="27923"/>
    <cellStyle name="Normal 31 2 2 6 2" xfId="27924"/>
    <cellStyle name="Normal 31 2 2 7" xfId="27925"/>
    <cellStyle name="Normal 31 2 2 7 2" xfId="27926"/>
    <cellStyle name="Normal 31 2 2 8" xfId="27927"/>
    <cellStyle name="Normal 31 2 2 8 2" xfId="27928"/>
    <cellStyle name="Normal 31 2 2 9" xfId="27929"/>
    <cellStyle name="Normal 31 2 2 9 2" xfId="27930"/>
    <cellStyle name="Normal 31 2 3" xfId="27931"/>
    <cellStyle name="Normal 31 2 3 2" xfId="27932"/>
    <cellStyle name="Normal 31 2 4" xfId="27933"/>
    <cellStyle name="Normal 31 2 4 2" xfId="27934"/>
    <cellStyle name="Normal 31 2 5" xfId="27935"/>
    <cellStyle name="Normal 31 2 5 2" xfId="27936"/>
    <cellStyle name="Normal 31 2 6" xfId="27937"/>
    <cellStyle name="Normal 31 2 6 2" xfId="27938"/>
    <cellStyle name="Normal 31 2 7" xfId="27939"/>
    <cellStyle name="Normal 31 2 7 2" xfId="27940"/>
    <cellStyle name="Normal 31 2 8" xfId="27941"/>
    <cellStyle name="Normal 31 2 8 2" xfId="27942"/>
    <cellStyle name="Normal 31 2 9" xfId="27943"/>
    <cellStyle name="Normal 31 2 9 2" xfId="27944"/>
    <cellStyle name="Normal 31 3" xfId="27945"/>
    <cellStyle name="Normal 31 3 10" xfId="27946"/>
    <cellStyle name="Normal 31 3 10 2" xfId="27947"/>
    <cellStyle name="Normal 31 3 11" xfId="27948"/>
    <cellStyle name="Normal 31 3 2" xfId="27949"/>
    <cellStyle name="Normal 31 3 2 2" xfId="27950"/>
    <cellStyle name="Normal 31 3 3" xfId="27951"/>
    <cellStyle name="Normal 31 3 3 2" xfId="27952"/>
    <cellStyle name="Normal 31 3 4" xfId="27953"/>
    <cellStyle name="Normal 31 3 4 2" xfId="27954"/>
    <cellStyle name="Normal 31 3 5" xfId="27955"/>
    <cellStyle name="Normal 31 3 5 2" xfId="27956"/>
    <cellStyle name="Normal 31 3 6" xfId="27957"/>
    <cellStyle name="Normal 31 3 6 2" xfId="27958"/>
    <cellStyle name="Normal 31 3 7" xfId="27959"/>
    <cellStyle name="Normal 31 3 7 2" xfId="27960"/>
    <cellStyle name="Normal 31 3 8" xfId="27961"/>
    <cellStyle name="Normal 31 3 8 2" xfId="27962"/>
    <cellStyle name="Normal 31 3 9" xfId="27963"/>
    <cellStyle name="Normal 31 3 9 2" xfId="27964"/>
    <cellStyle name="Normal 31 4" xfId="27965"/>
    <cellStyle name="Normal 31 4 2" xfId="27966"/>
    <cellStyle name="Normal 31 5" xfId="27967"/>
    <cellStyle name="Normal 31 5 2" xfId="27968"/>
    <cellStyle name="Normal 31 6" xfId="27969"/>
    <cellStyle name="Normal 31 6 2" xfId="27970"/>
    <cellStyle name="Normal 31 7" xfId="27971"/>
    <cellStyle name="Normal 31 7 2" xfId="27972"/>
    <cellStyle name="Normal 31 8" xfId="27973"/>
    <cellStyle name="Normal 31 8 2" xfId="27974"/>
    <cellStyle name="Normal 31 9" xfId="27975"/>
    <cellStyle name="Normal 31 9 2" xfId="27976"/>
    <cellStyle name="Normal 32" xfId="835"/>
    <cellStyle name="Normal 32 10" xfId="27978"/>
    <cellStyle name="Normal 32 10 2" xfId="27979"/>
    <cellStyle name="Normal 32 11" xfId="27980"/>
    <cellStyle name="Normal 32 11 2" xfId="27981"/>
    <cellStyle name="Normal 32 12" xfId="27982"/>
    <cellStyle name="Normal 32 12 2" xfId="27983"/>
    <cellStyle name="Normal 32 13" xfId="27984"/>
    <cellStyle name="Normal 32 14" xfId="27977"/>
    <cellStyle name="Normal 32 2" xfId="836"/>
    <cellStyle name="Normal 32 2 10" xfId="27986"/>
    <cellStyle name="Normal 32 2 10 2" xfId="27987"/>
    <cellStyle name="Normal 32 2 11" xfId="27988"/>
    <cellStyle name="Normal 32 2 11 2" xfId="27989"/>
    <cellStyle name="Normal 32 2 12" xfId="27990"/>
    <cellStyle name="Normal 32 2 13" xfId="27985"/>
    <cellStyle name="Normal 32 2 2" xfId="27991"/>
    <cellStyle name="Normal 32 2 2 10" xfId="27992"/>
    <cellStyle name="Normal 32 2 2 10 2" xfId="27993"/>
    <cellStyle name="Normal 32 2 2 11" xfId="27994"/>
    <cellStyle name="Normal 32 2 2 2" xfId="27995"/>
    <cellStyle name="Normal 32 2 2 2 2" xfId="27996"/>
    <cellStyle name="Normal 32 2 2 3" xfId="27997"/>
    <cellStyle name="Normal 32 2 2 3 2" xfId="27998"/>
    <cellStyle name="Normal 32 2 2 4" xfId="27999"/>
    <cellStyle name="Normal 32 2 2 4 2" xfId="28000"/>
    <cellStyle name="Normal 32 2 2 5" xfId="28001"/>
    <cellStyle name="Normal 32 2 2 5 2" xfId="28002"/>
    <cellStyle name="Normal 32 2 2 6" xfId="28003"/>
    <cellStyle name="Normal 32 2 2 6 2" xfId="28004"/>
    <cellStyle name="Normal 32 2 2 7" xfId="28005"/>
    <cellStyle name="Normal 32 2 2 7 2" xfId="28006"/>
    <cellStyle name="Normal 32 2 2 8" xfId="28007"/>
    <cellStyle name="Normal 32 2 2 8 2" xfId="28008"/>
    <cellStyle name="Normal 32 2 2 9" xfId="28009"/>
    <cellStyle name="Normal 32 2 2 9 2" xfId="28010"/>
    <cellStyle name="Normal 32 2 3" xfId="28011"/>
    <cellStyle name="Normal 32 2 3 2" xfId="28012"/>
    <cellStyle name="Normal 32 2 4" xfId="28013"/>
    <cellStyle name="Normal 32 2 4 2" xfId="28014"/>
    <cellStyle name="Normal 32 2 5" xfId="28015"/>
    <cellStyle name="Normal 32 2 5 2" xfId="28016"/>
    <cellStyle name="Normal 32 2 6" xfId="28017"/>
    <cellStyle name="Normal 32 2 6 2" xfId="28018"/>
    <cellStyle name="Normal 32 2 7" xfId="28019"/>
    <cellStyle name="Normal 32 2 7 2" xfId="28020"/>
    <cellStyle name="Normal 32 2 8" xfId="28021"/>
    <cellStyle name="Normal 32 2 8 2" xfId="28022"/>
    <cellStyle name="Normal 32 2 9" xfId="28023"/>
    <cellStyle name="Normal 32 2 9 2" xfId="28024"/>
    <cellStyle name="Normal 32 3" xfId="28025"/>
    <cellStyle name="Normal 32 3 10" xfId="28026"/>
    <cellStyle name="Normal 32 3 10 2" xfId="28027"/>
    <cellStyle name="Normal 32 3 11" xfId="28028"/>
    <cellStyle name="Normal 32 3 2" xfId="28029"/>
    <cellStyle name="Normal 32 3 2 2" xfId="28030"/>
    <cellStyle name="Normal 32 3 3" xfId="28031"/>
    <cellStyle name="Normal 32 3 3 2" xfId="28032"/>
    <cellStyle name="Normal 32 3 4" xfId="28033"/>
    <cellStyle name="Normal 32 3 4 2" xfId="28034"/>
    <cellStyle name="Normal 32 3 5" xfId="28035"/>
    <cellStyle name="Normal 32 3 5 2" xfId="28036"/>
    <cellStyle name="Normal 32 3 6" xfId="28037"/>
    <cellStyle name="Normal 32 3 6 2" xfId="28038"/>
    <cellStyle name="Normal 32 3 7" xfId="28039"/>
    <cellStyle name="Normal 32 3 7 2" xfId="28040"/>
    <cellStyle name="Normal 32 3 8" xfId="28041"/>
    <cellStyle name="Normal 32 3 8 2" xfId="28042"/>
    <cellStyle name="Normal 32 3 9" xfId="28043"/>
    <cellStyle name="Normal 32 3 9 2" xfId="28044"/>
    <cellStyle name="Normal 32 4" xfId="28045"/>
    <cellStyle name="Normal 32 4 2" xfId="28046"/>
    <cellStyle name="Normal 32 5" xfId="28047"/>
    <cellStyle name="Normal 32 5 2" xfId="28048"/>
    <cellStyle name="Normal 32 6" xfId="28049"/>
    <cellStyle name="Normal 32 6 2" xfId="28050"/>
    <cellStyle name="Normal 32 7" xfId="28051"/>
    <cellStyle name="Normal 32 7 2" xfId="28052"/>
    <cellStyle name="Normal 32 8" xfId="28053"/>
    <cellStyle name="Normal 32 8 2" xfId="28054"/>
    <cellStyle name="Normal 32 9" xfId="28055"/>
    <cellStyle name="Normal 32 9 2" xfId="28056"/>
    <cellStyle name="Normal 33" xfId="837"/>
    <cellStyle name="Normal 33 10" xfId="28058"/>
    <cellStyle name="Normal 33 10 2" xfId="28059"/>
    <cellStyle name="Normal 33 11" xfId="28060"/>
    <cellStyle name="Normal 33 11 2" xfId="28061"/>
    <cellStyle name="Normal 33 12" xfId="28062"/>
    <cellStyle name="Normal 33 13" xfId="28057"/>
    <cellStyle name="Normal 33 2" xfId="838"/>
    <cellStyle name="Normal 33 2 10" xfId="28064"/>
    <cellStyle name="Normal 33 2 10 2" xfId="28065"/>
    <cellStyle name="Normal 33 2 11" xfId="28066"/>
    <cellStyle name="Normal 33 2 12" xfId="28063"/>
    <cellStyle name="Normal 33 2 2" xfId="28067"/>
    <cellStyle name="Normal 33 2 2 2" xfId="28068"/>
    <cellStyle name="Normal 33 2 3" xfId="28069"/>
    <cellStyle name="Normal 33 2 3 2" xfId="28070"/>
    <cellStyle name="Normal 33 2 4" xfId="28071"/>
    <cellStyle name="Normal 33 2 4 2" xfId="28072"/>
    <cellStyle name="Normal 33 2 5" xfId="28073"/>
    <cellStyle name="Normal 33 2 5 2" xfId="28074"/>
    <cellStyle name="Normal 33 2 6" xfId="28075"/>
    <cellStyle name="Normal 33 2 6 2" xfId="28076"/>
    <cellStyle name="Normal 33 2 7" xfId="28077"/>
    <cellStyle name="Normal 33 2 7 2" xfId="28078"/>
    <cellStyle name="Normal 33 2 8" xfId="28079"/>
    <cellStyle name="Normal 33 2 8 2" xfId="28080"/>
    <cellStyle name="Normal 33 2 9" xfId="28081"/>
    <cellStyle name="Normal 33 2 9 2" xfId="28082"/>
    <cellStyle name="Normal 33 3" xfId="28083"/>
    <cellStyle name="Normal 33 3 2" xfId="28084"/>
    <cellStyle name="Normal 33 4" xfId="28085"/>
    <cellStyle name="Normal 33 4 2" xfId="28086"/>
    <cellStyle name="Normal 33 5" xfId="28087"/>
    <cellStyle name="Normal 33 5 2" xfId="28088"/>
    <cellStyle name="Normal 33 6" xfId="28089"/>
    <cellStyle name="Normal 33 6 2" xfId="28090"/>
    <cellStyle name="Normal 33 7" xfId="28091"/>
    <cellStyle name="Normal 33 7 2" xfId="28092"/>
    <cellStyle name="Normal 33 8" xfId="28093"/>
    <cellStyle name="Normal 33 8 2" xfId="28094"/>
    <cellStyle name="Normal 33 9" xfId="28095"/>
    <cellStyle name="Normal 33 9 2" xfId="28096"/>
    <cellStyle name="Normal 34" xfId="839"/>
    <cellStyle name="Normal 34 2" xfId="840"/>
    <cellStyle name="Normal 35" xfId="841"/>
    <cellStyle name="Normal 35 10" xfId="28097"/>
    <cellStyle name="Normal 35 10 2" xfId="28098"/>
    <cellStyle name="Normal 35 11" xfId="28099"/>
    <cellStyle name="Normal 35 2" xfId="842"/>
    <cellStyle name="Normal 35 2 2" xfId="28101"/>
    <cellStyle name="Normal 35 2 3" xfId="28100"/>
    <cellStyle name="Normal 35 3" xfId="28102"/>
    <cellStyle name="Normal 35 3 2" xfId="28103"/>
    <cellStyle name="Normal 35 4" xfId="28104"/>
    <cellStyle name="Normal 35 4 2" xfId="28105"/>
    <cellStyle name="Normal 35 5" xfId="28106"/>
    <cellStyle name="Normal 35 5 2" xfId="28107"/>
    <cellStyle name="Normal 35 6" xfId="28108"/>
    <cellStyle name="Normal 35 6 2" xfId="28109"/>
    <cellStyle name="Normal 35 7" xfId="28110"/>
    <cellStyle name="Normal 35 7 2" xfId="28111"/>
    <cellStyle name="Normal 35 8" xfId="28112"/>
    <cellStyle name="Normal 35 8 2" xfId="28113"/>
    <cellStyle name="Normal 35 9" xfId="28114"/>
    <cellStyle name="Normal 35 9 2" xfId="28115"/>
    <cellStyle name="Normal 36" xfId="843"/>
    <cellStyle name="Normal 36 10" xfId="28116"/>
    <cellStyle name="Normal 36 11" xfId="28117"/>
    <cellStyle name="Normal 36 12" xfId="28118"/>
    <cellStyle name="Normal 36 2" xfId="844"/>
    <cellStyle name="Normal 36 3" xfId="28119"/>
    <cellStyle name="Normal 36 4" xfId="28120"/>
    <cellStyle name="Normal 36 5" xfId="28121"/>
    <cellStyle name="Normal 36 6" xfId="28122"/>
    <cellStyle name="Normal 36 7" xfId="28123"/>
    <cellStyle name="Normal 36 8" xfId="28124"/>
    <cellStyle name="Normal 36 9" xfId="28125"/>
    <cellStyle name="Normal 37" xfId="845"/>
    <cellStyle name="Normal 37 10" xfId="28127"/>
    <cellStyle name="Normal 37 10 2" xfId="28128"/>
    <cellStyle name="Normal 37 11" xfId="28129"/>
    <cellStyle name="Normal 37 12" xfId="28126"/>
    <cellStyle name="Normal 37 2" xfId="28130"/>
    <cellStyle name="Normal 37 2 2" xfId="28131"/>
    <cellStyle name="Normal 37 3" xfId="28132"/>
    <cellStyle name="Normal 37 3 2" xfId="28133"/>
    <cellStyle name="Normal 37 4" xfId="28134"/>
    <cellStyle name="Normal 37 4 2" xfId="28135"/>
    <cellStyle name="Normal 37 5" xfId="28136"/>
    <cellStyle name="Normal 37 5 2" xfId="28137"/>
    <cellStyle name="Normal 37 6" xfId="28138"/>
    <cellStyle name="Normal 37 6 2" xfId="28139"/>
    <cellStyle name="Normal 37 7" xfId="28140"/>
    <cellStyle name="Normal 37 7 2" xfId="28141"/>
    <cellStyle name="Normal 37 8" xfId="28142"/>
    <cellStyle name="Normal 37 8 2" xfId="28143"/>
    <cellStyle name="Normal 37 9" xfId="28144"/>
    <cellStyle name="Normal 37 9 2" xfId="28145"/>
    <cellStyle name="Normal 38" xfId="950"/>
    <cellStyle name="Normal 38 10" xfId="28147"/>
    <cellStyle name="Normal 38 10 2" xfId="28148"/>
    <cellStyle name="Normal 38 11" xfId="28149"/>
    <cellStyle name="Normal 38 12" xfId="28146"/>
    <cellStyle name="Normal 38 2" xfId="28150"/>
    <cellStyle name="Normal 38 2 2" xfId="28151"/>
    <cellStyle name="Normal 38 3" xfId="28152"/>
    <cellStyle name="Normal 38 3 2" xfId="28153"/>
    <cellStyle name="Normal 38 4" xfId="28154"/>
    <cellStyle name="Normal 38 4 2" xfId="28155"/>
    <cellStyle name="Normal 38 5" xfId="28156"/>
    <cellStyle name="Normal 38 5 2" xfId="28157"/>
    <cellStyle name="Normal 38 6" xfId="28158"/>
    <cellStyle name="Normal 38 6 2" xfId="28159"/>
    <cellStyle name="Normal 38 7" xfId="28160"/>
    <cellStyle name="Normal 38 7 2" xfId="28161"/>
    <cellStyle name="Normal 38 8" xfId="28162"/>
    <cellStyle name="Normal 38 8 2" xfId="28163"/>
    <cellStyle name="Normal 38 9" xfId="28164"/>
    <cellStyle name="Normal 38 9 2" xfId="28165"/>
    <cellStyle name="Normal 39" xfId="1201"/>
    <cellStyle name="Normal 39 2" xfId="28166"/>
    <cellStyle name="Normal 4" xfId="846"/>
    <cellStyle name="Normal 4 10" xfId="28167"/>
    <cellStyle name="Normal 4 10 2" xfId="28168"/>
    <cellStyle name="Normal 4 11" xfId="28169"/>
    <cellStyle name="Normal 4 11 2" xfId="28170"/>
    <cellStyle name="Normal 4 12" xfId="28171"/>
    <cellStyle name="Normal 4 12 2" xfId="28172"/>
    <cellStyle name="Normal 4 13" xfId="28173"/>
    <cellStyle name="Normal 4 13 2" xfId="28174"/>
    <cellStyle name="Normal 4 14" xfId="28175"/>
    <cellStyle name="Normal 4 14 2" xfId="28176"/>
    <cellStyle name="Normal 4 15" xfId="28177"/>
    <cellStyle name="Normal 4 15 2" xfId="28178"/>
    <cellStyle name="Normal 4 16" xfId="28179"/>
    <cellStyle name="Normal 4 16 2" xfId="28180"/>
    <cellStyle name="Normal 4 17" xfId="28181"/>
    <cellStyle name="Normal 4 17 2" xfId="28182"/>
    <cellStyle name="Normal 4 18" xfId="28183"/>
    <cellStyle name="Normal 4 18 2" xfId="28184"/>
    <cellStyle name="Normal 4 19" xfId="28185"/>
    <cellStyle name="Normal 4 2" xfId="847"/>
    <cellStyle name="Normal 4 2 10" xfId="28186"/>
    <cellStyle name="Normal 4 2 10 2" xfId="28187"/>
    <cellStyle name="Normal 4 2 11" xfId="28188"/>
    <cellStyle name="Normal 4 2 11 2" xfId="28189"/>
    <cellStyle name="Normal 4 2 12" xfId="28190"/>
    <cellStyle name="Normal 4 2 12 2" xfId="28191"/>
    <cellStyle name="Normal 4 2 13" xfId="28192"/>
    <cellStyle name="Normal 4 2 13 2" xfId="28193"/>
    <cellStyle name="Normal 4 2 14" xfId="28194"/>
    <cellStyle name="Normal 4 2 14 2" xfId="28195"/>
    <cellStyle name="Normal 4 2 15" xfId="28196"/>
    <cellStyle name="Normal 4 2 15 2" xfId="28197"/>
    <cellStyle name="Normal 4 2 16" xfId="28198"/>
    <cellStyle name="Normal 4 2 16 2" xfId="28199"/>
    <cellStyle name="Normal 4 2 17" xfId="28200"/>
    <cellStyle name="Normal 4 2 18" xfId="28201"/>
    <cellStyle name="Normal 4 2 19" xfId="28202"/>
    <cellStyle name="Normal 4 2 2" xfId="28203"/>
    <cellStyle name="Normal 4 2 2 10" xfId="28204"/>
    <cellStyle name="Normal 4 2 2 10 2" xfId="28205"/>
    <cellStyle name="Normal 4 2 2 11" xfId="28206"/>
    <cellStyle name="Normal 4 2 2 11 2" xfId="28207"/>
    <cellStyle name="Normal 4 2 2 12" xfId="28208"/>
    <cellStyle name="Normal 4 2 2 12 2" xfId="28209"/>
    <cellStyle name="Normal 4 2 2 13" xfId="28210"/>
    <cellStyle name="Normal 4 2 2 2" xfId="28211"/>
    <cellStyle name="Normal 4 2 2 2 10" xfId="28212"/>
    <cellStyle name="Normal 4 2 2 2 10 2" xfId="28213"/>
    <cellStyle name="Normal 4 2 2 2 11" xfId="28214"/>
    <cellStyle name="Normal 4 2 2 2 11 2" xfId="28215"/>
    <cellStyle name="Normal 4 2 2 2 12" xfId="28216"/>
    <cellStyle name="Normal 4 2 2 2 2" xfId="28217"/>
    <cellStyle name="Normal 4 2 2 2 2 10" xfId="28218"/>
    <cellStyle name="Normal 4 2 2 2 2 10 2" xfId="28219"/>
    <cellStyle name="Normal 4 2 2 2 2 11" xfId="28220"/>
    <cellStyle name="Normal 4 2 2 2 2 2" xfId="28221"/>
    <cellStyle name="Normal 4 2 2 2 2 2 2" xfId="28222"/>
    <cellStyle name="Normal 4 2 2 2 2 3" xfId="28223"/>
    <cellStyle name="Normal 4 2 2 2 2 3 2" xfId="28224"/>
    <cellStyle name="Normal 4 2 2 2 2 4" xfId="28225"/>
    <cellStyle name="Normal 4 2 2 2 2 4 2" xfId="28226"/>
    <cellStyle name="Normal 4 2 2 2 2 5" xfId="28227"/>
    <cellStyle name="Normal 4 2 2 2 2 5 2" xfId="28228"/>
    <cellStyle name="Normal 4 2 2 2 2 6" xfId="28229"/>
    <cellStyle name="Normal 4 2 2 2 2 6 2" xfId="28230"/>
    <cellStyle name="Normal 4 2 2 2 2 7" xfId="28231"/>
    <cellStyle name="Normal 4 2 2 2 2 7 2" xfId="28232"/>
    <cellStyle name="Normal 4 2 2 2 2 8" xfId="28233"/>
    <cellStyle name="Normal 4 2 2 2 2 8 2" xfId="28234"/>
    <cellStyle name="Normal 4 2 2 2 2 9" xfId="28235"/>
    <cellStyle name="Normal 4 2 2 2 2 9 2" xfId="28236"/>
    <cellStyle name="Normal 4 2 2 2 3" xfId="28237"/>
    <cellStyle name="Normal 4 2 2 2 3 2" xfId="28238"/>
    <cellStyle name="Normal 4 2 2 2 4" xfId="28239"/>
    <cellStyle name="Normal 4 2 2 2 4 2" xfId="28240"/>
    <cellStyle name="Normal 4 2 2 2 5" xfId="28241"/>
    <cellStyle name="Normal 4 2 2 2 5 2" xfId="28242"/>
    <cellStyle name="Normal 4 2 2 2 6" xfId="28243"/>
    <cellStyle name="Normal 4 2 2 2 6 2" xfId="28244"/>
    <cellStyle name="Normal 4 2 2 2 7" xfId="28245"/>
    <cellStyle name="Normal 4 2 2 2 7 2" xfId="28246"/>
    <cellStyle name="Normal 4 2 2 2 8" xfId="28247"/>
    <cellStyle name="Normal 4 2 2 2 8 2" xfId="28248"/>
    <cellStyle name="Normal 4 2 2 2 9" xfId="28249"/>
    <cellStyle name="Normal 4 2 2 2 9 2" xfId="28250"/>
    <cellStyle name="Normal 4 2 2 3" xfId="28251"/>
    <cellStyle name="Normal 4 2 2 3 10" xfId="28252"/>
    <cellStyle name="Normal 4 2 2 3 10 2" xfId="28253"/>
    <cellStyle name="Normal 4 2 2 3 11" xfId="28254"/>
    <cellStyle name="Normal 4 2 2 3 2" xfId="28255"/>
    <cellStyle name="Normal 4 2 2 3 2 2" xfId="28256"/>
    <cellStyle name="Normal 4 2 2 3 3" xfId="28257"/>
    <cellStyle name="Normal 4 2 2 3 3 2" xfId="28258"/>
    <cellStyle name="Normal 4 2 2 3 4" xfId="28259"/>
    <cellStyle name="Normal 4 2 2 3 4 2" xfId="28260"/>
    <cellStyle name="Normal 4 2 2 3 5" xfId="28261"/>
    <cellStyle name="Normal 4 2 2 3 5 2" xfId="28262"/>
    <cellStyle name="Normal 4 2 2 3 6" xfId="28263"/>
    <cellStyle name="Normal 4 2 2 3 6 2" xfId="28264"/>
    <cellStyle name="Normal 4 2 2 3 7" xfId="28265"/>
    <cellStyle name="Normal 4 2 2 3 7 2" xfId="28266"/>
    <cellStyle name="Normal 4 2 2 3 8" xfId="28267"/>
    <cellStyle name="Normal 4 2 2 3 8 2" xfId="28268"/>
    <cellStyle name="Normal 4 2 2 3 9" xfId="28269"/>
    <cellStyle name="Normal 4 2 2 3 9 2" xfId="28270"/>
    <cellStyle name="Normal 4 2 2 4" xfId="28271"/>
    <cellStyle name="Normal 4 2 2 4 2" xfId="28272"/>
    <cellStyle name="Normal 4 2 2 5" xfId="28273"/>
    <cellStyle name="Normal 4 2 2 5 2" xfId="28274"/>
    <cellStyle name="Normal 4 2 2 6" xfId="28275"/>
    <cellStyle name="Normal 4 2 2 6 2" xfId="28276"/>
    <cellStyle name="Normal 4 2 2 7" xfId="28277"/>
    <cellStyle name="Normal 4 2 2 7 2" xfId="28278"/>
    <cellStyle name="Normal 4 2 2 8" xfId="28279"/>
    <cellStyle name="Normal 4 2 2 8 2" xfId="28280"/>
    <cellStyle name="Normal 4 2 2 9" xfId="28281"/>
    <cellStyle name="Normal 4 2 2 9 2" xfId="28282"/>
    <cellStyle name="Normal 4 2 20" xfId="1139"/>
    <cellStyle name="Normal 4 2 3" xfId="28283"/>
    <cellStyle name="Normal 4 2 3 10" xfId="28284"/>
    <cellStyle name="Normal 4 2 3 10 2" xfId="28285"/>
    <cellStyle name="Normal 4 2 3 11" xfId="28286"/>
    <cellStyle name="Normal 4 2 3 11 2" xfId="28287"/>
    <cellStyle name="Normal 4 2 3 12" xfId="28288"/>
    <cellStyle name="Normal 4 2 3 12 2" xfId="28289"/>
    <cellStyle name="Normal 4 2 3 13" xfId="28290"/>
    <cellStyle name="Normal 4 2 3 2" xfId="28291"/>
    <cellStyle name="Normal 4 2 3 2 10" xfId="28292"/>
    <cellStyle name="Normal 4 2 3 2 10 2" xfId="28293"/>
    <cellStyle name="Normal 4 2 3 2 11" xfId="28294"/>
    <cellStyle name="Normal 4 2 3 2 11 2" xfId="28295"/>
    <cellStyle name="Normal 4 2 3 2 12" xfId="28296"/>
    <cellStyle name="Normal 4 2 3 2 2" xfId="28297"/>
    <cellStyle name="Normal 4 2 3 2 2 10" xfId="28298"/>
    <cellStyle name="Normal 4 2 3 2 2 10 2" xfId="28299"/>
    <cellStyle name="Normal 4 2 3 2 2 11" xfId="28300"/>
    <cellStyle name="Normal 4 2 3 2 2 2" xfId="28301"/>
    <cellStyle name="Normal 4 2 3 2 2 2 2" xfId="28302"/>
    <cellStyle name="Normal 4 2 3 2 2 3" xfId="28303"/>
    <cellStyle name="Normal 4 2 3 2 2 3 2" xfId="28304"/>
    <cellStyle name="Normal 4 2 3 2 2 4" xfId="28305"/>
    <cellStyle name="Normal 4 2 3 2 2 4 2" xfId="28306"/>
    <cellStyle name="Normal 4 2 3 2 2 5" xfId="28307"/>
    <cellStyle name="Normal 4 2 3 2 2 5 2" xfId="28308"/>
    <cellStyle name="Normal 4 2 3 2 2 6" xfId="28309"/>
    <cellStyle name="Normal 4 2 3 2 2 6 2" xfId="28310"/>
    <cellStyle name="Normal 4 2 3 2 2 7" xfId="28311"/>
    <cellStyle name="Normal 4 2 3 2 2 7 2" xfId="28312"/>
    <cellStyle name="Normal 4 2 3 2 2 8" xfId="28313"/>
    <cellStyle name="Normal 4 2 3 2 2 8 2" xfId="28314"/>
    <cellStyle name="Normal 4 2 3 2 2 9" xfId="28315"/>
    <cellStyle name="Normal 4 2 3 2 2 9 2" xfId="28316"/>
    <cellStyle name="Normal 4 2 3 2 3" xfId="28317"/>
    <cellStyle name="Normal 4 2 3 2 3 2" xfId="28318"/>
    <cellStyle name="Normal 4 2 3 2 4" xfId="28319"/>
    <cellStyle name="Normal 4 2 3 2 4 2" xfId="28320"/>
    <cellStyle name="Normal 4 2 3 2 5" xfId="28321"/>
    <cellStyle name="Normal 4 2 3 2 5 2" xfId="28322"/>
    <cellStyle name="Normal 4 2 3 2 6" xfId="28323"/>
    <cellStyle name="Normal 4 2 3 2 6 2" xfId="28324"/>
    <cellStyle name="Normal 4 2 3 2 7" xfId="28325"/>
    <cellStyle name="Normal 4 2 3 2 7 2" xfId="28326"/>
    <cellStyle name="Normal 4 2 3 2 8" xfId="28327"/>
    <cellStyle name="Normal 4 2 3 2 8 2" xfId="28328"/>
    <cellStyle name="Normal 4 2 3 2 9" xfId="28329"/>
    <cellStyle name="Normal 4 2 3 2 9 2" xfId="28330"/>
    <cellStyle name="Normal 4 2 3 3" xfId="28331"/>
    <cellStyle name="Normal 4 2 3 3 10" xfId="28332"/>
    <cellStyle name="Normal 4 2 3 3 10 2" xfId="28333"/>
    <cellStyle name="Normal 4 2 3 3 11" xfId="28334"/>
    <cellStyle name="Normal 4 2 3 3 2" xfId="28335"/>
    <cellStyle name="Normal 4 2 3 3 2 2" xfId="28336"/>
    <cellStyle name="Normal 4 2 3 3 3" xfId="28337"/>
    <cellStyle name="Normal 4 2 3 3 3 2" xfId="28338"/>
    <cellStyle name="Normal 4 2 3 3 4" xfId="28339"/>
    <cellStyle name="Normal 4 2 3 3 4 2" xfId="28340"/>
    <cellStyle name="Normal 4 2 3 3 5" xfId="28341"/>
    <cellStyle name="Normal 4 2 3 3 5 2" xfId="28342"/>
    <cellStyle name="Normal 4 2 3 3 6" xfId="28343"/>
    <cellStyle name="Normal 4 2 3 3 6 2" xfId="28344"/>
    <cellStyle name="Normal 4 2 3 3 7" xfId="28345"/>
    <cellStyle name="Normal 4 2 3 3 7 2" xfId="28346"/>
    <cellStyle name="Normal 4 2 3 3 8" xfId="28347"/>
    <cellStyle name="Normal 4 2 3 3 8 2" xfId="28348"/>
    <cellStyle name="Normal 4 2 3 3 9" xfId="28349"/>
    <cellStyle name="Normal 4 2 3 3 9 2" xfId="28350"/>
    <cellStyle name="Normal 4 2 3 4" xfId="28351"/>
    <cellStyle name="Normal 4 2 3 4 2" xfId="28352"/>
    <cellStyle name="Normal 4 2 3 5" xfId="28353"/>
    <cellStyle name="Normal 4 2 3 5 2" xfId="28354"/>
    <cellStyle name="Normal 4 2 3 6" xfId="28355"/>
    <cellStyle name="Normal 4 2 3 6 2" xfId="28356"/>
    <cellStyle name="Normal 4 2 3 7" xfId="28357"/>
    <cellStyle name="Normal 4 2 3 7 2" xfId="28358"/>
    <cellStyle name="Normal 4 2 3 8" xfId="28359"/>
    <cellStyle name="Normal 4 2 3 8 2" xfId="28360"/>
    <cellStyle name="Normal 4 2 3 9" xfId="28361"/>
    <cellStyle name="Normal 4 2 3 9 2" xfId="28362"/>
    <cellStyle name="Normal 4 2 4" xfId="28363"/>
    <cellStyle name="Normal 4 2 4 10" xfId="28364"/>
    <cellStyle name="Normal 4 2 4 10 2" xfId="28365"/>
    <cellStyle name="Normal 4 2 4 11" xfId="28366"/>
    <cellStyle name="Normal 4 2 4 11 2" xfId="28367"/>
    <cellStyle name="Normal 4 2 4 12" xfId="28368"/>
    <cellStyle name="Normal 4 2 4 12 2" xfId="28369"/>
    <cellStyle name="Normal 4 2 4 13" xfId="28370"/>
    <cellStyle name="Normal 4 2 4 2" xfId="28371"/>
    <cellStyle name="Normal 4 2 4 2 10" xfId="28372"/>
    <cellStyle name="Normal 4 2 4 2 10 2" xfId="28373"/>
    <cellStyle name="Normal 4 2 4 2 11" xfId="28374"/>
    <cellStyle name="Normal 4 2 4 2 11 2" xfId="28375"/>
    <cellStyle name="Normal 4 2 4 2 12" xfId="28376"/>
    <cellStyle name="Normal 4 2 4 2 2" xfId="28377"/>
    <cellStyle name="Normal 4 2 4 2 2 10" xfId="28378"/>
    <cellStyle name="Normal 4 2 4 2 2 10 2" xfId="28379"/>
    <cellStyle name="Normal 4 2 4 2 2 11" xfId="28380"/>
    <cellStyle name="Normal 4 2 4 2 2 2" xfId="28381"/>
    <cellStyle name="Normal 4 2 4 2 2 2 2" xfId="28382"/>
    <cellStyle name="Normal 4 2 4 2 2 3" xfId="28383"/>
    <cellStyle name="Normal 4 2 4 2 2 3 2" xfId="28384"/>
    <cellStyle name="Normal 4 2 4 2 2 4" xfId="28385"/>
    <cellStyle name="Normal 4 2 4 2 2 4 2" xfId="28386"/>
    <cellStyle name="Normal 4 2 4 2 2 5" xfId="28387"/>
    <cellStyle name="Normal 4 2 4 2 2 5 2" xfId="28388"/>
    <cellStyle name="Normal 4 2 4 2 2 6" xfId="28389"/>
    <cellStyle name="Normal 4 2 4 2 2 6 2" xfId="28390"/>
    <cellStyle name="Normal 4 2 4 2 2 7" xfId="28391"/>
    <cellStyle name="Normal 4 2 4 2 2 7 2" xfId="28392"/>
    <cellStyle name="Normal 4 2 4 2 2 8" xfId="28393"/>
    <cellStyle name="Normal 4 2 4 2 2 8 2" xfId="28394"/>
    <cellStyle name="Normal 4 2 4 2 2 9" xfId="28395"/>
    <cellStyle name="Normal 4 2 4 2 2 9 2" xfId="28396"/>
    <cellStyle name="Normal 4 2 4 2 3" xfId="28397"/>
    <cellStyle name="Normal 4 2 4 2 3 2" xfId="28398"/>
    <cellStyle name="Normal 4 2 4 2 4" xfId="28399"/>
    <cellStyle name="Normal 4 2 4 2 4 2" xfId="28400"/>
    <cellStyle name="Normal 4 2 4 2 5" xfId="28401"/>
    <cellStyle name="Normal 4 2 4 2 5 2" xfId="28402"/>
    <cellStyle name="Normal 4 2 4 2 6" xfId="28403"/>
    <cellStyle name="Normal 4 2 4 2 6 2" xfId="28404"/>
    <cellStyle name="Normal 4 2 4 2 7" xfId="28405"/>
    <cellStyle name="Normal 4 2 4 2 7 2" xfId="28406"/>
    <cellStyle name="Normal 4 2 4 2 8" xfId="28407"/>
    <cellStyle name="Normal 4 2 4 2 8 2" xfId="28408"/>
    <cellStyle name="Normal 4 2 4 2 9" xfId="28409"/>
    <cellStyle name="Normal 4 2 4 2 9 2" xfId="28410"/>
    <cellStyle name="Normal 4 2 4 3" xfId="28411"/>
    <cellStyle name="Normal 4 2 4 3 10" xfId="28412"/>
    <cellStyle name="Normal 4 2 4 3 10 2" xfId="28413"/>
    <cellStyle name="Normal 4 2 4 3 11" xfId="28414"/>
    <cellStyle name="Normal 4 2 4 3 2" xfId="28415"/>
    <cellStyle name="Normal 4 2 4 3 2 2" xfId="28416"/>
    <cellStyle name="Normal 4 2 4 3 3" xfId="28417"/>
    <cellStyle name="Normal 4 2 4 3 3 2" xfId="28418"/>
    <cellStyle name="Normal 4 2 4 3 4" xfId="28419"/>
    <cellStyle name="Normal 4 2 4 3 4 2" xfId="28420"/>
    <cellStyle name="Normal 4 2 4 3 5" xfId="28421"/>
    <cellStyle name="Normal 4 2 4 3 5 2" xfId="28422"/>
    <cellStyle name="Normal 4 2 4 3 6" xfId="28423"/>
    <cellStyle name="Normal 4 2 4 3 6 2" xfId="28424"/>
    <cellStyle name="Normal 4 2 4 3 7" xfId="28425"/>
    <cellStyle name="Normal 4 2 4 3 7 2" xfId="28426"/>
    <cellStyle name="Normal 4 2 4 3 8" xfId="28427"/>
    <cellStyle name="Normal 4 2 4 3 8 2" xfId="28428"/>
    <cellStyle name="Normal 4 2 4 3 9" xfId="28429"/>
    <cellStyle name="Normal 4 2 4 3 9 2" xfId="28430"/>
    <cellStyle name="Normal 4 2 4 4" xfId="28431"/>
    <cellStyle name="Normal 4 2 4 4 2" xfId="28432"/>
    <cellStyle name="Normal 4 2 4 5" xfId="28433"/>
    <cellStyle name="Normal 4 2 4 5 2" xfId="28434"/>
    <cellStyle name="Normal 4 2 4 6" xfId="28435"/>
    <cellStyle name="Normal 4 2 4 6 2" xfId="28436"/>
    <cellStyle name="Normal 4 2 4 7" xfId="28437"/>
    <cellStyle name="Normal 4 2 4 7 2" xfId="28438"/>
    <cellStyle name="Normal 4 2 4 8" xfId="28439"/>
    <cellStyle name="Normal 4 2 4 8 2" xfId="28440"/>
    <cellStyle name="Normal 4 2 4 9" xfId="28441"/>
    <cellStyle name="Normal 4 2 4 9 2" xfId="28442"/>
    <cellStyle name="Normal 4 2 5" xfId="28443"/>
    <cellStyle name="Normal 4 2 5 10" xfId="28444"/>
    <cellStyle name="Normal 4 2 5 10 2" xfId="28445"/>
    <cellStyle name="Normal 4 2 5 11" xfId="28446"/>
    <cellStyle name="Normal 4 2 5 11 2" xfId="28447"/>
    <cellStyle name="Normal 4 2 5 12" xfId="28448"/>
    <cellStyle name="Normal 4 2 5 12 2" xfId="28449"/>
    <cellStyle name="Normal 4 2 5 13" xfId="28450"/>
    <cellStyle name="Normal 4 2 5 2" xfId="28451"/>
    <cellStyle name="Normal 4 2 5 2 10" xfId="28452"/>
    <cellStyle name="Normal 4 2 5 2 10 2" xfId="28453"/>
    <cellStyle name="Normal 4 2 5 2 11" xfId="28454"/>
    <cellStyle name="Normal 4 2 5 2 11 2" xfId="28455"/>
    <cellStyle name="Normal 4 2 5 2 12" xfId="28456"/>
    <cellStyle name="Normal 4 2 5 2 2" xfId="28457"/>
    <cellStyle name="Normal 4 2 5 2 2 10" xfId="28458"/>
    <cellStyle name="Normal 4 2 5 2 2 10 2" xfId="28459"/>
    <cellStyle name="Normal 4 2 5 2 2 11" xfId="28460"/>
    <cellStyle name="Normal 4 2 5 2 2 2" xfId="28461"/>
    <cellStyle name="Normal 4 2 5 2 2 2 2" xfId="28462"/>
    <cellStyle name="Normal 4 2 5 2 2 3" xfId="28463"/>
    <cellStyle name="Normal 4 2 5 2 2 3 2" xfId="28464"/>
    <cellStyle name="Normal 4 2 5 2 2 4" xfId="28465"/>
    <cellStyle name="Normal 4 2 5 2 2 4 2" xfId="28466"/>
    <cellStyle name="Normal 4 2 5 2 2 5" xfId="28467"/>
    <cellStyle name="Normal 4 2 5 2 2 5 2" xfId="28468"/>
    <cellStyle name="Normal 4 2 5 2 2 6" xfId="28469"/>
    <cellStyle name="Normal 4 2 5 2 2 6 2" xfId="28470"/>
    <cellStyle name="Normal 4 2 5 2 2 7" xfId="28471"/>
    <cellStyle name="Normal 4 2 5 2 2 7 2" xfId="28472"/>
    <cellStyle name="Normal 4 2 5 2 2 8" xfId="28473"/>
    <cellStyle name="Normal 4 2 5 2 2 8 2" xfId="28474"/>
    <cellStyle name="Normal 4 2 5 2 2 9" xfId="28475"/>
    <cellStyle name="Normal 4 2 5 2 2 9 2" xfId="28476"/>
    <cellStyle name="Normal 4 2 5 2 3" xfId="28477"/>
    <cellStyle name="Normal 4 2 5 2 3 2" xfId="28478"/>
    <cellStyle name="Normal 4 2 5 2 4" xfId="28479"/>
    <cellStyle name="Normal 4 2 5 2 4 2" xfId="28480"/>
    <cellStyle name="Normal 4 2 5 2 5" xfId="28481"/>
    <cellStyle name="Normal 4 2 5 2 5 2" xfId="28482"/>
    <cellStyle name="Normal 4 2 5 2 6" xfId="28483"/>
    <cellStyle name="Normal 4 2 5 2 6 2" xfId="28484"/>
    <cellStyle name="Normal 4 2 5 2 7" xfId="28485"/>
    <cellStyle name="Normal 4 2 5 2 7 2" xfId="28486"/>
    <cellStyle name="Normal 4 2 5 2 8" xfId="28487"/>
    <cellStyle name="Normal 4 2 5 2 8 2" xfId="28488"/>
    <cellStyle name="Normal 4 2 5 2 9" xfId="28489"/>
    <cellStyle name="Normal 4 2 5 2 9 2" xfId="28490"/>
    <cellStyle name="Normal 4 2 5 3" xfId="28491"/>
    <cellStyle name="Normal 4 2 5 3 10" xfId="28492"/>
    <cellStyle name="Normal 4 2 5 3 10 2" xfId="28493"/>
    <cellStyle name="Normal 4 2 5 3 11" xfId="28494"/>
    <cellStyle name="Normal 4 2 5 3 2" xfId="28495"/>
    <cellStyle name="Normal 4 2 5 3 2 2" xfId="28496"/>
    <cellStyle name="Normal 4 2 5 3 3" xfId="28497"/>
    <cellStyle name="Normal 4 2 5 3 3 2" xfId="28498"/>
    <cellStyle name="Normal 4 2 5 3 4" xfId="28499"/>
    <cellStyle name="Normal 4 2 5 3 4 2" xfId="28500"/>
    <cellStyle name="Normal 4 2 5 3 5" xfId="28501"/>
    <cellStyle name="Normal 4 2 5 3 5 2" xfId="28502"/>
    <cellStyle name="Normal 4 2 5 3 6" xfId="28503"/>
    <cellStyle name="Normal 4 2 5 3 6 2" xfId="28504"/>
    <cellStyle name="Normal 4 2 5 3 7" xfId="28505"/>
    <cellStyle name="Normal 4 2 5 3 7 2" xfId="28506"/>
    <cellStyle name="Normal 4 2 5 3 8" xfId="28507"/>
    <cellStyle name="Normal 4 2 5 3 8 2" xfId="28508"/>
    <cellStyle name="Normal 4 2 5 3 9" xfId="28509"/>
    <cellStyle name="Normal 4 2 5 3 9 2" xfId="28510"/>
    <cellStyle name="Normal 4 2 5 4" xfId="28511"/>
    <cellStyle name="Normal 4 2 5 4 2" xfId="28512"/>
    <cellStyle name="Normal 4 2 5 5" xfId="28513"/>
    <cellStyle name="Normal 4 2 5 5 2" xfId="28514"/>
    <cellStyle name="Normal 4 2 5 6" xfId="28515"/>
    <cellStyle name="Normal 4 2 5 6 2" xfId="28516"/>
    <cellStyle name="Normal 4 2 5 7" xfId="28517"/>
    <cellStyle name="Normal 4 2 5 7 2" xfId="28518"/>
    <cellStyle name="Normal 4 2 5 8" xfId="28519"/>
    <cellStyle name="Normal 4 2 5 8 2" xfId="28520"/>
    <cellStyle name="Normal 4 2 5 9" xfId="28521"/>
    <cellStyle name="Normal 4 2 5 9 2" xfId="28522"/>
    <cellStyle name="Normal 4 2 6" xfId="28523"/>
    <cellStyle name="Normal 4 2 6 10" xfId="28524"/>
    <cellStyle name="Normal 4 2 6 10 2" xfId="28525"/>
    <cellStyle name="Normal 4 2 6 11" xfId="28526"/>
    <cellStyle name="Normal 4 2 6 11 2" xfId="28527"/>
    <cellStyle name="Normal 4 2 6 12" xfId="28528"/>
    <cellStyle name="Normal 4 2 6 2" xfId="28529"/>
    <cellStyle name="Normal 4 2 6 2 10" xfId="28530"/>
    <cellStyle name="Normal 4 2 6 2 10 2" xfId="28531"/>
    <cellStyle name="Normal 4 2 6 2 11" xfId="28532"/>
    <cellStyle name="Normal 4 2 6 2 2" xfId="28533"/>
    <cellStyle name="Normal 4 2 6 2 2 2" xfId="28534"/>
    <cellStyle name="Normal 4 2 6 2 3" xfId="28535"/>
    <cellStyle name="Normal 4 2 6 2 3 2" xfId="28536"/>
    <cellStyle name="Normal 4 2 6 2 4" xfId="28537"/>
    <cellStyle name="Normal 4 2 6 2 4 2" xfId="28538"/>
    <cellStyle name="Normal 4 2 6 2 5" xfId="28539"/>
    <cellStyle name="Normal 4 2 6 2 5 2" xfId="28540"/>
    <cellStyle name="Normal 4 2 6 2 6" xfId="28541"/>
    <cellStyle name="Normal 4 2 6 2 6 2" xfId="28542"/>
    <cellStyle name="Normal 4 2 6 2 7" xfId="28543"/>
    <cellStyle name="Normal 4 2 6 2 7 2" xfId="28544"/>
    <cellStyle name="Normal 4 2 6 2 8" xfId="28545"/>
    <cellStyle name="Normal 4 2 6 2 8 2" xfId="28546"/>
    <cellStyle name="Normal 4 2 6 2 9" xfId="28547"/>
    <cellStyle name="Normal 4 2 6 2 9 2" xfId="28548"/>
    <cellStyle name="Normal 4 2 6 3" xfId="28549"/>
    <cellStyle name="Normal 4 2 6 3 2" xfId="28550"/>
    <cellStyle name="Normal 4 2 6 4" xfId="28551"/>
    <cellStyle name="Normal 4 2 6 4 2" xfId="28552"/>
    <cellStyle name="Normal 4 2 6 5" xfId="28553"/>
    <cellStyle name="Normal 4 2 6 5 2" xfId="28554"/>
    <cellStyle name="Normal 4 2 6 6" xfId="28555"/>
    <cellStyle name="Normal 4 2 6 6 2" xfId="28556"/>
    <cellStyle name="Normal 4 2 6 7" xfId="28557"/>
    <cellStyle name="Normal 4 2 6 7 2" xfId="28558"/>
    <cellStyle name="Normal 4 2 6 8" xfId="28559"/>
    <cellStyle name="Normal 4 2 6 8 2" xfId="28560"/>
    <cellStyle name="Normal 4 2 6 9" xfId="28561"/>
    <cellStyle name="Normal 4 2 6 9 2" xfId="28562"/>
    <cellStyle name="Normal 4 2 7" xfId="28563"/>
    <cellStyle name="Normal 4 2 7 10" xfId="28564"/>
    <cellStyle name="Normal 4 2 7 10 2" xfId="28565"/>
    <cellStyle name="Normal 4 2 7 11" xfId="28566"/>
    <cellStyle name="Normal 4 2 7 2" xfId="28567"/>
    <cellStyle name="Normal 4 2 7 2 2" xfId="28568"/>
    <cellStyle name="Normal 4 2 7 3" xfId="28569"/>
    <cellStyle name="Normal 4 2 7 3 2" xfId="28570"/>
    <cellStyle name="Normal 4 2 7 4" xfId="28571"/>
    <cellStyle name="Normal 4 2 7 4 2" xfId="28572"/>
    <cellStyle name="Normal 4 2 7 5" xfId="28573"/>
    <cellStyle name="Normal 4 2 7 5 2" xfId="28574"/>
    <cellStyle name="Normal 4 2 7 6" xfId="28575"/>
    <cellStyle name="Normal 4 2 7 6 2" xfId="28576"/>
    <cellStyle name="Normal 4 2 7 7" xfId="28577"/>
    <cellStyle name="Normal 4 2 7 7 2" xfId="28578"/>
    <cellStyle name="Normal 4 2 7 8" xfId="28579"/>
    <cellStyle name="Normal 4 2 7 8 2" xfId="28580"/>
    <cellStyle name="Normal 4 2 7 9" xfId="28581"/>
    <cellStyle name="Normal 4 2 7 9 2" xfId="28582"/>
    <cellStyle name="Normal 4 2 8" xfId="28583"/>
    <cellStyle name="Normal 4 2 8 2" xfId="28584"/>
    <cellStyle name="Normal 4 2 9" xfId="28585"/>
    <cellStyle name="Normal 4 2 9 2" xfId="28586"/>
    <cellStyle name="Normal 4 20" xfId="28587"/>
    <cellStyle name="Normal 4 21" xfId="28588"/>
    <cellStyle name="Normal 4 22" xfId="1138"/>
    <cellStyle name="Normal 4 3" xfId="28589"/>
    <cellStyle name="Normal 4 3 10" xfId="28590"/>
    <cellStyle name="Normal 4 3 10 2" xfId="28591"/>
    <cellStyle name="Normal 4 3 11" xfId="28592"/>
    <cellStyle name="Normal 4 3 11 2" xfId="28593"/>
    <cellStyle name="Normal 4 3 12" xfId="28594"/>
    <cellStyle name="Normal 4 3 12 2" xfId="28595"/>
    <cellStyle name="Normal 4 3 13" xfId="28596"/>
    <cellStyle name="Normal 4 3 2" xfId="28597"/>
    <cellStyle name="Normal 4 3 2 10" xfId="28598"/>
    <cellStyle name="Normal 4 3 2 10 2" xfId="28599"/>
    <cellStyle name="Normal 4 3 2 11" xfId="28600"/>
    <cellStyle name="Normal 4 3 2 11 2" xfId="28601"/>
    <cellStyle name="Normal 4 3 2 12" xfId="28602"/>
    <cellStyle name="Normal 4 3 2 2" xfId="28603"/>
    <cellStyle name="Normal 4 3 2 2 10" xfId="28604"/>
    <cellStyle name="Normal 4 3 2 2 10 2" xfId="28605"/>
    <cellStyle name="Normal 4 3 2 2 11" xfId="28606"/>
    <cellStyle name="Normal 4 3 2 2 2" xfId="28607"/>
    <cellStyle name="Normal 4 3 2 2 2 2" xfId="28608"/>
    <cellStyle name="Normal 4 3 2 2 3" xfId="28609"/>
    <cellStyle name="Normal 4 3 2 2 3 2" xfId="28610"/>
    <cellStyle name="Normal 4 3 2 2 4" xfId="28611"/>
    <cellStyle name="Normal 4 3 2 2 4 2" xfId="28612"/>
    <cellStyle name="Normal 4 3 2 2 5" xfId="28613"/>
    <cellStyle name="Normal 4 3 2 2 5 2" xfId="28614"/>
    <cellStyle name="Normal 4 3 2 2 6" xfId="28615"/>
    <cellStyle name="Normal 4 3 2 2 6 2" xfId="28616"/>
    <cellStyle name="Normal 4 3 2 2 7" xfId="28617"/>
    <cellStyle name="Normal 4 3 2 2 7 2" xfId="28618"/>
    <cellStyle name="Normal 4 3 2 2 8" xfId="28619"/>
    <cellStyle name="Normal 4 3 2 2 8 2" xfId="28620"/>
    <cellStyle name="Normal 4 3 2 2 9" xfId="28621"/>
    <cellStyle name="Normal 4 3 2 2 9 2" xfId="28622"/>
    <cellStyle name="Normal 4 3 2 3" xfId="28623"/>
    <cellStyle name="Normal 4 3 2 3 2" xfId="28624"/>
    <cellStyle name="Normal 4 3 2 4" xfId="28625"/>
    <cellStyle name="Normal 4 3 2 4 2" xfId="28626"/>
    <cellStyle name="Normal 4 3 2 5" xfId="28627"/>
    <cellStyle name="Normal 4 3 2 5 2" xfId="28628"/>
    <cellStyle name="Normal 4 3 2 6" xfId="28629"/>
    <cellStyle name="Normal 4 3 2 6 2" xfId="28630"/>
    <cellStyle name="Normal 4 3 2 7" xfId="28631"/>
    <cellStyle name="Normal 4 3 2 7 2" xfId="28632"/>
    <cellStyle name="Normal 4 3 2 8" xfId="28633"/>
    <cellStyle name="Normal 4 3 2 8 2" xfId="28634"/>
    <cellStyle name="Normal 4 3 2 9" xfId="28635"/>
    <cellStyle name="Normal 4 3 2 9 2" xfId="28636"/>
    <cellStyle name="Normal 4 3 3" xfId="28637"/>
    <cellStyle name="Normal 4 3 3 10" xfId="28638"/>
    <cellStyle name="Normal 4 3 3 10 2" xfId="28639"/>
    <cellStyle name="Normal 4 3 3 11" xfId="28640"/>
    <cellStyle name="Normal 4 3 3 2" xfId="28641"/>
    <cellStyle name="Normal 4 3 3 2 2" xfId="28642"/>
    <cellStyle name="Normal 4 3 3 3" xfId="28643"/>
    <cellStyle name="Normal 4 3 3 3 2" xfId="28644"/>
    <cellStyle name="Normal 4 3 3 4" xfId="28645"/>
    <cellStyle name="Normal 4 3 3 4 2" xfId="28646"/>
    <cellStyle name="Normal 4 3 3 5" xfId="28647"/>
    <cellStyle name="Normal 4 3 3 5 2" xfId="28648"/>
    <cellStyle name="Normal 4 3 3 6" xfId="28649"/>
    <cellStyle name="Normal 4 3 3 6 2" xfId="28650"/>
    <cellStyle name="Normal 4 3 3 7" xfId="28651"/>
    <cellStyle name="Normal 4 3 3 7 2" xfId="28652"/>
    <cellStyle name="Normal 4 3 3 8" xfId="28653"/>
    <cellStyle name="Normal 4 3 3 8 2" xfId="28654"/>
    <cellStyle name="Normal 4 3 3 9" xfId="28655"/>
    <cellStyle name="Normal 4 3 3 9 2" xfId="28656"/>
    <cellStyle name="Normal 4 3 4" xfId="28657"/>
    <cellStyle name="Normal 4 3 4 2" xfId="28658"/>
    <cellStyle name="Normal 4 3 5" xfId="28659"/>
    <cellStyle name="Normal 4 3 5 2" xfId="28660"/>
    <cellStyle name="Normal 4 3 6" xfId="28661"/>
    <cellStyle name="Normal 4 3 6 2" xfId="28662"/>
    <cellStyle name="Normal 4 3 7" xfId="28663"/>
    <cellStyle name="Normal 4 3 7 2" xfId="28664"/>
    <cellStyle name="Normal 4 3 8" xfId="28665"/>
    <cellStyle name="Normal 4 3 8 2" xfId="28666"/>
    <cellStyle name="Normal 4 3 9" xfId="28667"/>
    <cellStyle name="Normal 4 3 9 2" xfId="28668"/>
    <cellStyle name="Normal 4 4" xfId="28669"/>
    <cellStyle name="Normal 4 4 10" xfId="28670"/>
    <cellStyle name="Normal 4 4 10 2" xfId="28671"/>
    <cellStyle name="Normal 4 4 11" xfId="28672"/>
    <cellStyle name="Normal 4 4 11 2" xfId="28673"/>
    <cellStyle name="Normal 4 4 12" xfId="28674"/>
    <cellStyle name="Normal 4 4 12 2" xfId="28675"/>
    <cellStyle name="Normal 4 4 13" xfId="28676"/>
    <cellStyle name="Normal 4 4 2" xfId="28677"/>
    <cellStyle name="Normal 4 4 2 10" xfId="28678"/>
    <cellStyle name="Normal 4 4 2 10 2" xfId="28679"/>
    <cellStyle name="Normal 4 4 2 11" xfId="28680"/>
    <cellStyle name="Normal 4 4 2 11 2" xfId="28681"/>
    <cellStyle name="Normal 4 4 2 12" xfId="28682"/>
    <cellStyle name="Normal 4 4 2 2" xfId="28683"/>
    <cellStyle name="Normal 4 4 2 2 10" xfId="28684"/>
    <cellStyle name="Normal 4 4 2 2 10 2" xfId="28685"/>
    <cellStyle name="Normal 4 4 2 2 11" xfId="28686"/>
    <cellStyle name="Normal 4 4 2 2 2" xfId="28687"/>
    <cellStyle name="Normal 4 4 2 2 2 2" xfId="28688"/>
    <cellStyle name="Normal 4 4 2 2 3" xfId="28689"/>
    <cellStyle name="Normal 4 4 2 2 3 2" xfId="28690"/>
    <cellStyle name="Normal 4 4 2 2 4" xfId="28691"/>
    <cellStyle name="Normal 4 4 2 2 4 2" xfId="28692"/>
    <cellStyle name="Normal 4 4 2 2 5" xfId="28693"/>
    <cellStyle name="Normal 4 4 2 2 5 2" xfId="28694"/>
    <cellStyle name="Normal 4 4 2 2 6" xfId="28695"/>
    <cellStyle name="Normal 4 4 2 2 6 2" xfId="28696"/>
    <cellStyle name="Normal 4 4 2 2 7" xfId="28697"/>
    <cellStyle name="Normal 4 4 2 2 7 2" xfId="28698"/>
    <cellStyle name="Normal 4 4 2 2 8" xfId="28699"/>
    <cellStyle name="Normal 4 4 2 2 8 2" xfId="28700"/>
    <cellStyle name="Normal 4 4 2 2 9" xfId="28701"/>
    <cellStyle name="Normal 4 4 2 2 9 2" xfId="28702"/>
    <cellStyle name="Normal 4 4 2 3" xfId="28703"/>
    <cellStyle name="Normal 4 4 2 3 2" xfId="28704"/>
    <cellStyle name="Normal 4 4 2 4" xfId="28705"/>
    <cellStyle name="Normal 4 4 2 4 2" xfId="28706"/>
    <cellStyle name="Normal 4 4 2 5" xfId="28707"/>
    <cellStyle name="Normal 4 4 2 5 2" xfId="28708"/>
    <cellStyle name="Normal 4 4 2 6" xfId="28709"/>
    <cellStyle name="Normal 4 4 2 6 2" xfId="28710"/>
    <cellStyle name="Normal 4 4 2 7" xfId="28711"/>
    <cellStyle name="Normal 4 4 2 7 2" xfId="28712"/>
    <cellStyle name="Normal 4 4 2 8" xfId="28713"/>
    <cellStyle name="Normal 4 4 2 8 2" xfId="28714"/>
    <cellStyle name="Normal 4 4 2 9" xfId="28715"/>
    <cellStyle name="Normal 4 4 2 9 2" xfId="28716"/>
    <cellStyle name="Normal 4 4 3" xfId="28717"/>
    <cellStyle name="Normal 4 4 3 10" xfId="28718"/>
    <cellStyle name="Normal 4 4 3 10 2" xfId="28719"/>
    <cellStyle name="Normal 4 4 3 11" xfId="28720"/>
    <cellStyle name="Normal 4 4 3 2" xfId="28721"/>
    <cellStyle name="Normal 4 4 3 2 2" xfId="28722"/>
    <cellStyle name="Normal 4 4 3 3" xfId="28723"/>
    <cellStyle name="Normal 4 4 3 3 2" xfId="28724"/>
    <cellStyle name="Normal 4 4 3 4" xfId="28725"/>
    <cellStyle name="Normal 4 4 3 4 2" xfId="28726"/>
    <cellStyle name="Normal 4 4 3 5" xfId="28727"/>
    <cellStyle name="Normal 4 4 3 5 2" xfId="28728"/>
    <cellStyle name="Normal 4 4 3 6" xfId="28729"/>
    <cellStyle name="Normal 4 4 3 6 2" xfId="28730"/>
    <cellStyle name="Normal 4 4 3 7" xfId="28731"/>
    <cellStyle name="Normal 4 4 3 7 2" xfId="28732"/>
    <cellStyle name="Normal 4 4 3 8" xfId="28733"/>
    <cellStyle name="Normal 4 4 3 8 2" xfId="28734"/>
    <cellStyle name="Normal 4 4 3 9" xfId="28735"/>
    <cellStyle name="Normal 4 4 3 9 2" xfId="28736"/>
    <cellStyle name="Normal 4 4 4" xfId="28737"/>
    <cellStyle name="Normal 4 4 4 2" xfId="28738"/>
    <cellStyle name="Normal 4 4 5" xfId="28739"/>
    <cellStyle name="Normal 4 4 5 2" xfId="28740"/>
    <cellStyle name="Normal 4 4 6" xfId="28741"/>
    <cellStyle name="Normal 4 4 6 2" xfId="28742"/>
    <cellStyle name="Normal 4 4 7" xfId="28743"/>
    <cellStyle name="Normal 4 4 7 2" xfId="28744"/>
    <cellStyle name="Normal 4 4 8" xfId="28745"/>
    <cellStyle name="Normal 4 4 8 2" xfId="28746"/>
    <cellStyle name="Normal 4 4 9" xfId="28747"/>
    <cellStyle name="Normal 4 4 9 2" xfId="28748"/>
    <cellStyle name="Normal 4 5" xfId="28749"/>
    <cellStyle name="Normal 4 5 10" xfId="28750"/>
    <cellStyle name="Normal 4 5 10 2" xfId="28751"/>
    <cellStyle name="Normal 4 5 11" xfId="28752"/>
    <cellStyle name="Normal 4 5 11 2" xfId="28753"/>
    <cellStyle name="Normal 4 5 12" xfId="28754"/>
    <cellStyle name="Normal 4 5 12 2" xfId="28755"/>
    <cellStyle name="Normal 4 5 13" xfId="28756"/>
    <cellStyle name="Normal 4 5 2" xfId="28757"/>
    <cellStyle name="Normal 4 5 2 10" xfId="28758"/>
    <cellStyle name="Normal 4 5 2 10 2" xfId="28759"/>
    <cellStyle name="Normal 4 5 2 11" xfId="28760"/>
    <cellStyle name="Normal 4 5 2 11 2" xfId="28761"/>
    <cellStyle name="Normal 4 5 2 12" xfId="28762"/>
    <cellStyle name="Normal 4 5 2 2" xfId="28763"/>
    <cellStyle name="Normal 4 5 2 2 10" xfId="28764"/>
    <cellStyle name="Normal 4 5 2 2 10 2" xfId="28765"/>
    <cellStyle name="Normal 4 5 2 2 11" xfId="28766"/>
    <cellStyle name="Normal 4 5 2 2 2" xfId="28767"/>
    <cellStyle name="Normal 4 5 2 2 2 2" xfId="28768"/>
    <cellStyle name="Normal 4 5 2 2 3" xfId="28769"/>
    <cellStyle name="Normal 4 5 2 2 3 2" xfId="28770"/>
    <cellStyle name="Normal 4 5 2 2 4" xfId="28771"/>
    <cellStyle name="Normal 4 5 2 2 4 2" xfId="28772"/>
    <cellStyle name="Normal 4 5 2 2 5" xfId="28773"/>
    <cellStyle name="Normal 4 5 2 2 5 2" xfId="28774"/>
    <cellStyle name="Normal 4 5 2 2 6" xfId="28775"/>
    <cellStyle name="Normal 4 5 2 2 6 2" xfId="28776"/>
    <cellStyle name="Normal 4 5 2 2 7" xfId="28777"/>
    <cellStyle name="Normal 4 5 2 2 7 2" xfId="28778"/>
    <cellStyle name="Normal 4 5 2 2 8" xfId="28779"/>
    <cellStyle name="Normal 4 5 2 2 8 2" xfId="28780"/>
    <cellStyle name="Normal 4 5 2 2 9" xfId="28781"/>
    <cellStyle name="Normal 4 5 2 2 9 2" xfId="28782"/>
    <cellStyle name="Normal 4 5 2 3" xfId="28783"/>
    <cellStyle name="Normal 4 5 2 3 2" xfId="28784"/>
    <cellStyle name="Normal 4 5 2 4" xfId="28785"/>
    <cellStyle name="Normal 4 5 2 4 2" xfId="28786"/>
    <cellStyle name="Normal 4 5 2 5" xfId="28787"/>
    <cellStyle name="Normal 4 5 2 5 2" xfId="28788"/>
    <cellStyle name="Normal 4 5 2 6" xfId="28789"/>
    <cellStyle name="Normal 4 5 2 6 2" xfId="28790"/>
    <cellStyle name="Normal 4 5 2 7" xfId="28791"/>
    <cellStyle name="Normal 4 5 2 7 2" xfId="28792"/>
    <cellStyle name="Normal 4 5 2 8" xfId="28793"/>
    <cellStyle name="Normal 4 5 2 8 2" xfId="28794"/>
    <cellStyle name="Normal 4 5 2 9" xfId="28795"/>
    <cellStyle name="Normal 4 5 2 9 2" xfId="28796"/>
    <cellStyle name="Normal 4 5 3" xfId="28797"/>
    <cellStyle name="Normal 4 5 3 10" xfId="28798"/>
    <cellStyle name="Normal 4 5 3 10 2" xfId="28799"/>
    <cellStyle name="Normal 4 5 3 11" xfId="28800"/>
    <cellStyle name="Normal 4 5 3 2" xfId="28801"/>
    <cellStyle name="Normal 4 5 3 2 2" xfId="28802"/>
    <cellStyle name="Normal 4 5 3 3" xfId="28803"/>
    <cellStyle name="Normal 4 5 3 3 2" xfId="28804"/>
    <cellStyle name="Normal 4 5 3 4" xfId="28805"/>
    <cellStyle name="Normal 4 5 3 4 2" xfId="28806"/>
    <cellStyle name="Normal 4 5 3 5" xfId="28807"/>
    <cellStyle name="Normal 4 5 3 5 2" xfId="28808"/>
    <cellStyle name="Normal 4 5 3 6" xfId="28809"/>
    <cellStyle name="Normal 4 5 3 6 2" xfId="28810"/>
    <cellStyle name="Normal 4 5 3 7" xfId="28811"/>
    <cellStyle name="Normal 4 5 3 7 2" xfId="28812"/>
    <cellStyle name="Normal 4 5 3 8" xfId="28813"/>
    <cellStyle name="Normal 4 5 3 8 2" xfId="28814"/>
    <cellStyle name="Normal 4 5 3 9" xfId="28815"/>
    <cellStyle name="Normal 4 5 3 9 2" xfId="28816"/>
    <cellStyle name="Normal 4 5 4" xfId="28817"/>
    <cellStyle name="Normal 4 5 4 2" xfId="28818"/>
    <cellStyle name="Normal 4 5 5" xfId="28819"/>
    <cellStyle name="Normal 4 5 5 2" xfId="28820"/>
    <cellStyle name="Normal 4 5 6" xfId="28821"/>
    <cellStyle name="Normal 4 5 6 2" xfId="28822"/>
    <cellStyle name="Normal 4 5 7" xfId="28823"/>
    <cellStyle name="Normal 4 5 7 2" xfId="28824"/>
    <cellStyle name="Normal 4 5 8" xfId="28825"/>
    <cellStyle name="Normal 4 5 8 2" xfId="28826"/>
    <cellStyle name="Normal 4 5 9" xfId="28827"/>
    <cellStyle name="Normal 4 5 9 2" xfId="28828"/>
    <cellStyle name="Normal 4 6" xfId="28829"/>
    <cellStyle name="Normal 4 6 10" xfId="28830"/>
    <cellStyle name="Normal 4 6 10 2" xfId="28831"/>
    <cellStyle name="Normal 4 6 11" xfId="28832"/>
    <cellStyle name="Normal 4 6 11 2" xfId="28833"/>
    <cellStyle name="Normal 4 6 12" xfId="28834"/>
    <cellStyle name="Normal 4 6 12 2" xfId="28835"/>
    <cellStyle name="Normal 4 6 13" xfId="28836"/>
    <cellStyle name="Normal 4 6 2" xfId="28837"/>
    <cellStyle name="Normal 4 6 2 10" xfId="28838"/>
    <cellStyle name="Normal 4 6 2 10 2" xfId="28839"/>
    <cellStyle name="Normal 4 6 2 11" xfId="28840"/>
    <cellStyle name="Normal 4 6 2 11 2" xfId="28841"/>
    <cellStyle name="Normal 4 6 2 12" xfId="28842"/>
    <cellStyle name="Normal 4 6 2 2" xfId="28843"/>
    <cellStyle name="Normal 4 6 2 2 10" xfId="28844"/>
    <cellStyle name="Normal 4 6 2 2 10 2" xfId="28845"/>
    <cellStyle name="Normal 4 6 2 2 11" xfId="28846"/>
    <cellStyle name="Normal 4 6 2 2 2" xfId="28847"/>
    <cellStyle name="Normal 4 6 2 2 2 2" xfId="28848"/>
    <cellStyle name="Normal 4 6 2 2 3" xfId="28849"/>
    <cellStyle name="Normal 4 6 2 2 3 2" xfId="28850"/>
    <cellStyle name="Normal 4 6 2 2 4" xfId="28851"/>
    <cellStyle name="Normal 4 6 2 2 4 2" xfId="28852"/>
    <cellStyle name="Normal 4 6 2 2 5" xfId="28853"/>
    <cellStyle name="Normal 4 6 2 2 5 2" xfId="28854"/>
    <cellStyle name="Normal 4 6 2 2 6" xfId="28855"/>
    <cellStyle name="Normal 4 6 2 2 6 2" xfId="28856"/>
    <cellStyle name="Normal 4 6 2 2 7" xfId="28857"/>
    <cellStyle name="Normal 4 6 2 2 7 2" xfId="28858"/>
    <cellStyle name="Normal 4 6 2 2 8" xfId="28859"/>
    <cellStyle name="Normal 4 6 2 2 8 2" xfId="28860"/>
    <cellStyle name="Normal 4 6 2 2 9" xfId="28861"/>
    <cellStyle name="Normal 4 6 2 2 9 2" xfId="28862"/>
    <cellStyle name="Normal 4 6 2 3" xfId="28863"/>
    <cellStyle name="Normal 4 6 2 3 2" xfId="28864"/>
    <cellStyle name="Normal 4 6 2 4" xfId="28865"/>
    <cellStyle name="Normal 4 6 2 4 2" xfId="28866"/>
    <cellStyle name="Normal 4 6 2 5" xfId="28867"/>
    <cellStyle name="Normal 4 6 2 5 2" xfId="28868"/>
    <cellStyle name="Normal 4 6 2 6" xfId="28869"/>
    <cellStyle name="Normal 4 6 2 6 2" xfId="28870"/>
    <cellStyle name="Normal 4 6 2 7" xfId="28871"/>
    <cellStyle name="Normal 4 6 2 7 2" xfId="28872"/>
    <cellStyle name="Normal 4 6 2 8" xfId="28873"/>
    <cellStyle name="Normal 4 6 2 8 2" xfId="28874"/>
    <cellStyle name="Normal 4 6 2 9" xfId="28875"/>
    <cellStyle name="Normal 4 6 2 9 2" xfId="28876"/>
    <cellStyle name="Normal 4 6 3" xfId="28877"/>
    <cellStyle name="Normal 4 6 3 10" xfId="28878"/>
    <cellStyle name="Normal 4 6 3 10 2" xfId="28879"/>
    <cellStyle name="Normal 4 6 3 11" xfId="28880"/>
    <cellStyle name="Normal 4 6 3 2" xfId="28881"/>
    <cellStyle name="Normal 4 6 3 2 2" xfId="28882"/>
    <cellStyle name="Normal 4 6 3 3" xfId="28883"/>
    <cellStyle name="Normal 4 6 3 3 2" xfId="28884"/>
    <cellStyle name="Normal 4 6 3 4" xfId="28885"/>
    <cellStyle name="Normal 4 6 3 4 2" xfId="28886"/>
    <cellStyle name="Normal 4 6 3 5" xfId="28887"/>
    <cellStyle name="Normal 4 6 3 5 2" xfId="28888"/>
    <cellStyle name="Normal 4 6 3 6" xfId="28889"/>
    <cellStyle name="Normal 4 6 3 6 2" xfId="28890"/>
    <cellStyle name="Normal 4 6 3 7" xfId="28891"/>
    <cellStyle name="Normal 4 6 3 7 2" xfId="28892"/>
    <cellStyle name="Normal 4 6 3 8" xfId="28893"/>
    <cellStyle name="Normal 4 6 3 8 2" xfId="28894"/>
    <cellStyle name="Normal 4 6 3 9" xfId="28895"/>
    <cellStyle name="Normal 4 6 3 9 2" xfId="28896"/>
    <cellStyle name="Normal 4 6 4" xfId="28897"/>
    <cellStyle name="Normal 4 6 4 2" xfId="28898"/>
    <cellStyle name="Normal 4 6 5" xfId="28899"/>
    <cellStyle name="Normal 4 6 5 2" xfId="28900"/>
    <cellStyle name="Normal 4 6 6" xfId="28901"/>
    <cellStyle name="Normal 4 6 6 2" xfId="28902"/>
    <cellStyle name="Normal 4 6 7" xfId="28903"/>
    <cellStyle name="Normal 4 6 7 2" xfId="28904"/>
    <cellStyle name="Normal 4 6 8" xfId="28905"/>
    <cellStyle name="Normal 4 6 8 2" xfId="28906"/>
    <cellStyle name="Normal 4 6 9" xfId="28907"/>
    <cellStyle name="Normal 4 6 9 2" xfId="28908"/>
    <cellStyle name="Normal 4 7" xfId="28909"/>
    <cellStyle name="Normal 4 7 10" xfId="28910"/>
    <cellStyle name="Normal 4 7 10 2" xfId="28911"/>
    <cellStyle name="Normal 4 7 11" xfId="28912"/>
    <cellStyle name="Normal 4 7 11 2" xfId="28913"/>
    <cellStyle name="Normal 4 7 12" xfId="28914"/>
    <cellStyle name="Normal 4 7 2" xfId="28915"/>
    <cellStyle name="Normal 4 7 2 10" xfId="28916"/>
    <cellStyle name="Normal 4 7 2 10 2" xfId="28917"/>
    <cellStyle name="Normal 4 7 2 11" xfId="28918"/>
    <cellStyle name="Normal 4 7 2 2" xfId="28919"/>
    <cellStyle name="Normal 4 7 2 2 2" xfId="28920"/>
    <cellStyle name="Normal 4 7 2 3" xfId="28921"/>
    <cellStyle name="Normal 4 7 2 3 2" xfId="28922"/>
    <cellStyle name="Normal 4 7 2 4" xfId="28923"/>
    <cellStyle name="Normal 4 7 2 4 2" xfId="28924"/>
    <cellStyle name="Normal 4 7 2 5" xfId="28925"/>
    <cellStyle name="Normal 4 7 2 5 2" xfId="28926"/>
    <cellStyle name="Normal 4 7 2 6" xfId="28927"/>
    <cellStyle name="Normal 4 7 2 6 2" xfId="28928"/>
    <cellStyle name="Normal 4 7 2 7" xfId="28929"/>
    <cellStyle name="Normal 4 7 2 7 2" xfId="28930"/>
    <cellStyle name="Normal 4 7 2 8" xfId="28931"/>
    <cellStyle name="Normal 4 7 2 8 2" xfId="28932"/>
    <cellStyle name="Normal 4 7 2 9" xfId="28933"/>
    <cellStyle name="Normal 4 7 2 9 2" xfId="28934"/>
    <cellStyle name="Normal 4 7 3" xfId="28935"/>
    <cellStyle name="Normal 4 7 3 2" xfId="28936"/>
    <cellStyle name="Normal 4 7 4" xfId="28937"/>
    <cellStyle name="Normal 4 7 4 2" xfId="28938"/>
    <cellStyle name="Normal 4 7 5" xfId="28939"/>
    <cellStyle name="Normal 4 7 5 2" xfId="28940"/>
    <cellStyle name="Normal 4 7 6" xfId="28941"/>
    <cellStyle name="Normal 4 7 6 2" xfId="28942"/>
    <cellStyle name="Normal 4 7 7" xfId="28943"/>
    <cellStyle name="Normal 4 7 7 2" xfId="28944"/>
    <cellStyle name="Normal 4 7 8" xfId="28945"/>
    <cellStyle name="Normal 4 7 8 2" xfId="28946"/>
    <cellStyle name="Normal 4 7 9" xfId="28947"/>
    <cellStyle name="Normal 4 7 9 2" xfId="28948"/>
    <cellStyle name="Normal 4 8" xfId="28949"/>
    <cellStyle name="Normal 4 8 10" xfId="28950"/>
    <cellStyle name="Normal 4 8 10 2" xfId="28951"/>
    <cellStyle name="Normal 4 8 11" xfId="28952"/>
    <cellStyle name="Normal 4 8 2" xfId="28953"/>
    <cellStyle name="Normal 4 8 2 2" xfId="28954"/>
    <cellStyle name="Normal 4 8 3" xfId="28955"/>
    <cellStyle name="Normal 4 8 3 2" xfId="28956"/>
    <cellStyle name="Normal 4 8 4" xfId="28957"/>
    <cellStyle name="Normal 4 8 4 2" xfId="28958"/>
    <cellStyle name="Normal 4 8 5" xfId="28959"/>
    <cellStyle name="Normal 4 8 5 2" xfId="28960"/>
    <cellStyle name="Normal 4 8 6" xfId="28961"/>
    <cellStyle name="Normal 4 8 6 2" xfId="28962"/>
    <cellStyle name="Normal 4 8 7" xfId="28963"/>
    <cellStyle name="Normal 4 8 7 2" xfId="28964"/>
    <cellStyle name="Normal 4 8 8" xfId="28965"/>
    <cellStyle name="Normal 4 8 8 2" xfId="28966"/>
    <cellStyle name="Normal 4 8 9" xfId="28967"/>
    <cellStyle name="Normal 4 8 9 2" xfId="28968"/>
    <cellStyle name="Normal 4 9" xfId="28969"/>
    <cellStyle name="Normal 4 9 2" xfId="28970"/>
    <cellStyle name="Normal 40" xfId="1202"/>
    <cellStyle name="Normal 40 10" xfId="28971"/>
    <cellStyle name="Normal 40 10 2" xfId="28972"/>
    <cellStyle name="Normal 40 11" xfId="28973"/>
    <cellStyle name="Normal 40 2" xfId="28974"/>
    <cellStyle name="Normal 40 2 2" xfId="28975"/>
    <cellStyle name="Normal 40 3" xfId="28976"/>
    <cellStyle name="Normal 40 3 2" xfId="28977"/>
    <cellStyle name="Normal 40 4" xfId="28978"/>
    <cellStyle name="Normal 40 4 2" xfId="28979"/>
    <cellStyle name="Normal 40 5" xfId="28980"/>
    <cellStyle name="Normal 40 5 2" xfId="28981"/>
    <cellStyle name="Normal 40 6" xfId="28982"/>
    <cellStyle name="Normal 40 6 2" xfId="28983"/>
    <cellStyle name="Normal 40 7" xfId="28984"/>
    <cellStyle name="Normal 40 7 2" xfId="28985"/>
    <cellStyle name="Normal 40 8" xfId="28986"/>
    <cellStyle name="Normal 40 8 2" xfId="28987"/>
    <cellStyle name="Normal 40 9" xfId="28988"/>
    <cellStyle name="Normal 40 9 2" xfId="28989"/>
    <cellStyle name="Normal 41" xfId="1203"/>
    <cellStyle name="Normal 41 2" xfId="28990"/>
    <cellStyle name="Normal 42" xfId="1204"/>
    <cellStyle name="Normal 42 2" xfId="28991"/>
    <cellStyle name="Normal 43" xfId="28992"/>
    <cellStyle name="Normal 43 2" xfId="28993"/>
    <cellStyle name="Normal 44" xfId="28994"/>
    <cellStyle name="Normal 44 2" xfId="28995"/>
    <cellStyle name="Normal 45" xfId="28996"/>
    <cellStyle name="Normal 45 2" xfId="28997"/>
    <cellStyle name="Normal 46" xfId="28998"/>
    <cellStyle name="Normal 46 2" xfId="28999"/>
    <cellStyle name="Normal 47" xfId="1205"/>
    <cellStyle name="Normal 47 2" xfId="29000"/>
    <cellStyle name="Normal 48" xfId="29001"/>
    <cellStyle name="Normal 48 2" xfId="29002"/>
    <cellStyle name="Normal 49" xfId="29003"/>
    <cellStyle name="Normal 49 2" xfId="29004"/>
    <cellStyle name="Normal 5" xfId="848"/>
    <cellStyle name="Normal 5 10" xfId="29005"/>
    <cellStyle name="Normal 5 10 10" xfId="29006"/>
    <cellStyle name="Normal 5 10 10 2" xfId="29007"/>
    <cellStyle name="Normal 5 10 11" xfId="29008"/>
    <cellStyle name="Normal 5 10 2" xfId="29009"/>
    <cellStyle name="Normal 5 10 2 2" xfId="29010"/>
    <cellStyle name="Normal 5 10 3" xfId="29011"/>
    <cellStyle name="Normal 5 10 3 2" xfId="29012"/>
    <cellStyle name="Normal 5 10 4" xfId="29013"/>
    <cellStyle name="Normal 5 10 4 2" xfId="29014"/>
    <cellStyle name="Normal 5 10 5" xfId="29015"/>
    <cellStyle name="Normal 5 10 5 2" xfId="29016"/>
    <cellStyle name="Normal 5 10 6" xfId="29017"/>
    <cellStyle name="Normal 5 10 6 2" xfId="29018"/>
    <cellStyle name="Normal 5 10 7" xfId="29019"/>
    <cellStyle name="Normal 5 10 7 2" xfId="29020"/>
    <cellStyle name="Normal 5 10 8" xfId="29021"/>
    <cellStyle name="Normal 5 10 8 2" xfId="29022"/>
    <cellStyle name="Normal 5 10 9" xfId="29023"/>
    <cellStyle name="Normal 5 10 9 2" xfId="29024"/>
    <cellStyle name="Normal 5 11" xfId="29025"/>
    <cellStyle name="Normal 5 11 2" xfId="29026"/>
    <cellStyle name="Normal 5 12" xfId="29027"/>
    <cellStyle name="Normal 5 12 2" xfId="29028"/>
    <cellStyle name="Normal 5 13" xfId="29029"/>
    <cellStyle name="Normal 5 13 2" xfId="29030"/>
    <cellStyle name="Normal 5 14" xfId="29031"/>
    <cellStyle name="Normal 5 14 2" xfId="29032"/>
    <cellStyle name="Normal 5 15" xfId="29033"/>
    <cellStyle name="Normal 5 15 2" xfId="29034"/>
    <cellStyle name="Normal 5 16" xfId="29035"/>
    <cellStyle name="Normal 5 16 2" xfId="29036"/>
    <cellStyle name="Normal 5 17" xfId="29037"/>
    <cellStyle name="Normal 5 17 2" xfId="29038"/>
    <cellStyle name="Normal 5 18" xfId="29039"/>
    <cellStyle name="Normal 5 18 2" xfId="29040"/>
    <cellStyle name="Normal 5 19" xfId="29041"/>
    <cellStyle name="Normal 5 19 2" xfId="29042"/>
    <cellStyle name="Normal 5 2" xfId="849"/>
    <cellStyle name="Normal 5 2 10" xfId="29043"/>
    <cellStyle name="Normal 5 2 10 2" xfId="29044"/>
    <cellStyle name="Normal 5 2 11" xfId="29045"/>
    <cellStyle name="Normal 5 2 11 2" xfId="29046"/>
    <cellStyle name="Normal 5 2 12" xfId="29047"/>
    <cellStyle name="Normal 5 2 12 2" xfId="29048"/>
    <cellStyle name="Normal 5 2 13" xfId="29049"/>
    <cellStyle name="Normal 5 2 13 2" xfId="29050"/>
    <cellStyle name="Normal 5 2 14" xfId="29051"/>
    <cellStyle name="Normal 5 2 14 2" xfId="29052"/>
    <cellStyle name="Normal 5 2 15" xfId="29053"/>
    <cellStyle name="Normal 5 2 15 2" xfId="29054"/>
    <cellStyle name="Normal 5 2 16" xfId="29055"/>
    <cellStyle name="Normal 5 2 16 2" xfId="29056"/>
    <cellStyle name="Normal 5 2 17" xfId="29057"/>
    <cellStyle name="Normal 5 2 17 2" xfId="29058"/>
    <cellStyle name="Normal 5 2 18" xfId="29059"/>
    <cellStyle name="Normal 5 2 19" xfId="29060"/>
    <cellStyle name="Normal 5 2 2" xfId="850"/>
    <cellStyle name="Normal 5 2 2 10" xfId="29062"/>
    <cellStyle name="Normal 5 2 2 10 2" xfId="29063"/>
    <cellStyle name="Normal 5 2 2 11" xfId="29064"/>
    <cellStyle name="Normal 5 2 2 11 2" xfId="29065"/>
    <cellStyle name="Normal 5 2 2 12" xfId="29066"/>
    <cellStyle name="Normal 5 2 2 12 2" xfId="29067"/>
    <cellStyle name="Normal 5 2 2 13" xfId="29068"/>
    <cellStyle name="Normal 5 2 2 14" xfId="29061"/>
    <cellStyle name="Normal 5 2 2 2" xfId="29069"/>
    <cellStyle name="Normal 5 2 2 2 10" xfId="29070"/>
    <cellStyle name="Normal 5 2 2 2 10 2" xfId="29071"/>
    <cellStyle name="Normal 5 2 2 2 11" xfId="29072"/>
    <cellStyle name="Normal 5 2 2 2 11 2" xfId="29073"/>
    <cellStyle name="Normal 5 2 2 2 12" xfId="29074"/>
    <cellStyle name="Normal 5 2 2 2 2" xfId="29075"/>
    <cellStyle name="Normal 5 2 2 2 2 10" xfId="29076"/>
    <cellStyle name="Normal 5 2 2 2 2 10 2" xfId="29077"/>
    <cellStyle name="Normal 5 2 2 2 2 11" xfId="29078"/>
    <cellStyle name="Normal 5 2 2 2 2 2" xfId="29079"/>
    <cellStyle name="Normal 5 2 2 2 2 2 2" xfId="29080"/>
    <cellStyle name="Normal 5 2 2 2 2 3" xfId="29081"/>
    <cellStyle name="Normal 5 2 2 2 2 3 2" xfId="29082"/>
    <cellStyle name="Normal 5 2 2 2 2 4" xfId="29083"/>
    <cellStyle name="Normal 5 2 2 2 2 4 2" xfId="29084"/>
    <cellStyle name="Normal 5 2 2 2 2 5" xfId="29085"/>
    <cellStyle name="Normal 5 2 2 2 2 5 2" xfId="29086"/>
    <cellStyle name="Normal 5 2 2 2 2 6" xfId="29087"/>
    <cellStyle name="Normal 5 2 2 2 2 6 2" xfId="29088"/>
    <cellStyle name="Normal 5 2 2 2 2 7" xfId="29089"/>
    <cellStyle name="Normal 5 2 2 2 2 7 2" xfId="29090"/>
    <cellStyle name="Normal 5 2 2 2 2 8" xfId="29091"/>
    <cellStyle name="Normal 5 2 2 2 2 8 2" xfId="29092"/>
    <cellStyle name="Normal 5 2 2 2 2 9" xfId="29093"/>
    <cellStyle name="Normal 5 2 2 2 2 9 2" xfId="29094"/>
    <cellStyle name="Normal 5 2 2 2 3" xfId="29095"/>
    <cellStyle name="Normal 5 2 2 2 3 2" xfId="29096"/>
    <cellStyle name="Normal 5 2 2 2 4" xfId="29097"/>
    <cellStyle name="Normal 5 2 2 2 4 2" xfId="29098"/>
    <cellStyle name="Normal 5 2 2 2 5" xfId="29099"/>
    <cellStyle name="Normal 5 2 2 2 5 2" xfId="29100"/>
    <cellStyle name="Normal 5 2 2 2 6" xfId="29101"/>
    <cellStyle name="Normal 5 2 2 2 6 2" xfId="29102"/>
    <cellStyle name="Normal 5 2 2 2 7" xfId="29103"/>
    <cellStyle name="Normal 5 2 2 2 7 2" xfId="29104"/>
    <cellStyle name="Normal 5 2 2 2 8" xfId="29105"/>
    <cellStyle name="Normal 5 2 2 2 8 2" xfId="29106"/>
    <cellStyle name="Normal 5 2 2 2 9" xfId="29107"/>
    <cellStyle name="Normal 5 2 2 2 9 2" xfId="29108"/>
    <cellStyle name="Normal 5 2 2 3" xfId="29109"/>
    <cellStyle name="Normal 5 2 2 3 10" xfId="29110"/>
    <cellStyle name="Normal 5 2 2 3 10 2" xfId="29111"/>
    <cellStyle name="Normal 5 2 2 3 11" xfId="29112"/>
    <cellStyle name="Normal 5 2 2 3 2" xfId="29113"/>
    <cellStyle name="Normal 5 2 2 3 2 2" xfId="29114"/>
    <cellStyle name="Normal 5 2 2 3 3" xfId="29115"/>
    <cellStyle name="Normal 5 2 2 3 3 2" xfId="29116"/>
    <cellStyle name="Normal 5 2 2 3 4" xfId="29117"/>
    <cellStyle name="Normal 5 2 2 3 4 2" xfId="29118"/>
    <cellStyle name="Normal 5 2 2 3 5" xfId="29119"/>
    <cellStyle name="Normal 5 2 2 3 5 2" xfId="29120"/>
    <cellStyle name="Normal 5 2 2 3 6" xfId="29121"/>
    <cellStyle name="Normal 5 2 2 3 6 2" xfId="29122"/>
    <cellStyle name="Normal 5 2 2 3 7" xfId="29123"/>
    <cellStyle name="Normal 5 2 2 3 7 2" xfId="29124"/>
    <cellStyle name="Normal 5 2 2 3 8" xfId="29125"/>
    <cellStyle name="Normal 5 2 2 3 8 2" xfId="29126"/>
    <cellStyle name="Normal 5 2 2 3 9" xfId="29127"/>
    <cellStyle name="Normal 5 2 2 3 9 2" xfId="29128"/>
    <cellStyle name="Normal 5 2 2 4" xfId="29129"/>
    <cellStyle name="Normal 5 2 2 4 2" xfId="29130"/>
    <cellStyle name="Normal 5 2 2 5" xfId="29131"/>
    <cellStyle name="Normal 5 2 2 5 2" xfId="29132"/>
    <cellStyle name="Normal 5 2 2 6" xfId="29133"/>
    <cellStyle name="Normal 5 2 2 6 2" xfId="29134"/>
    <cellStyle name="Normal 5 2 2 7" xfId="29135"/>
    <cellStyle name="Normal 5 2 2 7 2" xfId="29136"/>
    <cellStyle name="Normal 5 2 2 8" xfId="29137"/>
    <cellStyle name="Normal 5 2 2 8 2" xfId="29138"/>
    <cellStyle name="Normal 5 2 2 9" xfId="29139"/>
    <cellStyle name="Normal 5 2 2 9 2" xfId="29140"/>
    <cellStyle name="Normal 5 2 20" xfId="29141"/>
    <cellStyle name="Normal 5 2 21" xfId="1141"/>
    <cellStyle name="Normal 5 2 3" xfId="29142"/>
    <cellStyle name="Normal 5 2 3 10" xfId="29143"/>
    <cellStyle name="Normal 5 2 3 10 2" xfId="29144"/>
    <cellStyle name="Normal 5 2 3 11" xfId="29145"/>
    <cellStyle name="Normal 5 2 3 11 2" xfId="29146"/>
    <cellStyle name="Normal 5 2 3 12" xfId="29147"/>
    <cellStyle name="Normal 5 2 3 12 2" xfId="29148"/>
    <cellStyle name="Normal 5 2 3 13" xfId="29149"/>
    <cellStyle name="Normal 5 2 3 2" xfId="29150"/>
    <cellStyle name="Normal 5 2 3 2 10" xfId="29151"/>
    <cellStyle name="Normal 5 2 3 2 10 2" xfId="29152"/>
    <cellStyle name="Normal 5 2 3 2 11" xfId="29153"/>
    <cellStyle name="Normal 5 2 3 2 11 2" xfId="29154"/>
    <cellStyle name="Normal 5 2 3 2 12" xfId="29155"/>
    <cellStyle name="Normal 5 2 3 2 2" xfId="29156"/>
    <cellStyle name="Normal 5 2 3 2 2 10" xfId="29157"/>
    <cellStyle name="Normal 5 2 3 2 2 10 2" xfId="29158"/>
    <cellStyle name="Normal 5 2 3 2 2 11" xfId="29159"/>
    <cellStyle name="Normal 5 2 3 2 2 2" xfId="29160"/>
    <cellStyle name="Normal 5 2 3 2 2 2 2" xfId="29161"/>
    <cellStyle name="Normal 5 2 3 2 2 3" xfId="29162"/>
    <cellStyle name="Normal 5 2 3 2 2 3 2" xfId="29163"/>
    <cellStyle name="Normal 5 2 3 2 2 4" xfId="29164"/>
    <cellStyle name="Normal 5 2 3 2 2 4 2" xfId="29165"/>
    <cellStyle name="Normal 5 2 3 2 2 5" xfId="29166"/>
    <cellStyle name="Normal 5 2 3 2 2 5 2" xfId="29167"/>
    <cellStyle name="Normal 5 2 3 2 2 6" xfId="29168"/>
    <cellStyle name="Normal 5 2 3 2 2 6 2" xfId="29169"/>
    <cellStyle name="Normal 5 2 3 2 2 7" xfId="29170"/>
    <cellStyle name="Normal 5 2 3 2 2 7 2" xfId="29171"/>
    <cellStyle name="Normal 5 2 3 2 2 8" xfId="29172"/>
    <cellStyle name="Normal 5 2 3 2 2 8 2" xfId="29173"/>
    <cellStyle name="Normal 5 2 3 2 2 9" xfId="29174"/>
    <cellStyle name="Normal 5 2 3 2 2 9 2" xfId="29175"/>
    <cellStyle name="Normal 5 2 3 2 3" xfId="29176"/>
    <cellStyle name="Normal 5 2 3 2 3 2" xfId="29177"/>
    <cellStyle name="Normal 5 2 3 2 4" xfId="29178"/>
    <cellStyle name="Normal 5 2 3 2 4 2" xfId="29179"/>
    <cellStyle name="Normal 5 2 3 2 5" xfId="29180"/>
    <cellStyle name="Normal 5 2 3 2 5 2" xfId="29181"/>
    <cellStyle name="Normal 5 2 3 2 6" xfId="29182"/>
    <cellStyle name="Normal 5 2 3 2 6 2" xfId="29183"/>
    <cellStyle name="Normal 5 2 3 2 7" xfId="29184"/>
    <cellStyle name="Normal 5 2 3 2 7 2" xfId="29185"/>
    <cellStyle name="Normal 5 2 3 2 8" xfId="29186"/>
    <cellStyle name="Normal 5 2 3 2 8 2" xfId="29187"/>
    <cellStyle name="Normal 5 2 3 2 9" xfId="29188"/>
    <cellStyle name="Normal 5 2 3 2 9 2" xfId="29189"/>
    <cellStyle name="Normal 5 2 3 3" xfId="29190"/>
    <cellStyle name="Normal 5 2 3 3 10" xfId="29191"/>
    <cellStyle name="Normal 5 2 3 3 10 2" xfId="29192"/>
    <cellStyle name="Normal 5 2 3 3 11" xfId="29193"/>
    <cellStyle name="Normal 5 2 3 3 2" xfId="29194"/>
    <cellStyle name="Normal 5 2 3 3 2 2" xfId="29195"/>
    <cellStyle name="Normal 5 2 3 3 3" xfId="29196"/>
    <cellStyle name="Normal 5 2 3 3 3 2" xfId="29197"/>
    <cellStyle name="Normal 5 2 3 3 4" xfId="29198"/>
    <cellStyle name="Normal 5 2 3 3 4 2" xfId="29199"/>
    <cellStyle name="Normal 5 2 3 3 5" xfId="29200"/>
    <cellStyle name="Normal 5 2 3 3 5 2" xfId="29201"/>
    <cellStyle name="Normal 5 2 3 3 6" xfId="29202"/>
    <cellStyle name="Normal 5 2 3 3 6 2" xfId="29203"/>
    <cellStyle name="Normal 5 2 3 3 7" xfId="29204"/>
    <cellStyle name="Normal 5 2 3 3 7 2" xfId="29205"/>
    <cellStyle name="Normal 5 2 3 3 8" xfId="29206"/>
    <cellStyle name="Normal 5 2 3 3 8 2" xfId="29207"/>
    <cellStyle name="Normal 5 2 3 3 9" xfId="29208"/>
    <cellStyle name="Normal 5 2 3 3 9 2" xfId="29209"/>
    <cellStyle name="Normal 5 2 3 4" xfId="29210"/>
    <cellStyle name="Normal 5 2 3 4 2" xfId="29211"/>
    <cellStyle name="Normal 5 2 3 5" xfId="29212"/>
    <cellStyle name="Normal 5 2 3 5 2" xfId="29213"/>
    <cellStyle name="Normal 5 2 3 6" xfId="29214"/>
    <cellStyle name="Normal 5 2 3 6 2" xfId="29215"/>
    <cellStyle name="Normal 5 2 3 7" xfId="29216"/>
    <cellStyle name="Normal 5 2 3 7 2" xfId="29217"/>
    <cellStyle name="Normal 5 2 3 8" xfId="29218"/>
    <cellStyle name="Normal 5 2 3 8 2" xfId="29219"/>
    <cellStyle name="Normal 5 2 3 9" xfId="29220"/>
    <cellStyle name="Normal 5 2 3 9 2" xfId="29221"/>
    <cellStyle name="Normal 5 2 4" xfId="29222"/>
    <cellStyle name="Normal 5 2 4 10" xfId="29223"/>
    <cellStyle name="Normal 5 2 4 10 2" xfId="29224"/>
    <cellStyle name="Normal 5 2 4 11" xfId="29225"/>
    <cellStyle name="Normal 5 2 4 11 2" xfId="29226"/>
    <cellStyle name="Normal 5 2 4 12" xfId="29227"/>
    <cellStyle name="Normal 5 2 4 12 2" xfId="29228"/>
    <cellStyle name="Normal 5 2 4 13" xfId="29229"/>
    <cellStyle name="Normal 5 2 4 2" xfId="29230"/>
    <cellStyle name="Normal 5 2 4 2 10" xfId="29231"/>
    <cellStyle name="Normal 5 2 4 2 10 2" xfId="29232"/>
    <cellStyle name="Normal 5 2 4 2 11" xfId="29233"/>
    <cellStyle name="Normal 5 2 4 2 11 2" xfId="29234"/>
    <cellStyle name="Normal 5 2 4 2 12" xfId="29235"/>
    <cellStyle name="Normal 5 2 4 2 2" xfId="29236"/>
    <cellStyle name="Normal 5 2 4 2 2 10" xfId="29237"/>
    <cellStyle name="Normal 5 2 4 2 2 10 2" xfId="29238"/>
    <cellStyle name="Normal 5 2 4 2 2 11" xfId="29239"/>
    <cellStyle name="Normal 5 2 4 2 2 2" xfId="29240"/>
    <cellStyle name="Normal 5 2 4 2 2 2 2" xfId="29241"/>
    <cellStyle name="Normal 5 2 4 2 2 3" xfId="29242"/>
    <cellStyle name="Normal 5 2 4 2 2 3 2" xfId="29243"/>
    <cellStyle name="Normal 5 2 4 2 2 4" xfId="29244"/>
    <cellStyle name="Normal 5 2 4 2 2 4 2" xfId="29245"/>
    <cellStyle name="Normal 5 2 4 2 2 5" xfId="29246"/>
    <cellStyle name="Normal 5 2 4 2 2 5 2" xfId="29247"/>
    <cellStyle name="Normal 5 2 4 2 2 6" xfId="29248"/>
    <cellStyle name="Normal 5 2 4 2 2 6 2" xfId="29249"/>
    <cellStyle name="Normal 5 2 4 2 2 7" xfId="29250"/>
    <cellStyle name="Normal 5 2 4 2 2 7 2" xfId="29251"/>
    <cellStyle name="Normal 5 2 4 2 2 8" xfId="29252"/>
    <cellStyle name="Normal 5 2 4 2 2 8 2" xfId="29253"/>
    <cellStyle name="Normal 5 2 4 2 2 9" xfId="29254"/>
    <cellStyle name="Normal 5 2 4 2 2 9 2" xfId="29255"/>
    <cellStyle name="Normal 5 2 4 2 3" xfId="29256"/>
    <cellStyle name="Normal 5 2 4 2 3 2" xfId="29257"/>
    <cellStyle name="Normal 5 2 4 2 4" xfId="29258"/>
    <cellStyle name="Normal 5 2 4 2 4 2" xfId="29259"/>
    <cellStyle name="Normal 5 2 4 2 5" xfId="29260"/>
    <cellStyle name="Normal 5 2 4 2 5 2" xfId="29261"/>
    <cellStyle name="Normal 5 2 4 2 6" xfId="29262"/>
    <cellStyle name="Normal 5 2 4 2 6 2" xfId="29263"/>
    <cellStyle name="Normal 5 2 4 2 7" xfId="29264"/>
    <cellStyle name="Normal 5 2 4 2 7 2" xfId="29265"/>
    <cellStyle name="Normal 5 2 4 2 8" xfId="29266"/>
    <cellStyle name="Normal 5 2 4 2 8 2" xfId="29267"/>
    <cellStyle name="Normal 5 2 4 2 9" xfId="29268"/>
    <cellStyle name="Normal 5 2 4 2 9 2" xfId="29269"/>
    <cellStyle name="Normal 5 2 4 3" xfId="29270"/>
    <cellStyle name="Normal 5 2 4 3 10" xfId="29271"/>
    <cellStyle name="Normal 5 2 4 3 10 2" xfId="29272"/>
    <cellStyle name="Normal 5 2 4 3 11" xfId="29273"/>
    <cellStyle name="Normal 5 2 4 3 2" xfId="29274"/>
    <cellStyle name="Normal 5 2 4 3 2 2" xfId="29275"/>
    <cellStyle name="Normal 5 2 4 3 3" xfId="29276"/>
    <cellStyle name="Normal 5 2 4 3 3 2" xfId="29277"/>
    <cellStyle name="Normal 5 2 4 3 4" xfId="29278"/>
    <cellStyle name="Normal 5 2 4 3 4 2" xfId="29279"/>
    <cellStyle name="Normal 5 2 4 3 5" xfId="29280"/>
    <cellStyle name="Normal 5 2 4 3 5 2" xfId="29281"/>
    <cellStyle name="Normal 5 2 4 3 6" xfId="29282"/>
    <cellStyle name="Normal 5 2 4 3 6 2" xfId="29283"/>
    <cellStyle name="Normal 5 2 4 3 7" xfId="29284"/>
    <cellStyle name="Normal 5 2 4 3 7 2" xfId="29285"/>
    <cellStyle name="Normal 5 2 4 3 8" xfId="29286"/>
    <cellStyle name="Normal 5 2 4 3 8 2" xfId="29287"/>
    <cellStyle name="Normal 5 2 4 3 9" xfId="29288"/>
    <cellStyle name="Normal 5 2 4 3 9 2" xfId="29289"/>
    <cellStyle name="Normal 5 2 4 4" xfId="29290"/>
    <cellStyle name="Normal 5 2 4 4 2" xfId="29291"/>
    <cellStyle name="Normal 5 2 4 5" xfId="29292"/>
    <cellStyle name="Normal 5 2 4 5 2" xfId="29293"/>
    <cellStyle name="Normal 5 2 4 6" xfId="29294"/>
    <cellStyle name="Normal 5 2 4 6 2" xfId="29295"/>
    <cellStyle name="Normal 5 2 4 7" xfId="29296"/>
    <cellStyle name="Normal 5 2 4 7 2" xfId="29297"/>
    <cellStyle name="Normal 5 2 4 8" xfId="29298"/>
    <cellStyle name="Normal 5 2 4 8 2" xfId="29299"/>
    <cellStyle name="Normal 5 2 4 9" xfId="29300"/>
    <cellStyle name="Normal 5 2 4 9 2" xfId="29301"/>
    <cellStyle name="Normal 5 2 5" xfId="29302"/>
    <cellStyle name="Normal 5 2 6" xfId="29303"/>
    <cellStyle name="Normal 5 2 6 10" xfId="29304"/>
    <cellStyle name="Normal 5 2 6 10 2" xfId="29305"/>
    <cellStyle name="Normal 5 2 6 11" xfId="29306"/>
    <cellStyle name="Normal 5 2 6 11 2" xfId="29307"/>
    <cellStyle name="Normal 5 2 6 12" xfId="29308"/>
    <cellStyle name="Normal 5 2 6 12 2" xfId="29309"/>
    <cellStyle name="Normal 5 2 6 13" xfId="29310"/>
    <cellStyle name="Normal 5 2 6 2" xfId="29311"/>
    <cellStyle name="Normal 5 2 6 2 10" xfId="29312"/>
    <cellStyle name="Normal 5 2 6 2 10 2" xfId="29313"/>
    <cellStyle name="Normal 5 2 6 2 11" xfId="29314"/>
    <cellStyle name="Normal 5 2 6 2 11 2" xfId="29315"/>
    <cellStyle name="Normal 5 2 6 2 12" xfId="29316"/>
    <cellStyle name="Normal 5 2 6 2 2" xfId="29317"/>
    <cellStyle name="Normal 5 2 6 2 2 10" xfId="29318"/>
    <cellStyle name="Normal 5 2 6 2 2 10 2" xfId="29319"/>
    <cellStyle name="Normal 5 2 6 2 2 11" xfId="29320"/>
    <cellStyle name="Normal 5 2 6 2 2 2" xfId="29321"/>
    <cellStyle name="Normal 5 2 6 2 2 2 2" xfId="29322"/>
    <cellStyle name="Normal 5 2 6 2 2 3" xfId="29323"/>
    <cellStyle name="Normal 5 2 6 2 2 3 2" xfId="29324"/>
    <cellStyle name="Normal 5 2 6 2 2 4" xfId="29325"/>
    <cellStyle name="Normal 5 2 6 2 2 4 2" xfId="29326"/>
    <cellStyle name="Normal 5 2 6 2 2 5" xfId="29327"/>
    <cellStyle name="Normal 5 2 6 2 2 5 2" xfId="29328"/>
    <cellStyle name="Normal 5 2 6 2 2 6" xfId="29329"/>
    <cellStyle name="Normal 5 2 6 2 2 6 2" xfId="29330"/>
    <cellStyle name="Normal 5 2 6 2 2 7" xfId="29331"/>
    <cellStyle name="Normal 5 2 6 2 2 7 2" xfId="29332"/>
    <cellStyle name="Normal 5 2 6 2 2 8" xfId="29333"/>
    <cellStyle name="Normal 5 2 6 2 2 8 2" xfId="29334"/>
    <cellStyle name="Normal 5 2 6 2 2 9" xfId="29335"/>
    <cellStyle name="Normal 5 2 6 2 2 9 2" xfId="29336"/>
    <cellStyle name="Normal 5 2 6 2 3" xfId="29337"/>
    <cellStyle name="Normal 5 2 6 2 3 2" xfId="29338"/>
    <cellStyle name="Normal 5 2 6 2 4" xfId="29339"/>
    <cellStyle name="Normal 5 2 6 2 4 2" xfId="29340"/>
    <cellStyle name="Normal 5 2 6 2 5" xfId="29341"/>
    <cellStyle name="Normal 5 2 6 2 5 2" xfId="29342"/>
    <cellStyle name="Normal 5 2 6 2 6" xfId="29343"/>
    <cellStyle name="Normal 5 2 6 2 6 2" xfId="29344"/>
    <cellStyle name="Normal 5 2 6 2 7" xfId="29345"/>
    <cellStyle name="Normal 5 2 6 2 7 2" xfId="29346"/>
    <cellStyle name="Normal 5 2 6 2 8" xfId="29347"/>
    <cellStyle name="Normal 5 2 6 2 8 2" xfId="29348"/>
    <cellStyle name="Normal 5 2 6 2 9" xfId="29349"/>
    <cellStyle name="Normal 5 2 6 2 9 2" xfId="29350"/>
    <cellStyle name="Normal 5 2 6 3" xfId="29351"/>
    <cellStyle name="Normal 5 2 6 3 10" xfId="29352"/>
    <cellStyle name="Normal 5 2 6 3 10 2" xfId="29353"/>
    <cellStyle name="Normal 5 2 6 3 11" xfId="29354"/>
    <cellStyle name="Normal 5 2 6 3 2" xfId="29355"/>
    <cellStyle name="Normal 5 2 6 3 2 2" xfId="29356"/>
    <cellStyle name="Normal 5 2 6 3 3" xfId="29357"/>
    <cellStyle name="Normal 5 2 6 3 3 2" xfId="29358"/>
    <cellStyle name="Normal 5 2 6 3 4" xfId="29359"/>
    <cellStyle name="Normal 5 2 6 3 4 2" xfId="29360"/>
    <cellStyle name="Normal 5 2 6 3 5" xfId="29361"/>
    <cellStyle name="Normal 5 2 6 3 5 2" xfId="29362"/>
    <cellStyle name="Normal 5 2 6 3 6" xfId="29363"/>
    <cellStyle name="Normal 5 2 6 3 6 2" xfId="29364"/>
    <cellStyle name="Normal 5 2 6 3 7" xfId="29365"/>
    <cellStyle name="Normal 5 2 6 3 7 2" xfId="29366"/>
    <cellStyle name="Normal 5 2 6 3 8" xfId="29367"/>
    <cellStyle name="Normal 5 2 6 3 8 2" xfId="29368"/>
    <cellStyle name="Normal 5 2 6 3 9" xfId="29369"/>
    <cellStyle name="Normal 5 2 6 3 9 2" xfId="29370"/>
    <cellStyle name="Normal 5 2 6 4" xfId="29371"/>
    <cellStyle name="Normal 5 2 6 4 2" xfId="29372"/>
    <cellStyle name="Normal 5 2 6 5" xfId="29373"/>
    <cellStyle name="Normal 5 2 6 5 2" xfId="29374"/>
    <cellStyle name="Normal 5 2 6 6" xfId="29375"/>
    <cellStyle name="Normal 5 2 6 6 2" xfId="29376"/>
    <cellStyle name="Normal 5 2 6 7" xfId="29377"/>
    <cellStyle name="Normal 5 2 6 7 2" xfId="29378"/>
    <cellStyle name="Normal 5 2 6 8" xfId="29379"/>
    <cellStyle name="Normal 5 2 6 8 2" xfId="29380"/>
    <cellStyle name="Normal 5 2 6 9" xfId="29381"/>
    <cellStyle name="Normal 5 2 6 9 2" xfId="29382"/>
    <cellStyle name="Normal 5 2 7" xfId="29383"/>
    <cellStyle name="Normal 5 2 7 10" xfId="29384"/>
    <cellStyle name="Normal 5 2 7 10 2" xfId="29385"/>
    <cellStyle name="Normal 5 2 7 11" xfId="29386"/>
    <cellStyle name="Normal 5 2 7 11 2" xfId="29387"/>
    <cellStyle name="Normal 5 2 7 12" xfId="29388"/>
    <cellStyle name="Normal 5 2 7 2" xfId="29389"/>
    <cellStyle name="Normal 5 2 7 2 10" xfId="29390"/>
    <cellStyle name="Normal 5 2 7 2 10 2" xfId="29391"/>
    <cellStyle name="Normal 5 2 7 2 11" xfId="29392"/>
    <cellStyle name="Normal 5 2 7 2 2" xfId="29393"/>
    <cellStyle name="Normal 5 2 7 2 2 2" xfId="29394"/>
    <cellStyle name="Normal 5 2 7 2 3" xfId="29395"/>
    <cellStyle name="Normal 5 2 7 2 3 2" xfId="29396"/>
    <cellStyle name="Normal 5 2 7 2 4" xfId="29397"/>
    <cellStyle name="Normal 5 2 7 2 4 2" xfId="29398"/>
    <cellStyle name="Normal 5 2 7 2 5" xfId="29399"/>
    <cellStyle name="Normal 5 2 7 2 5 2" xfId="29400"/>
    <cellStyle name="Normal 5 2 7 2 6" xfId="29401"/>
    <cellStyle name="Normal 5 2 7 2 6 2" xfId="29402"/>
    <cellStyle name="Normal 5 2 7 2 7" xfId="29403"/>
    <cellStyle name="Normal 5 2 7 2 7 2" xfId="29404"/>
    <cellStyle name="Normal 5 2 7 2 8" xfId="29405"/>
    <cellStyle name="Normal 5 2 7 2 8 2" xfId="29406"/>
    <cellStyle name="Normal 5 2 7 2 9" xfId="29407"/>
    <cellStyle name="Normal 5 2 7 2 9 2" xfId="29408"/>
    <cellStyle name="Normal 5 2 7 3" xfId="29409"/>
    <cellStyle name="Normal 5 2 7 3 2" xfId="29410"/>
    <cellStyle name="Normal 5 2 7 4" xfId="29411"/>
    <cellStyle name="Normal 5 2 7 4 2" xfId="29412"/>
    <cellStyle name="Normal 5 2 7 5" xfId="29413"/>
    <cellStyle name="Normal 5 2 7 5 2" xfId="29414"/>
    <cellStyle name="Normal 5 2 7 6" xfId="29415"/>
    <cellStyle name="Normal 5 2 7 6 2" xfId="29416"/>
    <cellStyle name="Normal 5 2 7 7" xfId="29417"/>
    <cellStyle name="Normal 5 2 7 7 2" xfId="29418"/>
    <cellStyle name="Normal 5 2 7 8" xfId="29419"/>
    <cellStyle name="Normal 5 2 7 8 2" xfId="29420"/>
    <cellStyle name="Normal 5 2 7 9" xfId="29421"/>
    <cellStyle name="Normal 5 2 7 9 2" xfId="29422"/>
    <cellStyle name="Normal 5 2 8" xfId="29423"/>
    <cellStyle name="Normal 5 2 8 10" xfId="29424"/>
    <cellStyle name="Normal 5 2 8 10 2" xfId="29425"/>
    <cellStyle name="Normal 5 2 8 11" xfId="29426"/>
    <cellStyle name="Normal 5 2 8 2" xfId="29427"/>
    <cellStyle name="Normal 5 2 8 2 2" xfId="29428"/>
    <cellStyle name="Normal 5 2 8 3" xfId="29429"/>
    <cellStyle name="Normal 5 2 8 3 2" xfId="29430"/>
    <cellStyle name="Normal 5 2 8 4" xfId="29431"/>
    <cellStyle name="Normal 5 2 8 4 2" xfId="29432"/>
    <cellStyle name="Normal 5 2 8 5" xfId="29433"/>
    <cellStyle name="Normal 5 2 8 5 2" xfId="29434"/>
    <cellStyle name="Normal 5 2 8 6" xfId="29435"/>
    <cellStyle name="Normal 5 2 8 6 2" xfId="29436"/>
    <cellStyle name="Normal 5 2 8 7" xfId="29437"/>
    <cellStyle name="Normal 5 2 8 7 2" xfId="29438"/>
    <cellStyle name="Normal 5 2 8 8" xfId="29439"/>
    <cellStyle name="Normal 5 2 8 8 2" xfId="29440"/>
    <cellStyle name="Normal 5 2 8 9" xfId="29441"/>
    <cellStyle name="Normal 5 2 8 9 2" xfId="29442"/>
    <cellStyle name="Normal 5 2 9" xfId="29443"/>
    <cellStyle name="Normal 5 2 9 2" xfId="29444"/>
    <cellStyle name="Normal 5 20" xfId="29445"/>
    <cellStyle name="Normal 5 20 2" xfId="29446"/>
    <cellStyle name="Normal 5 21" xfId="29447"/>
    <cellStyle name="Normal 5 22" xfId="29448"/>
    <cellStyle name="Normal 5 23" xfId="29449"/>
    <cellStyle name="Normal 5 24" xfId="1140"/>
    <cellStyle name="Normal 5 3" xfId="851"/>
    <cellStyle name="Normal 5 3 10" xfId="29451"/>
    <cellStyle name="Normal 5 3 10 2" xfId="29452"/>
    <cellStyle name="Normal 5 3 11" xfId="29453"/>
    <cellStyle name="Normal 5 3 11 2" xfId="29454"/>
    <cellStyle name="Normal 5 3 12" xfId="29455"/>
    <cellStyle name="Normal 5 3 12 2" xfId="29456"/>
    <cellStyle name="Normal 5 3 13" xfId="29457"/>
    <cellStyle name="Normal 5 3 13 2" xfId="29458"/>
    <cellStyle name="Normal 5 3 14" xfId="29459"/>
    <cellStyle name="Normal 5 3 15" xfId="29450"/>
    <cellStyle name="Normal 5 3 2" xfId="852"/>
    <cellStyle name="Normal 5 3 3" xfId="29460"/>
    <cellStyle name="Normal 5 3 3 10" xfId="29461"/>
    <cellStyle name="Normal 5 3 3 10 2" xfId="29462"/>
    <cellStyle name="Normal 5 3 3 11" xfId="29463"/>
    <cellStyle name="Normal 5 3 3 11 2" xfId="29464"/>
    <cellStyle name="Normal 5 3 3 12" xfId="29465"/>
    <cellStyle name="Normal 5 3 3 2" xfId="29466"/>
    <cellStyle name="Normal 5 3 3 2 10" xfId="29467"/>
    <cellStyle name="Normal 5 3 3 2 10 2" xfId="29468"/>
    <cellStyle name="Normal 5 3 3 2 11" xfId="29469"/>
    <cellStyle name="Normal 5 3 3 2 2" xfId="29470"/>
    <cellStyle name="Normal 5 3 3 2 2 2" xfId="29471"/>
    <cellStyle name="Normal 5 3 3 2 3" xfId="29472"/>
    <cellStyle name="Normal 5 3 3 2 3 2" xfId="29473"/>
    <cellStyle name="Normal 5 3 3 2 4" xfId="29474"/>
    <cellStyle name="Normal 5 3 3 2 4 2" xfId="29475"/>
    <cellStyle name="Normal 5 3 3 2 5" xfId="29476"/>
    <cellStyle name="Normal 5 3 3 2 5 2" xfId="29477"/>
    <cellStyle name="Normal 5 3 3 2 6" xfId="29478"/>
    <cellStyle name="Normal 5 3 3 2 6 2" xfId="29479"/>
    <cellStyle name="Normal 5 3 3 2 7" xfId="29480"/>
    <cellStyle name="Normal 5 3 3 2 7 2" xfId="29481"/>
    <cellStyle name="Normal 5 3 3 2 8" xfId="29482"/>
    <cellStyle name="Normal 5 3 3 2 8 2" xfId="29483"/>
    <cellStyle name="Normal 5 3 3 2 9" xfId="29484"/>
    <cellStyle name="Normal 5 3 3 2 9 2" xfId="29485"/>
    <cellStyle name="Normal 5 3 3 3" xfId="29486"/>
    <cellStyle name="Normal 5 3 3 3 2" xfId="29487"/>
    <cellStyle name="Normal 5 3 3 4" xfId="29488"/>
    <cellStyle name="Normal 5 3 3 4 2" xfId="29489"/>
    <cellStyle name="Normal 5 3 3 5" xfId="29490"/>
    <cellStyle name="Normal 5 3 3 5 2" xfId="29491"/>
    <cellStyle name="Normal 5 3 3 6" xfId="29492"/>
    <cellStyle name="Normal 5 3 3 6 2" xfId="29493"/>
    <cellStyle name="Normal 5 3 3 7" xfId="29494"/>
    <cellStyle name="Normal 5 3 3 7 2" xfId="29495"/>
    <cellStyle name="Normal 5 3 3 8" xfId="29496"/>
    <cellStyle name="Normal 5 3 3 8 2" xfId="29497"/>
    <cellStyle name="Normal 5 3 3 9" xfId="29498"/>
    <cellStyle name="Normal 5 3 3 9 2" xfId="29499"/>
    <cellStyle name="Normal 5 3 4" xfId="29500"/>
    <cellStyle name="Normal 5 3 4 10" xfId="29501"/>
    <cellStyle name="Normal 5 3 4 10 2" xfId="29502"/>
    <cellStyle name="Normal 5 3 4 11" xfId="29503"/>
    <cellStyle name="Normal 5 3 4 2" xfId="29504"/>
    <cellStyle name="Normal 5 3 4 2 2" xfId="29505"/>
    <cellStyle name="Normal 5 3 4 3" xfId="29506"/>
    <cellStyle name="Normal 5 3 4 3 2" xfId="29507"/>
    <cellStyle name="Normal 5 3 4 4" xfId="29508"/>
    <cellStyle name="Normal 5 3 4 4 2" xfId="29509"/>
    <cellStyle name="Normal 5 3 4 5" xfId="29510"/>
    <cellStyle name="Normal 5 3 4 5 2" xfId="29511"/>
    <cellStyle name="Normal 5 3 4 6" xfId="29512"/>
    <cellStyle name="Normal 5 3 4 6 2" xfId="29513"/>
    <cellStyle name="Normal 5 3 4 7" xfId="29514"/>
    <cellStyle name="Normal 5 3 4 7 2" xfId="29515"/>
    <cellStyle name="Normal 5 3 4 8" xfId="29516"/>
    <cellStyle name="Normal 5 3 4 8 2" xfId="29517"/>
    <cellStyle name="Normal 5 3 4 9" xfId="29518"/>
    <cellStyle name="Normal 5 3 4 9 2" xfId="29519"/>
    <cellStyle name="Normal 5 3 5" xfId="29520"/>
    <cellStyle name="Normal 5 3 5 2" xfId="29521"/>
    <cellStyle name="Normal 5 3 6" xfId="29522"/>
    <cellStyle name="Normal 5 3 6 2" xfId="29523"/>
    <cellStyle name="Normal 5 3 7" xfId="29524"/>
    <cellStyle name="Normal 5 3 7 2" xfId="29525"/>
    <cellStyle name="Normal 5 3 8" xfId="29526"/>
    <cellStyle name="Normal 5 3 8 2" xfId="29527"/>
    <cellStyle name="Normal 5 3 9" xfId="29528"/>
    <cellStyle name="Normal 5 3 9 2" xfId="29529"/>
    <cellStyle name="Normal 5 4" xfId="853"/>
    <cellStyle name="Normal 5 4 10" xfId="29531"/>
    <cellStyle name="Normal 5 4 10 2" xfId="29532"/>
    <cellStyle name="Normal 5 4 11" xfId="29533"/>
    <cellStyle name="Normal 5 4 11 2" xfId="29534"/>
    <cellStyle name="Normal 5 4 12" xfId="29535"/>
    <cellStyle name="Normal 5 4 12 2" xfId="29536"/>
    <cellStyle name="Normal 5 4 13" xfId="29537"/>
    <cellStyle name="Normal 5 4 13 2" xfId="29538"/>
    <cellStyle name="Normal 5 4 14" xfId="29539"/>
    <cellStyle name="Normal 5 4 15" xfId="29530"/>
    <cellStyle name="Normal 5 4 2" xfId="854"/>
    <cellStyle name="Normal 5 4 3" xfId="29540"/>
    <cellStyle name="Normal 5 4 3 10" xfId="29541"/>
    <cellStyle name="Normal 5 4 3 10 2" xfId="29542"/>
    <cellStyle name="Normal 5 4 3 11" xfId="29543"/>
    <cellStyle name="Normal 5 4 3 11 2" xfId="29544"/>
    <cellStyle name="Normal 5 4 3 12" xfId="29545"/>
    <cellStyle name="Normal 5 4 3 2" xfId="29546"/>
    <cellStyle name="Normal 5 4 3 2 10" xfId="29547"/>
    <cellStyle name="Normal 5 4 3 2 10 2" xfId="29548"/>
    <cellStyle name="Normal 5 4 3 2 11" xfId="29549"/>
    <cellStyle name="Normal 5 4 3 2 2" xfId="29550"/>
    <cellStyle name="Normal 5 4 3 2 2 2" xfId="29551"/>
    <cellStyle name="Normal 5 4 3 2 3" xfId="29552"/>
    <cellStyle name="Normal 5 4 3 2 3 2" xfId="29553"/>
    <cellStyle name="Normal 5 4 3 2 4" xfId="29554"/>
    <cellStyle name="Normal 5 4 3 2 4 2" xfId="29555"/>
    <cellStyle name="Normal 5 4 3 2 5" xfId="29556"/>
    <cellStyle name="Normal 5 4 3 2 5 2" xfId="29557"/>
    <cellStyle name="Normal 5 4 3 2 6" xfId="29558"/>
    <cellStyle name="Normal 5 4 3 2 6 2" xfId="29559"/>
    <cellStyle name="Normal 5 4 3 2 7" xfId="29560"/>
    <cellStyle name="Normal 5 4 3 2 7 2" xfId="29561"/>
    <cellStyle name="Normal 5 4 3 2 8" xfId="29562"/>
    <cellStyle name="Normal 5 4 3 2 8 2" xfId="29563"/>
    <cellStyle name="Normal 5 4 3 2 9" xfId="29564"/>
    <cellStyle name="Normal 5 4 3 2 9 2" xfId="29565"/>
    <cellStyle name="Normal 5 4 3 3" xfId="29566"/>
    <cellStyle name="Normal 5 4 3 3 2" xfId="29567"/>
    <cellStyle name="Normal 5 4 3 4" xfId="29568"/>
    <cellStyle name="Normal 5 4 3 4 2" xfId="29569"/>
    <cellStyle name="Normal 5 4 3 5" xfId="29570"/>
    <cellStyle name="Normal 5 4 3 5 2" xfId="29571"/>
    <cellStyle name="Normal 5 4 3 6" xfId="29572"/>
    <cellStyle name="Normal 5 4 3 6 2" xfId="29573"/>
    <cellStyle name="Normal 5 4 3 7" xfId="29574"/>
    <cellStyle name="Normal 5 4 3 7 2" xfId="29575"/>
    <cellStyle name="Normal 5 4 3 8" xfId="29576"/>
    <cellStyle name="Normal 5 4 3 8 2" xfId="29577"/>
    <cellStyle name="Normal 5 4 3 9" xfId="29578"/>
    <cellStyle name="Normal 5 4 3 9 2" xfId="29579"/>
    <cellStyle name="Normal 5 4 4" xfId="29580"/>
    <cellStyle name="Normal 5 4 4 10" xfId="29581"/>
    <cellStyle name="Normal 5 4 4 10 2" xfId="29582"/>
    <cellStyle name="Normal 5 4 4 11" xfId="29583"/>
    <cellStyle name="Normal 5 4 4 2" xfId="29584"/>
    <cellStyle name="Normal 5 4 4 2 2" xfId="29585"/>
    <cellStyle name="Normal 5 4 4 3" xfId="29586"/>
    <cellStyle name="Normal 5 4 4 3 2" xfId="29587"/>
    <cellStyle name="Normal 5 4 4 4" xfId="29588"/>
    <cellStyle name="Normal 5 4 4 4 2" xfId="29589"/>
    <cellStyle name="Normal 5 4 4 5" xfId="29590"/>
    <cellStyle name="Normal 5 4 4 5 2" xfId="29591"/>
    <cellStyle name="Normal 5 4 4 6" xfId="29592"/>
    <cellStyle name="Normal 5 4 4 6 2" xfId="29593"/>
    <cellStyle name="Normal 5 4 4 7" xfId="29594"/>
    <cellStyle name="Normal 5 4 4 7 2" xfId="29595"/>
    <cellStyle name="Normal 5 4 4 8" xfId="29596"/>
    <cellStyle name="Normal 5 4 4 8 2" xfId="29597"/>
    <cellStyle name="Normal 5 4 4 9" xfId="29598"/>
    <cellStyle name="Normal 5 4 4 9 2" xfId="29599"/>
    <cellStyle name="Normal 5 4 5" xfId="29600"/>
    <cellStyle name="Normal 5 4 5 2" xfId="29601"/>
    <cellStyle name="Normal 5 4 6" xfId="29602"/>
    <cellStyle name="Normal 5 4 6 2" xfId="29603"/>
    <cellStyle name="Normal 5 4 7" xfId="29604"/>
    <cellStyle name="Normal 5 4 7 2" xfId="29605"/>
    <cellStyle name="Normal 5 4 8" xfId="29606"/>
    <cellStyle name="Normal 5 4 8 2" xfId="29607"/>
    <cellStyle name="Normal 5 4 9" xfId="29608"/>
    <cellStyle name="Normal 5 4 9 2" xfId="29609"/>
    <cellStyle name="Normal 5 5" xfId="855"/>
    <cellStyle name="Normal 5 5 10" xfId="29611"/>
    <cellStyle name="Normal 5 5 10 2" xfId="29612"/>
    <cellStyle name="Normal 5 5 11" xfId="29613"/>
    <cellStyle name="Normal 5 5 11 2" xfId="29614"/>
    <cellStyle name="Normal 5 5 12" xfId="29615"/>
    <cellStyle name="Normal 5 5 12 2" xfId="29616"/>
    <cellStyle name="Normal 5 5 13" xfId="29617"/>
    <cellStyle name="Normal 5 5 13 2" xfId="29618"/>
    <cellStyle name="Normal 5 5 14" xfId="29619"/>
    <cellStyle name="Normal 5 5 15" xfId="29610"/>
    <cellStyle name="Normal 5 5 2" xfId="856"/>
    <cellStyle name="Normal 5 5 3" xfId="29620"/>
    <cellStyle name="Normal 5 5 3 10" xfId="29621"/>
    <cellStyle name="Normal 5 5 3 10 2" xfId="29622"/>
    <cellStyle name="Normal 5 5 3 11" xfId="29623"/>
    <cellStyle name="Normal 5 5 3 11 2" xfId="29624"/>
    <cellStyle name="Normal 5 5 3 12" xfId="29625"/>
    <cellStyle name="Normal 5 5 3 2" xfId="29626"/>
    <cellStyle name="Normal 5 5 3 2 10" xfId="29627"/>
    <cellStyle name="Normal 5 5 3 2 10 2" xfId="29628"/>
    <cellStyle name="Normal 5 5 3 2 11" xfId="29629"/>
    <cellStyle name="Normal 5 5 3 2 2" xfId="29630"/>
    <cellStyle name="Normal 5 5 3 2 2 2" xfId="29631"/>
    <cellStyle name="Normal 5 5 3 2 3" xfId="29632"/>
    <cellStyle name="Normal 5 5 3 2 3 2" xfId="29633"/>
    <cellStyle name="Normal 5 5 3 2 4" xfId="29634"/>
    <cellStyle name="Normal 5 5 3 2 4 2" xfId="29635"/>
    <cellStyle name="Normal 5 5 3 2 5" xfId="29636"/>
    <cellStyle name="Normal 5 5 3 2 5 2" xfId="29637"/>
    <cellStyle name="Normal 5 5 3 2 6" xfId="29638"/>
    <cellStyle name="Normal 5 5 3 2 6 2" xfId="29639"/>
    <cellStyle name="Normal 5 5 3 2 7" xfId="29640"/>
    <cellStyle name="Normal 5 5 3 2 7 2" xfId="29641"/>
    <cellStyle name="Normal 5 5 3 2 8" xfId="29642"/>
    <cellStyle name="Normal 5 5 3 2 8 2" xfId="29643"/>
    <cellStyle name="Normal 5 5 3 2 9" xfId="29644"/>
    <cellStyle name="Normal 5 5 3 2 9 2" xfId="29645"/>
    <cellStyle name="Normal 5 5 3 3" xfId="29646"/>
    <cellStyle name="Normal 5 5 3 3 2" xfId="29647"/>
    <cellStyle name="Normal 5 5 3 4" xfId="29648"/>
    <cellStyle name="Normal 5 5 3 4 2" xfId="29649"/>
    <cellStyle name="Normal 5 5 3 5" xfId="29650"/>
    <cellStyle name="Normal 5 5 3 5 2" xfId="29651"/>
    <cellStyle name="Normal 5 5 3 6" xfId="29652"/>
    <cellStyle name="Normal 5 5 3 6 2" xfId="29653"/>
    <cellStyle name="Normal 5 5 3 7" xfId="29654"/>
    <cellStyle name="Normal 5 5 3 7 2" xfId="29655"/>
    <cellStyle name="Normal 5 5 3 8" xfId="29656"/>
    <cellStyle name="Normal 5 5 3 8 2" xfId="29657"/>
    <cellStyle name="Normal 5 5 3 9" xfId="29658"/>
    <cellStyle name="Normal 5 5 3 9 2" xfId="29659"/>
    <cellStyle name="Normal 5 5 4" xfId="29660"/>
    <cellStyle name="Normal 5 5 4 10" xfId="29661"/>
    <cellStyle name="Normal 5 5 4 10 2" xfId="29662"/>
    <cellStyle name="Normal 5 5 4 11" xfId="29663"/>
    <cellStyle name="Normal 5 5 4 2" xfId="29664"/>
    <cellStyle name="Normal 5 5 4 2 2" xfId="29665"/>
    <cellStyle name="Normal 5 5 4 3" xfId="29666"/>
    <cellStyle name="Normal 5 5 4 3 2" xfId="29667"/>
    <cellStyle name="Normal 5 5 4 4" xfId="29668"/>
    <cellStyle name="Normal 5 5 4 4 2" xfId="29669"/>
    <cellStyle name="Normal 5 5 4 5" xfId="29670"/>
    <cellStyle name="Normal 5 5 4 5 2" xfId="29671"/>
    <cellStyle name="Normal 5 5 4 6" xfId="29672"/>
    <cellStyle name="Normal 5 5 4 6 2" xfId="29673"/>
    <cellStyle name="Normal 5 5 4 7" xfId="29674"/>
    <cellStyle name="Normal 5 5 4 7 2" xfId="29675"/>
    <cellStyle name="Normal 5 5 4 8" xfId="29676"/>
    <cellStyle name="Normal 5 5 4 8 2" xfId="29677"/>
    <cellStyle name="Normal 5 5 4 9" xfId="29678"/>
    <cellStyle name="Normal 5 5 4 9 2" xfId="29679"/>
    <cellStyle name="Normal 5 5 5" xfId="29680"/>
    <cellStyle name="Normal 5 5 5 2" xfId="29681"/>
    <cellStyle name="Normal 5 5 6" xfId="29682"/>
    <cellStyle name="Normal 5 5 6 2" xfId="29683"/>
    <cellStyle name="Normal 5 5 7" xfId="29684"/>
    <cellStyle name="Normal 5 5 7 2" xfId="29685"/>
    <cellStyle name="Normal 5 5 8" xfId="29686"/>
    <cellStyle name="Normal 5 5 8 2" xfId="29687"/>
    <cellStyle name="Normal 5 5 9" xfId="29688"/>
    <cellStyle name="Normal 5 5 9 2" xfId="29689"/>
    <cellStyle name="Normal 5 6" xfId="857"/>
    <cellStyle name="Normal 5 6 2" xfId="858"/>
    <cellStyle name="Normal 5 7" xfId="859"/>
    <cellStyle name="Normal 5 8" xfId="29690"/>
    <cellStyle name="Normal 5 8 10" xfId="29691"/>
    <cellStyle name="Normal 5 8 10 2" xfId="29692"/>
    <cellStyle name="Normal 5 8 11" xfId="29693"/>
    <cellStyle name="Normal 5 8 11 2" xfId="29694"/>
    <cellStyle name="Normal 5 8 12" xfId="29695"/>
    <cellStyle name="Normal 5 8 12 2" xfId="29696"/>
    <cellStyle name="Normal 5 8 13" xfId="29697"/>
    <cellStyle name="Normal 5 8 2" xfId="29698"/>
    <cellStyle name="Normal 5 8 2 10" xfId="29699"/>
    <cellStyle name="Normal 5 8 2 10 2" xfId="29700"/>
    <cellStyle name="Normal 5 8 2 11" xfId="29701"/>
    <cellStyle name="Normal 5 8 2 11 2" xfId="29702"/>
    <cellStyle name="Normal 5 8 2 12" xfId="29703"/>
    <cellStyle name="Normal 5 8 2 2" xfId="29704"/>
    <cellStyle name="Normal 5 8 2 2 10" xfId="29705"/>
    <cellStyle name="Normal 5 8 2 2 10 2" xfId="29706"/>
    <cellStyle name="Normal 5 8 2 2 11" xfId="29707"/>
    <cellStyle name="Normal 5 8 2 2 2" xfId="29708"/>
    <cellStyle name="Normal 5 8 2 2 2 2" xfId="29709"/>
    <cellStyle name="Normal 5 8 2 2 3" xfId="29710"/>
    <cellStyle name="Normal 5 8 2 2 3 2" xfId="29711"/>
    <cellStyle name="Normal 5 8 2 2 4" xfId="29712"/>
    <cellStyle name="Normal 5 8 2 2 4 2" xfId="29713"/>
    <cellStyle name="Normal 5 8 2 2 5" xfId="29714"/>
    <cellStyle name="Normal 5 8 2 2 5 2" xfId="29715"/>
    <cellStyle name="Normal 5 8 2 2 6" xfId="29716"/>
    <cellStyle name="Normal 5 8 2 2 6 2" xfId="29717"/>
    <cellStyle name="Normal 5 8 2 2 7" xfId="29718"/>
    <cellStyle name="Normal 5 8 2 2 7 2" xfId="29719"/>
    <cellStyle name="Normal 5 8 2 2 8" xfId="29720"/>
    <cellStyle name="Normal 5 8 2 2 8 2" xfId="29721"/>
    <cellStyle name="Normal 5 8 2 2 9" xfId="29722"/>
    <cellStyle name="Normal 5 8 2 2 9 2" xfId="29723"/>
    <cellStyle name="Normal 5 8 2 3" xfId="29724"/>
    <cellStyle name="Normal 5 8 2 3 2" xfId="29725"/>
    <cellStyle name="Normal 5 8 2 4" xfId="29726"/>
    <cellStyle name="Normal 5 8 2 4 2" xfId="29727"/>
    <cellStyle name="Normal 5 8 2 5" xfId="29728"/>
    <cellStyle name="Normal 5 8 2 5 2" xfId="29729"/>
    <cellStyle name="Normal 5 8 2 6" xfId="29730"/>
    <cellStyle name="Normal 5 8 2 6 2" xfId="29731"/>
    <cellStyle name="Normal 5 8 2 7" xfId="29732"/>
    <cellStyle name="Normal 5 8 2 7 2" xfId="29733"/>
    <cellStyle name="Normal 5 8 2 8" xfId="29734"/>
    <cellStyle name="Normal 5 8 2 8 2" xfId="29735"/>
    <cellStyle name="Normal 5 8 2 9" xfId="29736"/>
    <cellStyle name="Normal 5 8 2 9 2" xfId="29737"/>
    <cellStyle name="Normal 5 8 3" xfId="29738"/>
    <cellStyle name="Normal 5 8 3 10" xfId="29739"/>
    <cellStyle name="Normal 5 8 3 10 2" xfId="29740"/>
    <cellStyle name="Normal 5 8 3 11" xfId="29741"/>
    <cellStyle name="Normal 5 8 3 2" xfId="29742"/>
    <cellStyle name="Normal 5 8 3 2 2" xfId="29743"/>
    <cellStyle name="Normal 5 8 3 3" xfId="29744"/>
    <cellStyle name="Normal 5 8 3 3 2" xfId="29745"/>
    <cellStyle name="Normal 5 8 3 4" xfId="29746"/>
    <cellStyle name="Normal 5 8 3 4 2" xfId="29747"/>
    <cellStyle name="Normal 5 8 3 5" xfId="29748"/>
    <cellStyle name="Normal 5 8 3 5 2" xfId="29749"/>
    <cellStyle name="Normal 5 8 3 6" xfId="29750"/>
    <cellStyle name="Normal 5 8 3 6 2" xfId="29751"/>
    <cellStyle name="Normal 5 8 3 7" xfId="29752"/>
    <cellStyle name="Normal 5 8 3 7 2" xfId="29753"/>
    <cellStyle name="Normal 5 8 3 8" xfId="29754"/>
    <cellStyle name="Normal 5 8 3 8 2" xfId="29755"/>
    <cellStyle name="Normal 5 8 3 9" xfId="29756"/>
    <cellStyle name="Normal 5 8 3 9 2" xfId="29757"/>
    <cellStyle name="Normal 5 8 4" xfId="29758"/>
    <cellStyle name="Normal 5 8 4 2" xfId="29759"/>
    <cellStyle name="Normal 5 8 5" xfId="29760"/>
    <cellStyle name="Normal 5 8 5 2" xfId="29761"/>
    <cellStyle name="Normal 5 8 6" xfId="29762"/>
    <cellStyle name="Normal 5 8 6 2" xfId="29763"/>
    <cellStyle name="Normal 5 8 7" xfId="29764"/>
    <cellStyle name="Normal 5 8 7 2" xfId="29765"/>
    <cellStyle name="Normal 5 8 8" xfId="29766"/>
    <cellStyle name="Normal 5 8 8 2" xfId="29767"/>
    <cellStyle name="Normal 5 8 9" xfId="29768"/>
    <cellStyle name="Normal 5 8 9 2" xfId="29769"/>
    <cellStyle name="Normal 5 9" xfId="29770"/>
    <cellStyle name="Normal 5 9 10" xfId="29771"/>
    <cellStyle name="Normal 5 9 10 2" xfId="29772"/>
    <cellStyle name="Normal 5 9 11" xfId="29773"/>
    <cellStyle name="Normal 5 9 11 2" xfId="29774"/>
    <cellStyle name="Normal 5 9 12" xfId="29775"/>
    <cellStyle name="Normal 5 9 2" xfId="29776"/>
    <cellStyle name="Normal 5 9 2 10" xfId="29777"/>
    <cellStyle name="Normal 5 9 2 10 2" xfId="29778"/>
    <cellStyle name="Normal 5 9 2 11" xfId="29779"/>
    <cellStyle name="Normal 5 9 2 2" xfId="29780"/>
    <cellStyle name="Normal 5 9 2 2 2" xfId="29781"/>
    <cellStyle name="Normal 5 9 2 3" xfId="29782"/>
    <cellStyle name="Normal 5 9 2 3 2" xfId="29783"/>
    <cellStyle name="Normal 5 9 2 4" xfId="29784"/>
    <cellStyle name="Normal 5 9 2 4 2" xfId="29785"/>
    <cellStyle name="Normal 5 9 2 5" xfId="29786"/>
    <cellStyle name="Normal 5 9 2 5 2" xfId="29787"/>
    <cellStyle name="Normal 5 9 2 6" xfId="29788"/>
    <cellStyle name="Normal 5 9 2 6 2" xfId="29789"/>
    <cellStyle name="Normal 5 9 2 7" xfId="29790"/>
    <cellStyle name="Normal 5 9 2 7 2" xfId="29791"/>
    <cellStyle name="Normal 5 9 2 8" xfId="29792"/>
    <cellStyle name="Normal 5 9 2 8 2" xfId="29793"/>
    <cellStyle name="Normal 5 9 2 9" xfId="29794"/>
    <cellStyle name="Normal 5 9 2 9 2" xfId="29795"/>
    <cellStyle name="Normal 5 9 3" xfId="29796"/>
    <cellStyle name="Normal 5 9 3 2" xfId="29797"/>
    <cellStyle name="Normal 5 9 4" xfId="29798"/>
    <cellStyle name="Normal 5 9 4 2" xfId="29799"/>
    <cellStyle name="Normal 5 9 5" xfId="29800"/>
    <cellStyle name="Normal 5 9 5 2" xfId="29801"/>
    <cellStyle name="Normal 5 9 6" xfId="29802"/>
    <cellStyle name="Normal 5 9 6 2" xfId="29803"/>
    <cellStyle name="Normal 5 9 7" xfId="29804"/>
    <cellStyle name="Normal 5 9 7 2" xfId="29805"/>
    <cellStyle name="Normal 5 9 8" xfId="29806"/>
    <cellStyle name="Normal 5 9 8 2" xfId="29807"/>
    <cellStyle name="Normal 5 9 9" xfId="29808"/>
    <cellStyle name="Normal 5 9 9 2" xfId="29809"/>
    <cellStyle name="Normal 50" xfId="1206"/>
    <cellStyle name="Normal 51" xfId="1207"/>
    <cellStyle name="Normal 52" xfId="29810"/>
    <cellStyle name="Normal 53" xfId="29811"/>
    <cellStyle name="Normal 54" xfId="42129"/>
    <cellStyle name="Normal 55" xfId="42131"/>
    <cellStyle name="Normal 56" xfId="42135"/>
    <cellStyle name="Normal 57" xfId="969"/>
    <cellStyle name="Normal 6" xfId="860"/>
    <cellStyle name="Normal 6 10" xfId="29812"/>
    <cellStyle name="Normal 6 10 10" xfId="29813"/>
    <cellStyle name="Normal 6 10 10 2" xfId="29814"/>
    <cellStyle name="Normal 6 10 11" xfId="29815"/>
    <cellStyle name="Normal 6 10 2" xfId="29816"/>
    <cellStyle name="Normal 6 10 2 2" xfId="29817"/>
    <cellStyle name="Normal 6 10 3" xfId="29818"/>
    <cellStyle name="Normal 6 10 3 2" xfId="29819"/>
    <cellStyle name="Normal 6 10 4" xfId="29820"/>
    <cellStyle name="Normal 6 10 4 2" xfId="29821"/>
    <cellStyle name="Normal 6 10 5" xfId="29822"/>
    <cellStyle name="Normal 6 10 5 2" xfId="29823"/>
    <cellStyle name="Normal 6 10 6" xfId="29824"/>
    <cellStyle name="Normal 6 10 6 2" xfId="29825"/>
    <cellStyle name="Normal 6 10 7" xfId="29826"/>
    <cellStyle name="Normal 6 10 7 2" xfId="29827"/>
    <cellStyle name="Normal 6 10 8" xfId="29828"/>
    <cellStyle name="Normal 6 10 8 2" xfId="29829"/>
    <cellStyle name="Normal 6 10 9" xfId="29830"/>
    <cellStyle name="Normal 6 10 9 2" xfId="29831"/>
    <cellStyle name="Normal 6 11" xfId="29832"/>
    <cellStyle name="Normal 6 11 2" xfId="29833"/>
    <cellStyle name="Normal 6 12" xfId="29834"/>
    <cellStyle name="Normal 6 12 2" xfId="29835"/>
    <cellStyle name="Normal 6 13" xfId="29836"/>
    <cellStyle name="Normal 6 13 2" xfId="29837"/>
    <cellStyle name="Normal 6 14" xfId="29838"/>
    <cellStyle name="Normal 6 14 2" xfId="29839"/>
    <cellStyle name="Normal 6 15" xfId="29840"/>
    <cellStyle name="Normal 6 15 2" xfId="29841"/>
    <cellStyle name="Normal 6 16" xfId="29842"/>
    <cellStyle name="Normal 6 16 2" xfId="29843"/>
    <cellStyle name="Normal 6 17" xfId="29844"/>
    <cellStyle name="Normal 6 17 2" xfId="29845"/>
    <cellStyle name="Normal 6 18" xfId="29846"/>
    <cellStyle name="Normal 6 18 2" xfId="29847"/>
    <cellStyle name="Normal 6 19" xfId="29848"/>
    <cellStyle name="Normal 6 19 2" xfId="29849"/>
    <cellStyle name="Normal 6 2" xfId="861"/>
    <cellStyle name="Normal 6 2 10" xfId="29850"/>
    <cellStyle name="Normal 6 2 10 2" xfId="29851"/>
    <cellStyle name="Normal 6 2 11" xfId="29852"/>
    <cellStyle name="Normal 6 2 11 2" xfId="29853"/>
    <cellStyle name="Normal 6 2 12" xfId="29854"/>
    <cellStyle name="Normal 6 2 12 2" xfId="29855"/>
    <cellStyle name="Normal 6 2 13" xfId="29856"/>
    <cellStyle name="Normal 6 2 13 2" xfId="29857"/>
    <cellStyle name="Normal 6 2 14" xfId="29858"/>
    <cellStyle name="Normal 6 2 14 2" xfId="29859"/>
    <cellStyle name="Normal 6 2 15" xfId="29860"/>
    <cellStyle name="Normal 6 2 15 2" xfId="29861"/>
    <cellStyle name="Normal 6 2 16" xfId="29862"/>
    <cellStyle name="Normal 6 2 16 2" xfId="29863"/>
    <cellStyle name="Normal 6 2 17" xfId="29864"/>
    <cellStyle name="Normal 6 2 17 2" xfId="29865"/>
    <cellStyle name="Normal 6 2 18" xfId="29866"/>
    <cellStyle name="Normal 6 2 19" xfId="29867"/>
    <cellStyle name="Normal 6 2 2" xfId="862"/>
    <cellStyle name="Normal 6 2 2 10" xfId="29869"/>
    <cellStyle name="Normal 6 2 2 10 2" xfId="29870"/>
    <cellStyle name="Normal 6 2 2 11" xfId="29871"/>
    <cellStyle name="Normal 6 2 2 11 2" xfId="29872"/>
    <cellStyle name="Normal 6 2 2 12" xfId="29873"/>
    <cellStyle name="Normal 6 2 2 12 2" xfId="29874"/>
    <cellStyle name="Normal 6 2 2 13" xfId="29875"/>
    <cellStyle name="Normal 6 2 2 14" xfId="29868"/>
    <cellStyle name="Normal 6 2 2 2" xfId="29876"/>
    <cellStyle name="Normal 6 2 2 2 10" xfId="29877"/>
    <cellStyle name="Normal 6 2 2 2 10 2" xfId="29878"/>
    <cellStyle name="Normal 6 2 2 2 11" xfId="29879"/>
    <cellStyle name="Normal 6 2 2 2 11 2" xfId="29880"/>
    <cellStyle name="Normal 6 2 2 2 12" xfId="29881"/>
    <cellStyle name="Normal 6 2 2 2 2" xfId="29882"/>
    <cellStyle name="Normal 6 2 2 2 2 10" xfId="29883"/>
    <cellStyle name="Normal 6 2 2 2 2 10 2" xfId="29884"/>
    <cellStyle name="Normal 6 2 2 2 2 11" xfId="29885"/>
    <cellStyle name="Normal 6 2 2 2 2 2" xfId="29886"/>
    <cellStyle name="Normal 6 2 2 2 2 2 2" xfId="29887"/>
    <cellStyle name="Normal 6 2 2 2 2 3" xfId="29888"/>
    <cellStyle name="Normal 6 2 2 2 2 3 2" xfId="29889"/>
    <cellStyle name="Normal 6 2 2 2 2 4" xfId="29890"/>
    <cellStyle name="Normal 6 2 2 2 2 4 2" xfId="29891"/>
    <cellStyle name="Normal 6 2 2 2 2 5" xfId="29892"/>
    <cellStyle name="Normal 6 2 2 2 2 5 2" xfId="29893"/>
    <cellStyle name="Normal 6 2 2 2 2 6" xfId="29894"/>
    <cellStyle name="Normal 6 2 2 2 2 6 2" xfId="29895"/>
    <cellStyle name="Normal 6 2 2 2 2 7" xfId="29896"/>
    <cellStyle name="Normal 6 2 2 2 2 7 2" xfId="29897"/>
    <cellStyle name="Normal 6 2 2 2 2 8" xfId="29898"/>
    <cellStyle name="Normal 6 2 2 2 2 8 2" xfId="29899"/>
    <cellStyle name="Normal 6 2 2 2 2 9" xfId="29900"/>
    <cellStyle name="Normal 6 2 2 2 2 9 2" xfId="29901"/>
    <cellStyle name="Normal 6 2 2 2 3" xfId="29902"/>
    <cellStyle name="Normal 6 2 2 2 3 2" xfId="29903"/>
    <cellStyle name="Normal 6 2 2 2 4" xfId="29904"/>
    <cellStyle name="Normal 6 2 2 2 4 2" xfId="29905"/>
    <cellStyle name="Normal 6 2 2 2 5" xfId="29906"/>
    <cellStyle name="Normal 6 2 2 2 5 2" xfId="29907"/>
    <cellStyle name="Normal 6 2 2 2 6" xfId="29908"/>
    <cellStyle name="Normal 6 2 2 2 6 2" xfId="29909"/>
    <cellStyle name="Normal 6 2 2 2 7" xfId="29910"/>
    <cellStyle name="Normal 6 2 2 2 7 2" xfId="29911"/>
    <cellStyle name="Normal 6 2 2 2 8" xfId="29912"/>
    <cellStyle name="Normal 6 2 2 2 8 2" xfId="29913"/>
    <cellStyle name="Normal 6 2 2 2 9" xfId="29914"/>
    <cellStyle name="Normal 6 2 2 2 9 2" xfId="29915"/>
    <cellStyle name="Normal 6 2 2 3" xfId="29916"/>
    <cellStyle name="Normal 6 2 2 3 10" xfId="29917"/>
    <cellStyle name="Normal 6 2 2 3 10 2" xfId="29918"/>
    <cellStyle name="Normal 6 2 2 3 11" xfId="29919"/>
    <cellStyle name="Normal 6 2 2 3 2" xfId="29920"/>
    <cellStyle name="Normal 6 2 2 3 2 2" xfId="29921"/>
    <cellStyle name="Normal 6 2 2 3 3" xfId="29922"/>
    <cellStyle name="Normal 6 2 2 3 3 2" xfId="29923"/>
    <cellStyle name="Normal 6 2 2 3 4" xfId="29924"/>
    <cellStyle name="Normal 6 2 2 3 4 2" xfId="29925"/>
    <cellStyle name="Normal 6 2 2 3 5" xfId="29926"/>
    <cellStyle name="Normal 6 2 2 3 5 2" xfId="29927"/>
    <cellStyle name="Normal 6 2 2 3 6" xfId="29928"/>
    <cellStyle name="Normal 6 2 2 3 6 2" xfId="29929"/>
    <cellStyle name="Normal 6 2 2 3 7" xfId="29930"/>
    <cellStyle name="Normal 6 2 2 3 7 2" xfId="29931"/>
    <cellStyle name="Normal 6 2 2 3 8" xfId="29932"/>
    <cellStyle name="Normal 6 2 2 3 8 2" xfId="29933"/>
    <cellStyle name="Normal 6 2 2 3 9" xfId="29934"/>
    <cellStyle name="Normal 6 2 2 3 9 2" xfId="29935"/>
    <cellStyle name="Normal 6 2 2 4" xfId="29936"/>
    <cellStyle name="Normal 6 2 2 4 2" xfId="29937"/>
    <cellStyle name="Normal 6 2 2 5" xfId="29938"/>
    <cellStyle name="Normal 6 2 2 5 2" xfId="29939"/>
    <cellStyle name="Normal 6 2 2 6" xfId="29940"/>
    <cellStyle name="Normal 6 2 2 6 2" xfId="29941"/>
    <cellStyle name="Normal 6 2 2 7" xfId="29942"/>
    <cellStyle name="Normal 6 2 2 7 2" xfId="29943"/>
    <cellStyle name="Normal 6 2 2 8" xfId="29944"/>
    <cellStyle name="Normal 6 2 2 8 2" xfId="29945"/>
    <cellStyle name="Normal 6 2 2 9" xfId="29946"/>
    <cellStyle name="Normal 6 2 2 9 2" xfId="29947"/>
    <cellStyle name="Normal 6 2 20" xfId="29948"/>
    <cellStyle name="Normal 6 2 21" xfId="1143"/>
    <cellStyle name="Normal 6 2 3" xfId="29949"/>
    <cellStyle name="Normal 6 2 3 10" xfId="29950"/>
    <cellStyle name="Normal 6 2 3 10 2" xfId="29951"/>
    <cellStyle name="Normal 6 2 3 11" xfId="29952"/>
    <cellStyle name="Normal 6 2 3 11 2" xfId="29953"/>
    <cellStyle name="Normal 6 2 3 12" xfId="29954"/>
    <cellStyle name="Normal 6 2 3 12 2" xfId="29955"/>
    <cellStyle name="Normal 6 2 3 13" xfId="29956"/>
    <cellStyle name="Normal 6 2 3 2" xfId="29957"/>
    <cellStyle name="Normal 6 2 3 2 10" xfId="29958"/>
    <cellStyle name="Normal 6 2 3 2 10 2" xfId="29959"/>
    <cellStyle name="Normal 6 2 3 2 11" xfId="29960"/>
    <cellStyle name="Normal 6 2 3 2 11 2" xfId="29961"/>
    <cellStyle name="Normal 6 2 3 2 12" xfId="29962"/>
    <cellStyle name="Normal 6 2 3 2 2" xfId="29963"/>
    <cellStyle name="Normal 6 2 3 2 2 10" xfId="29964"/>
    <cellStyle name="Normal 6 2 3 2 2 10 2" xfId="29965"/>
    <cellStyle name="Normal 6 2 3 2 2 11" xfId="29966"/>
    <cellStyle name="Normal 6 2 3 2 2 2" xfId="29967"/>
    <cellStyle name="Normal 6 2 3 2 2 2 2" xfId="29968"/>
    <cellStyle name="Normal 6 2 3 2 2 3" xfId="29969"/>
    <cellStyle name="Normal 6 2 3 2 2 3 2" xfId="29970"/>
    <cellStyle name="Normal 6 2 3 2 2 4" xfId="29971"/>
    <cellStyle name="Normal 6 2 3 2 2 4 2" xfId="29972"/>
    <cellStyle name="Normal 6 2 3 2 2 5" xfId="29973"/>
    <cellStyle name="Normal 6 2 3 2 2 5 2" xfId="29974"/>
    <cellStyle name="Normal 6 2 3 2 2 6" xfId="29975"/>
    <cellStyle name="Normal 6 2 3 2 2 6 2" xfId="29976"/>
    <cellStyle name="Normal 6 2 3 2 2 7" xfId="29977"/>
    <cellStyle name="Normal 6 2 3 2 2 7 2" xfId="29978"/>
    <cellStyle name="Normal 6 2 3 2 2 8" xfId="29979"/>
    <cellStyle name="Normal 6 2 3 2 2 8 2" xfId="29980"/>
    <cellStyle name="Normal 6 2 3 2 2 9" xfId="29981"/>
    <cellStyle name="Normal 6 2 3 2 2 9 2" xfId="29982"/>
    <cellStyle name="Normal 6 2 3 2 3" xfId="29983"/>
    <cellStyle name="Normal 6 2 3 2 3 2" xfId="29984"/>
    <cellStyle name="Normal 6 2 3 2 4" xfId="29985"/>
    <cellStyle name="Normal 6 2 3 2 4 2" xfId="29986"/>
    <cellStyle name="Normal 6 2 3 2 5" xfId="29987"/>
    <cellStyle name="Normal 6 2 3 2 5 2" xfId="29988"/>
    <cellStyle name="Normal 6 2 3 2 6" xfId="29989"/>
    <cellStyle name="Normal 6 2 3 2 6 2" xfId="29990"/>
    <cellStyle name="Normal 6 2 3 2 7" xfId="29991"/>
    <cellStyle name="Normal 6 2 3 2 7 2" xfId="29992"/>
    <cellStyle name="Normal 6 2 3 2 8" xfId="29993"/>
    <cellStyle name="Normal 6 2 3 2 8 2" xfId="29994"/>
    <cellStyle name="Normal 6 2 3 2 9" xfId="29995"/>
    <cellStyle name="Normal 6 2 3 2 9 2" xfId="29996"/>
    <cellStyle name="Normal 6 2 3 3" xfId="29997"/>
    <cellStyle name="Normal 6 2 3 3 10" xfId="29998"/>
    <cellStyle name="Normal 6 2 3 3 10 2" xfId="29999"/>
    <cellStyle name="Normal 6 2 3 3 11" xfId="30000"/>
    <cellStyle name="Normal 6 2 3 3 2" xfId="30001"/>
    <cellStyle name="Normal 6 2 3 3 2 2" xfId="30002"/>
    <cellStyle name="Normal 6 2 3 3 3" xfId="30003"/>
    <cellStyle name="Normal 6 2 3 3 3 2" xfId="30004"/>
    <cellStyle name="Normal 6 2 3 3 4" xfId="30005"/>
    <cellStyle name="Normal 6 2 3 3 4 2" xfId="30006"/>
    <cellStyle name="Normal 6 2 3 3 5" xfId="30007"/>
    <cellStyle name="Normal 6 2 3 3 5 2" xfId="30008"/>
    <cellStyle name="Normal 6 2 3 3 6" xfId="30009"/>
    <cellStyle name="Normal 6 2 3 3 6 2" xfId="30010"/>
    <cellStyle name="Normal 6 2 3 3 7" xfId="30011"/>
    <cellStyle name="Normal 6 2 3 3 7 2" xfId="30012"/>
    <cellStyle name="Normal 6 2 3 3 8" xfId="30013"/>
    <cellStyle name="Normal 6 2 3 3 8 2" xfId="30014"/>
    <cellStyle name="Normal 6 2 3 3 9" xfId="30015"/>
    <cellStyle name="Normal 6 2 3 3 9 2" xfId="30016"/>
    <cellStyle name="Normal 6 2 3 4" xfId="30017"/>
    <cellStyle name="Normal 6 2 3 4 2" xfId="30018"/>
    <cellStyle name="Normal 6 2 3 5" xfId="30019"/>
    <cellStyle name="Normal 6 2 3 5 2" xfId="30020"/>
    <cellStyle name="Normal 6 2 3 6" xfId="30021"/>
    <cellStyle name="Normal 6 2 3 6 2" xfId="30022"/>
    <cellStyle name="Normal 6 2 3 7" xfId="30023"/>
    <cellStyle name="Normal 6 2 3 7 2" xfId="30024"/>
    <cellStyle name="Normal 6 2 3 8" xfId="30025"/>
    <cellStyle name="Normal 6 2 3 8 2" xfId="30026"/>
    <cellStyle name="Normal 6 2 3 9" xfId="30027"/>
    <cellStyle name="Normal 6 2 3 9 2" xfId="30028"/>
    <cellStyle name="Normal 6 2 4" xfId="30029"/>
    <cellStyle name="Normal 6 2 4 10" xfId="30030"/>
    <cellStyle name="Normal 6 2 4 10 2" xfId="30031"/>
    <cellStyle name="Normal 6 2 4 11" xfId="30032"/>
    <cellStyle name="Normal 6 2 4 11 2" xfId="30033"/>
    <cellStyle name="Normal 6 2 4 12" xfId="30034"/>
    <cellStyle name="Normal 6 2 4 12 2" xfId="30035"/>
    <cellStyle name="Normal 6 2 4 13" xfId="30036"/>
    <cellStyle name="Normal 6 2 4 2" xfId="30037"/>
    <cellStyle name="Normal 6 2 4 2 10" xfId="30038"/>
    <cellStyle name="Normal 6 2 4 2 10 2" xfId="30039"/>
    <cellStyle name="Normal 6 2 4 2 11" xfId="30040"/>
    <cellStyle name="Normal 6 2 4 2 11 2" xfId="30041"/>
    <cellStyle name="Normal 6 2 4 2 12" xfId="30042"/>
    <cellStyle name="Normal 6 2 4 2 2" xfId="30043"/>
    <cellStyle name="Normal 6 2 4 2 2 10" xfId="30044"/>
    <cellStyle name="Normal 6 2 4 2 2 10 2" xfId="30045"/>
    <cellStyle name="Normal 6 2 4 2 2 11" xfId="30046"/>
    <cellStyle name="Normal 6 2 4 2 2 2" xfId="30047"/>
    <cellStyle name="Normal 6 2 4 2 2 2 2" xfId="30048"/>
    <cellStyle name="Normal 6 2 4 2 2 3" xfId="30049"/>
    <cellStyle name="Normal 6 2 4 2 2 3 2" xfId="30050"/>
    <cellStyle name="Normal 6 2 4 2 2 4" xfId="30051"/>
    <cellStyle name="Normal 6 2 4 2 2 4 2" xfId="30052"/>
    <cellStyle name="Normal 6 2 4 2 2 5" xfId="30053"/>
    <cellStyle name="Normal 6 2 4 2 2 5 2" xfId="30054"/>
    <cellStyle name="Normal 6 2 4 2 2 6" xfId="30055"/>
    <cellStyle name="Normal 6 2 4 2 2 6 2" xfId="30056"/>
    <cellStyle name="Normal 6 2 4 2 2 7" xfId="30057"/>
    <cellStyle name="Normal 6 2 4 2 2 7 2" xfId="30058"/>
    <cellStyle name="Normal 6 2 4 2 2 8" xfId="30059"/>
    <cellStyle name="Normal 6 2 4 2 2 8 2" xfId="30060"/>
    <cellStyle name="Normal 6 2 4 2 2 9" xfId="30061"/>
    <cellStyle name="Normal 6 2 4 2 2 9 2" xfId="30062"/>
    <cellStyle name="Normal 6 2 4 2 3" xfId="30063"/>
    <cellStyle name="Normal 6 2 4 2 3 2" xfId="30064"/>
    <cellStyle name="Normal 6 2 4 2 4" xfId="30065"/>
    <cellStyle name="Normal 6 2 4 2 4 2" xfId="30066"/>
    <cellStyle name="Normal 6 2 4 2 5" xfId="30067"/>
    <cellStyle name="Normal 6 2 4 2 5 2" xfId="30068"/>
    <cellStyle name="Normal 6 2 4 2 6" xfId="30069"/>
    <cellStyle name="Normal 6 2 4 2 6 2" xfId="30070"/>
    <cellStyle name="Normal 6 2 4 2 7" xfId="30071"/>
    <cellStyle name="Normal 6 2 4 2 7 2" xfId="30072"/>
    <cellStyle name="Normal 6 2 4 2 8" xfId="30073"/>
    <cellStyle name="Normal 6 2 4 2 8 2" xfId="30074"/>
    <cellStyle name="Normal 6 2 4 2 9" xfId="30075"/>
    <cellStyle name="Normal 6 2 4 2 9 2" xfId="30076"/>
    <cellStyle name="Normal 6 2 4 3" xfId="30077"/>
    <cellStyle name="Normal 6 2 4 3 10" xfId="30078"/>
    <cellStyle name="Normal 6 2 4 3 10 2" xfId="30079"/>
    <cellStyle name="Normal 6 2 4 3 11" xfId="30080"/>
    <cellStyle name="Normal 6 2 4 3 2" xfId="30081"/>
    <cellStyle name="Normal 6 2 4 3 2 2" xfId="30082"/>
    <cellStyle name="Normal 6 2 4 3 3" xfId="30083"/>
    <cellStyle name="Normal 6 2 4 3 3 2" xfId="30084"/>
    <cellStyle name="Normal 6 2 4 3 4" xfId="30085"/>
    <cellStyle name="Normal 6 2 4 3 4 2" xfId="30086"/>
    <cellStyle name="Normal 6 2 4 3 5" xfId="30087"/>
    <cellStyle name="Normal 6 2 4 3 5 2" xfId="30088"/>
    <cellStyle name="Normal 6 2 4 3 6" xfId="30089"/>
    <cellStyle name="Normal 6 2 4 3 6 2" xfId="30090"/>
    <cellStyle name="Normal 6 2 4 3 7" xfId="30091"/>
    <cellStyle name="Normal 6 2 4 3 7 2" xfId="30092"/>
    <cellStyle name="Normal 6 2 4 3 8" xfId="30093"/>
    <cellStyle name="Normal 6 2 4 3 8 2" xfId="30094"/>
    <cellStyle name="Normal 6 2 4 3 9" xfId="30095"/>
    <cellStyle name="Normal 6 2 4 3 9 2" xfId="30096"/>
    <cellStyle name="Normal 6 2 4 4" xfId="30097"/>
    <cellStyle name="Normal 6 2 4 4 2" xfId="30098"/>
    <cellStyle name="Normal 6 2 4 5" xfId="30099"/>
    <cellStyle name="Normal 6 2 4 5 2" xfId="30100"/>
    <cellStyle name="Normal 6 2 4 6" xfId="30101"/>
    <cellStyle name="Normal 6 2 4 6 2" xfId="30102"/>
    <cellStyle name="Normal 6 2 4 7" xfId="30103"/>
    <cellStyle name="Normal 6 2 4 7 2" xfId="30104"/>
    <cellStyle name="Normal 6 2 4 8" xfId="30105"/>
    <cellStyle name="Normal 6 2 4 8 2" xfId="30106"/>
    <cellStyle name="Normal 6 2 4 9" xfId="30107"/>
    <cellStyle name="Normal 6 2 4 9 2" xfId="30108"/>
    <cellStyle name="Normal 6 2 5" xfId="30109"/>
    <cellStyle name="Normal 6 2 6" xfId="30110"/>
    <cellStyle name="Normal 6 2 6 10" xfId="30111"/>
    <cellStyle name="Normal 6 2 6 10 2" xfId="30112"/>
    <cellStyle name="Normal 6 2 6 11" xfId="30113"/>
    <cellStyle name="Normal 6 2 6 11 2" xfId="30114"/>
    <cellStyle name="Normal 6 2 6 12" xfId="30115"/>
    <cellStyle name="Normal 6 2 6 12 2" xfId="30116"/>
    <cellStyle name="Normal 6 2 6 13" xfId="30117"/>
    <cellStyle name="Normal 6 2 6 2" xfId="30118"/>
    <cellStyle name="Normal 6 2 6 2 10" xfId="30119"/>
    <cellStyle name="Normal 6 2 6 2 10 2" xfId="30120"/>
    <cellStyle name="Normal 6 2 6 2 11" xfId="30121"/>
    <cellStyle name="Normal 6 2 6 2 11 2" xfId="30122"/>
    <cellStyle name="Normal 6 2 6 2 12" xfId="30123"/>
    <cellStyle name="Normal 6 2 6 2 2" xfId="30124"/>
    <cellStyle name="Normal 6 2 6 2 2 10" xfId="30125"/>
    <cellStyle name="Normal 6 2 6 2 2 10 2" xfId="30126"/>
    <cellStyle name="Normal 6 2 6 2 2 11" xfId="30127"/>
    <cellStyle name="Normal 6 2 6 2 2 2" xfId="30128"/>
    <cellStyle name="Normal 6 2 6 2 2 2 2" xfId="30129"/>
    <cellStyle name="Normal 6 2 6 2 2 3" xfId="30130"/>
    <cellStyle name="Normal 6 2 6 2 2 3 2" xfId="30131"/>
    <cellStyle name="Normal 6 2 6 2 2 4" xfId="30132"/>
    <cellStyle name="Normal 6 2 6 2 2 4 2" xfId="30133"/>
    <cellStyle name="Normal 6 2 6 2 2 5" xfId="30134"/>
    <cellStyle name="Normal 6 2 6 2 2 5 2" xfId="30135"/>
    <cellStyle name="Normal 6 2 6 2 2 6" xfId="30136"/>
    <cellStyle name="Normal 6 2 6 2 2 6 2" xfId="30137"/>
    <cellStyle name="Normal 6 2 6 2 2 7" xfId="30138"/>
    <cellStyle name="Normal 6 2 6 2 2 7 2" xfId="30139"/>
    <cellStyle name="Normal 6 2 6 2 2 8" xfId="30140"/>
    <cellStyle name="Normal 6 2 6 2 2 8 2" xfId="30141"/>
    <cellStyle name="Normal 6 2 6 2 2 9" xfId="30142"/>
    <cellStyle name="Normal 6 2 6 2 2 9 2" xfId="30143"/>
    <cellStyle name="Normal 6 2 6 2 3" xfId="30144"/>
    <cellStyle name="Normal 6 2 6 2 3 2" xfId="30145"/>
    <cellStyle name="Normal 6 2 6 2 4" xfId="30146"/>
    <cellStyle name="Normal 6 2 6 2 4 2" xfId="30147"/>
    <cellStyle name="Normal 6 2 6 2 5" xfId="30148"/>
    <cellStyle name="Normal 6 2 6 2 5 2" xfId="30149"/>
    <cellStyle name="Normal 6 2 6 2 6" xfId="30150"/>
    <cellStyle name="Normal 6 2 6 2 6 2" xfId="30151"/>
    <cellStyle name="Normal 6 2 6 2 7" xfId="30152"/>
    <cellStyle name="Normal 6 2 6 2 7 2" xfId="30153"/>
    <cellStyle name="Normal 6 2 6 2 8" xfId="30154"/>
    <cellStyle name="Normal 6 2 6 2 8 2" xfId="30155"/>
    <cellStyle name="Normal 6 2 6 2 9" xfId="30156"/>
    <cellStyle name="Normal 6 2 6 2 9 2" xfId="30157"/>
    <cellStyle name="Normal 6 2 6 3" xfId="30158"/>
    <cellStyle name="Normal 6 2 6 3 10" xfId="30159"/>
    <cellStyle name="Normal 6 2 6 3 10 2" xfId="30160"/>
    <cellStyle name="Normal 6 2 6 3 11" xfId="30161"/>
    <cellStyle name="Normal 6 2 6 3 2" xfId="30162"/>
    <cellStyle name="Normal 6 2 6 3 2 2" xfId="30163"/>
    <cellStyle name="Normal 6 2 6 3 3" xfId="30164"/>
    <cellStyle name="Normal 6 2 6 3 3 2" xfId="30165"/>
    <cellStyle name="Normal 6 2 6 3 4" xfId="30166"/>
    <cellStyle name="Normal 6 2 6 3 4 2" xfId="30167"/>
    <cellStyle name="Normal 6 2 6 3 5" xfId="30168"/>
    <cellStyle name="Normal 6 2 6 3 5 2" xfId="30169"/>
    <cellStyle name="Normal 6 2 6 3 6" xfId="30170"/>
    <cellStyle name="Normal 6 2 6 3 6 2" xfId="30171"/>
    <cellStyle name="Normal 6 2 6 3 7" xfId="30172"/>
    <cellStyle name="Normal 6 2 6 3 7 2" xfId="30173"/>
    <cellStyle name="Normal 6 2 6 3 8" xfId="30174"/>
    <cellStyle name="Normal 6 2 6 3 8 2" xfId="30175"/>
    <cellStyle name="Normal 6 2 6 3 9" xfId="30176"/>
    <cellStyle name="Normal 6 2 6 3 9 2" xfId="30177"/>
    <cellStyle name="Normal 6 2 6 4" xfId="30178"/>
    <cellStyle name="Normal 6 2 6 4 2" xfId="30179"/>
    <cellStyle name="Normal 6 2 6 5" xfId="30180"/>
    <cellStyle name="Normal 6 2 6 5 2" xfId="30181"/>
    <cellStyle name="Normal 6 2 6 6" xfId="30182"/>
    <cellStyle name="Normal 6 2 6 6 2" xfId="30183"/>
    <cellStyle name="Normal 6 2 6 7" xfId="30184"/>
    <cellStyle name="Normal 6 2 6 7 2" xfId="30185"/>
    <cellStyle name="Normal 6 2 6 8" xfId="30186"/>
    <cellStyle name="Normal 6 2 6 8 2" xfId="30187"/>
    <cellStyle name="Normal 6 2 6 9" xfId="30188"/>
    <cellStyle name="Normal 6 2 6 9 2" xfId="30189"/>
    <cellStyle name="Normal 6 2 7" xfId="30190"/>
    <cellStyle name="Normal 6 2 7 10" xfId="30191"/>
    <cellStyle name="Normal 6 2 7 10 2" xfId="30192"/>
    <cellStyle name="Normal 6 2 7 11" xfId="30193"/>
    <cellStyle name="Normal 6 2 7 11 2" xfId="30194"/>
    <cellStyle name="Normal 6 2 7 12" xfId="30195"/>
    <cellStyle name="Normal 6 2 7 2" xfId="30196"/>
    <cellStyle name="Normal 6 2 7 2 10" xfId="30197"/>
    <cellStyle name="Normal 6 2 7 2 10 2" xfId="30198"/>
    <cellStyle name="Normal 6 2 7 2 11" xfId="30199"/>
    <cellStyle name="Normal 6 2 7 2 2" xfId="30200"/>
    <cellStyle name="Normal 6 2 7 2 2 2" xfId="30201"/>
    <cellStyle name="Normal 6 2 7 2 3" xfId="30202"/>
    <cellStyle name="Normal 6 2 7 2 3 2" xfId="30203"/>
    <cellStyle name="Normal 6 2 7 2 4" xfId="30204"/>
    <cellStyle name="Normal 6 2 7 2 4 2" xfId="30205"/>
    <cellStyle name="Normal 6 2 7 2 5" xfId="30206"/>
    <cellStyle name="Normal 6 2 7 2 5 2" xfId="30207"/>
    <cellStyle name="Normal 6 2 7 2 6" xfId="30208"/>
    <cellStyle name="Normal 6 2 7 2 6 2" xfId="30209"/>
    <cellStyle name="Normal 6 2 7 2 7" xfId="30210"/>
    <cellStyle name="Normal 6 2 7 2 7 2" xfId="30211"/>
    <cellStyle name="Normal 6 2 7 2 8" xfId="30212"/>
    <cellStyle name="Normal 6 2 7 2 8 2" xfId="30213"/>
    <cellStyle name="Normal 6 2 7 2 9" xfId="30214"/>
    <cellStyle name="Normal 6 2 7 2 9 2" xfId="30215"/>
    <cellStyle name="Normal 6 2 7 3" xfId="30216"/>
    <cellStyle name="Normal 6 2 7 3 2" xfId="30217"/>
    <cellStyle name="Normal 6 2 7 4" xfId="30218"/>
    <cellStyle name="Normal 6 2 7 4 2" xfId="30219"/>
    <cellStyle name="Normal 6 2 7 5" xfId="30220"/>
    <cellStyle name="Normal 6 2 7 5 2" xfId="30221"/>
    <cellStyle name="Normal 6 2 7 6" xfId="30222"/>
    <cellStyle name="Normal 6 2 7 6 2" xfId="30223"/>
    <cellStyle name="Normal 6 2 7 7" xfId="30224"/>
    <cellStyle name="Normal 6 2 7 7 2" xfId="30225"/>
    <cellStyle name="Normal 6 2 7 8" xfId="30226"/>
    <cellStyle name="Normal 6 2 7 8 2" xfId="30227"/>
    <cellStyle name="Normal 6 2 7 9" xfId="30228"/>
    <cellStyle name="Normal 6 2 7 9 2" xfId="30229"/>
    <cellStyle name="Normal 6 2 8" xfId="30230"/>
    <cellStyle name="Normal 6 2 8 10" xfId="30231"/>
    <cellStyle name="Normal 6 2 8 10 2" xfId="30232"/>
    <cellStyle name="Normal 6 2 8 11" xfId="30233"/>
    <cellStyle name="Normal 6 2 8 2" xfId="30234"/>
    <cellStyle name="Normal 6 2 8 2 2" xfId="30235"/>
    <cellStyle name="Normal 6 2 8 3" xfId="30236"/>
    <cellStyle name="Normal 6 2 8 3 2" xfId="30237"/>
    <cellStyle name="Normal 6 2 8 4" xfId="30238"/>
    <cellStyle name="Normal 6 2 8 4 2" xfId="30239"/>
    <cellStyle name="Normal 6 2 8 5" xfId="30240"/>
    <cellStyle name="Normal 6 2 8 5 2" xfId="30241"/>
    <cellStyle name="Normal 6 2 8 6" xfId="30242"/>
    <cellStyle name="Normal 6 2 8 6 2" xfId="30243"/>
    <cellStyle name="Normal 6 2 8 7" xfId="30244"/>
    <cellStyle name="Normal 6 2 8 7 2" xfId="30245"/>
    <cellStyle name="Normal 6 2 8 8" xfId="30246"/>
    <cellStyle name="Normal 6 2 8 8 2" xfId="30247"/>
    <cellStyle name="Normal 6 2 8 9" xfId="30248"/>
    <cellStyle name="Normal 6 2 8 9 2" xfId="30249"/>
    <cellStyle name="Normal 6 2 9" xfId="30250"/>
    <cellStyle name="Normal 6 2 9 2" xfId="30251"/>
    <cellStyle name="Normal 6 20" xfId="30252"/>
    <cellStyle name="Normal 6 20 2" xfId="30253"/>
    <cellStyle name="Normal 6 21" xfId="30254"/>
    <cellStyle name="Normal 6 22" xfId="30255"/>
    <cellStyle name="Normal 6 23" xfId="30256"/>
    <cellStyle name="Normal 6 24" xfId="1142"/>
    <cellStyle name="Normal 6 3" xfId="863"/>
    <cellStyle name="Normal 6 3 10" xfId="30258"/>
    <cellStyle name="Normal 6 3 10 2" xfId="30259"/>
    <cellStyle name="Normal 6 3 11" xfId="30260"/>
    <cellStyle name="Normal 6 3 11 2" xfId="30261"/>
    <cellStyle name="Normal 6 3 12" xfId="30262"/>
    <cellStyle name="Normal 6 3 12 2" xfId="30263"/>
    <cellStyle name="Normal 6 3 13" xfId="30264"/>
    <cellStyle name="Normal 6 3 13 2" xfId="30265"/>
    <cellStyle name="Normal 6 3 14" xfId="30266"/>
    <cellStyle name="Normal 6 3 15" xfId="30257"/>
    <cellStyle name="Normal 6 3 2" xfId="864"/>
    <cellStyle name="Normal 6 3 3" xfId="30267"/>
    <cellStyle name="Normal 6 3 3 10" xfId="30268"/>
    <cellStyle name="Normal 6 3 3 10 2" xfId="30269"/>
    <cellStyle name="Normal 6 3 3 11" xfId="30270"/>
    <cellStyle name="Normal 6 3 3 11 2" xfId="30271"/>
    <cellStyle name="Normal 6 3 3 12" xfId="30272"/>
    <cellStyle name="Normal 6 3 3 2" xfId="30273"/>
    <cellStyle name="Normal 6 3 3 2 10" xfId="30274"/>
    <cellStyle name="Normal 6 3 3 2 10 2" xfId="30275"/>
    <cellStyle name="Normal 6 3 3 2 11" xfId="30276"/>
    <cellStyle name="Normal 6 3 3 2 2" xfId="30277"/>
    <cellStyle name="Normal 6 3 3 2 2 2" xfId="30278"/>
    <cellStyle name="Normal 6 3 3 2 3" xfId="30279"/>
    <cellStyle name="Normal 6 3 3 2 3 2" xfId="30280"/>
    <cellStyle name="Normal 6 3 3 2 4" xfId="30281"/>
    <cellStyle name="Normal 6 3 3 2 4 2" xfId="30282"/>
    <cellStyle name="Normal 6 3 3 2 5" xfId="30283"/>
    <cellStyle name="Normal 6 3 3 2 5 2" xfId="30284"/>
    <cellStyle name="Normal 6 3 3 2 6" xfId="30285"/>
    <cellStyle name="Normal 6 3 3 2 6 2" xfId="30286"/>
    <cellStyle name="Normal 6 3 3 2 7" xfId="30287"/>
    <cellStyle name="Normal 6 3 3 2 7 2" xfId="30288"/>
    <cellStyle name="Normal 6 3 3 2 8" xfId="30289"/>
    <cellStyle name="Normal 6 3 3 2 8 2" xfId="30290"/>
    <cellStyle name="Normal 6 3 3 2 9" xfId="30291"/>
    <cellStyle name="Normal 6 3 3 2 9 2" xfId="30292"/>
    <cellStyle name="Normal 6 3 3 3" xfId="30293"/>
    <cellStyle name="Normal 6 3 3 3 2" xfId="30294"/>
    <cellStyle name="Normal 6 3 3 4" xfId="30295"/>
    <cellStyle name="Normal 6 3 3 4 2" xfId="30296"/>
    <cellStyle name="Normal 6 3 3 5" xfId="30297"/>
    <cellStyle name="Normal 6 3 3 5 2" xfId="30298"/>
    <cellStyle name="Normal 6 3 3 6" xfId="30299"/>
    <cellStyle name="Normal 6 3 3 6 2" xfId="30300"/>
    <cellStyle name="Normal 6 3 3 7" xfId="30301"/>
    <cellStyle name="Normal 6 3 3 7 2" xfId="30302"/>
    <cellStyle name="Normal 6 3 3 8" xfId="30303"/>
    <cellStyle name="Normal 6 3 3 8 2" xfId="30304"/>
    <cellStyle name="Normal 6 3 3 9" xfId="30305"/>
    <cellStyle name="Normal 6 3 3 9 2" xfId="30306"/>
    <cellStyle name="Normal 6 3 4" xfId="30307"/>
    <cellStyle name="Normal 6 3 4 10" xfId="30308"/>
    <cellStyle name="Normal 6 3 4 10 2" xfId="30309"/>
    <cellStyle name="Normal 6 3 4 11" xfId="30310"/>
    <cellStyle name="Normal 6 3 4 2" xfId="30311"/>
    <cellStyle name="Normal 6 3 4 2 2" xfId="30312"/>
    <cellStyle name="Normal 6 3 4 3" xfId="30313"/>
    <cellStyle name="Normal 6 3 4 3 2" xfId="30314"/>
    <cellStyle name="Normal 6 3 4 4" xfId="30315"/>
    <cellStyle name="Normal 6 3 4 4 2" xfId="30316"/>
    <cellStyle name="Normal 6 3 4 5" xfId="30317"/>
    <cellStyle name="Normal 6 3 4 5 2" xfId="30318"/>
    <cellStyle name="Normal 6 3 4 6" xfId="30319"/>
    <cellStyle name="Normal 6 3 4 6 2" xfId="30320"/>
    <cellStyle name="Normal 6 3 4 7" xfId="30321"/>
    <cellStyle name="Normal 6 3 4 7 2" xfId="30322"/>
    <cellStyle name="Normal 6 3 4 8" xfId="30323"/>
    <cellStyle name="Normal 6 3 4 8 2" xfId="30324"/>
    <cellStyle name="Normal 6 3 4 9" xfId="30325"/>
    <cellStyle name="Normal 6 3 4 9 2" xfId="30326"/>
    <cellStyle name="Normal 6 3 5" xfId="30327"/>
    <cellStyle name="Normal 6 3 5 2" xfId="30328"/>
    <cellStyle name="Normal 6 3 6" xfId="30329"/>
    <cellStyle name="Normal 6 3 6 2" xfId="30330"/>
    <cellStyle name="Normal 6 3 7" xfId="30331"/>
    <cellStyle name="Normal 6 3 7 2" xfId="30332"/>
    <cellStyle name="Normal 6 3 8" xfId="30333"/>
    <cellStyle name="Normal 6 3 8 2" xfId="30334"/>
    <cellStyle name="Normal 6 3 9" xfId="30335"/>
    <cellStyle name="Normal 6 3 9 2" xfId="30336"/>
    <cellStyle name="Normal 6 4" xfId="865"/>
    <cellStyle name="Normal 6 4 10" xfId="30338"/>
    <cellStyle name="Normal 6 4 10 2" xfId="30339"/>
    <cellStyle name="Normal 6 4 11" xfId="30340"/>
    <cellStyle name="Normal 6 4 11 2" xfId="30341"/>
    <cellStyle name="Normal 6 4 12" xfId="30342"/>
    <cellStyle name="Normal 6 4 12 2" xfId="30343"/>
    <cellStyle name="Normal 6 4 13" xfId="30344"/>
    <cellStyle name="Normal 6 4 13 2" xfId="30345"/>
    <cellStyle name="Normal 6 4 14" xfId="30346"/>
    <cellStyle name="Normal 6 4 15" xfId="30337"/>
    <cellStyle name="Normal 6 4 2" xfId="866"/>
    <cellStyle name="Normal 6 4 3" xfId="30347"/>
    <cellStyle name="Normal 6 4 3 10" xfId="30348"/>
    <cellStyle name="Normal 6 4 3 10 2" xfId="30349"/>
    <cellStyle name="Normal 6 4 3 11" xfId="30350"/>
    <cellStyle name="Normal 6 4 3 11 2" xfId="30351"/>
    <cellStyle name="Normal 6 4 3 12" xfId="30352"/>
    <cellStyle name="Normal 6 4 3 2" xfId="30353"/>
    <cellStyle name="Normal 6 4 3 2 10" xfId="30354"/>
    <cellStyle name="Normal 6 4 3 2 10 2" xfId="30355"/>
    <cellStyle name="Normal 6 4 3 2 11" xfId="30356"/>
    <cellStyle name="Normal 6 4 3 2 2" xfId="30357"/>
    <cellStyle name="Normal 6 4 3 2 2 2" xfId="30358"/>
    <cellStyle name="Normal 6 4 3 2 3" xfId="30359"/>
    <cellStyle name="Normal 6 4 3 2 3 2" xfId="30360"/>
    <cellStyle name="Normal 6 4 3 2 4" xfId="30361"/>
    <cellStyle name="Normal 6 4 3 2 4 2" xfId="30362"/>
    <cellStyle name="Normal 6 4 3 2 5" xfId="30363"/>
    <cellStyle name="Normal 6 4 3 2 5 2" xfId="30364"/>
    <cellStyle name="Normal 6 4 3 2 6" xfId="30365"/>
    <cellStyle name="Normal 6 4 3 2 6 2" xfId="30366"/>
    <cellStyle name="Normal 6 4 3 2 7" xfId="30367"/>
    <cellStyle name="Normal 6 4 3 2 7 2" xfId="30368"/>
    <cellStyle name="Normal 6 4 3 2 8" xfId="30369"/>
    <cellStyle name="Normal 6 4 3 2 8 2" xfId="30370"/>
    <cellStyle name="Normal 6 4 3 2 9" xfId="30371"/>
    <cellStyle name="Normal 6 4 3 2 9 2" xfId="30372"/>
    <cellStyle name="Normal 6 4 3 3" xfId="30373"/>
    <cellStyle name="Normal 6 4 3 3 2" xfId="30374"/>
    <cellStyle name="Normal 6 4 3 4" xfId="30375"/>
    <cellStyle name="Normal 6 4 3 4 2" xfId="30376"/>
    <cellStyle name="Normal 6 4 3 5" xfId="30377"/>
    <cellStyle name="Normal 6 4 3 5 2" xfId="30378"/>
    <cellStyle name="Normal 6 4 3 6" xfId="30379"/>
    <cellStyle name="Normal 6 4 3 6 2" xfId="30380"/>
    <cellStyle name="Normal 6 4 3 7" xfId="30381"/>
    <cellStyle name="Normal 6 4 3 7 2" xfId="30382"/>
    <cellStyle name="Normal 6 4 3 8" xfId="30383"/>
    <cellStyle name="Normal 6 4 3 8 2" xfId="30384"/>
    <cellStyle name="Normal 6 4 3 9" xfId="30385"/>
    <cellStyle name="Normal 6 4 3 9 2" xfId="30386"/>
    <cellStyle name="Normal 6 4 4" xfId="30387"/>
    <cellStyle name="Normal 6 4 4 10" xfId="30388"/>
    <cellStyle name="Normal 6 4 4 10 2" xfId="30389"/>
    <cellStyle name="Normal 6 4 4 11" xfId="30390"/>
    <cellStyle name="Normal 6 4 4 2" xfId="30391"/>
    <cellStyle name="Normal 6 4 4 2 2" xfId="30392"/>
    <cellStyle name="Normal 6 4 4 3" xfId="30393"/>
    <cellStyle name="Normal 6 4 4 3 2" xfId="30394"/>
    <cellStyle name="Normal 6 4 4 4" xfId="30395"/>
    <cellStyle name="Normal 6 4 4 4 2" xfId="30396"/>
    <cellStyle name="Normal 6 4 4 5" xfId="30397"/>
    <cellStyle name="Normal 6 4 4 5 2" xfId="30398"/>
    <cellStyle name="Normal 6 4 4 6" xfId="30399"/>
    <cellStyle name="Normal 6 4 4 6 2" xfId="30400"/>
    <cellStyle name="Normal 6 4 4 7" xfId="30401"/>
    <cellStyle name="Normal 6 4 4 7 2" xfId="30402"/>
    <cellStyle name="Normal 6 4 4 8" xfId="30403"/>
    <cellStyle name="Normal 6 4 4 8 2" xfId="30404"/>
    <cellStyle name="Normal 6 4 4 9" xfId="30405"/>
    <cellStyle name="Normal 6 4 4 9 2" xfId="30406"/>
    <cellStyle name="Normal 6 4 5" xfId="30407"/>
    <cellStyle name="Normal 6 4 5 2" xfId="30408"/>
    <cellStyle name="Normal 6 4 6" xfId="30409"/>
    <cellStyle name="Normal 6 4 6 2" xfId="30410"/>
    <cellStyle name="Normal 6 4 7" xfId="30411"/>
    <cellStyle name="Normal 6 4 7 2" xfId="30412"/>
    <cellStyle name="Normal 6 4 8" xfId="30413"/>
    <cellStyle name="Normal 6 4 8 2" xfId="30414"/>
    <cellStyle name="Normal 6 4 9" xfId="30415"/>
    <cellStyle name="Normal 6 4 9 2" xfId="30416"/>
    <cellStyle name="Normal 6 5" xfId="867"/>
    <cellStyle name="Normal 6 5 10" xfId="30418"/>
    <cellStyle name="Normal 6 5 10 2" xfId="30419"/>
    <cellStyle name="Normal 6 5 11" xfId="30420"/>
    <cellStyle name="Normal 6 5 11 2" xfId="30421"/>
    <cellStyle name="Normal 6 5 12" xfId="30422"/>
    <cellStyle name="Normal 6 5 12 2" xfId="30423"/>
    <cellStyle name="Normal 6 5 13" xfId="30424"/>
    <cellStyle name="Normal 6 5 13 2" xfId="30425"/>
    <cellStyle name="Normal 6 5 14" xfId="30426"/>
    <cellStyle name="Normal 6 5 15" xfId="30417"/>
    <cellStyle name="Normal 6 5 2" xfId="868"/>
    <cellStyle name="Normal 6 5 3" xfId="30427"/>
    <cellStyle name="Normal 6 5 3 10" xfId="30428"/>
    <cellStyle name="Normal 6 5 3 10 2" xfId="30429"/>
    <cellStyle name="Normal 6 5 3 11" xfId="30430"/>
    <cellStyle name="Normal 6 5 3 11 2" xfId="30431"/>
    <cellStyle name="Normal 6 5 3 12" xfId="30432"/>
    <cellStyle name="Normal 6 5 3 2" xfId="30433"/>
    <cellStyle name="Normal 6 5 3 2 10" xfId="30434"/>
    <cellStyle name="Normal 6 5 3 2 10 2" xfId="30435"/>
    <cellStyle name="Normal 6 5 3 2 11" xfId="30436"/>
    <cellStyle name="Normal 6 5 3 2 2" xfId="30437"/>
    <cellStyle name="Normal 6 5 3 2 2 2" xfId="30438"/>
    <cellStyle name="Normal 6 5 3 2 3" xfId="30439"/>
    <cellStyle name="Normal 6 5 3 2 3 2" xfId="30440"/>
    <cellStyle name="Normal 6 5 3 2 4" xfId="30441"/>
    <cellStyle name="Normal 6 5 3 2 4 2" xfId="30442"/>
    <cellStyle name="Normal 6 5 3 2 5" xfId="30443"/>
    <cellStyle name="Normal 6 5 3 2 5 2" xfId="30444"/>
    <cellStyle name="Normal 6 5 3 2 6" xfId="30445"/>
    <cellStyle name="Normal 6 5 3 2 6 2" xfId="30446"/>
    <cellStyle name="Normal 6 5 3 2 7" xfId="30447"/>
    <cellStyle name="Normal 6 5 3 2 7 2" xfId="30448"/>
    <cellStyle name="Normal 6 5 3 2 8" xfId="30449"/>
    <cellStyle name="Normal 6 5 3 2 8 2" xfId="30450"/>
    <cellStyle name="Normal 6 5 3 2 9" xfId="30451"/>
    <cellStyle name="Normal 6 5 3 2 9 2" xfId="30452"/>
    <cellStyle name="Normal 6 5 3 3" xfId="30453"/>
    <cellStyle name="Normal 6 5 3 3 2" xfId="30454"/>
    <cellStyle name="Normal 6 5 3 4" xfId="30455"/>
    <cellStyle name="Normal 6 5 3 4 2" xfId="30456"/>
    <cellStyle name="Normal 6 5 3 5" xfId="30457"/>
    <cellStyle name="Normal 6 5 3 5 2" xfId="30458"/>
    <cellStyle name="Normal 6 5 3 6" xfId="30459"/>
    <cellStyle name="Normal 6 5 3 6 2" xfId="30460"/>
    <cellStyle name="Normal 6 5 3 7" xfId="30461"/>
    <cellStyle name="Normal 6 5 3 7 2" xfId="30462"/>
    <cellStyle name="Normal 6 5 3 8" xfId="30463"/>
    <cellStyle name="Normal 6 5 3 8 2" xfId="30464"/>
    <cellStyle name="Normal 6 5 3 9" xfId="30465"/>
    <cellStyle name="Normal 6 5 3 9 2" xfId="30466"/>
    <cellStyle name="Normal 6 5 4" xfId="30467"/>
    <cellStyle name="Normal 6 5 4 10" xfId="30468"/>
    <cellStyle name="Normal 6 5 4 10 2" xfId="30469"/>
    <cellStyle name="Normal 6 5 4 11" xfId="30470"/>
    <cellStyle name="Normal 6 5 4 2" xfId="30471"/>
    <cellStyle name="Normal 6 5 4 2 2" xfId="30472"/>
    <cellStyle name="Normal 6 5 4 3" xfId="30473"/>
    <cellStyle name="Normal 6 5 4 3 2" xfId="30474"/>
    <cellStyle name="Normal 6 5 4 4" xfId="30475"/>
    <cellStyle name="Normal 6 5 4 4 2" xfId="30476"/>
    <cellStyle name="Normal 6 5 4 5" xfId="30477"/>
    <cellStyle name="Normal 6 5 4 5 2" xfId="30478"/>
    <cellStyle name="Normal 6 5 4 6" xfId="30479"/>
    <cellStyle name="Normal 6 5 4 6 2" xfId="30480"/>
    <cellStyle name="Normal 6 5 4 7" xfId="30481"/>
    <cellStyle name="Normal 6 5 4 7 2" xfId="30482"/>
    <cellStyle name="Normal 6 5 4 8" xfId="30483"/>
    <cellStyle name="Normal 6 5 4 8 2" xfId="30484"/>
    <cellStyle name="Normal 6 5 4 9" xfId="30485"/>
    <cellStyle name="Normal 6 5 4 9 2" xfId="30486"/>
    <cellStyle name="Normal 6 5 5" xfId="30487"/>
    <cellStyle name="Normal 6 5 5 2" xfId="30488"/>
    <cellStyle name="Normal 6 5 6" xfId="30489"/>
    <cellStyle name="Normal 6 5 6 2" xfId="30490"/>
    <cellStyle name="Normal 6 5 7" xfId="30491"/>
    <cellStyle name="Normal 6 5 7 2" xfId="30492"/>
    <cellStyle name="Normal 6 5 8" xfId="30493"/>
    <cellStyle name="Normal 6 5 8 2" xfId="30494"/>
    <cellStyle name="Normal 6 5 9" xfId="30495"/>
    <cellStyle name="Normal 6 5 9 2" xfId="30496"/>
    <cellStyle name="Normal 6 6" xfId="869"/>
    <cellStyle name="Normal 6 6 2" xfId="870"/>
    <cellStyle name="Normal 6 7" xfId="871"/>
    <cellStyle name="Normal 6 8" xfId="30497"/>
    <cellStyle name="Normal 6 8 10" xfId="30498"/>
    <cellStyle name="Normal 6 8 10 2" xfId="30499"/>
    <cellStyle name="Normal 6 8 11" xfId="30500"/>
    <cellStyle name="Normal 6 8 11 2" xfId="30501"/>
    <cellStyle name="Normal 6 8 12" xfId="30502"/>
    <cellStyle name="Normal 6 8 12 2" xfId="30503"/>
    <cellStyle name="Normal 6 8 13" xfId="30504"/>
    <cellStyle name="Normal 6 8 2" xfId="30505"/>
    <cellStyle name="Normal 6 8 2 10" xfId="30506"/>
    <cellStyle name="Normal 6 8 2 10 2" xfId="30507"/>
    <cellStyle name="Normal 6 8 2 11" xfId="30508"/>
    <cellStyle name="Normal 6 8 2 11 2" xfId="30509"/>
    <cellStyle name="Normal 6 8 2 12" xfId="30510"/>
    <cellStyle name="Normal 6 8 2 2" xfId="30511"/>
    <cellStyle name="Normal 6 8 2 2 10" xfId="30512"/>
    <cellStyle name="Normal 6 8 2 2 10 2" xfId="30513"/>
    <cellStyle name="Normal 6 8 2 2 11" xfId="30514"/>
    <cellStyle name="Normal 6 8 2 2 2" xfId="30515"/>
    <cellStyle name="Normal 6 8 2 2 2 2" xfId="30516"/>
    <cellStyle name="Normal 6 8 2 2 3" xfId="30517"/>
    <cellStyle name="Normal 6 8 2 2 3 2" xfId="30518"/>
    <cellStyle name="Normal 6 8 2 2 4" xfId="30519"/>
    <cellStyle name="Normal 6 8 2 2 4 2" xfId="30520"/>
    <cellStyle name="Normal 6 8 2 2 5" xfId="30521"/>
    <cellStyle name="Normal 6 8 2 2 5 2" xfId="30522"/>
    <cellStyle name="Normal 6 8 2 2 6" xfId="30523"/>
    <cellStyle name="Normal 6 8 2 2 6 2" xfId="30524"/>
    <cellStyle name="Normal 6 8 2 2 7" xfId="30525"/>
    <cellStyle name="Normal 6 8 2 2 7 2" xfId="30526"/>
    <cellStyle name="Normal 6 8 2 2 8" xfId="30527"/>
    <cellStyle name="Normal 6 8 2 2 8 2" xfId="30528"/>
    <cellStyle name="Normal 6 8 2 2 9" xfId="30529"/>
    <cellStyle name="Normal 6 8 2 2 9 2" xfId="30530"/>
    <cellStyle name="Normal 6 8 2 3" xfId="30531"/>
    <cellStyle name="Normal 6 8 2 3 2" xfId="30532"/>
    <cellStyle name="Normal 6 8 2 4" xfId="30533"/>
    <cellStyle name="Normal 6 8 2 4 2" xfId="30534"/>
    <cellStyle name="Normal 6 8 2 5" xfId="30535"/>
    <cellStyle name="Normal 6 8 2 5 2" xfId="30536"/>
    <cellStyle name="Normal 6 8 2 6" xfId="30537"/>
    <cellStyle name="Normal 6 8 2 6 2" xfId="30538"/>
    <cellStyle name="Normal 6 8 2 7" xfId="30539"/>
    <cellStyle name="Normal 6 8 2 7 2" xfId="30540"/>
    <cellStyle name="Normal 6 8 2 8" xfId="30541"/>
    <cellStyle name="Normal 6 8 2 8 2" xfId="30542"/>
    <cellStyle name="Normal 6 8 2 9" xfId="30543"/>
    <cellStyle name="Normal 6 8 2 9 2" xfId="30544"/>
    <cellStyle name="Normal 6 8 3" xfId="30545"/>
    <cellStyle name="Normal 6 8 3 10" xfId="30546"/>
    <cellStyle name="Normal 6 8 3 10 2" xfId="30547"/>
    <cellStyle name="Normal 6 8 3 11" xfId="30548"/>
    <cellStyle name="Normal 6 8 3 2" xfId="30549"/>
    <cellStyle name="Normal 6 8 3 2 2" xfId="30550"/>
    <cellStyle name="Normal 6 8 3 3" xfId="30551"/>
    <cellStyle name="Normal 6 8 3 3 2" xfId="30552"/>
    <cellStyle name="Normal 6 8 3 4" xfId="30553"/>
    <cellStyle name="Normal 6 8 3 4 2" xfId="30554"/>
    <cellStyle name="Normal 6 8 3 5" xfId="30555"/>
    <cellStyle name="Normal 6 8 3 5 2" xfId="30556"/>
    <cellStyle name="Normal 6 8 3 6" xfId="30557"/>
    <cellStyle name="Normal 6 8 3 6 2" xfId="30558"/>
    <cellStyle name="Normal 6 8 3 7" xfId="30559"/>
    <cellStyle name="Normal 6 8 3 7 2" xfId="30560"/>
    <cellStyle name="Normal 6 8 3 8" xfId="30561"/>
    <cellStyle name="Normal 6 8 3 8 2" xfId="30562"/>
    <cellStyle name="Normal 6 8 3 9" xfId="30563"/>
    <cellStyle name="Normal 6 8 3 9 2" xfId="30564"/>
    <cellStyle name="Normal 6 8 4" xfId="30565"/>
    <cellStyle name="Normal 6 8 4 2" xfId="30566"/>
    <cellStyle name="Normal 6 8 5" xfId="30567"/>
    <cellStyle name="Normal 6 8 5 2" xfId="30568"/>
    <cellStyle name="Normal 6 8 6" xfId="30569"/>
    <cellStyle name="Normal 6 8 6 2" xfId="30570"/>
    <cellStyle name="Normal 6 8 7" xfId="30571"/>
    <cellStyle name="Normal 6 8 7 2" xfId="30572"/>
    <cellStyle name="Normal 6 8 8" xfId="30573"/>
    <cellStyle name="Normal 6 8 8 2" xfId="30574"/>
    <cellStyle name="Normal 6 8 9" xfId="30575"/>
    <cellStyle name="Normal 6 8 9 2" xfId="30576"/>
    <cellStyle name="Normal 6 9" xfId="30577"/>
    <cellStyle name="Normal 6 9 10" xfId="30578"/>
    <cellStyle name="Normal 6 9 10 2" xfId="30579"/>
    <cellStyle name="Normal 6 9 11" xfId="30580"/>
    <cellStyle name="Normal 6 9 11 2" xfId="30581"/>
    <cellStyle name="Normal 6 9 12" xfId="30582"/>
    <cellStyle name="Normal 6 9 2" xfId="30583"/>
    <cellStyle name="Normal 6 9 2 10" xfId="30584"/>
    <cellStyle name="Normal 6 9 2 10 2" xfId="30585"/>
    <cellStyle name="Normal 6 9 2 11" xfId="30586"/>
    <cellStyle name="Normal 6 9 2 2" xfId="30587"/>
    <cellStyle name="Normal 6 9 2 2 2" xfId="30588"/>
    <cellStyle name="Normal 6 9 2 3" xfId="30589"/>
    <cellStyle name="Normal 6 9 2 3 2" xfId="30590"/>
    <cellStyle name="Normal 6 9 2 4" xfId="30591"/>
    <cellStyle name="Normal 6 9 2 4 2" xfId="30592"/>
    <cellStyle name="Normal 6 9 2 5" xfId="30593"/>
    <cellStyle name="Normal 6 9 2 5 2" xfId="30594"/>
    <cellStyle name="Normal 6 9 2 6" xfId="30595"/>
    <cellStyle name="Normal 6 9 2 6 2" xfId="30596"/>
    <cellStyle name="Normal 6 9 2 7" xfId="30597"/>
    <cellStyle name="Normal 6 9 2 7 2" xfId="30598"/>
    <cellStyle name="Normal 6 9 2 8" xfId="30599"/>
    <cellStyle name="Normal 6 9 2 8 2" xfId="30600"/>
    <cellStyle name="Normal 6 9 2 9" xfId="30601"/>
    <cellStyle name="Normal 6 9 2 9 2" xfId="30602"/>
    <cellStyle name="Normal 6 9 3" xfId="30603"/>
    <cellStyle name="Normal 6 9 3 2" xfId="30604"/>
    <cellStyle name="Normal 6 9 4" xfId="30605"/>
    <cellStyle name="Normal 6 9 4 2" xfId="30606"/>
    <cellStyle name="Normal 6 9 5" xfId="30607"/>
    <cellStyle name="Normal 6 9 5 2" xfId="30608"/>
    <cellStyle name="Normal 6 9 6" xfId="30609"/>
    <cellStyle name="Normal 6 9 6 2" xfId="30610"/>
    <cellStyle name="Normal 6 9 7" xfId="30611"/>
    <cellStyle name="Normal 6 9 7 2" xfId="30612"/>
    <cellStyle name="Normal 6 9 8" xfId="30613"/>
    <cellStyle name="Normal 6 9 8 2" xfId="30614"/>
    <cellStyle name="Normal 6 9 9" xfId="30615"/>
    <cellStyle name="Normal 6 9 9 2" xfId="30616"/>
    <cellStyle name="Normal 7" xfId="872"/>
    <cellStyle name="Normal 7 10" xfId="30617"/>
    <cellStyle name="Normal 7 10 2" xfId="30618"/>
    <cellStyle name="Normal 7 11" xfId="30619"/>
    <cellStyle name="Normal 7 11 2" xfId="30620"/>
    <cellStyle name="Normal 7 12" xfId="30621"/>
    <cellStyle name="Normal 7 12 2" xfId="30622"/>
    <cellStyle name="Normal 7 13" xfId="30623"/>
    <cellStyle name="Normal 7 13 2" xfId="30624"/>
    <cellStyle name="Normal 7 14" xfId="30625"/>
    <cellStyle name="Normal 7 14 2" xfId="30626"/>
    <cellStyle name="Normal 7 15" xfId="30627"/>
    <cellStyle name="Normal 7 15 2" xfId="30628"/>
    <cellStyle name="Normal 7 16" xfId="30629"/>
    <cellStyle name="Normal 7 16 2" xfId="30630"/>
    <cellStyle name="Normal 7 17" xfId="30631"/>
    <cellStyle name="Normal 7 17 2" xfId="30632"/>
    <cellStyle name="Normal 7 18" xfId="30633"/>
    <cellStyle name="Normal 7 18 2" xfId="30634"/>
    <cellStyle name="Normal 7 19" xfId="30635"/>
    <cellStyle name="Normal 7 2" xfId="873"/>
    <cellStyle name="Normal 7 2 10" xfId="30636"/>
    <cellStyle name="Normal 7 2 10 2" xfId="30637"/>
    <cellStyle name="Normal 7 2 11" xfId="30638"/>
    <cellStyle name="Normal 7 2 11 2" xfId="30639"/>
    <cellStyle name="Normal 7 2 12" xfId="30640"/>
    <cellStyle name="Normal 7 2 12 2" xfId="30641"/>
    <cellStyle name="Normal 7 2 13" xfId="30642"/>
    <cellStyle name="Normal 7 2 13 2" xfId="30643"/>
    <cellStyle name="Normal 7 2 14" xfId="30644"/>
    <cellStyle name="Normal 7 2 14 2" xfId="30645"/>
    <cellStyle name="Normal 7 2 15" xfId="30646"/>
    <cellStyle name="Normal 7 2 15 2" xfId="30647"/>
    <cellStyle name="Normal 7 2 16" xfId="30648"/>
    <cellStyle name="Normal 7 2 16 2" xfId="30649"/>
    <cellStyle name="Normal 7 2 17" xfId="30650"/>
    <cellStyle name="Normal 7 2 18" xfId="30651"/>
    <cellStyle name="Normal 7 2 19" xfId="30652"/>
    <cellStyle name="Normal 7 2 2" xfId="30653"/>
    <cellStyle name="Normal 7 2 2 10" xfId="30654"/>
    <cellStyle name="Normal 7 2 2 10 2" xfId="30655"/>
    <cellStyle name="Normal 7 2 2 11" xfId="30656"/>
    <cellStyle name="Normal 7 2 2 11 2" xfId="30657"/>
    <cellStyle name="Normal 7 2 2 12" xfId="30658"/>
    <cellStyle name="Normal 7 2 2 12 2" xfId="30659"/>
    <cellStyle name="Normal 7 2 2 13" xfId="30660"/>
    <cellStyle name="Normal 7 2 2 2" xfId="30661"/>
    <cellStyle name="Normal 7 2 2 2 10" xfId="30662"/>
    <cellStyle name="Normal 7 2 2 2 10 2" xfId="30663"/>
    <cellStyle name="Normal 7 2 2 2 11" xfId="30664"/>
    <cellStyle name="Normal 7 2 2 2 11 2" xfId="30665"/>
    <cellStyle name="Normal 7 2 2 2 12" xfId="30666"/>
    <cellStyle name="Normal 7 2 2 2 2" xfId="30667"/>
    <cellStyle name="Normal 7 2 2 2 2 10" xfId="30668"/>
    <cellStyle name="Normal 7 2 2 2 2 10 2" xfId="30669"/>
    <cellStyle name="Normal 7 2 2 2 2 11" xfId="30670"/>
    <cellStyle name="Normal 7 2 2 2 2 2" xfId="30671"/>
    <cellStyle name="Normal 7 2 2 2 2 2 2" xfId="30672"/>
    <cellStyle name="Normal 7 2 2 2 2 3" xfId="30673"/>
    <cellStyle name="Normal 7 2 2 2 2 3 2" xfId="30674"/>
    <cellStyle name="Normal 7 2 2 2 2 4" xfId="30675"/>
    <cellStyle name="Normal 7 2 2 2 2 4 2" xfId="30676"/>
    <cellStyle name="Normal 7 2 2 2 2 5" xfId="30677"/>
    <cellStyle name="Normal 7 2 2 2 2 5 2" xfId="30678"/>
    <cellStyle name="Normal 7 2 2 2 2 6" xfId="30679"/>
    <cellStyle name="Normal 7 2 2 2 2 6 2" xfId="30680"/>
    <cellStyle name="Normal 7 2 2 2 2 7" xfId="30681"/>
    <cellStyle name="Normal 7 2 2 2 2 7 2" xfId="30682"/>
    <cellStyle name="Normal 7 2 2 2 2 8" xfId="30683"/>
    <cellStyle name="Normal 7 2 2 2 2 8 2" xfId="30684"/>
    <cellStyle name="Normal 7 2 2 2 2 9" xfId="30685"/>
    <cellStyle name="Normal 7 2 2 2 2 9 2" xfId="30686"/>
    <cellStyle name="Normal 7 2 2 2 3" xfId="30687"/>
    <cellStyle name="Normal 7 2 2 2 3 2" xfId="30688"/>
    <cellStyle name="Normal 7 2 2 2 4" xfId="30689"/>
    <cellStyle name="Normal 7 2 2 2 4 2" xfId="30690"/>
    <cellStyle name="Normal 7 2 2 2 5" xfId="30691"/>
    <cellStyle name="Normal 7 2 2 2 5 2" xfId="30692"/>
    <cellStyle name="Normal 7 2 2 2 6" xfId="30693"/>
    <cellStyle name="Normal 7 2 2 2 6 2" xfId="30694"/>
    <cellStyle name="Normal 7 2 2 2 7" xfId="30695"/>
    <cellStyle name="Normal 7 2 2 2 7 2" xfId="30696"/>
    <cellStyle name="Normal 7 2 2 2 8" xfId="30697"/>
    <cellStyle name="Normal 7 2 2 2 8 2" xfId="30698"/>
    <cellStyle name="Normal 7 2 2 2 9" xfId="30699"/>
    <cellStyle name="Normal 7 2 2 2 9 2" xfId="30700"/>
    <cellStyle name="Normal 7 2 2 3" xfId="30701"/>
    <cellStyle name="Normal 7 2 2 3 10" xfId="30702"/>
    <cellStyle name="Normal 7 2 2 3 10 2" xfId="30703"/>
    <cellStyle name="Normal 7 2 2 3 11" xfId="30704"/>
    <cellStyle name="Normal 7 2 2 3 2" xfId="30705"/>
    <cellStyle name="Normal 7 2 2 3 2 2" xfId="30706"/>
    <cellStyle name="Normal 7 2 2 3 3" xfId="30707"/>
    <cellStyle name="Normal 7 2 2 3 3 2" xfId="30708"/>
    <cellStyle name="Normal 7 2 2 3 4" xfId="30709"/>
    <cellStyle name="Normal 7 2 2 3 4 2" xfId="30710"/>
    <cellStyle name="Normal 7 2 2 3 5" xfId="30711"/>
    <cellStyle name="Normal 7 2 2 3 5 2" xfId="30712"/>
    <cellStyle name="Normal 7 2 2 3 6" xfId="30713"/>
    <cellStyle name="Normal 7 2 2 3 6 2" xfId="30714"/>
    <cellStyle name="Normal 7 2 2 3 7" xfId="30715"/>
    <cellStyle name="Normal 7 2 2 3 7 2" xfId="30716"/>
    <cellStyle name="Normal 7 2 2 3 8" xfId="30717"/>
    <cellStyle name="Normal 7 2 2 3 8 2" xfId="30718"/>
    <cellStyle name="Normal 7 2 2 3 9" xfId="30719"/>
    <cellStyle name="Normal 7 2 2 3 9 2" xfId="30720"/>
    <cellStyle name="Normal 7 2 2 4" xfId="30721"/>
    <cellStyle name="Normal 7 2 2 4 2" xfId="30722"/>
    <cellStyle name="Normal 7 2 2 5" xfId="30723"/>
    <cellStyle name="Normal 7 2 2 5 2" xfId="30724"/>
    <cellStyle name="Normal 7 2 2 6" xfId="30725"/>
    <cellStyle name="Normal 7 2 2 6 2" xfId="30726"/>
    <cellStyle name="Normal 7 2 2 7" xfId="30727"/>
    <cellStyle name="Normal 7 2 2 7 2" xfId="30728"/>
    <cellStyle name="Normal 7 2 2 8" xfId="30729"/>
    <cellStyle name="Normal 7 2 2 8 2" xfId="30730"/>
    <cellStyle name="Normal 7 2 2 9" xfId="30731"/>
    <cellStyle name="Normal 7 2 2 9 2" xfId="30732"/>
    <cellStyle name="Normal 7 2 20" xfId="1145"/>
    <cellStyle name="Normal 7 2 3" xfId="30733"/>
    <cellStyle name="Normal 7 2 3 10" xfId="30734"/>
    <cellStyle name="Normal 7 2 3 10 2" xfId="30735"/>
    <cellStyle name="Normal 7 2 3 11" xfId="30736"/>
    <cellStyle name="Normal 7 2 3 11 2" xfId="30737"/>
    <cellStyle name="Normal 7 2 3 12" xfId="30738"/>
    <cellStyle name="Normal 7 2 3 12 2" xfId="30739"/>
    <cellStyle name="Normal 7 2 3 13" xfId="30740"/>
    <cellStyle name="Normal 7 2 3 2" xfId="30741"/>
    <cellStyle name="Normal 7 2 3 2 10" xfId="30742"/>
    <cellStyle name="Normal 7 2 3 2 10 2" xfId="30743"/>
    <cellStyle name="Normal 7 2 3 2 11" xfId="30744"/>
    <cellStyle name="Normal 7 2 3 2 11 2" xfId="30745"/>
    <cellStyle name="Normal 7 2 3 2 12" xfId="30746"/>
    <cellStyle name="Normal 7 2 3 2 2" xfId="30747"/>
    <cellStyle name="Normal 7 2 3 2 2 10" xfId="30748"/>
    <cellStyle name="Normal 7 2 3 2 2 10 2" xfId="30749"/>
    <cellStyle name="Normal 7 2 3 2 2 11" xfId="30750"/>
    <cellStyle name="Normal 7 2 3 2 2 2" xfId="30751"/>
    <cellStyle name="Normal 7 2 3 2 2 2 2" xfId="30752"/>
    <cellStyle name="Normal 7 2 3 2 2 3" xfId="30753"/>
    <cellStyle name="Normal 7 2 3 2 2 3 2" xfId="30754"/>
    <cellStyle name="Normal 7 2 3 2 2 4" xfId="30755"/>
    <cellStyle name="Normal 7 2 3 2 2 4 2" xfId="30756"/>
    <cellStyle name="Normal 7 2 3 2 2 5" xfId="30757"/>
    <cellStyle name="Normal 7 2 3 2 2 5 2" xfId="30758"/>
    <cellStyle name="Normal 7 2 3 2 2 6" xfId="30759"/>
    <cellStyle name="Normal 7 2 3 2 2 6 2" xfId="30760"/>
    <cellStyle name="Normal 7 2 3 2 2 7" xfId="30761"/>
    <cellStyle name="Normal 7 2 3 2 2 7 2" xfId="30762"/>
    <cellStyle name="Normal 7 2 3 2 2 8" xfId="30763"/>
    <cellStyle name="Normal 7 2 3 2 2 8 2" xfId="30764"/>
    <cellStyle name="Normal 7 2 3 2 2 9" xfId="30765"/>
    <cellStyle name="Normal 7 2 3 2 2 9 2" xfId="30766"/>
    <cellStyle name="Normal 7 2 3 2 3" xfId="30767"/>
    <cellStyle name="Normal 7 2 3 2 3 2" xfId="30768"/>
    <cellStyle name="Normal 7 2 3 2 4" xfId="30769"/>
    <cellStyle name="Normal 7 2 3 2 4 2" xfId="30770"/>
    <cellStyle name="Normal 7 2 3 2 5" xfId="30771"/>
    <cellStyle name="Normal 7 2 3 2 5 2" xfId="30772"/>
    <cellStyle name="Normal 7 2 3 2 6" xfId="30773"/>
    <cellStyle name="Normal 7 2 3 2 6 2" xfId="30774"/>
    <cellStyle name="Normal 7 2 3 2 7" xfId="30775"/>
    <cellStyle name="Normal 7 2 3 2 7 2" xfId="30776"/>
    <cellStyle name="Normal 7 2 3 2 8" xfId="30777"/>
    <cellStyle name="Normal 7 2 3 2 8 2" xfId="30778"/>
    <cellStyle name="Normal 7 2 3 2 9" xfId="30779"/>
    <cellStyle name="Normal 7 2 3 2 9 2" xfId="30780"/>
    <cellStyle name="Normal 7 2 3 3" xfId="30781"/>
    <cellStyle name="Normal 7 2 3 3 10" xfId="30782"/>
    <cellStyle name="Normal 7 2 3 3 10 2" xfId="30783"/>
    <cellStyle name="Normal 7 2 3 3 11" xfId="30784"/>
    <cellStyle name="Normal 7 2 3 3 2" xfId="30785"/>
    <cellStyle name="Normal 7 2 3 3 2 2" xfId="30786"/>
    <cellStyle name="Normal 7 2 3 3 3" xfId="30787"/>
    <cellStyle name="Normal 7 2 3 3 3 2" xfId="30788"/>
    <cellStyle name="Normal 7 2 3 3 4" xfId="30789"/>
    <cellStyle name="Normal 7 2 3 3 4 2" xfId="30790"/>
    <cellStyle name="Normal 7 2 3 3 5" xfId="30791"/>
    <cellStyle name="Normal 7 2 3 3 5 2" xfId="30792"/>
    <cellStyle name="Normal 7 2 3 3 6" xfId="30793"/>
    <cellStyle name="Normal 7 2 3 3 6 2" xfId="30794"/>
    <cellStyle name="Normal 7 2 3 3 7" xfId="30795"/>
    <cellStyle name="Normal 7 2 3 3 7 2" xfId="30796"/>
    <cellStyle name="Normal 7 2 3 3 8" xfId="30797"/>
    <cellStyle name="Normal 7 2 3 3 8 2" xfId="30798"/>
    <cellStyle name="Normal 7 2 3 3 9" xfId="30799"/>
    <cellStyle name="Normal 7 2 3 3 9 2" xfId="30800"/>
    <cellStyle name="Normal 7 2 3 4" xfId="30801"/>
    <cellStyle name="Normal 7 2 3 4 2" xfId="30802"/>
    <cellStyle name="Normal 7 2 3 5" xfId="30803"/>
    <cellStyle name="Normal 7 2 3 5 2" xfId="30804"/>
    <cellStyle name="Normal 7 2 3 6" xfId="30805"/>
    <cellStyle name="Normal 7 2 3 6 2" xfId="30806"/>
    <cellStyle name="Normal 7 2 3 7" xfId="30807"/>
    <cellStyle name="Normal 7 2 3 7 2" xfId="30808"/>
    <cellStyle name="Normal 7 2 3 8" xfId="30809"/>
    <cellStyle name="Normal 7 2 3 8 2" xfId="30810"/>
    <cellStyle name="Normal 7 2 3 9" xfId="30811"/>
    <cellStyle name="Normal 7 2 3 9 2" xfId="30812"/>
    <cellStyle name="Normal 7 2 4" xfId="30813"/>
    <cellStyle name="Normal 7 2 4 10" xfId="30814"/>
    <cellStyle name="Normal 7 2 4 10 2" xfId="30815"/>
    <cellStyle name="Normal 7 2 4 11" xfId="30816"/>
    <cellStyle name="Normal 7 2 4 11 2" xfId="30817"/>
    <cellStyle name="Normal 7 2 4 12" xfId="30818"/>
    <cellStyle name="Normal 7 2 4 12 2" xfId="30819"/>
    <cellStyle name="Normal 7 2 4 13" xfId="30820"/>
    <cellStyle name="Normal 7 2 4 2" xfId="30821"/>
    <cellStyle name="Normal 7 2 4 2 10" xfId="30822"/>
    <cellStyle name="Normal 7 2 4 2 10 2" xfId="30823"/>
    <cellStyle name="Normal 7 2 4 2 11" xfId="30824"/>
    <cellStyle name="Normal 7 2 4 2 11 2" xfId="30825"/>
    <cellStyle name="Normal 7 2 4 2 12" xfId="30826"/>
    <cellStyle name="Normal 7 2 4 2 2" xfId="30827"/>
    <cellStyle name="Normal 7 2 4 2 2 10" xfId="30828"/>
    <cellStyle name="Normal 7 2 4 2 2 10 2" xfId="30829"/>
    <cellStyle name="Normal 7 2 4 2 2 11" xfId="30830"/>
    <cellStyle name="Normal 7 2 4 2 2 2" xfId="30831"/>
    <cellStyle name="Normal 7 2 4 2 2 2 2" xfId="30832"/>
    <cellStyle name="Normal 7 2 4 2 2 3" xfId="30833"/>
    <cellStyle name="Normal 7 2 4 2 2 3 2" xfId="30834"/>
    <cellStyle name="Normal 7 2 4 2 2 4" xfId="30835"/>
    <cellStyle name="Normal 7 2 4 2 2 4 2" xfId="30836"/>
    <cellStyle name="Normal 7 2 4 2 2 5" xfId="30837"/>
    <cellStyle name="Normal 7 2 4 2 2 5 2" xfId="30838"/>
    <cellStyle name="Normal 7 2 4 2 2 6" xfId="30839"/>
    <cellStyle name="Normal 7 2 4 2 2 6 2" xfId="30840"/>
    <cellStyle name="Normal 7 2 4 2 2 7" xfId="30841"/>
    <cellStyle name="Normal 7 2 4 2 2 7 2" xfId="30842"/>
    <cellStyle name="Normal 7 2 4 2 2 8" xfId="30843"/>
    <cellStyle name="Normal 7 2 4 2 2 8 2" xfId="30844"/>
    <cellStyle name="Normal 7 2 4 2 2 9" xfId="30845"/>
    <cellStyle name="Normal 7 2 4 2 2 9 2" xfId="30846"/>
    <cellStyle name="Normal 7 2 4 2 3" xfId="30847"/>
    <cellStyle name="Normal 7 2 4 2 3 2" xfId="30848"/>
    <cellStyle name="Normal 7 2 4 2 4" xfId="30849"/>
    <cellStyle name="Normal 7 2 4 2 4 2" xfId="30850"/>
    <cellStyle name="Normal 7 2 4 2 5" xfId="30851"/>
    <cellStyle name="Normal 7 2 4 2 5 2" xfId="30852"/>
    <cellStyle name="Normal 7 2 4 2 6" xfId="30853"/>
    <cellStyle name="Normal 7 2 4 2 6 2" xfId="30854"/>
    <cellStyle name="Normal 7 2 4 2 7" xfId="30855"/>
    <cellStyle name="Normal 7 2 4 2 7 2" xfId="30856"/>
    <cellStyle name="Normal 7 2 4 2 8" xfId="30857"/>
    <cellStyle name="Normal 7 2 4 2 8 2" xfId="30858"/>
    <cellStyle name="Normal 7 2 4 2 9" xfId="30859"/>
    <cellStyle name="Normal 7 2 4 2 9 2" xfId="30860"/>
    <cellStyle name="Normal 7 2 4 3" xfId="30861"/>
    <cellStyle name="Normal 7 2 4 3 10" xfId="30862"/>
    <cellStyle name="Normal 7 2 4 3 10 2" xfId="30863"/>
    <cellStyle name="Normal 7 2 4 3 11" xfId="30864"/>
    <cellStyle name="Normal 7 2 4 3 2" xfId="30865"/>
    <cellStyle name="Normal 7 2 4 3 2 2" xfId="30866"/>
    <cellStyle name="Normal 7 2 4 3 3" xfId="30867"/>
    <cellStyle name="Normal 7 2 4 3 3 2" xfId="30868"/>
    <cellStyle name="Normal 7 2 4 3 4" xfId="30869"/>
    <cellStyle name="Normal 7 2 4 3 4 2" xfId="30870"/>
    <cellStyle name="Normal 7 2 4 3 5" xfId="30871"/>
    <cellStyle name="Normal 7 2 4 3 5 2" xfId="30872"/>
    <cellStyle name="Normal 7 2 4 3 6" xfId="30873"/>
    <cellStyle name="Normal 7 2 4 3 6 2" xfId="30874"/>
    <cellStyle name="Normal 7 2 4 3 7" xfId="30875"/>
    <cellStyle name="Normal 7 2 4 3 7 2" xfId="30876"/>
    <cellStyle name="Normal 7 2 4 3 8" xfId="30877"/>
    <cellStyle name="Normal 7 2 4 3 8 2" xfId="30878"/>
    <cellStyle name="Normal 7 2 4 3 9" xfId="30879"/>
    <cellStyle name="Normal 7 2 4 3 9 2" xfId="30880"/>
    <cellStyle name="Normal 7 2 4 4" xfId="30881"/>
    <cellStyle name="Normal 7 2 4 4 2" xfId="30882"/>
    <cellStyle name="Normal 7 2 4 5" xfId="30883"/>
    <cellStyle name="Normal 7 2 4 5 2" xfId="30884"/>
    <cellStyle name="Normal 7 2 4 6" xfId="30885"/>
    <cellStyle name="Normal 7 2 4 6 2" xfId="30886"/>
    <cellStyle name="Normal 7 2 4 7" xfId="30887"/>
    <cellStyle name="Normal 7 2 4 7 2" xfId="30888"/>
    <cellStyle name="Normal 7 2 4 8" xfId="30889"/>
    <cellStyle name="Normal 7 2 4 8 2" xfId="30890"/>
    <cellStyle name="Normal 7 2 4 9" xfId="30891"/>
    <cellStyle name="Normal 7 2 4 9 2" xfId="30892"/>
    <cellStyle name="Normal 7 2 5" xfId="30893"/>
    <cellStyle name="Normal 7 2 5 10" xfId="30894"/>
    <cellStyle name="Normal 7 2 5 10 2" xfId="30895"/>
    <cellStyle name="Normal 7 2 5 11" xfId="30896"/>
    <cellStyle name="Normal 7 2 5 11 2" xfId="30897"/>
    <cellStyle name="Normal 7 2 5 12" xfId="30898"/>
    <cellStyle name="Normal 7 2 5 12 2" xfId="30899"/>
    <cellStyle name="Normal 7 2 5 13" xfId="30900"/>
    <cellStyle name="Normal 7 2 5 2" xfId="30901"/>
    <cellStyle name="Normal 7 2 5 2 10" xfId="30902"/>
    <cellStyle name="Normal 7 2 5 2 10 2" xfId="30903"/>
    <cellStyle name="Normal 7 2 5 2 11" xfId="30904"/>
    <cellStyle name="Normal 7 2 5 2 11 2" xfId="30905"/>
    <cellStyle name="Normal 7 2 5 2 12" xfId="30906"/>
    <cellStyle name="Normal 7 2 5 2 2" xfId="30907"/>
    <cellStyle name="Normal 7 2 5 2 2 10" xfId="30908"/>
    <cellStyle name="Normal 7 2 5 2 2 10 2" xfId="30909"/>
    <cellStyle name="Normal 7 2 5 2 2 11" xfId="30910"/>
    <cellStyle name="Normal 7 2 5 2 2 2" xfId="30911"/>
    <cellStyle name="Normal 7 2 5 2 2 2 2" xfId="30912"/>
    <cellStyle name="Normal 7 2 5 2 2 3" xfId="30913"/>
    <cellStyle name="Normal 7 2 5 2 2 3 2" xfId="30914"/>
    <cellStyle name="Normal 7 2 5 2 2 4" xfId="30915"/>
    <cellStyle name="Normal 7 2 5 2 2 4 2" xfId="30916"/>
    <cellStyle name="Normal 7 2 5 2 2 5" xfId="30917"/>
    <cellStyle name="Normal 7 2 5 2 2 5 2" xfId="30918"/>
    <cellStyle name="Normal 7 2 5 2 2 6" xfId="30919"/>
    <cellStyle name="Normal 7 2 5 2 2 6 2" xfId="30920"/>
    <cellStyle name="Normal 7 2 5 2 2 7" xfId="30921"/>
    <cellStyle name="Normal 7 2 5 2 2 7 2" xfId="30922"/>
    <cellStyle name="Normal 7 2 5 2 2 8" xfId="30923"/>
    <cellStyle name="Normal 7 2 5 2 2 8 2" xfId="30924"/>
    <cellStyle name="Normal 7 2 5 2 2 9" xfId="30925"/>
    <cellStyle name="Normal 7 2 5 2 2 9 2" xfId="30926"/>
    <cellStyle name="Normal 7 2 5 2 3" xfId="30927"/>
    <cellStyle name="Normal 7 2 5 2 3 2" xfId="30928"/>
    <cellStyle name="Normal 7 2 5 2 4" xfId="30929"/>
    <cellStyle name="Normal 7 2 5 2 4 2" xfId="30930"/>
    <cellStyle name="Normal 7 2 5 2 5" xfId="30931"/>
    <cellStyle name="Normal 7 2 5 2 5 2" xfId="30932"/>
    <cellStyle name="Normal 7 2 5 2 6" xfId="30933"/>
    <cellStyle name="Normal 7 2 5 2 6 2" xfId="30934"/>
    <cellStyle name="Normal 7 2 5 2 7" xfId="30935"/>
    <cellStyle name="Normal 7 2 5 2 7 2" xfId="30936"/>
    <cellStyle name="Normal 7 2 5 2 8" xfId="30937"/>
    <cellStyle name="Normal 7 2 5 2 8 2" xfId="30938"/>
    <cellStyle name="Normal 7 2 5 2 9" xfId="30939"/>
    <cellStyle name="Normal 7 2 5 2 9 2" xfId="30940"/>
    <cellStyle name="Normal 7 2 5 3" xfId="30941"/>
    <cellStyle name="Normal 7 2 5 3 10" xfId="30942"/>
    <cellStyle name="Normal 7 2 5 3 10 2" xfId="30943"/>
    <cellStyle name="Normal 7 2 5 3 11" xfId="30944"/>
    <cellStyle name="Normal 7 2 5 3 2" xfId="30945"/>
    <cellStyle name="Normal 7 2 5 3 2 2" xfId="30946"/>
    <cellStyle name="Normal 7 2 5 3 3" xfId="30947"/>
    <cellStyle name="Normal 7 2 5 3 3 2" xfId="30948"/>
    <cellStyle name="Normal 7 2 5 3 4" xfId="30949"/>
    <cellStyle name="Normal 7 2 5 3 4 2" xfId="30950"/>
    <cellStyle name="Normal 7 2 5 3 5" xfId="30951"/>
    <cellStyle name="Normal 7 2 5 3 5 2" xfId="30952"/>
    <cellStyle name="Normal 7 2 5 3 6" xfId="30953"/>
    <cellStyle name="Normal 7 2 5 3 6 2" xfId="30954"/>
    <cellStyle name="Normal 7 2 5 3 7" xfId="30955"/>
    <cellStyle name="Normal 7 2 5 3 7 2" xfId="30956"/>
    <cellStyle name="Normal 7 2 5 3 8" xfId="30957"/>
    <cellStyle name="Normal 7 2 5 3 8 2" xfId="30958"/>
    <cellStyle name="Normal 7 2 5 3 9" xfId="30959"/>
    <cellStyle name="Normal 7 2 5 3 9 2" xfId="30960"/>
    <cellStyle name="Normal 7 2 5 4" xfId="30961"/>
    <cellStyle name="Normal 7 2 5 4 2" xfId="30962"/>
    <cellStyle name="Normal 7 2 5 5" xfId="30963"/>
    <cellStyle name="Normal 7 2 5 5 2" xfId="30964"/>
    <cellStyle name="Normal 7 2 5 6" xfId="30965"/>
    <cellStyle name="Normal 7 2 5 6 2" xfId="30966"/>
    <cellStyle name="Normal 7 2 5 7" xfId="30967"/>
    <cellStyle name="Normal 7 2 5 7 2" xfId="30968"/>
    <cellStyle name="Normal 7 2 5 8" xfId="30969"/>
    <cellStyle name="Normal 7 2 5 8 2" xfId="30970"/>
    <cellStyle name="Normal 7 2 5 9" xfId="30971"/>
    <cellStyle name="Normal 7 2 5 9 2" xfId="30972"/>
    <cellStyle name="Normal 7 2 6" xfId="30973"/>
    <cellStyle name="Normal 7 2 6 10" xfId="30974"/>
    <cellStyle name="Normal 7 2 6 10 2" xfId="30975"/>
    <cellStyle name="Normal 7 2 6 11" xfId="30976"/>
    <cellStyle name="Normal 7 2 6 11 2" xfId="30977"/>
    <cellStyle name="Normal 7 2 6 12" xfId="30978"/>
    <cellStyle name="Normal 7 2 6 2" xfId="30979"/>
    <cellStyle name="Normal 7 2 6 2 10" xfId="30980"/>
    <cellStyle name="Normal 7 2 6 2 10 2" xfId="30981"/>
    <cellStyle name="Normal 7 2 6 2 11" xfId="30982"/>
    <cellStyle name="Normal 7 2 6 2 2" xfId="30983"/>
    <cellStyle name="Normal 7 2 6 2 2 2" xfId="30984"/>
    <cellStyle name="Normal 7 2 6 2 3" xfId="30985"/>
    <cellStyle name="Normal 7 2 6 2 3 2" xfId="30986"/>
    <cellStyle name="Normal 7 2 6 2 4" xfId="30987"/>
    <cellStyle name="Normal 7 2 6 2 4 2" xfId="30988"/>
    <cellStyle name="Normal 7 2 6 2 5" xfId="30989"/>
    <cellStyle name="Normal 7 2 6 2 5 2" xfId="30990"/>
    <cellStyle name="Normal 7 2 6 2 6" xfId="30991"/>
    <cellStyle name="Normal 7 2 6 2 6 2" xfId="30992"/>
    <cellStyle name="Normal 7 2 6 2 7" xfId="30993"/>
    <cellStyle name="Normal 7 2 6 2 7 2" xfId="30994"/>
    <cellStyle name="Normal 7 2 6 2 8" xfId="30995"/>
    <cellStyle name="Normal 7 2 6 2 8 2" xfId="30996"/>
    <cellStyle name="Normal 7 2 6 2 9" xfId="30997"/>
    <cellStyle name="Normal 7 2 6 2 9 2" xfId="30998"/>
    <cellStyle name="Normal 7 2 6 3" xfId="30999"/>
    <cellStyle name="Normal 7 2 6 3 2" xfId="31000"/>
    <cellStyle name="Normal 7 2 6 4" xfId="31001"/>
    <cellStyle name="Normal 7 2 6 4 2" xfId="31002"/>
    <cellStyle name="Normal 7 2 6 5" xfId="31003"/>
    <cellStyle name="Normal 7 2 6 5 2" xfId="31004"/>
    <cellStyle name="Normal 7 2 6 6" xfId="31005"/>
    <cellStyle name="Normal 7 2 6 6 2" xfId="31006"/>
    <cellStyle name="Normal 7 2 6 7" xfId="31007"/>
    <cellStyle name="Normal 7 2 6 7 2" xfId="31008"/>
    <cellStyle name="Normal 7 2 6 8" xfId="31009"/>
    <cellStyle name="Normal 7 2 6 8 2" xfId="31010"/>
    <cellStyle name="Normal 7 2 6 9" xfId="31011"/>
    <cellStyle name="Normal 7 2 6 9 2" xfId="31012"/>
    <cellStyle name="Normal 7 2 7" xfId="31013"/>
    <cellStyle name="Normal 7 2 7 10" xfId="31014"/>
    <cellStyle name="Normal 7 2 7 10 2" xfId="31015"/>
    <cellStyle name="Normal 7 2 7 11" xfId="31016"/>
    <cellStyle name="Normal 7 2 7 2" xfId="31017"/>
    <cellStyle name="Normal 7 2 7 2 2" xfId="31018"/>
    <cellStyle name="Normal 7 2 7 3" xfId="31019"/>
    <cellStyle name="Normal 7 2 7 3 2" xfId="31020"/>
    <cellStyle name="Normal 7 2 7 4" xfId="31021"/>
    <cellStyle name="Normal 7 2 7 4 2" xfId="31022"/>
    <cellStyle name="Normal 7 2 7 5" xfId="31023"/>
    <cellStyle name="Normal 7 2 7 5 2" xfId="31024"/>
    <cellStyle name="Normal 7 2 7 6" xfId="31025"/>
    <cellStyle name="Normal 7 2 7 6 2" xfId="31026"/>
    <cellStyle name="Normal 7 2 7 7" xfId="31027"/>
    <cellStyle name="Normal 7 2 7 7 2" xfId="31028"/>
    <cellStyle name="Normal 7 2 7 8" xfId="31029"/>
    <cellStyle name="Normal 7 2 7 8 2" xfId="31030"/>
    <cellStyle name="Normal 7 2 7 9" xfId="31031"/>
    <cellStyle name="Normal 7 2 7 9 2" xfId="31032"/>
    <cellStyle name="Normal 7 2 8" xfId="31033"/>
    <cellStyle name="Normal 7 2 8 2" xfId="31034"/>
    <cellStyle name="Normal 7 2 9" xfId="31035"/>
    <cellStyle name="Normal 7 2 9 2" xfId="31036"/>
    <cellStyle name="Normal 7 20" xfId="31037"/>
    <cellStyle name="Normal 7 21" xfId="31038"/>
    <cellStyle name="Normal 7 22" xfId="1144"/>
    <cellStyle name="Normal 7 3" xfId="31039"/>
    <cellStyle name="Normal 7 3 10" xfId="31040"/>
    <cellStyle name="Normal 7 3 10 2" xfId="31041"/>
    <cellStyle name="Normal 7 3 11" xfId="31042"/>
    <cellStyle name="Normal 7 3 11 2" xfId="31043"/>
    <cellStyle name="Normal 7 3 12" xfId="31044"/>
    <cellStyle name="Normal 7 3 12 2" xfId="31045"/>
    <cellStyle name="Normal 7 3 13" xfId="31046"/>
    <cellStyle name="Normal 7 3 2" xfId="31047"/>
    <cellStyle name="Normal 7 3 2 10" xfId="31048"/>
    <cellStyle name="Normal 7 3 2 10 2" xfId="31049"/>
    <cellStyle name="Normal 7 3 2 11" xfId="31050"/>
    <cellStyle name="Normal 7 3 2 11 2" xfId="31051"/>
    <cellStyle name="Normal 7 3 2 12" xfId="31052"/>
    <cellStyle name="Normal 7 3 2 2" xfId="31053"/>
    <cellStyle name="Normal 7 3 2 2 10" xfId="31054"/>
    <cellStyle name="Normal 7 3 2 2 10 2" xfId="31055"/>
    <cellStyle name="Normal 7 3 2 2 11" xfId="31056"/>
    <cellStyle name="Normal 7 3 2 2 2" xfId="31057"/>
    <cellStyle name="Normal 7 3 2 2 2 2" xfId="31058"/>
    <cellStyle name="Normal 7 3 2 2 3" xfId="31059"/>
    <cellStyle name="Normal 7 3 2 2 3 2" xfId="31060"/>
    <cellStyle name="Normal 7 3 2 2 4" xfId="31061"/>
    <cellStyle name="Normal 7 3 2 2 4 2" xfId="31062"/>
    <cellStyle name="Normal 7 3 2 2 5" xfId="31063"/>
    <cellStyle name="Normal 7 3 2 2 5 2" xfId="31064"/>
    <cellStyle name="Normal 7 3 2 2 6" xfId="31065"/>
    <cellStyle name="Normal 7 3 2 2 6 2" xfId="31066"/>
    <cellStyle name="Normal 7 3 2 2 7" xfId="31067"/>
    <cellStyle name="Normal 7 3 2 2 7 2" xfId="31068"/>
    <cellStyle name="Normal 7 3 2 2 8" xfId="31069"/>
    <cellStyle name="Normal 7 3 2 2 8 2" xfId="31070"/>
    <cellStyle name="Normal 7 3 2 2 9" xfId="31071"/>
    <cellStyle name="Normal 7 3 2 2 9 2" xfId="31072"/>
    <cellStyle name="Normal 7 3 2 3" xfId="31073"/>
    <cellStyle name="Normal 7 3 2 3 2" xfId="31074"/>
    <cellStyle name="Normal 7 3 2 4" xfId="31075"/>
    <cellStyle name="Normal 7 3 2 4 2" xfId="31076"/>
    <cellStyle name="Normal 7 3 2 5" xfId="31077"/>
    <cellStyle name="Normal 7 3 2 5 2" xfId="31078"/>
    <cellStyle name="Normal 7 3 2 6" xfId="31079"/>
    <cellStyle name="Normal 7 3 2 6 2" xfId="31080"/>
    <cellStyle name="Normal 7 3 2 7" xfId="31081"/>
    <cellStyle name="Normal 7 3 2 7 2" xfId="31082"/>
    <cellStyle name="Normal 7 3 2 8" xfId="31083"/>
    <cellStyle name="Normal 7 3 2 8 2" xfId="31084"/>
    <cellStyle name="Normal 7 3 2 9" xfId="31085"/>
    <cellStyle name="Normal 7 3 2 9 2" xfId="31086"/>
    <cellStyle name="Normal 7 3 3" xfId="31087"/>
    <cellStyle name="Normal 7 3 3 10" xfId="31088"/>
    <cellStyle name="Normal 7 3 3 10 2" xfId="31089"/>
    <cellStyle name="Normal 7 3 3 11" xfId="31090"/>
    <cellStyle name="Normal 7 3 3 2" xfId="31091"/>
    <cellStyle name="Normal 7 3 3 2 2" xfId="31092"/>
    <cellStyle name="Normal 7 3 3 3" xfId="31093"/>
    <cellStyle name="Normal 7 3 3 3 2" xfId="31094"/>
    <cellStyle name="Normal 7 3 3 4" xfId="31095"/>
    <cellStyle name="Normal 7 3 3 4 2" xfId="31096"/>
    <cellStyle name="Normal 7 3 3 5" xfId="31097"/>
    <cellStyle name="Normal 7 3 3 5 2" xfId="31098"/>
    <cellStyle name="Normal 7 3 3 6" xfId="31099"/>
    <cellStyle name="Normal 7 3 3 6 2" xfId="31100"/>
    <cellStyle name="Normal 7 3 3 7" xfId="31101"/>
    <cellStyle name="Normal 7 3 3 7 2" xfId="31102"/>
    <cellStyle name="Normal 7 3 3 8" xfId="31103"/>
    <cellStyle name="Normal 7 3 3 8 2" xfId="31104"/>
    <cellStyle name="Normal 7 3 3 9" xfId="31105"/>
    <cellStyle name="Normal 7 3 3 9 2" xfId="31106"/>
    <cellStyle name="Normal 7 3 4" xfId="31107"/>
    <cellStyle name="Normal 7 3 4 2" xfId="31108"/>
    <cellStyle name="Normal 7 3 5" xfId="31109"/>
    <cellStyle name="Normal 7 3 5 2" xfId="31110"/>
    <cellStyle name="Normal 7 3 6" xfId="31111"/>
    <cellStyle name="Normal 7 3 6 2" xfId="31112"/>
    <cellStyle name="Normal 7 3 7" xfId="31113"/>
    <cellStyle name="Normal 7 3 7 2" xfId="31114"/>
    <cellStyle name="Normal 7 3 8" xfId="31115"/>
    <cellStyle name="Normal 7 3 8 2" xfId="31116"/>
    <cellStyle name="Normal 7 3 9" xfId="31117"/>
    <cellStyle name="Normal 7 3 9 2" xfId="31118"/>
    <cellStyle name="Normal 7 4" xfId="31119"/>
    <cellStyle name="Normal 7 4 10" xfId="31120"/>
    <cellStyle name="Normal 7 4 10 2" xfId="31121"/>
    <cellStyle name="Normal 7 4 11" xfId="31122"/>
    <cellStyle name="Normal 7 4 11 2" xfId="31123"/>
    <cellStyle name="Normal 7 4 12" xfId="31124"/>
    <cellStyle name="Normal 7 4 12 2" xfId="31125"/>
    <cellStyle name="Normal 7 4 13" xfId="31126"/>
    <cellStyle name="Normal 7 4 2" xfId="31127"/>
    <cellStyle name="Normal 7 4 2 10" xfId="31128"/>
    <cellStyle name="Normal 7 4 2 10 2" xfId="31129"/>
    <cellStyle name="Normal 7 4 2 11" xfId="31130"/>
    <cellStyle name="Normal 7 4 2 11 2" xfId="31131"/>
    <cellStyle name="Normal 7 4 2 12" xfId="31132"/>
    <cellStyle name="Normal 7 4 2 2" xfId="31133"/>
    <cellStyle name="Normal 7 4 2 2 10" xfId="31134"/>
    <cellStyle name="Normal 7 4 2 2 10 2" xfId="31135"/>
    <cellStyle name="Normal 7 4 2 2 11" xfId="31136"/>
    <cellStyle name="Normal 7 4 2 2 2" xfId="31137"/>
    <cellStyle name="Normal 7 4 2 2 2 2" xfId="31138"/>
    <cellStyle name="Normal 7 4 2 2 3" xfId="31139"/>
    <cellStyle name="Normal 7 4 2 2 3 2" xfId="31140"/>
    <cellStyle name="Normal 7 4 2 2 4" xfId="31141"/>
    <cellStyle name="Normal 7 4 2 2 4 2" xfId="31142"/>
    <cellStyle name="Normal 7 4 2 2 5" xfId="31143"/>
    <cellStyle name="Normal 7 4 2 2 5 2" xfId="31144"/>
    <cellStyle name="Normal 7 4 2 2 6" xfId="31145"/>
    <cellStyle name="Normal 7 4 2 2 6 2" xfId="31146"/>
    <cellStyle name="Normal 7 4 2 2 7" xfId="31147"/>
    <cellStyle name="Normal 7 4 2 2 7 2" xfId="31148"/>
    <cellStyle name="Normal 7 4 2 2 8" xfId="31149"/>
    <cellStyle name="Normal 7 4 2 2 8 2" xfId="31150"/>
    <cellStyle name="Normal 7 4 2 2 9" xfId="31151"/>
    <cellStyle name="Normal 7 4 2 2 9 2" xfId="31152"/>
    <cellStyle name="Normal 7 4 2 3" xfId="31153"/>
    <cellStyle name="Normal 7 4 2 3 2" xfId="31154"/>
    <cellStyle name="Normal 7 4 2 4" xfId="31155"/>
    <cellStyle name="Normal 7 4 2 4 2" xfId="31156"/>
    <cellStyle name="Normal 7 4 2 5" xfId="31157"/>
    <cellStyle name="Normal 7 4 2 5 2" xfId="31158"/>
    <cellStyle name="Normal 7 4 2 6" xfId="31159"/>
    <cellStyle name="Normal 7 4 2 6 2" xfId="31160"/>
    <cellStyle name="Normal 7 4 2 7" xfId="31161"/>
    <cellStyle name="Normal 7 4 2 7 2" xfId="31162"/>
    <cellStyle name="Normal 7 4 2 8" xfId="31163"/>
    <cellStyle name="Normal 7 4 2 8 2" xfId="31164"/>
    <cellStyle name="Normal 7 4 2 9" xfId="31165"/>
    <cellStyle name="Normal 7 4 2 9 2" xfId="31166"/>
    <cellStyle name="Normal 7 4 3" xfId="31167"/>
    <cellStyle name="Normal 7 4 3 10" xfId="31168"/>
    <cellStyle name="Normal 7 4 3 10 2" xfId="31169"/>
    <cellStyle name="Normal 7 4 3 11" xfId="31170"/>
    <cellStyle name="Normal 7 4 3 2" xfId="31171"/>
    <cellStyle name="Normal 7 4 3 2 2" xfId="31172"/>
    <cellStyle name="Normal 7 4 3 3" xfId="31173"/>
    <cellStyle name="Normal 7 4 3 3 2" xfId="31174"/>
    <cellStyle name="Normal 7 4 3 4" xfId="31175"/>
    <cellStyle name="Normal 7 4 3 4 2" xfId="31176"/>
    <cellStyle name="Normal 7 4 3 5" xfId="31177"/>
    <cellStyle name="Normal 7 4 3 5 2" xfId="31178"/>
    <cellStyle name="Normal 7 4 3 6" xfId="31179"/>
    <cellStyle name="Normal 7 4 3 6 2" xfId="31180"/>
    <cellStyle name="Normal 7 4 3 7" xfId="31181"/>
    <cellStyle name="Normal 7 4 3 7 2" xfId="31182"/>
    <cellStyle name="Normal 7 4 3 8" xfId="31183"/>
    <cellStyle name="Normal 7 4 3 8 2" xfId="31184"/>
    <cellStyle name="Normal 7 4 3 9" xfId="31185"/>
    <cellStyle name="Normal 7 4 3 9 2" xfId="31186"/>
    <cellStyle name="Normal 7 4 4" xfId="31187"/>
    <cellStyle name="Normal 7 4 4 2" xfId="31188"/>
    <cellStyle name="Normal 7 4 5" xfId="31189"/>
    <cellStyle name="Normal 7 4 5 2" xfId="31190"/>
    <cellStyle name="Normal 7 4 6" xfId="31191"/>
    <cellStyle name="Normal 7 4 6 2" xfId="31192"/>
    <cellStyle name="Normal 7 4 7" xfId="31193"/>
    <cellStyle name="Normal 7 4 7 2" xfId="31194"/>
    <cellStyle name="Normal 7 4 8" xfId="31195"/>
    <cellStyle name="Normal 7 4 8 2" xfId="31196"/>
    <cellStyle name="Normal 7 4 9" xfId="31197"/>
    <cellStyle name="Normal 7 4 9 2" xfId="31198"/>
    <cellStyle name="Normal 7 5" xfId="31199"/>
    <cellStyle name="Normal 7 5 10" xfId="31200"/>
    <cellStyle name="Normal 7 5 10 2" xfId="31201"/>
    <cellStyle name="Normal 7 5 11" xfId="31202"/>
    <cellStyle name="Normal 7 5 11 2" xfId="31203"/>
    <cellStyle name="Normal 7 5 12" xfId="31204"/>
    <cellStyle name="Normal 7 5 12 2" xfId="31205"/>
    <cellStyle name="Normal 7 5 13" xfId="31206"/>
    <cellStyle name="Normal 7 5 2" xfId="31207"/>
    <cellStyle name="Normal 7 5 2 10" xfId="31208"/>
    <cellStyle name="Normal 7 5 2 10 2" xfId="31209"/>
    <cellStyle name="Normal 7 5 2 11" xfId="31210"/>
    <cellStyle name="Normal 7 5 2 11 2" xfId="31211"/>
    <cellStyle name="Normal 7 5 2 12" xfId="31212"/>
    <cellStyle name="Normal 7 5 2 2" xfId="31213"/>
    <cellStyle name="Normal 7 5 2 2 10" xfId="31214"/>
    <cellStyle name="Normal 7 5 2 2 10 2" xfId="31215"/>
    <cellStyle name="Normal 7 5 2 2 11" xfId="31216"/>
    <cellStyle name="Normal 7 5 2 2 2" xfId="31217"/>
    <cellStyle name="Normal 7 5 2 2 2 2" xfId="31218"/>
    <cellStyle name="Normal 7 5 2 2 3" xfId="31219"/>
    <cellStyle name="Normal 7 5 2 2 3 2" xfId="31220"/>
    <cellStyle name="Normal 7 5 2 2 4" xfId="31221"/>
    <cellStyle name="Normal 7 5 2 2 4 2" xfId="31222"/>
    <cellStyle name="Normal 7 5 2 2 5" xfId="31223"/>
    <cellStyle name="Normal 7 5 2 2 5 2" xfId="31224"/>
    <cellStyle name="Normal 7 5 2 2 6" xfId="31225"/>
    <cellStyle name="Normal 7 5 2 2 6 2" xfId="31226"/>
    <cellStyle name="Normal 7 5 2 2 7" xfId="31227"/>
    <cellStyle name="Normal 7 5 2 2 7 2" xfId="31228"/>
    <cellStyle name="Normal 7 5 2 2 8" xfId="31229"/>
    <cellStyle name="Normal 7 5 2 2 8 2" xfId="31230"/>
    <cellStyle name="Normal 7 5 2 2 9" xfId="31231"/>
    <cellStyle name="Normal 7 5 2 2 9 2" xfId="31232"/>
    <cellStyle name="Normal 7 5 2 3" xfId="31233"/>
    <cellStyle name="Normal 7 5 2 3 2" xfId="31234"/>
    <cellStyle name="Normal 7 5 2 4" xfId="31235"/>
    <cellStyle name="Normal 7 5 2 4 2" xfId="31236"/>
    <cellStyle name="Normal 7 5 2 5" xfId="31237"/>
    <cellStyle name="Normal 7 5 2 5 2" xfId="31238"/>
    <cellStyle name="Normal 7 5 2 6" xfId="31239"/>
    <cellStyle name="Normal 7 5 2 6 2" xfId="31240"/>
    <cellStyle name="Normal 7 5 2 7" xfId="31241"/>
    <cellStyle name="Normal 7 5 2 7 2" xfId="31242"/>
    <cellStyle name="Normal 7 5 2 8" xfId="31243"/>
    <cellStyle name="Normal 7 5 2 8 2" xfId="31244"/>
    <cellStyle name="Normal 7 5 2 9" xfId="31245"/>
    <cellStyle name="Normal 7 5 2 9 2" xfId="31246"/>
    <cellStyle name="Normal 7 5 3" xfId="31247"/>
    <cellStyle name="Normal 7 5 3 10" xfId="31248"/>
    <cellStyle name="Normal 7 5 3 10 2" xfId="31249"/>
    <cellStyle name="Normal 7 5 3 11" xfId="31250"/>
    <cellStyle name="Normal 7 5 3 2" xfId="31251"/>
    <cellStyle name="Normal 7 5 3 2 2" xfId="31252"/>
    <cellStyle name="Normal 7 5 3 3" xfId="31253"/>
    <cellStyle name="Normal 7 5 3 3 2" xfId="31254"/>
    <cellStyle name="Normal 7 5 3 4" xfId="31255"/>
    <cellStyle name="Normal 7 5 3 4 2" xfId="31256"/>
    <cellStyle name="Normal 7 5 3 5" xfId="31257"/>
    <cellStyle name="Normal 7 5 3 5 2" xfId="31258"/>
    <cellStyle name="Normal 7 5 3 6" xfId="31259"/>
    <cellStyle name="Normal 7 5 3 6 2" xfId="31260"/>
    <cellStyle name="Normal 7 5 3 7" xfId="31261"/>
    <cellStyle name="Normal 7 5 3 7 2" xfId="31262"/>
    <cellStyle name="Normal 7 5 3 8" xfId="31263"/>
    <cellStyle name="Normal 7 5 3 8 2" xfId="31264"/>
    <cellStyle name="Normal 7 5 3 9" xfId="31265"/>
    <cellStyle name="Normal 7 5 3 9 2" xfId="31266"/>
    <cellStyle name="Normal 7 5 4" xfId="31267"/>
    <cellStyle name="Normal 7 5 4 2" xfId="31268"/>
    <cellStyle name="Normal 7 5 5" xfId="31269"/>
    <cellStyle name="Normal 7 5 5 2" xfId="31270"/>
    <cellStyle name="Normal 7 5 6" xfId="31271"/>
    <cellStyle name="Normal 7 5 6 2" xfId="31272"/>
    <cellStyle name="Normal 7 5 7" xfId="31273"/>
    <cellStyle name="Normal 7 5 7 2" xfId="31274"/>
    <cellStyle name="Normal 7 5 8" xfId="31275"/>
    <cellStyle name="Normal 7 5 8 2" xfId="31276"/>
    <cellStyle name="Normal 7 5 9" xfId="31277"/>
    <cellStyle name="Normal 7 5 9 2" xfId="31278"/>
    <cellStyle name="Normal 7 6" xfId="31279"/>
    <cellStyle name="Normal 7 6 10" xfId="31280"/>
    <cellStyle name="Normal 7 6 10 2" xfId="31281"/>
    <cellStyle name="Normal 7 6 11" xfId="31282"/>
    <cellStyle name="Normal 7 6 11 2" xfId="31283"/>
    <cellStyle name="Normal 7 6 12" xfId="31284"/>
    <cellStyle name="Normal 7 6 12 2" xfId="31285"/>
    <cellStyle name="Normal 7 6 13" xfId="31286"/>
    <cellStyle name="Normal 7 6 2" xfId="31287"/>
    <cellStyle name="Normal 7 6 2 10" xfId="31288"/>
    <cellStyle name="Normal 7 6 2 10 2" xfId="31289"/>
    <cellStyle name="Normal 7 6 2 11" xfId="31290"/>
    <cellStyle name="Normal 7 6 2 11 2" xfId="31291"/>
    <cellStyle name="Normal 7 6 2 12" xfId="31292"/>
    <cellStyle name="Normal 7 6 2 2" xfId="31293"/>
    <cellStyle name="Normal 7 6 2 2 10" xfId="31294"/>
    <cellStyle name="Normal 7 6 2 2 10 2" xfId="31295"/>
    <cellStyle name="Normal 7 6 2 2 11" xfId="31296"/>
    <cellStyle name="Normal 7 6 2 2 2" xfId="31297"/>
    <cellStyle name="Normal 7 6 2 2 2 2" xfId="31298"/>
    <cellStyle name="Normal 7 6 2 2 3" xfId="31299"/>
    <cellStyle name="Normal 7 6 2 2 3 2" xfId="31300"/>
    <cellStyle name="Normal 7 6 2 2 4" xfId="31301"/>
    <cellStyle name="Normal 7 6 2 2 4 2" xfId="31302"/>
    <cellStyle name="Normal 7 6 2 2 5" xfId="31303"/>
    <cellStyle name="Normal 7 6 2 2 5 2" xfId="31304"/>
    <cellStyle name="Normal 7 6 2 2 6" xfId="31305"/>
    <cellStyle name="Normal 7 6 2 2 6 2" xfId="31306"/>
    <cellStyle name="Normal 7 6 2 2 7" xfId="31307"/>
    <cellStyle name="Normal 7 6 2 2 7 2" xfId="31308"/>
    <cellStyle name="Normal 7 6 2 2 8" xfId="31309"/>
    <cellStyle name="Normal 7 6 2 2 8 2" xfId="31310"/>
    <cellStyle name="Normal 7 6 2 2 9" xfId="31311"/>
    <cellStyle name="Normal 7 6 2 2 9 2" xfId="31312"/>
    <cellStyle name="Normal 7 6 2 3" xfId="31313"/>
    <cellStyle name="Normal 7 6 2 3 2" xfId="31314"/>
    <cellStyle name="Normal 7 6 2 4" xfId="31315"/>
    <cellStyle name="Normal 7 6 2 4 2" xfId="31316"/>
    <cellStyle name="Normal 7 6 2 5" xfId="31317"/>
    <cellStyle name="Normal 7 6 2 5 2" xfId="31318"/>
    <cellStyle name="Normal 7 6 2 6" xfId="31319"/>
    <cellStyle name="Normal 7 6 2 6 2" xfId="31320"/>
    <cellStyle name="Normal 7 6 2 7" xfId="31321"/>
    <cellStyle name="Normal 7 6 2 7 2" xfId="31322"/>
    <cellStyle name="Normal 7 6 2 8" xfId="31323"/>
    <cellStyle name="Normal 7 6 2 8 2" xfId="31324"/>
    <cellStyle name="Normal 7 6 2 9" xfId="31325"/>
    <cellStyle name="Normal 7 6 2 9 2" xfId="31326"/>
    <cellStyle name="Normal 7 6 3" xfId="31327"/>
    <cellStyle name="Normal 7 6 3 10" xfId="31328"/>
    <cellStyle name="Normal 7 6 3 10 2" xfId="31329"/>
    <cellStyle name="Normal 7 6 3 11" xfId="31330"/>
    <cellStyle name="Normal 7 6 3 2" xfId="31331"/>
    <cellStyle name="Normal 7 6 3 2 2" xfId="31332"/>
    <cellStyle name="Normal 7 6 3 3" xfId="31333"/>
    <cellStyle name="Normal 7 6 3 3 2" xfId="31334"/>
    <cellStyle name="Normal 7 6 3 4" xfId="31335"/>
    <cellStyle name="Normal 7 6 3 4 2" xfId="31336"/>
    <cellStyle name="Normal 7 6 3 5" xfId="31337"/>
    <cellStyle name="Normal 7 6 3 5 2" xfId="31338"/>
    <cellStyle name="Normal 7 6 3 6" xfId="31339"/>
    <cellStyle name="Normal 7 6 3 6 2" xfId="31340"/>
    <cellStyle name="Normal 7 6 3 7" xfId="31341"/>
    <cellStyle name="Normal 7 6 3 7 2" xfId="31342"/>
    <cellStyle name="Normal 7 6 3 8" xfId="31343"/>
    <cellStyle name="Normal 7 6 3 8 2" xfId="31344"/>
    <cellStyle name="Normal 7 6 3 9" xfId="31345"/>
    <cellStyle name="Normal 7 6 3 9 2" xfId="31346"/>
    <cellStyle name="Normal 7 6 4" xfId="31347"/>
    <cellStyle name="Normal 7 6 4 2" xfId="31348"/>
    <cellStyle name="Normal 7 6 5" xfId="31349"/>
    <cellStyle name="Normal 7 6 5 2" xfId="31350"/>
    <cellStyle name="Normal 7 6 6" xfId="31351"/>
    <cellStyle name="Normal 7 6 6 2" xfId="31352"/>
    <cellStyle name="Normal 7 6 7" xfId="31353"/>
    <cellStyle name="Normal 7 6 7 2" xfId="31354"/>
    <cellStyle name="Normal 7 6 8" xfId="31355"/>
    <cellStyle name="Normal 7 6 8 2" xfId="31356"/>
    <cellStyle name="Normal 7 6 9" xfId="31357"/>
    <cellStyle name="Normal 7 6 9 2" xfId="31358"/>
    <cellStyle name="Normal 7 7" xfId="31359"/>
    <cellStyle name="Normal 7 7 10" xfId="31360"/>
    <cellStyle name="Normal 7 7 10 2" xfId="31361"/>
    <cellStyle name="Normal 7 7 11" xfId="31362"/>
    <cellStyle name="Normal 7 7 11 2" xfId="31363"/>
    <cellStyle name="Normal 7 7 12" xfId="31364"/>
    <cellStyle name="Normal 7 7 2" xfId="31365"/>
    <cellStyle name="Normal 7 7 2 10" xfId="31366"/>
    <cellStyle name="Normal 7 7 2 10 2" xfId="31367"/>
    <cellStyle name="Normal 7 7 2 11" xfId="31368"/>
    <cellStyle name="Normal 7 7 2 2" xfId="31369"/>
    <cellStyle name="Normal 7 7 2 2 2" xfId="31370"/>
    <cellStyle name="Normal 7 7 2 3" xfId="31371"/>
    <cellStyle name="Normal 7 7 2 3 2" xfId="31372"/>
    <cellStyle name="Normal 7 7 2 4" xfId="31373"/>
    <cellStyle name="Normal 7 7 2 4 2" xfId="31374"/>
    <cellStyle name="Normal 7 7 2 5" xfId="31375"/>
    <cellStyle name="Normal 7 7 2 5 2" xfId="31376"/>
    <cellStyle name="Normal 7 7 2 6" xfId="31377"/>
    <cellStyle name="Normal 7 7 2 6 2" xfId="31378"/>
    <cellStyle name="Normal 7 7 2 7" xfId="31379"/>
    <cellStyle name="Normal 7 7 2 7 2" xfId="31380"/>
    <cellStyle name="Normal 7 7 2 8" xfId="31381"/>
    <cellStyle name="Normal 7 7 2 8 2" xfId="31382"/>
    <cellStyle name="Normal 7 7 2 9" xfId="31383"/>
    <cellStyle name="Normal 7 7 2 9 2" xfId="31384"/>
    <cellStyle name="Normal 7 7 3" xfId="31385"/>
    <cellStyle name="Normal 7 7 3 2" xfId="31386"/>
    <cellStyle name="Normal 7 7 4" xfId="31387"/>
    <cellStyle name="Normal 7 7 4 2" xfId="31388"/>
    <cellStyle name="Normal 7 7 5" xfId="31389"/>
    <cellStyle name="Normal 7 7 5 2" xfId="31390"/>
    <cellStyle name="Normal 7 7 6" xfId="31391"/>
    <cellStyle name="Normal 7 7 6 2" xfId="31392"/>
    <cellStyle name="Normal 7 7 7" xfId="31393"/>
    <cellStyle name="Normal 7 7 7 2" xfId="31394"/>
    <cellStyle name="Normal 7 7 8" xfId="31395"/>
    <cellStyle name="Normal 7 7 8 2" xfId="31396"/>
    <cellStyle name="Normal 7 7 9" xfId="31397"/>
    <cellStyle name="Normal 7 7 9 2" xfId="31398"/>
    <cellStyle name="Normal 7 8" xfId="31399"/>
    <cellStyle name="Normal 7 8 10" xfId="31400"/>
    <cellStyle name="Normal 7 8 10 2" xfId="31401"/>
    <cellStyle name="Normal 7 8 11" xfId="31402"/>
    <cellStyle name="Normal 7 8 2" xfId="31403"/>
    <cellStyle name="Normal 7 8 2 2" xfId="31404"/>
    <cellStyle name="Normal 7 8 3" xfId="31405"/>
    <cellStyle name="Normal 7 8 3 2" xfId="31406"/>
    <cellStyle name="Normal 7 8 4" xfId="31407"/>
    <cellStyle name="Normal 7 8 4 2" xfId="31408"/>
    <cellStyle name="Normal 7 8 5" xfId="31409"/>
    <cellStyle name="Normal 7 8 5 2" xfId="31410"/>
    <cellStyle name="Normal 7 8 6" xfId="31411"/>
    <cellStyle name="Normal 7 8 6 2" xfId="31412"/>
    <cellStyle name="Normal 7 8 7" xfId="31413"/>
    <cellStyle name="Normal 7 8 7 2" xfId="31414"/>
    <cellStyle name="Normal 7 8 8" xfId="31415"/>
    <cellStyle name="Normal 7 8 8 2" xfId="31416"/>
    <cellStyle name="Normal 7 8 9" xfId="31417"/>
    <cellStyle name="Normal 7 8 9 2" xfId="31418"/>
    <cellStyle name="Normal 7 9" xfId="31419"/>
    <cellStyle name="Normal 7 9 2" xfId="31420"/>
    <cellStyle name="Normal 73" xfId="42130"/>
    <cellStyle name="Normal 8" xfId="874"/>
    <cellStyle name="Normal 8 10" xfId="31421"/>
    <cellStyle name="Normal 8 10 2" xfId="31422"/>
    <cellStyle name="Normal 8 11" xfId="31423"/>
    <cellStyle name="Normal 8 11 2" xfId="31424"/>
    <cellStyle name="Normal 8 12" xfId="31425"/>
    <cellStyle name="Normal 8 12 2" xfId="31426"/>
    <cellStyle name="Normal 8 13" xfId="31427"/>
    <cellStyle name="Normal 8 13 2" xfId="31428"/>
    <cellStyle name="Normal 8 14" xfId="31429"/>
    <cellStyle name="Normal 8 14 2" xfId="31430"/>
    <cellStyle name="Normal 8 15" xfId="31431"/>
    <cellStyle name="Normal 8 15 2" xfId="31432"/>
    <cellStyle name="Normal 8 16" xfId="31433"/>
    <cellStyle name="Normal 8 16 2" xfId="31434"/>
    <cellStyle name="Normal 8 17" xfId="31435"/>
    <cellStyle name="Normal 8 17 2" xfId="31436"/>
    <cellStyle name="Normal 8 18" xfId="31437"/>
    <cellStyle name="Normal 8 19" xfId="31438"/>
    <cellStyle name="Normal 8 2" xfId="875"/>
    <cellStyle name="Normal 8 2 10" xfId="31440"/>
    <cellStyle name="Normal 8 2 10 2" xfId="31441"/>
    <cellStyle name="Normal 8 2 11" xfId="31442"/>
    <cellStyle name="Normal 8 2 11 2" xfId="31443"/>
    <cellStyle name="Normal 8 2 12" xfId="31444"/>
    <cellStyle name="Normal 8 2 12 2" xfId="31445"/>
    <cellStyle name="Normal 8 2 13" xfId="31446"/>
    <cellStyle name="Normal 8 2 13 2" xfId="31447"/>
    <cellStyle name="Normal 8 2 14" xfId="31448"/>
    <cellStyle name="Normal 8 2 15" xfId="31439"/>
    <cellStyle name="Normal 8 2 2" xfId="876"/>
    <cellStyle name="Normal 8 2 3" xfId="31449"/>
    <cellStyle name="Normal 8 2 3 10" xfId="31450"/>
    <cellStyle name="Normal 8 2 3 10 2" xfId="31451"/>
    <cellStyle name="Normal 8 2 3 11" xfId="31452"/>
    <cellStyle name="Normal 8 2 3 11 2" xfId="31453"/>
    <cellStyle name="Normal 8 2 3 12" xfId="31454"/>
    <cellStyle name="Normal 8 2 3 2" xfId="31455"/>
    <cellStyle name="Normal 8 2 3 2 10" xfId="31456"/>
    <cellStyle name="Normal 8 2 3 2 10 2" xfId="31457"/>
    <cellStyle name="Normal 8 2 3 2 11" xfId="31458"/>
    <cellStyle name="Normal 8 2 3 2 2" xfId="31459"/>
    <cellStyle name="Normal 8 2 3 2 2 2" xfId="31460"/>
    <cellStyle name="Normal 8 2 3 2 3" xfId="31461"/>
    <cellStyle name="Normal 8 2 3 2 3 2" xfId="31462"/>
    <cellStyle name="Normal 8 2 3 2 4" xfId="31463"/>
    <cellStyle name="Normal 8 2 3 2 4 2" xfId="31464"/>
    <cellStyle name="Normal 8 2 3 2 5" xfId="31465"/>
    <cellStyle name="Normal 8 2 3 2 5 2" xfId="31466"/>
    <cellStyle name="Normal 8 2 3 2 6" xfId="31467"/>
    <cellStyle name="Normal 8 2 3 2 6 2" xfId="31468"/>
    <cellStyle name="Normal 8 2 3 2 7" xfId="31469"/>
    <cellStyle name="Normal 8 2 3 2 7 2" xfId="31470"/>
    <cellStyle name="Normal 8 2 3 2 8" xfId="31471"/>
    <cellStyle name="Normal 8 2 3 2 8 2" xfId="31472"/>
    <cellStyle name="Normal 8 2 3 2 9" xfId="31473"/>
    <cellStyle name="Normal 8 2 3 2 9 2" xfId="31474"/>
    <cellStyle name="Normal 8 2 3 3" xfId="31475"/>
    <cellStyle name="Normal 8 2 3 3 2" xfId="31476"/>
    <cellStyle name="Normal 8 2 3 4" xfId="31477"/>
    <cellStyle name="Normal 8 2 3 4 2" xfId="31478"/>
    <cellStyle name="Normal 8 2 3 5" xfId="31479"/>
    <cellStyle name="Normal 8 2 3 5 2" xfId="31480"/>
    <cellStyle name="Normal 8 2 3 6" xfId="31481"/>
    <cellStyle name="Normal 8 2 3 6 2" xfId="31482"/>
    <cellStyle name="Normal 8 2 3 7" xfId="31483"/>
    <cellStyle name="Normal 8 2 3 7 2" xfId="31484"/>
    <cellStyle name="Normal 8 2 3 8" xfId="31485"/>
    <cellStyle name="Normal 8 2 3 8 2" xfId="31486"/>
    <cellStyle name="Normal 8 2 3 9" xfId="31487"/>
    <cellStyle name="Normal 8 2 3 9 2" xfId="31488"/>
    <cellStyle name="Normal 8 2 4" xfId="31489"/>
    <cellStyle name="Normal 8 2 4 10" xfId="31490"/>
    <cellStyle name="Normal 8 2 4 10 2" xfId="31491"/>
    <cellStyle name="Normal 8 2 4 11" xfId="31492"/>
    <cellStyle name="Normal 8 2 4 2" xfId="31493"/>
    <cellStyle name="Normal 8 2 4 2 2" xfId="31494"/>
    <cellStyle name="Normal 8 2 4 3" xfId="31495"/>
    <cellStyle name="Normal 8 2 4 3 2" xfId="31496"/>
    <cellStyle name="Normal 8 2 4 4" xfId="31497"/>
    <cellStyle name="Normal 8 2 4 4 2" xfId="31498"/>
    <cellStyle name="Normal 8 2 4 5" xfId="31499"/>
    <cellStyle name="Normal 8 2 4 5 2" xfId="31500"/>
    <cellStyle name="Normal 8 2 4 6" xfId="31501"/>
    <cellStyle name="Normal 8 2 4 6 2" xfId="31502"/>
    <cellStyle name="Normal 8 2 4 7" xfId="31503"/>
    <cellStyle name="Normal 8 2 4 7 2" xfId="31504"/>
    <cellStyle name="Normal 8 2 4 8" xfId="31505"/>
    <cellStyle name="Normal 8 2 4 8 2" xfId="31506"/>
    <cellStyle name="Normal 8 2 4 9" xfId="31507"/>
    <cellStyle name="Normal 8 2 4 9 2" xfId="31508"/>
    <cellStyle name="Normal 8 2 5" xfId="31509"/>
    <cellStyle name="Normal 8 2 5 2" xfId="31510"/>
    <cellStyle name="Normal 8 2 6" xfId="31511"/>
    <cellStyle name="Normal 8 2 6 2" xfId="31512"/>
    <cellStyle name="Normal 8 2 7" xfId="31513"/>
    <cellStyle name="Normal 8 2 7 2" xfId="31514"/>
    <cellStyle name="Normal 8 2 8" xfId="31515"/>
    <cellStyle name="Normal 8 2 8 2" xfId="31516"/>
    <cellStyle name="Normal 8 2 9" xfId="31517"/>
    <cellStyle name="Normal 8 2 9 2" xfId="31518"/>
    <cellStyle name="Normal 8 20" xfId="31519"/>
    <cellStyle name="Normal 8 21" xfId="1200"/>
    <cellStyle name="Normal 8 3" xfId="877"/>
    <cellStyle name="Normal 8 3 2" xfId="878"/>
    <cellStyle name="Normal 8 4" xfId="879"/>
    <cellStyle name="Normal 8 4 2" xfId="880"/>
    <cellStyle name="Normal 8 5" xfId="881"/>
    <cellStyle name="Normal 8 5 2" xfId="882"/>
    <cellStyle name="Normal 8 6" xfId="883"/>
    <cellStyle name="Normal 8 6 2" xfId="884"/>
    <cellStyle name="Normal 8 7" xfId="885"/>
    <cellStyle name="Normal 8 7 10" xfId="31521"/>
    <cellStyle name="Normal 8 7 10 2" xfId="31522"/>
    <cellStyle name="Normal 8 7 11" xfId="31523"/>
    <cellStyle name="Normal 8 7 11 2" xfId="31524"/>
    <cellStyle name="Normal 8 7 12" xfId="31525"/>
    <cellStyle name="Normal 8 7 13" xfId="31520"/>
    <cellStyle name="Normal 8 7 2" xfId="31526"/>
    <cellStyle name="Normal 8 7 2 10" xfId="31527"/>
    <cellStyle name="Normal 8 7 2 10 2" xfId="31528"/>
    <cellStyle name="Normal 8 7 2 11" xfId="31529"/>
    <cellStyle name="Normal 8 7 2 2" xfId="31530"/>
    <cellStyle name="Normal 8 7 2 2 2" xfId="31531"/>
    <cellStyle name="Normal 8 7 2 3" xfId="31532"/>
    <cellStyle name="Normal 8 7 2 3 2" xfId="31533"/>
    <cellStyle name="Normal 8 7 2 4" xfId="31534"/>
    <cellStyle name="Normal 8 7 2 4 2" xfId="31535"/>
    <cellStyle name="Normal 8 7 2 5" xfId="31536"/>
    <cellStyle name="Normal 8 7 2 5 2" xfId="31537"/>
    <cellStyle name="Normal 8 7 2 6" xfId="31538"/>
    <cellStyle name="Normal 8 7 2 6 2" xfId="31539"/>
    <cellStyle name="Normal 8 7 2 7" xfId="31540"/>
    <cellStyle name="Normal 8 7 2 7 2" xfId="31541"/>
    <cellStyle name="Normal 8 7 2 8" xfId="31542"/>
    <cellStyle name="Normal 8 7 2 8 2" xfId="31543"/>
    <cellStyle name="Normal 8 7 2 9" xfId="31544"/>
    <cellStyle name="Normal 8 7 2 9 2" xfId="31545"/>
    <cellStyle name="Normal 8 7 3" xfId="31546"/>
    <cellStyle name="Normal 8 7 3 2" xfId="31547"/>
    <cellStyle name="Normal 8 7 4" xfId="31548"/>
    <cellStyle name="Normal 8 7 4 2" xfId="31549"/>
    <cellStyle name="Normal 8 7 5" xfId="31550"/>
    <cellStyle name="Normal 8 7 5 2" xfId="31551"/>
    <cellStyle name="Normal 8 7 6" xfId="31552"/>
    <cellStyle name="Normal 8 7 6 2" xfId="31553"/>
    <cellStyle name="Normal 8 7 7" xfId="31554"/>
    <cellStyle name="Normal 8 7 7 2" xfId="31555"/>
    <cellStyle name="Normal 8 7 8" xfId="31556"/>
    <cellStyle name="Normal 8 7 8 2" xfId="31557"/>
    <cellStyle name="Normal 8 7 9" xfId="31558"/>
    <cellStyle name="Normal 8 7 9 2" xfId="31559"/>
    <cellStyle name="Normal 8 8" xfId="31560"/>
    <cellStyle name="Normal 8 8 10" xfId="31561"/>
    <cellStyle name="Normal 8 8 10 2" xfId="31562"/>
    <cellStyle name="Normal 8 8 11" xfId="31563"/>
    <cellStyle name="Normal 8 8 2" xfId="31564"/>
    <cellStyle name="Normal 8 8 2 2" xfId="31565"/>
    <cellStyle name="Normal 8 8 3" xfId="31566"/>
    <cellStyle name="Normal 8 8 3 2" xfId="31567"/>
    <cellStyle name="Normal 8 8 4" xfId="31568"/>
    <cellStyle name="Normal 8 8 4 2" xfId="31569"/>
    <cellStyle name="Normal 8 8 5" xfId="31570"/>
    <cellStyle name="Normal 8 8 5 2" xfId="31571"/>
    <cellStyle name="Normal 8 8 6" xfId="31572"/>
    <cellStyle name="Normal 8 8 6 2" xfId="31573"/>
    <cellStyle name="Normal 8 8 7" xfId="31574"/>
    <cellStyle name="Normal 8 8 7 2" xfId="31575"/>
    <cellStyle name="Normal 8 8 8" xfId="31576"/>
    <cellStyle name="Normal 8 8 8 2" xfId="31577"/>
    <cellStyle name="Normal 8 8 9" xfId="31578"/>
    <cellStyle name="Normal 8 8 9 2" xfId="31579"/>
    <cellStyle name="Normal 8 9" xfId="31580"/>
    <cellStyle name="Normal 8 9 2" xfId="31581"/>
    <cellStyle name="Normal 9" xfId="886"/>
    <cellStyle name="Normal 9 10" xfId="31583"/>
    <cellStyle name="Normal 9 10 2" xfId="31584"/>
    <cellStyle name="Normal 9 11" xfId="31585"/>
    <cellStyle name="Normal 9 11 2" xfId="31586"/>
    <cellStyle name="Normal 9 12" xfId="31587"/>
    <cellStyle name="Normal 9 12 2" xfId="31588"/>
    <cellStyle name="Normal 9 13" xfId="31589"/>
    <cellStyle name="Normal 9 13 2" xfId="31590"/>
    <cellStyle name="Normal 9 14" xfId="31591"/>
    <cellStyle name="Normal 9 15" xfId="31582"/>
    <cellStyle name="Normal 9 2" xfId="887"/>
    <cellStyle name="Normal 9 2 10" xfId="31593"/>
    <cellStyle name="Normal 9 2 10 2" xfId="31594"/>
    <cellStyle name="Normal 9 2 11" xfId="31595"/>
    <cellStyle name="Normal 9 2 11 2" xfId="31596"/>
    <cellStyle name="Normal 9 2 12" xfId="31597"/>
    <cellStyle name="Normal 9 2 12 2" xfId="31598"/>
    <cellStyle name="Normal 9 2 13" xfId="31599"/>
    <cellStyle name="Normal 9 2 14" xfId="31592"/>
    <cellStyle name="Normal 9 2 2" xfId="31600"/>
    <cellStyle name="Normal 9 2 2 10" xfId="31601"/>
    <cellStyle name="Normal 9 2 2 10 2" xfId="31602"/>
    <cellStyle name="Normal 9 2 2 11" xfId="31603"/>
    <cellStyle name="Normal 9 2 2 11 2" xfId="31604"/>
    <cellStyle name="Normal 9 2 2 12" xfId="31605"/>
    <cellStyle name="Normal 9 2 2 2" xfId="31606"/>
    <cellStyle name="Normal 9 2 2 2 10" xfId="31607"/>
    <cellStyle name="Normal 9 2 2 2 10 2" xfId="31608"/>
    <cellStyle name="Normal 9 2 2 2 11" xfId="31609"/>
    <cellStyle name="Normal 9 2 2 2 2" xfId="31610"/>
    <cellStyle name="Normal 9 2 2 2 2 2" xfId="31611"/>
    <cellStyle name="Normal 9 2 2 2 3" xfId="31612"/>
    <cellStyle name="Normal 9 2 2 2 3 2" xfId="31613"/>
    <cellStyle name="Normal 9 2 2 2 4" xfId="31614"/>
    <cellStyle name="Normal 9 2 2 2 4 2" xfId="31615"/>
    <cellStyle name="Normal 9 2 2 2 5" xfId="31616"/>
    <cellStyle name="Normal 9 2 2 2 5 2" xfId="31617"/>
    <cellStyle name="Normal 9 2 2 2 6" xfId="31618"/>
    <cellStyle name="Normal 9 2 2 2 6 2" xfId="31619"/>
    <cellStyle name="Normal 9 2 2 2 7" xfId="31620"/>
    <cellStyle name="Normal 9 2 2 2 7 2" xfId="31621"/>
    <cellStyle name="Normal 9 2 2 2 8" xfId="31622"/>
    <cellStyle name="Normal 9 2 2 2 8 2" xfId="31623"/>
    <cellStyle name="Normal 9 2 2 2 9" xfId="31624"/>
    <cellStyle name="Normal 9 2 2 2 9 2" xfId="31625"/>
    <cellStyle name="Normal 9 2 2 3" xfId="31626"/>
    <cellStyle name="Normal 9 2 2 3 2" xfId="31627"/>
    <cellStyle name="Normal 9 2 2 4" xfId="31628"/>
    <cellStyle name="Normal 9 2 2 4 2" xfId="31629"/>
    <cellStyle name="Normal 9 2 2 5" xfId="31630"/>
    <cellStyle name="Normal 9 2 2 5 2" xfId="31631"/>
    <cellStyle name="Normal 9 2 2 6" xfId="31632"/>
    <cellStyle name="Normal 9 2 2 6 2" xfId="31633"/>
    <cellStyle name="Normal 9 2 2 7" xfId="31634"/>
    <cellStyle name="Normal 9 2 2 7 2" xfId="31635"/>
    <cellStyle name="Normal 9 2 2 8" xfId="31636"/>
    <cellStyle name="Normal 9 2 2 8 2" xfId="31637"/>
    <cellStyle name="Normal 9 2 2 9" xfId="31638"/>
    <cellStyle name="Normal 9 2 2 9 2" xfId="31639"/>
    <cellStyle name="Normal 9 2 3" xfId="31640"/>
    <cellStyle name="Normal 9 2 3 10" xfId="31641"/>
    <cellStyle name="Normal 9 2 3 10 2" xfId="31642"/>
    <cellStyle name="Normal 9 2 3 11" xfId="31643"/>
    <cellStyle name="Normal 9 2 3 2" xfId="31644"/>
    <cellStyle name="Normal 9 2 3 2 2" xfId="31645"/>
    <cellStyle name="Normal 9 2 3 3" xfId="31646"/>
    <cellStyle name="Normal 9 2 3 3 2" xfId="31647"/>
    <cellStyle name="Normal 9 2 3 4" xfId="31648"/>
    <cellStyle name="Normal 9 2 3 4 2" xfId="31649"/>
    <cellStyle name="Normal 9 2 3 5" xfId="31650"/>
    <cellStyle name="Normal 9 2 3 5 2" xfId="31651"/>
    <cellStyle name="Normal 9 2 3 6" xfId="31652"/>
    <cellStyle name="Normal 9 2 3 6 2" xfId="31653"/>
    <cellStyle name="Normal 9 2 3 7" xfId="31654"/>
    <cellStyle name="Normal 9 2 3 7 2" xfId="31655"/>
    <cellStyle name="Normal 9 2 3 8" xfId="31656"/>
    <cellStyle name="Normal 9 2 3 8 2" xfId="31657"/>
    <cellStyle name="Normal 9 2 3 9" xfId="31658"/>
    <cellStyle name="Normal 9 2 3 9 2" xfId="31659"/>
    <cellStyle name="Normal 9 2 4" xfId="31660"/>
    <cellStyle name="Normal 9 2 4 2" xfId="31661"/>
    <cellStyle name="Normal 9 2 5" xfId="31662"/>
    <cellStyle name="Normal 9 2 5 2" xfId="31663"/>
    <cellStyle name="Normal 9 2 6" xfId="31664"/>
    <cellStyle name="Normal 9 2 6 2" xfId="31665"/>
    <cellStyle name="Normal 9 2 7" xfId="31666"/>
    <cellStyle name="Normal 9 2 7 2" xfId="31667"/>
    <cellStyle name="Normal 9 2 8" xfId="31668"/>
    <cellStyle name="Normal 9 2 8 2" xfId="31669"/>
    <cellStyle name="Normal 9 2 9" xfId="31670"/>
    <cellStyle name="Normal 9 2 9 2" xfId="31671"/>
    <cellStyle name="Normal 9 3" xfId="31672"/>
    <cellStyle name="Normal 9 3 10" xfId="31673"/>
    <cellStyle name="Normal 9 3 10 2" xfId="31674"/>
    <cellStyle name="Normal 9 3 11" xfId="31675"/>
    <cellStyle name="Normal 9 3 11 2" xfId="31676"/>
    <cellStyle name="Normal 9 3 12" xfId="31677"/>
    <cellStyle name="Normal 9 3 2" xfId="31678"/>
    <cellStyle name="Normal 9 3 2 10" xfId="31679"/>
    <cellStyle name="Normal 9 3 2 10 2" xfId="31680"/>
    <cellStyle name="Normal 9 3 2 11" xfId="31681"/>
    <cellStyle name="Normal 9 3 2 2" xfId="31682"/>
    <cellStyle name="Normal 9 3 2 2 2" xfId="31683"/>
    <cellStyle name="Normal 9 3 2 3" xfId="31684"/>
    <cellStyle name="Normal 9 3 2 3 2" xfId="31685"/>
    <cellStyle name="Normal 9 3 2 4" xfId="31686"/>
    <cellStyle name="Normal 9 3 2 4 2" xfId="31687"/>
    <cellStyle name="Normal 9 3 2 5" xfId="31688"/>
    <cellStyle name="Normal 9 3 2 5 2" xfId="31689"/>
    <cellStyle name="Normal 9 3 2 6" xfId="31690"/>
    <cellStyle name="Normal 9 3 2 6 2" xfId="31691"/>
    <cellStyle name="Normal 9 3 2 7" xfId="31692"/>
    <cellStyle name="Normal 9 3 2 7 2" xfId="31693"/>
    <cellStyle name="Normal 9 3 2 8" xfId="31694"/>
    <cellStyle name="Normal 9 3 2 8 2" xfId="31695"/>
    <cellStyle name="Normal 9 3 2 9" xfId="31696"/>
    <cellStyle name="Normal 9 3 2 9 2" xfId="31697"/>
    <cellStyle name="Normal 9 3 3" xfId="31698"/>
    <cellStyle name="Normal 9 3 3 2" xfId="31699"/>
    <cellStyle name="Normal 9 3 4" xfId="31700"/>
    <cellStyle name="Normal 9 3 4 2" xfId="31701"/>
    <cellStyle name="Normal 9 3 5" xfId="31702"/>
    <cellStyle name="Normal 9 3 5 2" xfId="31703"/>
    <cellStyle name="Normal 9 3 6" xfId="31704"/>
    <cellStyle name="Normal 9 3 6 2" xfId="31705"/>
    <cellStyle name="Normal 9 3 7" xfId="31706"/>
    <cellStyle name="Normal 9 3 7 2" xfId="31707"/>
    <cellStyle name="Normal 9 3 8" xfId="31708"/>
    <cellStyle name="Normal 9 3 8 2" xfId="31709"/>
    <cellStyle name="Normal 9 3 9" xfId="31710"/>
    <cellStyle name="Normal 9 3 9 2" xfId="31711"/>
    <cellStyle name="Normal 9 4" xfId="31712"/>
    <cellStyle name="Normal 9 4 10" xfId="31713"/>
    <cellStyle name="Normal 9 4 10 2" xfId="31714"/>
    <cellStyle name="Normal 9 4 11" xfId="31715"/>
    <cellStyle name="Normal 9 4 2" xfId="31716"/>
    <cellStyle name="Normal 9 4 2 2" xfId="31717"/>
    <cellStyle name="Normal 9 4 3" xfId="31718"/>
    <cellStyle name="Normal 9 4 3 2" xfId="31719"/>
    <cellStyle name="Normal 9 4 4" xfId="31720"/>
    <cellStyle name="Normal 9 4 4 2" xfId="31721"/>
    <cellStyle name="Normal 9 4 5" xfId="31722"/>
    <cellStyle name="Normal 9 4 5 2" xfId="31723"/>
    <cellStyle name="Normal 9 4 6" xfId="31724"/>
    <cellStyle name="Normal 9 4 6 2" xfId="31725"/>
    <cellStyle name="Normal 9 4 7" xfId="31726"/>
    <cellStyle name="Normal 9 4 7 2" xfId="31727"/>
    <cellStyle name="Normal 9 4 8" xfId="31728"/>
    <cellStyle name="Normal 9 4 8 2" xfId="31729"/>
    <cellStyle name="Normal 9 4 9" xfId="31730"/>
    <cellStyle name="Normal 9 4 9 2" xfId="31731"/>
    <cellStyle name="Normal 9 5" xfId="31732"/>
    <cellStyle name="Normal 9 5 2" xfId="31733"/>
    <cellStyle name="Normal 9 6" xfId="31734"/>
    <cellStyle name="Normal 9 6 2" xfId="31735"/>
    <cellStyle name="Normal 9 7" xfId="31736"/>
    <cellStyle name="Normal 9 7 2" xfId="31737"/>
    <cellStyle name="Normal 9 8" xfId="31738"/>
    <cellStyle name="Normal 9 8 2" xfId="31739"/>
    <cellStyle name="Normal 9 9" xfId="31740"/>
    <cellStyle name="Normal 9 9 2" xfId="31741"/>
    <cellStyle name="Normal_art BP" xfId="945"/>
    <cellStyle name="Normal_BACALAO 2016" xfId="947"/>
    <cellStyle name="Normal_congrio dorado Ind 228" xfId="941"/>
    <cellStyle name="Normal_Cuota Jibia" xfId="951"/>
    <cellStyle name="Normal_Cuota Jibia_1" xfId="953"/>
    <cellStyle name="Normal_Cuota Jibia_2" xfId="968"/>
    <cellStyle name="Normal_Cuotas Fuera UP _1" xfId="967"/>
    <cellStyle name="Normal_Cuotas Licitadas  " xfId="964"/>
    <cellStyle name="Normal_Demersales" xfId="940"/>
    <cellStyle name="Normal_ESTADO CUOTA ANUAL JIBIA 2016 2" xfId="42137"/>
    <cellStyle name="Normal_ESTADO CUOTA ANUAL JIBIA 2016_1" xfId="42139"/>
    <cellStyle name="Normal_Estado Cuota Bacalao XV-47° LS_1" xfId="42140"/>
    <cellStyle name="Normal_FRACCION CUOTA INDUSTRIAL MES" xfId="42136"/>
    <cellStyle name="Normal_Hoja1" xfId="888"/>
    <cellStyle name="Normal_Hoja1 2" xfId="956"/>
    <cellStyle name="Normal_Hoja1 3" xfId="943"/>
    <cellStyle name="Normal_Hoja1_1" xfId="942"/>
    <cellStyle name="Normal_Hoja2" xfId="946"/>
    <cellStyle name="Normal_Hoja2 2" xfId="948"/>
    <cellStyle name="Normal_Hoja4 2" xfId="949"/>
    <cellStyle name="Normal_Hoja7" xfId="963"/>
    <cellStyle name="Normal_IND" xfId="958"/>
    <cellStyle name="Normal_IND 2" xfId="959"/>
    <cellStyle name="Normal_jibia 445 IND_1" xfId="955"/>
    <cellStyle name="Normal_Jurel" xfId="952"/>
    <cellStyle name="Normal_Jurel IND" xfId="42138"/>
    <cellStyle name="Normal_Langostino Amarillo ART 632" xfId="966"/>
    <cellStyle name="Normal_Merluza de 3 aletas IND 248" xfId="961"/>
    <cellStyle name="Normal_Pesca de Investigación" xfId="960"/>
    <cellStyle name="Notas" xfId="907" builtinId="10" customBuiltin="1"/>
    <cellStyle name="Notas 2" xfId="1147"/>
    <cellStyle name="Notas 2 10" xfId="31742"/>
    <cellStyle name="Notas 2 10 10" xfId="31743"/>
    <cellStyle name="Notas 2 10 10 2" xfId="31744"/>
    <cellStyle name="Notas 2 10 11" xfId="31745"/>
    <cellStyle name="Notas 2 10 11 2" xfId="31746"/>
    <cellStyle name="Notas 2 10 12" xfId="31747"/>
    <cellStyle name="Notas 2 10 12 2" xfId="31748"/>
    <cellStyle name="Notas 2 10 13" xfId="31749"/>
    <cellStyle name="Notas 2 10 2" xfId="31750"/>
    <cellStyle name="Notas 2 10 2 10" xfId="31751"/>
    <cellStyle name="Notas 2 10 2 10 2" xfId="31752"/>
    <cellStyle name="Notas 2 10 2 11" xfId="31753"/>
    <cellStyle name="Notas 2 10 2 2" xfId="31754"/>
    <cellStyle name="Notas 2 10 2 2 2" xfId="31755"/>
    <cellStyle name="Notas 2 10 2 3" xfId="31756"/>
    <cellStyle name="Notas 2 10 2 3 2" xfId="31757"/>
    <cellStyle name="Notas 2 10 2 4" xfId="31758"/>
    <cellStyle name="Notas 2 10 2 4 2" xfId="31759"/>
    <cellStyle name="Notas 2 10 2 5" xfId="31760"/>
    <cellStyle name="Notas 2 10 2 5 2" xfId="31761"/>
    <cellStyle name="Notas 2 10 2 6" xfId="31762"/>
    <cellStyle name="Notas 2 10 2 6 2" xfId="31763"/>
    <cellStyle name="Notas 2 10 2 7" xfId="31764"/>
    <cellStyle name="Notas 2 10 2 7 2" xfId="31765"/>
    <cellStyle name="Notas 2 10 2 8" xfId="31766"/>
    <cellStyle name="Notas 2 10 2 8 2" xfId="31767"/>
    <cellStyle name="Notas 2 10 2 9" xfId="31768"/>
    <cellStyle name="Notas 2 10 2 9 2" xfId="31769"/>
    <cellStyle name="Notas 2 10 3" xfId="31770"/>
    <cellStyle name="Notas 2 10 3 10" xfId="31771"/>
    <cellStyle name="Notas 2 10 3 10 2" xfId="31772"/>
    <cellStyle name="Notas 2 10 3 11" xfId="31773"/>
    <cellStyle name="Notas 2 10 3 2" xfId="31774"/>
    <cellStyle name="Notas 2 10 3 2 2" xfId="31775"/>
    <cellStyle name="Notas 2 10 3 3" xfId="31776"/>
    <cellStyle name="Notas 2 10 3 3 2" xfId="31777"/>
    <cellStyle name="Notas 2 10 3 4" xfId="31778"/>
    <cellStyle name="Notas 2 10 3 4 2" xfId="31779"/>
    <cellStyle name="Notas 2 10 3 5" xfId="31780"/>
    <cellStyle name="Notas 2 10 3 5 2" xfId="31781"/>
    <cellStyle name="Notas 2 10 3 6" xfId="31782"/>
    <cellStyle name="Notas 2 10 3 6 2" xfId="31783"/>
    <cellStyle name="Notas 2 10 3 7" xfId="31784"/>
    <cellStyle name="Notas 2 10 3 7 2" xfId="31785"/>
    <cellStyle name="Notas 2 10 3 8" xfId="31786"/>
    <cellStyle name="Notas 2 10 3 8 2" xfId="31787"/>
    <cellStyle name="Notas 2 10 3 9" xfId="31788"/>
    <cellStyle name="Notas 2 10 3 9 2" xfId="31789"/>
    <cellStyle name="Notas 2 10 4" xfId="31790"/>
    <cellStyle name="Notas 2 10 4 2" xfId="31791"/>
    <cellStyle name="Notas 2 10 5" xfId="31792"/>
    <cellStyle name="Notas 2 10 5 2" xfId="31793"/>
    <cellStyle name="Notas 2 10 6" xfId="31794"/>
    <cellStyle name="Notas 2 10 6 2" xfId="31795"/>
    <cellStyle name="Notas 2 10 7" xfId="31796"/>
    <cellStyle name="Notas 2 10 7 2" xfId="31797"/>
    <cellStyle name="Notas 2 10 8" xfId="31798"/>
    <cellStyle name="Notas 2 10 8 2" xfId="31799"/>
    <cellStyle name="Notas 2 10 9" xfId="31800"/>
    <cellStyle name="Notas 2 10 9 2" xfId="31801"/>
    <cellStyle name="Notas 2 11" xfId="31802"/>
    <cellStyle name="Notas 2 11 2" xfId="31803"/>
    <cellStyle name="Notas 2 12" xfId="31804"/>
    <cellStyle name="Notas 2 12 2" xfId="31805"/>
    <cellStyle name="Notas 2 13" xfId="31806"/>
    <cellStyle name="Notas 2 13 2" xfId="31807"/>
    <cellStyle name="Notas 2 14" xfId="31808"/>
    <cellStyle name="Notas 2 14 2" xfId="31809"/>
    <cellStyle name="Notas 2 15" xfId="31810"/>
    <cellStyle name="Notas 2 15 2" xfId="31811"/>
    <cellStyle name="Notas 2 16" xfId="31812"/>
    <cellStyle name="Notas 2 16 2" xfId="31813"/>
    <cellStyle name="Notas 2 17" xfId="31814"/>
    <cellStyle name="Notas 2 17 2" xfId="31815"/>
    <cellStyle name="Notas 2 18" xfId="31816"/>
    <cellStyle name="Notas 2 18 2" xfId="31817"/>
    <cellStyle name="Notas 2 19" xfId="31818"/>
    <cellStyle name="Notas 2 19 2" xfId="31819"/>
    <cellStyle name="Notas 2 2" xfId="1148"/>
    <cellStyle name="Notas 2 2 10" xfId="31820"/>
    <cellStyle name="Notas 2 2 10 2" xfId="31821"/>
    <cellStyle name="Notas 2 2 11" xfId="31822"/>
    <cellStyle name="Notas 2 2 11 2" xfId="31823"/>
    <cellStyle name="Notas 2 2 12" xfId="31824"/>
    <cellStyle name="Notas 2 2 12 2" xfId="31825"/>
    <cellStyle name="Notas 2 2 13" xfId="31826"/>
    <cellStyle name="Notas 2 2 13 2" xfId="31827"/>
    <cellStyle name="Notas 2 2 14" xfId="31828"/>
    <cellStyle name="Notas 2 2 14 2" xfId="31829"/>
    <cellStyle name="Notas 2 2 15" xfId="31830"/>
    <cellStyle name="Notas 2 2 15 2" xfId="31831"/>
    <cellStyle name="Notas 2 2 16" xfId="31832"/>
    <cellStyle name="Notas 2 2 16 2" xfId="31833"/>
    <cellStyle name="Notas 2 2 17" xfId="31834"/>
    <cellStyle name="Notas 2 2 17 2" xfId="31835"/>
    <cellStyle name="Notas 2 2 18" xfId="31836"/>
    <cellStyle name="Notas 2 2 19" xfId="31837"/>
    <cellStyle name="Notas 2 2 2" xfId="31838"/>
    <cellStyle name="Notas 2 2 2 10" xfId="31839"/>
    <cellStyle name="Notas 2 2 2 10 2" xfId="31840"/>
    <cellStyle name="Notas 2 2 2 11" xfId="31841"/>
    <cellStyle name="Notas 2 2 2 11 2" xfId="31842"/>
    <cellStyle name="Notas 2 2 2 12" xfId="31843"/>
    <cellStyle name="Notas 2 2 2 12 2" xfId="31844"/>
    <cellStyle name="Notas 2 2 2 13" xfId="31845"/>
    <cellStyle name="Notas 2 2 2 13 2" xfId="31846"/>
    <cellStyle name="Notas 2 2 2 14" xfId="31847"/>
    <cellStyle name="Notas 2 2 2 14 2" xfId="31848"/>
    <cellStyle name="Notas 2 2 2 15" xfId="31849"/>
    <cellStyle name="Notas 2 2 2 2" xfId="31850"/>
    <cellStyle name="Notas 2 2 2 2 10" xfId="31851"/>
    <cellStyle name="Notas 2 2 2 2 10 2" xfId="31852"/>
    <cellStyle name="Notas 2 2 2 2 11" xfId="31853"/>
    <cellStyle name="Notas 2 2 2 2 11 2" xfId="31854"/>
    <cellStyle name="Notas 2 2 2 2 12" xfId="31855"/>
    <cellStyle name="Notas 2 2 2 2 12 2" xfId="31856"/>
    <cellStyle name="Notas 2 2 2 2 13" xfId="31857"/>
    <cellStyle name="Notas 2 2 2 2 2" xfId="31858"/>
    <cellStyle name="Notas 2 2 2 2 2 10" xfId="31859"/>
    <cellStyle name="Notas 2 2 2 2 2 10 2" xfId="31860"/>
    <cellStyle name="Notas 2 2 2 2 2 11" xfId="31861"/>
    <cellStyle name="Notas 2 2 2 2 2 2" xfId="31862"/>
    <cellStyle name="Notas 2 2 2 2 2 2 2" xfId="31863"/>
    <cellStyle name="Notas 2 2 2 2 2 3" xfId="31864"/>
    <cellStyle name="Notas 2 2 2 2 2 3 2" xfId="31865"/>
    <cellStyle name="Notas 2 2 2 2 2 4" xfId="31866"/>
    <cellStyle name="Notas 2 2 2 2 2 4 2" xfId="31867"/>
    <cellStyle name="Notas 2 2 2 2 2 5" xfId="31868"/>
    <cellStyle name="Notas 2 2 2 2 2 5 2" xfId="31869"/>
    <cellStyle name="Notas 2 2 2 2 2 6" xfId="31870"/>
    <cellStyle name="Notas 2 2 2 2 2 6 2" xfId="31871"/>
    <cellStyle name="Notas 2 2 2 2 2 7" xfId="31872"/>
    <cellStyle name="Notas 2 2 2 2 2 7 2" xfId="31873"/>
    <cellStyle name="Notas 2 2 2 2 2 8" xfId="31874"/>
    <cellStyle name="Notas 2 2 2 2 2 8 2" xfId="31875"/>
    <cellStyle name="Notas 2 2 2 2 2 9" xfId="31876"/>
    <cellStyle name="Notas 2 2 2 2 2 9 2" xfId="31877"/>
    <cellStyle name="Notas 2 2 2 2 3" xfId="31878"/>
    <cellStyle name="Notas 2 2 2 2 3 10" xfId="31879"/>
    <cellStyle name="Notas 2 2 2 2 3 10 2" xfId="31880"/>
    <cellStyle name="Notas 2 2 2 2 3 11" xfId="31881"/>
    <cellStyle name="Notas 2 2 2 2 3 2" xfId="31882"/>
    <cellStyle name="Notas 2 2 2 2 3 2 2" xfId="31883"/>
    <cellStyle name="Notas 2 2 2 2 3 3" xfId="31884"/>
    <cellStyle name="Notas 2 2 2 2 3 3 2" xfId="31885"/>
    <cellStyle name="Notas 2 2 2 2 3 4" xfId="31886"/>
    <cellStyle name="Notas 2 2 2 2 3 4 2" xfId="31887"/>
    <cellStyle name="Notas 2 2 2 2 3 5" xfId="31888"/>
    <cellStyle name="Notas 2 2 2 2 3 5 2" xfId="31889"/>
    <cellStyle name="Notas 2 2 2 2 3 6" xfId="31890"/>
    <cellStyle name="Notas 2 2 2 2 3 6 2" xfId="31891"/>
    <cellStyle name="Notas 2 2 2 2 3 7" xfId="31892"/>
    <cellStyle name="Notas 2 2 2 2 3 7 2" xfId="31893"/>
    <cellStyle name="Notas 2 2 2 2 3 8" xfId="31894"/>
    <cellStyle name="Notas 2 2 2 2 3 8 2" xfId="31895"/>
    <cellStyle name="Notas 2 2 2 2 3 9" xfId="31896"/>
    <cellStyle name="Notas 2 2 2 2 3 9 2" xfId="31897"/>
    <cellStyle name="Notas 2 2 2 2 4" xfId="31898"/>
    <cellStyle name="Notas 2 2 2 2 4 2" xfId="31899"/>
    <cellStyle name="Notas 2 2 2 2 5" xfId="31900"/>
    <cellStyle name="Notas 2 2 2 2 5 2" xfId="31901"/>
    <cellStyle name="Notas 2 2 2 2 6" xfId="31902"/>
    <cellStyle name="Notas 2 2 2 2 6 2" xfId="31903"/>
    <cellStyle name="Notas 2 2 2 2 7" xfId="31904"/>
    <cellStyle name="Notas 2 2 2 2 7 2" xfId="31905"/>
    <cellStyle name="Notas 2 2 2 2 8" xfId="31906"/>
    <cellStyle name="Notas 2 2 2 2 8 2" xfId="31907"/>
    <cellStyle name="Notas 2 2 2 2 9" xfId="31908"/>
    <cellStyle name="Notas 2 2 2 2 9 2" xfId="31909"/>
    <cellStyle name="Notas 2 2 2 3" xfId="31910"/>
    <cellStyle name="Notas 2 2 2 3 10" xfId="31911"/>
    <cellStyle name="Notas 2 2 2 3 10 2" xfId="31912"/>
    <cellStyle name="Notas 2 2 2 3 11" xfId="31913"/>
    <cellStyle name="Notas 2 2 2 3 11 2" xfId="31914"/>
    <cellStyle name="Notas 2 2 2 3 12" xfId="31915"/>
    <cellStyle name="Notas 2 2 2 3 12 2" xfId="31916"/>
    <cellStyle name="Notas 2 2 2 3 13" xfId="31917"/>
    <cellStyle name="Notas 2 2 2 3 2" xfId="31918"/>
    <cellStyle name="Notas 2 2 2 3 2 10" xfId="31919"/>
    <cellStyle name="Notas 2 2 2 3 2 10 2" xfId="31920"/>
    <cellStyle name="Notas 2 2 2 3 2 11" xfId="31921"/>
    <cellStyle name="Notas 2 2 2 3 2 2" xfId="31922"/>
    <cellStyle name="Notas 2 2 2 3 2 2 2" xfId="31923"/>
    <cellStyle name="Notas 2 2 2 3 2 3" xfId="31924"/>
    <cellStyle name="Notas 2 2 2 3 2 3 2" xfId="31925"/>
    <cellStyle name="Notas 2 2 2 3 2 4" xfId="31926"/>
    <cellStyle name="Notas 2 2 2 3 2 4 2" xfId="31927"/>
    <cellStyle name="Notas 2 2 2 3 2 5" xfId="31928"/>
    <cellStyle name="Notas 2 2 2 3 2 5 2" xfId="31929"/>
    <cellStyle name="Notas 2 2 2 3 2 6" xfId="31930"/>
    <cellStyle name="Notas 2 2 2 3 2 6 2" xfId="31931"/>
    <cellStyle name="Notas 2 2 2 3 2 7" xfId="31932"/>
    <cellStyle name="Notas 2 2 2 3 2 7 2" xfId="31933"/>
    <cellStyle name="Notas 2 2 2 3 2 8" xfId="31934"/>
    <cellStyle name="Notas 2 2 2 3 2 8 2" xfId="31935"/>
    <cellStyle name="Notas 2 2 2 3 2 9" xfId="31936"/>
    <cellStyle name="Notas 2 2 2 3 2 9 2" xfId="31937"/>
    <cellStyle name="Notas 2 2 2 3 3" xfId="31938"/>
    <cellStyle name="Notas 2 2 2 3 3 10" xfId="31939"/>
    <cellStyle name="Notas 2 2 2 3 3 10 2" xfId="31940"/>
    <cellStyle name="Notas 2 2 2 3 3 11" xfId="31941"/>
    <cellStyle name="Notas 2 2 2 3 3 2" xfId="31942"/>
    <cellStyle name="Notas 2 2 2 3 3 2 2" xfId="31943"/>
    <cellStyle name="Notas 2 2 2 3 3 3" xfId="31944"/>
    <cellStyle name="Notas 2 2 2 3 3 3 2" xfId="31945"/>
    <cellStyle name="Notas 2 2 2 3 3 4" xfId="31946"/>
    <cellStyle name="Notas 2 2 2 3 3 4 2" xfId="31947"/>
    <cellStyle name="Notas 2 2 2 3 3 5" xfId="31948"/>
    <cellStyle name="Notas 2 2 2 3 3 5 2" xfId="31949"/>
    <cellStyle name="Notas 2 2 2 3 3 6" xfId="31950"/>
    <cellStyle name="Notas 2 2 2 3 3 6 2" xfId="31951"/>
    <cellStyle name="Notas 2 2 2 3 3 7" xfId="31952"/>
    <cellStyle name="Notas 2 2 2 3 3 7 2" xfId="31953"/>
    <cellStyle name="Notas 2 2 2 3 3 8" xfId="31954"/>
    <cellStyle name="Notas 2 2 2 3 3 8 2" xfId="31955"/>
    <cellStyle name="Notas 2 2 2 3 3 9" xfId="31956"/>
    <cellStyle name="Notas 2 2 2 3 3 9 2" xfId="31957"/>
    <cellStyle name="Notas 2 2 2 3 4" xfId="31958"/>
    <cellStyle name="Notas 2 2 2 3 4 2" xfId="31959"/>
    <cellStyle name="Notas 2 2 2 3 5" xfId="31960"/>
    <cellStyle name="Notas 2 2 2 3 5 2" xfId="31961"/>
    <cellStyle name="Notas 2 2 2 3 6" xfId="31962"/>
    <cellStyle name="Notas 2 2 2 3 6 2" xfId="31963"/>
    <cellStyle name="Notas 2 2 2 3 7" xfId="31964"/>
    <cellStyle name="Notas 2 2 2 3 7 2" xfId="31965"/>
    <cellStyle name="Notas 2 2 2 3 8" xfId="31966"/>
    <cellStyle name="Notas 2 2 2 3 8 2" xfId="31967"/>
    <cellStyle name="Notas 2 2 2 3 9" xfId="31968"/>
    <cellStyle name="Notas 2 2 2 3 9 2" xfId="31969"/>
    <cellStyle name="Notas 2 2 2 4" xfId="31970"/>
    <cellStyle name="Notas 2 2 2 4 10" xfId="31971"/>
    <cellStyle name="Notas 2 2 2 4 10 2" xfId="31972"/>
    <cellStyle name="Notas 2 2 2 4 11" xfId="31973"/>
    <cellStyle name="Notas 2 2 2 4 2" xfId="31974"/>
    <cellStyle name="Notas 2 2 2 4 2 2" xfId="31975"/>
    <cellStyle name="Notas 2 2 2 4 3" xfId="31976"/>
    <cellStyle name="Notas 2 2 2 4 3 2" xfId="31977"/>
    <cellStyle name="Notas 2 2 2 4 4" xfId="31978"/>
    <cellStyle name="Notas 2 2 2 4 4 2" xfId="31979"/>
    <cellStyle name="Notas 2 2 2 4 5" xfId="31980"/>
    <cellStyle name="Notas 2 2 2 4 5 2" xfId="31981"/>
    <cellStyle name="Notas 2 2 2 4 6" xfId="31982"/>
    <cellStyle name="Notas 2 2 2 4 6 2" xfId="31983"/>
    <cellStyle name="Notas 2 2 2 4 7" xfId="31984"/>
    <cellStyle name="Notas 2 2 2 4 7 2" xfId="31985"/>
    <cellStyle name="Notas 2 2 2 4 8" xfId="31986"/>
    <cellStyle name="Notas 2 2 2 4 8 2" xfId="31987"/>
    <cellStyle name="Notas 2 2 2 4 9" xfId="31988"/>
    <cellStyle name="Notas 2 2 2 4 9 2" xfId="31989"/>
    <cellStyle name="Notas 2 2 2 5" xfId="31990"/>
    <cellStyle name="Notas 2 2 2 5 10" xfId="31991"/>
    <cellStyle name="Notas 2 2 2 5 10 2" xfId="31992"/>
    <cellStyle name="Notas 2 2 2 5 11" xfId="31993"/>
    <cellStyle name="Notas 2 2 2 5 2" xfId="31994"/>
    <cellStyle name="Notas 2 2 2 5 2 2" xfId="31995"/>
    <cellStyle name="Notas 2 2 2 5 3" xfId="31996"/>
    <cellStyle name="Notas 2 2 2 5 3 2" xfId="31997"/>
    <cellStyle name="Notas 2 2 2 5 4" xfId="31998"/>
    <cellStyle name="Notas 2 2 2 5 4 2" xfId="31999"/>
    <cellStyle name="Notas 2 2 2 5 5" xfId="32000"/>
    <cellStyle name="Notas 2 2 2 5 5 2" xfId="32001"/>
    <cellStyle name="Notas 2 2 2 5 6" xfId="32002"/>
    <cellStyle name="Notas 2 2 2 5 6 2" xfId="32003"/>
    <cellStyle name="Notas 2 2 2 5 7" xfId="32004"/>
    <cellStyle name="Notas 2 2 2 5 7 2" xfId="32005"/>
    <cellStyle name="Notas 2 2 2 5 8" xfId="32006"/>
    <cellStyle name="Notas 2 2 2 5 8 2" xfId="32007"/>
    <cellStyle name="Notas 2 2 2 5 9" xfId="32008"/>
    <cellStyle name="Notas 2 2 2 5 9 2" xfId="32009"/>
    <cellStyle name="Notas 2 2 2 6" xfId="32010"/>
    <cellStyle name="Notas 2 2 2 6 2" xfId="32011"/>
    <cellStyle name="Notas 2 2 2 7" xfId="32012"/>
    <cellStyle name="Notas 2 2 2 7 2" xfId="32013"/>
    <cellStyle name="Notas 2 2 2 8" xfId="32014"/>
    <cellStyle name="Notas 2 2 2 8 2" xfId="32015"/>
    <cellStyle name="Notas 2 2 2 9" xfId="32016"/>
    <cellStyle name="Notas 2 2 2 9 2" xfId="32017"/>
    <cellStyle name="Notas 2 2 20" xfId="32018"/>
    <cellStyle name="Notas 2 2 3" xfId="32019"/>
    <cellStyle name="Notas 2 2 3 10" xfId="32020"/>
    <cellStyle name="Notas 2 2 3 10 2" xfId="32021"/>
    <cellStyle name="Notas 2 2 3 11" xfId="32022"/>
    <cellStyle name="Notas 2 2 3 11 2" xfId="32023"/>
    <cellStyle name="Notas 2 2 3 12" xfId="32024"/>
    <cellStyle name="Notas 2 2 3 12 2" xfId="32025"/>
    <cellStyle name="Notas 2 2 3 13" xfId="32026"/>
    <cellStyle name="Notas 2 2 3 13 2" xfId="32027"/>
    <cellStyle name="Notas 2 2 3 14" xfId="32028"/>
    <cellStyle name="Notas 2 2 3 14 2" xfId="32029"/>
    <cellStyle name="Notas 2 2 3 15" xfId="32030"/>
    <cellStyle name="Notas 2 2 3 2" xfId="32031"/>
    <cellStyle name="Notas 2 2 3 2 10" xfId="32032"/>
    <cellStyle name="Notas 2 2 3 2 10 2" xfId="32033"/>
    <cellStyle name="Notas 2 2 3 2 11" xfId="32034"/>
    <cellStyle name="Notas 2 2 3 2 11 2" xfId="32035"/>
    <cellStyle name="Notas 2 2 3 2 12" xfId="32036"/>
    <cellStyle name="Notas 2 2 3 2 12 2" xfId="32037"/>
    <cellStyle name="Notas 2 2 3 2 13" xfId="32038"/>
    <cellStyle name="Notas 2 2 3 2 2" xfId="32039"/>
    <cellStyle name="Notas 2 2 3 2 2 10" xfId="32040"/>
    <cellStyle name="Notas 2 2 3 2 2 10 2" xfId="32041"/>
    <cellStyle name="Notas 2 2 3 2 2 11" xfId="32042"/>
    <cellStyle name="Notas 2 2 3 2 2 2" xfId="32043"/>
    <cellStyle name="Notas 2 2 3 2 2 2 2" xfId="32044"/>
    <cellStyle name="Notas 2 2 3 2 2 3" xfId="32045"/>
    <cellStyle name="Notas 2 2 3 2 2 3 2" xfId="32046"/>
    <cellStyle name="Notas 2 2 3 2 2 4" xfId="32047"/>
    <cellStyle name="Notas 2 2 3 2 2 4 2" xfId="32048"/>
    <cellStyle name="Notas 2 2 3 2 2 5" xfId="32049"/>
    <cellStyle name="Notas 2 2 3 2 2 5 2" xfId="32050"/>
    <cellStyle name="Notas 2 2 3 2 2 6" xfId="32051"/>
    <cellStyle name="Notas 2 2 3 2 2 6 2" xfId="32052"/>
    <cellStyle name="Notas 2 2 3 2 2 7" xfId="32053"/>
    <cellStyle name="Notas 2 2 3 2 2 7 2" xfId="32054"/>
    <cellStyle name="Notas 2 2 3 2 2 8" xfId="32055"/>
    <cellStyle name="Notas 2 2 3 2 2 8 2" xfId="32056"/>
    <cellStyle name="Notas 2 2 3 2 2 9" xfId="32057"/>
    <cellStyle name="Notas 2 2 3 2 2 9 2" xfId="32058"/>
    <cellStyle name="Notas 2 2 3 2 3" xfId="32059"/>
    <cellStyle name="Notas 2 2 3 2 3 10" xfId="32060"/>
    <cellStyle name="Notas 2 2 3 2 3 10 2" xfId="32061"/>
    <cellStyle name="Notas 2 2 3 2 3 11" xfId="32062"/>
    <cellStyle name="Notas 2 2 3 2 3 2" xfId="32063"/>
    <cellStyle name="Notas 2 2 3 2 3 2 2" xfId="32064"/>
    <cellStyle name="Notas 2 2 3 2 3 3" xfId="32065"/>
    <cellStyle name="Notas 2 2 3 2 3 3 2" xfId="32066"/>
    <cellStyle name="Notas 2 2 3 2 3 4" xfId="32067"/>
    <cellStyle name="Notas 2 2 3 2 3 4 2" xfId="32068"/>
    <cellStyle name="Notas 2 2 3 2 3 5" xfId="32069"/>
    <cellStyle name="Notas 2 2 3 2 3 5 2" xfId="32070"/>
    <cellStyle name="Notas 2 2 3 2 3 6" xfId="32071"/>
    <cellStyle name="Notas 2 2 3 2 3 6 2" xfId="32072"/>
    <cellStyle name="Notas 2 2 3 2 3 7" xfId="32073"/>
    <cellStyle name="Notas 2 2 3 2 3 7 2" xfId="32074"/>
    <cellStyle name="Notas 2 2 3 2 3 8" xfId="32075"/>
    <cellStyle name="Notas 2 2 3 2 3 8 2" xfId="32076"/>
    <cellStyle name="Notas 2 2 3 2 3 9" xfId="32077"/>
    <cellStyle name="Notas 2 2 3 2 3 9 2" xfId="32078"/>
    <cellStyle name="Notas 2 2 3 2 4" xfId="32079"/>
    <cellStyle name="Notas 2 2 3 2 4 2" xfId="32080"/>
    <cellStyle name="Notas 2 2 3 2 5" xfId="32081"/>
    <cellStyle name="Notas 2 2 3 2 5 2" xfId="32082"/>
    <cellStyle name="Notas 2 2 3 2 6" xfId="32083"/>
    <cellStyle name="Notas 2 2 3 2 6 2" xfId="32084"/>
    <cellStyle name="Notas 2 2 3 2 7" xfId="32085"/>
    <cellStyle name="Notas 2 2 3 2 7 2" xfId="32086"/>
    <cellStyle name="Notas 2 2 3 2 8" xfId="32087"/>
    <cellStyle name="Notas 2 2 3 2 8 2" xfId="32088"/>
    <cellStyle name="Notas 2 2 3 2 9" xfId="32089"/>
    <cellStyle name="Notas 2 2 3 2 9 2" xfId="32090"/>
    <cellStyle name="Notas 2 2 3 3" xfId="32091"/>
    <cellStyle name="Notas 2 2 3 3 10" xfId="32092"/>
    <cellStyle name="Notas 2 2 3 3 10 2" xfId="32093"/>
    <cellStyle name="Notas 2 2 3 3 11" xfId="32094"/>
    <cellStyle name="Notas 2 2 3 3 11 2" xfId="32095"/>
    <cellStyle name="Notas 2 2 3 3 12" xfId="32096"/>
    <cellStyle name="Notas 2 2 3 3 12 2" xfId="32097"/>
    <cellStyle name="Notas 2 2 3 3 13" xfId="32098"/>
    <cellStyle name="Notas 2 2 3 3 2" xfId="32099"/>
    <cellStyle name="Notas 2 2 3 3 2 10" xfId="32100"/>
    <cellStyle name="Notas 2 2 3 3 2 10 2" xfId="32101"/>
    <cellStyle name="Notas 2 2 3 3 2 11" xfId="32102"/>
    <cellStyle name="Notas 2 2 3 3 2 2" xfId="32103"/>
    <cellStyle name="Notas 2 2 3 3 2 2 2" xfId="32104"/>
    <cellStyle name="Notas 2 2 3 3 2 3" xfId="32105"/>
    <cellStyle name="Notas 2 2 3 3 2 3 2" xfId="32106"/>
    <cellStyle name="Notas 2 2 3 3 2 4" xfId="32107"/>
    <cellStyle name="Notas 2 2 3 3 2 4 2" xfId="32108"/>
    <cellStyle name="Notas 2 2 3 3 2 5" xfId="32109"/>
    <cellStyle name="Notas 2 2 3 3 2 5 2" xfId="32110"/>
    <cellStyle name="Notas 2 2 3 3 2 6" xfId="32111"/>
    <cellStyle name="Notas 2 2 3 3 2 6 2" xfId="32112"/>
    <cellStyle name="Notas 2 2 3 3 2 7" xfId="32113"/>
    <cellStyle name="Notas 2 2 3 3 2 7 2" xfId="32114"/>
    <cellStyle name="Notas 2 2 3 3 2 8" xfId="32115"/>
    <cellStyle name="Notas 2 2 3 3 2 8 2" xfId="32116"/>
    <cellStyle name="Notas 2 2 3 3 2 9" xfId="32117"/>
    <cellStyle name="Notas 2 2 3 3 2 9 2" xfId="32118"/>
    <cellStyle name="Notas 2 2 3 3 3" xfId="32119"/>
    <cellStyle name="Notas 2 2 3 3 3 10" xfId="32120"/>
    <cellStyle name="Notas 2 2 3 3 3 10 2" xfId="32121"/>
    <cellStyle name="Notas 2 2 3 3 3 11" xfId="32122"/>
    <cellStyle name="Notas 2 2 3 3 3 2" xfId="32123"/>
    <cellStyle name="Notas 2 2 3 3 3 2 2" xfId="32124"/>
    <cellStyle name="Notas 2 2 3 3 3 3" xfId="32125"/>
    <cellStyle name="Notas 2 2 3 3 3 3 2" xfId="32126"/>
    <cellStyle name="Notas 2 2 3 3 3 4" xfId="32127"/>
    <cellStyle name="Notas 2 2 3 3 3 4 2" xfId="32128"/>
    <cellStyle name="Notas 2 2 3 3 3 5" xfId="32129"/>
    <cellStyle name="Notas 2 2 3 3 3 5 2" xfId="32130"/>
    <cellStyle name="Notas 2 2 3 3 3 6" xfId="32131"/>
    <cellStyle name="Notas 2 2 3 3 3 6 2" xfId="32132"/>
    <cellStyle name="Notas 2 2 3 3 3 7" xfId="32133"/>
    <cellStyle name="Notas 2 2 3 3 3 7 2" xfId="32134"/>
    <cellStyle name="Notas 2 2 3 3 3 8" xfId="32135"/>
    <cellStyle name="Notas 2 2 3 3 3 8 2" xfId="32136"/>
    <cellStyle name="Notas 2 2 3 3 3 9" xfId="32137"/>
    <cellStyle name="Notas 2 2 3 3 3 9 2" xfId="32138"/>
    <cellStyle name="Notas 2 2 3 3 4" xfId="32139"/>
    <cellStyle name="Notas 2 2 3 3 4 2" xfId="32140"/>
    <cellStyle name="Notas 2 2 3 3 5" xfId="32141"/>
    <cellStyle name="Notas 2 2 3 3 5 2" xfId="32142"/>
    <cellStyle name="Notas 2 2 3 3 6" xfId="32143"/>
    <cellStyle name="Notas 2 2 3 3 6 2" xfId="32144"/>
    <cellStyle name="Notas 2 2 3 3 7" xfId="32145"/>
    <cellStyle name="Notas 2 2 3 3 7 2" xfId="32146"/>
    <cellStyle name="Notas 2 2 3 3 8" xfId="32147"/>
    <cellStyle name="Notas 2 2 3 3 8 2" xfId="32148"/>
    <cellStyle name="Notas 2 2 3 3 9" xfId="32149"/>
    <cellStyle name="Notas 2 2 3 3 9 2" xfId="32150"/>
    <cellStyle name="Notas 2 2 3 4" xfId="32151"/>
    <cellStyle name="Notas 2 2 3 4 10" xfId="32152"/>
    <cellStyle name="Notas 2 2 3 4 10 2" xfId="32153"/>
    <cellStyle name="Notas 2 2 3 4 11" xfId="32154"/>
    <cellStyle name="Notas 2 2 3 4 2" xfId="32155"/>
    <cellStyle name="Notas 2 2 3 4 2 2" xfId="32156"/>
    <cellStyle name="Notas 2 2 3 4 3" xfId="32157"/>
    <cellStyle name="Notas 2 2 3 4 3 2" xfId="32158"/>
    <cellStyle name="Notas 2 2 3 4 4" xfId="32159"/>
    <cellStyle name="Notas 2 2 3 4 4 2" xfId="32160"/>
    <cellStyle name="Notas 2 2 3 4 5" xfId="32161"/>
    <cellStyle name="Notas 2 2 3 4 5 2" xfId="32162"/>
    <cellStyle name="Notas 2 2 3 4 6" xfId="32163"/>
    <cellStyle name="Notas 2 2 3 4 6 2" xfId="32164"/>
    <cellStyle name="Notas 2 2 3 4 7" xfId="32165"/>
    <cellStyle name="Notas 2 2 3 4 7 2" xfId="32166"/>
    <cellStyle name="Notas 2 2 3 4 8" xfId="32167"/>
    <cellStyle name="Notas 2 2 3 4 8 2" xfId="32168"/>
    <cellStyle name="Notas 2 2 3 4 9" xfId="32169"/>
    <cellStyle name="Notas 2 2 3 4 9 2" xfId="32170"/>
    <cellStyle name="Notas 2 2 3 5" xfId="32171"/>
    <cellStyle name="Notas 2 2 3 5 10" xfId="32172"/>
    <cellStyle name="Notas 2 2 3 5 10 2" xfId="32173"/>
    <cellStyle name="Notas 2 2 3 5 11" xfId="32174"/>
    <cellStyle name="Notas 2 2 3 5 2" xfId="32175"/>
    <cellStyle name="Notas 2 2 3 5 2 2" xfId="32176"/>
    <cellStyle name="Notas 2 2 3 5 3" xfId="32177"/>
    <cellStyle name="Notas 2 2 3 5 3 2" xfId="32178"/>
    <cellStyle name="Notas 2 2 3 5 4" xfId="32179"/>
    <cellStyle name="Notas 2 2 3 5 4 2" xfId="32180"/>
    <cellStyle name="Notas 2 2 3 5 5" xfId="32181"/>
    <cellStyle name="Notas 2 2 3 5 5 2" xfId="32182"/>
    <cellStyle name="Notas 2 2 3 5 6" xfId="32183"/>
    <cellStyle name="Notas 2 2 3 5 6 2" xfId="32184"/>
    <cellStyle name="Notas 2 2 3 5 7" xfId="32185"/>
    <cellStyle name="Notas 2 2 3 5 7 2" xfId="32186"/>
    <cellStyle name="Notas 2 2 3 5 8" xfId="32187"/>
    <cellStyle name="Notas 2 2 3 5 8 2" xfId="32188"/>
    <cellStyle name="Notas 2 2 3 5 9" xfId="32189"/>
    <cellStyle name="Notas 2 2 3 5 9 2" xfId="32190"/>
    <cellStyle name="Notas 2 2 3 6" xfId="32191"/>
    <cellStyle name="Notas 2 2 3 6 2" xfId="32192"/>
    <cellStyle name="Notas 2 2 3 7" xfId="32193"/>
    <cellStyle name="Notas 2 2 3 7 2" xfId="32194"/>
    <cellStyle name="Notas 2 2 3 8" xfId="32195"/>
    <cellStyle name="Notas 2 2 3 8 2" xfId="32196"/>
    <cellStyle name="Notas 2 2 3 9" xfId="32197"/>
    <cellStyle name="Notas 2 2 3 9 2" xfId="32198"/>
    <cellStyle name="Notas 2 2 4" xfId="32199"/>
    <cellStyle name="Notas 2 2 4 10" xfId="32200"/>
    <cellStyle name="Notas 2 2 4 10 2" xfId="32201"/>
    <cellStyle name="Notas 2 2 4 11" xfId="32202"/>
    <cellStyle name="Notas 2 2 4 11 2" xfId="32203"/>
    <cellStyle name="Notas 2 2 4 12" xfId="32204"/>
    <cellStyle name="Notas 2 2 4 12 2" xfId="32205"/>
    <cellStyle name="Notas 2 2 4 13" xfId="32206"/>
    <cellStyle name="Notas 2 2 4 13 2" xfId="32207"/>
    <cellStyle name="Notas 2 2 4 14" xfId="32208"/>
    <cellStyle name="Notas 2 2 4 14 2" xfId="32209"/>
    <cellStyle name="Notas 2 2 4 15" xfId="32210"/>
    <cellStyle name="Notas 2 2 4 2" xfId="32211"/>
    <cellStyle name="Notas 2 2 4 2 10" xfId="32212"/>
    <cellStyle name="Notas 2 2 4 2 10 2" xfId="32213"/>
    <cellStyle name="Notas 2 2 4 2 11" xfId="32214"/>
    <cellStyle name="Notas 2 2 4 2 11 2" xfId="32215"/>
    <cellStyle name="Notas 2 2 4 2 12" xfId="32216"/>
    <cellStyle name="Notas 2 2 4 2 12 2" xfId="32217"/>
    <cellStyle name="Notas 2 2 4 2 13" xfId="32218"/>
    <cellStyle name="Notas 2 2 4 2 2" xfId="32219"/>
    <cellStyle name="Notas 2 2 4 2 2 10" xfId="32220"/>
    <cellStyle name="Notas 2 2 4 2 2 10 2" xfId="32221"/>
    <cellStyle name="Notas 2 2 4 2 2 11" xfId="32222"/>
    <cellStyle name="Notas 2 2 4 2 2 2" xfId="32223"/>
    <cellStyle name="Notas 2 2 4 2 2 2 2" xfId="32224"/>
    <cellStyle name="Notas 2 2 4 2 2 3" xfId="32225"/>
    <cellStyle name="Notas 2 2 4 2 2 3 2" xfId="32226"/>
    <cellStyle name="Notas 2 2 4 2 2 4" xfId="32227"/>
    <cellStyle name="Notas 2 2 4 2 2 4 2" xfId="32228"/>
    <cellStyle name="Notas 2 2 4 2 2 5" xfId="32229"/>
    <cellStyle name="Notas 2 2 4 2 2 5 2" xfId="32230"/>
    <cellStyle name="Notas 2 2 4 2 2 6" xfId="32231"/>
    <cellStyle name="Notas 2 2 4 2 2 6 2" xfId="32232"/>
    <cellStyle name="Notas 2 2 4 2 2 7" xfId="32233"/>
    <cellStyle name="Notas 2 2 4 2 2 7 2" xfId="32234"/>
    <cellStyle name="Notas 2 2 4 2 2 8" xfId="32235"/>
    <cellStyle name="Notas 2 2 4 2 2 8 2" xfId="32236"/>
    <cellStyle name="Notas 2 2 4 2 2 9" xfId="32237"/>
    <cellStyle name="Notas 2 2 4 2 2 9 2" xfId="32238"/>
    <cellStyle name="Notas 2 2 4 2 3" xfId="32239"/>
    <cellStyle name="Notas 2 2 4 2 3 10" xfId="32240"/>
    <cellStyle name="Notas 2 2 4 2 3 10 2" xfId="32241"/>
    <cellStyle name="Notas 2 2 4 2 3 11" xfId="32242"/>
    <cellStyle name="Notas 2 2 4 2 3 2" xfId="32243"/>
    <cellStyle name="Notas 2 2 4 2 3 2 2" xfId="32244"/>
    <cellStyle name="Notas 2 2 4 2 3 3" xfId="32245"/>
    <cellStyle name="Notas 2 2 4 2 3 3 2" xfId="32246"/>
    <cellStyle name="Notas 2 2 4 2 3 4" xfId="32247"/>
    <cellStyle name="Notas 2 2 4 2 3 4 2" xfId="32248"/>
    <cellStyle name="Notas 2 2 4 2 3 5" xfId="32249"/>
    <cellStyle name="Notas 2 2 4 2 3 5 2" xfId="32250"/>
    <cellStyle name="Notas 2 2 4 2 3 6" xfId="32251"/>
    <cellStyle name="Notas 2 2 4 2 3 6 2" xfId="32252"/>
    <cellStyle name="Notas 2 2 4 2 3 7" xfId="32253"/>
    <cellStyle name="Notas 2 2 4 2 3 7 2" xfId="32254"/>
    <cellStyle name="Notas 2 2 4 2 3 8" xfId="32255"/>
    <cellStyle name="Notas 2 2 4 2 3 8 2" xfId="32256"/>
    <cellStyle name="Notas 2 2 4 2 3 9" xfId="32257"/>
    <cellStyle name="Notas 2 2 4 2 3 9 2" xfId="32258"/>
    <cellStyle name="Notas 2 2 4 2 4" xfId="32259"/>
    <cellStyle name="Notas 2 2 4 2 4 2" xfId="32260"/>
    <cellStyle name="Notas 2 2 4 2 5" xfId="32261"/>
    <cellStyle name="Notas 2 2 4 2 5 2" xfId="32262"/>
    <cellStyle name="Notas 2 2 4 2 6" xfId="32263"/>
    <cellStyle name="Notas 2 2 4 2 6 2" xfId="32264"/>
    <cellStyle name="Notas 2 2 4 2 7" xfId="32265"/>
    <cellStyle name="Notas 2 2 4 2 7 2" xfId="32266"/>
    <cellStyle name="Notas 2 2 4 2 8" xfId="32267"/>
    <cellStyle name="Notas 2 2 4 2 8 2" xfId="32268"/>
    <cellStyle name="Notas 2 2 4 2 9" xfId="32269"/>
    <cellStyle name="Notas 2 2 4 2 9 2" xfId="32270"/>
    <cellStyle name="Notas 2 2 4 3" xfId="32271"/>
    <cellStyle name="Notas 2 2 4 3 10" xfId="32272"/>
    <cellStyle name="Notas 2 2 4 3 10 2" xfId="32273"/>
    <cellStyle name="Notas 2 2 4 3 11" xfId="32274"/>
    <cellStyle name="Notas 2 2 4 3 11 2" xfId="32275"/>
    <cellStyle name="Notas 2 2 4 3 12" xfId="32276"/>
    <cellStyle name="Notas 2 2 4 3 12 2" xfId="32277"/>
    <cellStyle name="Notas 2 2 4 3 13" xfId="32278"/>
    <cellStyle name="Notas 2 2 4 3 2" xfId="32279"/>
    <cellStyle name="Notas 2 2 4 3 2 10" xfId="32280"/>
    <cellStyle name="Notas 2 2 4 3 2 10 2" xfId="32281"/>
    <cellStyle name="Notas 2 2 4 3 2 11" xfId="32282"/>
    <cellStyle name="Notas 2 2 4 3 2 2" xfId="32283"/>
    <cellStyle name="Notas 2 2 4 3 2 2 2" xfId="32284"/>
    <cellStyle name="Notas 2 2 4 3 2 3" xfId="32285"/>
    <cellStyle name="Notas 2 2 4 3 2 3 2" xfId="32286"/>
    <cellStyle name="Notas 2 2 4 3 2 4" xfId="32287"/>
    <cellStyle name="Notas 2 2 4 3 2 4 2" xfId="32288"/>
    <cellStyle name="Notas 2 2 4 3 2 5" xfId="32289"/>
    <cellStyle name="Notas 2 2 4 3 2 5 2" xfId="32290"/>
    <cellStyle name="Notas 2 2 4 3 2 6" xfId="32291"/>
    <cellStyle name="Notas 2 2 4 3 2 6 2" xfId="32292"/>
    <cellStyle name="Notas 2 2 4 3 2 7" xfId="32293"/>
    <cellStyle name="Notas 2 2 4 3 2 7 2" xfId="32294"/>
    <cellStyle name="Notas 2 2 4 3 2 8" xfId="32295"/>
    <cellStyle name="Notas 2 2 4 3 2 8 2" xfId="32296"/>
    <cellStyle name="Notas 2 2 4 3 2 9" xfId="32297"/>
    <cellStyle name="Notas 2 2 4 3 2 9 2" xfId="32298"/>
    <cellStyle name="Notas 2 2 4 3 3" xfId="32299"/>
    <cellStyle name="Notas 2 2 4 3 3 10" xfId="32300"/>
    <cellStyle name="Notas 2 2 4 3 3 10 2" xfId="32301"/>
    <cellStyle name="Notas 2 2 4 3 3 11" xfId="32302"/>
    <cellStyle name="Notas 2 2 4 3 3 2" xfId="32303"/>
    <cellStyle name="Notas 2 2 4 3 3 2 2" xfId="32304"/>
    <cellStyle name="Notas 2 2 4 3 3 3" xfId="32305"/>
    <cellStyle name="Notas 2 2 4 3 3 3 2" xfId="32306"/>
    <cellStyle name="Notas 2 2 4 3 3 4" xfId="32307"/>
    <cellStyle name="Notas 2 2 4 3 3 4 2" xfId="32308"/>
    <cellStyle name="Notas 2 2 4 3 3 5" xfId="32309"/>
    <cellStyle name="Notas 2 2 4 3 3 5 2" xfId="32310"/>
    <cellStyle name="Notas 2 2 4 3 3 6" xfId="32311"/>
    <cellStyle name="Notas 2 2 4 3 3 6 2" xfId="32312"/>
    <cellStyle name="Notas 2 2 4 3 3 7" xfId="32313"/>
    <cellStyle name="Notas 2 2 4 3 3 7 2" xfId="32314"/>
    <cellStyle name="Notas 2 2 4 3 3 8" xfId="32315"/>
    <cellStyle name="Notas 2 2 4 3 3 8 2" xfId="32316"/>
    <cellStyle name="Notas 2 2 4 3 3 9" xfId="32317"/>
    <cellStyle name="Notas 2 2 4 3 3 9 2" xfId="32318"/>
    <cellStyle name="Notas 2 2 4 3 4" xfId="32319"/>
    <cellStyle name="Notas 2 2 4 3 4 2" xfId="32320"/>
    <cellStyle name="Notas 2 2 4 3 5" xfId="32321"/>
    <cellStyle name="Notas 2 2 4 3 5 2" xfId="32322"/>
    <cellStyle name="Notas 2 2 4 3 6" xfId="32323"/>
    <cellStyle name="Notas 2 2 4 3 6 2" xfId="32324"/>
    <cellStyle name="Notas 2 2 4 3 7" xfId="32325"/>
    <cellStyle name="Notas 2 2 4 3 7 2" xfId="32326"/>
    <cellStyle name="Notas 2 2 4 3 8" xfId="32327"/>
    <cellStyle name="Notas 2 2 4 3 8 2" xfId="32328"/>
    <cellStyle name="Notas 2 2 4 3 9" xfId="32329"/>
    <cellStyle name="Notas 2 2 4 3 9 2" xfId="32330"/>
    <cellStyle name="Notas 2 2 4 4" xfId="32331"/>
    <cellStyle name="Notas 2 2 4 4 10" xfId="32332"/>
    <cellStyle name="Notas 2 2 4 4 10 2" xfId="32333"/>
    <cellStyle name="Notas 2 2 4 4 11" xfId="32334"/>
    <cellStyle name="Notas 2 2 4 4 2" xfId="32335"/>
    <cellStyle name="Notas 2 2 4 4 2 2" xfId="32336"/>
    <cellStyle name="Notas 2 2 4 4 3" xfId="32337"/>
    <cellStyle name="Notas 2 2 4 4 3 2" xfId="32338"/>
    <cellStyle name="Notas 2 2 4 4 4" xfId="32339"/>
    <cellStyle name="Notas 2 2 4 4 4 2" xfId="32340"/>
    <cellStyle name="Notas 2 2 4 4 5" xfId="32341"/>
    <cellStyle name="Notas 2 2 4 4 5 2" xfId="32342"/>
    <cellStyle name="Notas 2 2 4 4 6" xfId="32343"/>
    <cellStyle name="Notas 2 2 4 4 6 2" xfId="32344"/>
    <cellStyle name="Notas 2 2 4 4 7" xfId="32345"/>
    <cellStyle name="Notas 2 2 4 4 7 2" xfId="32346"/>
    <cellStyle name="Notas 2 2 4 4 8" xfId="32347"/>
    <cellStyle name="Notas 2 2 4 4 8 2" xfId="32348"/>
    <cellStyle name="Notas 2 2 4 4 9" xfId="32349"/>
    <cellStyle name="Notas 2 2 4 4 9 2" xfId="32350"/>
    <cellStyle name="Notas 2 2 4 5" xfId="32351"/>
    <cellStyle name="Notas 2 2 4 5 10" xfId="32352"/>
    <cellStyle name="Notas 2 2 4 5 10 2" xfId="32353"/>
    <cellStyle name="Notas 2 2 4 5 11" xfId="32354"/>
    <cellStyle name="Notas 2 2 4 5 2" xfId="32355"/>
    <cellStyle name="Notas 2 2 4 5 2 2" xfId="32356"/>
    <cellStyle name="Notas 2 2 4 5 3" xfId="32357"/>
    <cellStyle name="Notas 2 2 4 5 3 2" xfId="32358"/>
    <cellStyle name="Notas 2 2 4 5 4" xfId="32359"/>
    <cellStyle name="Notas 2 2 4 5 4 2" xfId="32360"/>
    <cellStyle name="Notas 2 2 4 5 5" xfId="32361"/>
    <cellStyle name="Notas 2 2 4 5 5 2" xfId="32362"/>
    <cellStyle name="Notas 2 2 4 5 6" xfId="32363"/>
    <cellStyle name="Notas 2 2 4 5 6 2" xfId="32364"/>
    <cellStyle name="Notas 2 2 4 5 7" xfId="32365"/>
    <cellStyle name="Notas 2 2 4 5 7 2" xfId="32366"/>
    <cellStyle name="Notas 2 2 4 5 8" xfId="32367"/>
    <cellStyle name="Notas 2 2 4 5 8 2" xfId="32368"/>
    <cellStyle name="Notas 2 2 4 5 9" xfId="32369"/>
    <cellStyle name="Notas 2 2 4 5 9 2" xfId="32370"/>
    <cellStyle name="Notas 2 2 4 6" xfId="32371"/>
    <cellStyle name="Notas 2 2 4 6 2" xfId="32372"/>
    <cellStyle name="Notas 2 2 4 7" xfId="32373"/>
    <cellStyle name="Notas 2 2 4 7 2" xfId="32374"/>
    <cellStyle name="Notas 2 2 4 8" xfId="32375"/>
    <cellStyle name="Notas 2 2 4 8 2" xfId="32376"/>
    <cellStyle name="Notas 2 2 4 9" xfId="32377"/>
    <cellStyle name="Notas 2 2 4 9 2" xfId="32378"/>
    <cellStyle name="Notas 2 2 5" xfId="32379"/>
    <cellStyle name="Notas 2 2 5 10" xfId="32380"/>
    <cellStyle name="Notas 2 2 5 10 2" xfId="32381"/>
    <cellStyle name="Notas 2 2 5 11" xfId="32382"/>
    <cellStyle name="Notas 2 2 5 11 2" xfId="32383"/>
    <cellStyle name="Notas 2 2 5 12" xfId="32384"/>
    <cellStyle name="Notas 2 2 5 12 2" xfId="32385"/>
    <cellStyle name="Notas 2 2 5 13" xfId="32386"/>
    <cellStyle name="Notas 2 2 5 13 2" xfId="32387"/>
    <cellStyle name="Notas 2 2 5 14" xfId="32388"/>
    <cellStyle name="Notas 2 2 5 14 2" xfId="32389"/>
    <cellStyle name="Notas 2 2 5 15" xfId="32390"/>
    <cellStyle name="Notas 2 2 5 2" xfId="32391"/>
    <cellStyle name="Notas 2 2 5 2 10" xfId="32392"/>
    <cellStyle name="Notas 2 2 5 2 10 2" xfId="32393"/>
    <cellStyle name="Notas 2 2 5 2 11" xfId="32394"/>
    <cellStyle name="Notas 2 2 5 2 11 2" xfId="32395"/>
    <cellStyle name="Notas 2 2 5 2 12" xfId="32396"/>
    <cellStyle name="Notas 2 2 5 2 12 2" xfId="32397"/>
    <cellStyle name="Notas 2 2 5 2 13" xfId="32398"/>
    <cellStyle name="Notas 2 2 5 2 2" xfId="32399"/>
    <cellStyle name="Notas 2 2 5 2 2 10" xfId="32400"/>
    <cellStyle name="Notas 2 2 5 2 2 10 2" xfId="32401"/>
    <cellStyle name="Notas 2 2 5 2 2 11" xfId="32402"/>
    <cellStyle name="Notas 2 2 5 2 2 2" xfId="32403"/>
    <cellStyle name="Notas 2 2 5 2 2 2 2" xfId="32404"/>
    <cellStyle name="Notas 2 2 5 2 2 3" xfId="32405"/>
    <cellStyle name="Notas 2 2 5 2 2 3 2" xfId="32406"/>
    <cellStyle name="Notas 2 2 5 2 2 4" xfId="32407"/>
    <cellStyle name="Notas 2 2 5 2 2 4 2" xfId="32408"/>
    <cellStyle name="Notas 2 2 5 2 2 5" xfId="32409"/>
    <cellStyle name="Notas 2 2 5 2 2 5 2" xfId="32410"/>
    <cellStyle name="Notas 2 2 5 2 2 6" xfId="32411"/>
    <cellStyle name="Notas 2 2 5 2 2 6 2" xfId="32412"/>
    <cellStyle name="Notas 2 2 5 2 2 7" xfId="32413"/>
    <cellStyle name="Notas 2 2 5 2 2 7 2" xfId="32414"/>
    <cellStyle name="Notas 2 2 5 2 2 8" xfId="32415"/>
    <cellStyle name="Notas 2 2 5 2 2 8 2" xfId="32416"/>
    <cellStyle name="Notas 2 2 5 2 2 9" xfId="32417"/>
    <cellStyle name="Notas 2 2 5 2 2 9 2" xfId="32418"/>
    <cellStyle name="Notas 2 2 5 2 3" xfId="32419"/>
    <cellStyle name="Notas 2 2 5 2 3 10" xfId="32420"/>
    <cellStyle name="Notas 2 2 5 2 3 10 2" xfId="32421"/>
    <cellStyle name="Notas 2 2 5 2 3 11" xfId="32422"/>
    <cellStyle name="Notas 2 2 5 2 3 2" xfId="32423"/>
    <cellStyle name="Notas 2 2 5 2 3 2 2" xfId="32424"/>
    <cellStyle name="Notas 2 2 5 2 3 3" xfId="32425"/>
    <cellStyle name="Notas 2 2 5 2 3 3 2" xfId="32426"/>
    <cellStyle name="Notas 2 2 5 2 3 4" xfId="32427"/>
    <cellStyle name="Notas 2 2 5 2 3 4 2" xfId="32428"/>
    <cellStyle name="Notas 2 2 5 2 3 5" xfId="32429"/>
    <cellStyle name="Notas 2 2 5 2 3 5 2" xfId="32430"/>
    <cellStyle name="Notas 2 2 5 2 3 6" xfId="32431"/>
    <cellStyle name="Notas 2 2 5 2 3 6 2" xfId="32432"/>
    <cellStyle name="Notas 2 2 5 2 3 7" xfId="32433"/>
    <cellStyle name="Notas 2 2 5 2 3 7 2" xfId="32434"/>
    <cellStyle name="Notas 2 2 5 2 3 8" xfId="32435"/>
    <cellStyle name="Notas 2 2 5 2 3 8 2" xfId="32436"/>
    <cellStyle name="Notas 2 2 5 2 3 9" xfId="32437"/>
    <cellStyle name="Notas 2 2 5 2 3 9 2" xfId="32438"/>
    <cellStyle name="Notas 2 2 5 2 4" xfId="32439"/>
    <cellStyle name="Notas 2 2 5 2 4 2" xfId="32440"/>
    <cellStyle name="Notas 2 2 5 2 5" xfId="32441"/>
    <cellStyle name="Notas 2 2 5 2 5 2" xfId="32442"/>
    <cellStyle name="Notas 2 2 5 2 6" xfId="32443"/>
    <cellStyle name="Notas 2 2 5 2 6 2" xfId="32444"/>
    <cellStyle name="Notas 2 2 5 2 7" xfId="32445"/>
    <cellStyle name="Notas 2 2 5 2 7 2" xfId="32446"/>
    <cellStyle name="Notas 2 2 5 2 8" xfId="32447"/>
    <cellStyle name="Notas 2 2 5 2 8 2" xfId="32448"/>
    <cellStyle name="Notas 2 2 5 2 9" xfId="32449"/>
    <cellStyle name="Notas 2 2 5 2 9 2" xfId="32450"/>
    <cellStyle name="Notas 2 2 5 3" xfId="32451"/>
    <cellStyle name="Notas 2 2 5 3 10" xfId="32452"/>
    <cellStyle name="Notas 2 2 5 3 10 2" xfId="32453"/>
    <cellStyle name="Notas 2 2 5 3 11" xfId="32454"/>
    <cellStyle name="Notas 2 2 5 3 11 2" xfId="32455"/>
    <cellStyle name="Notas 2 2 5 3 12" xfId="32456"/>
    <cellStyle name="Notas 2 2 5 3 12 2" xfId="32457"/>
    <cellStyle name="Notas 2 2 5 3 13" xfId="32458"/>
    <cellStyle name="Notas 2 2 5 3 2" xfId="32459"/>
    <cellStyle name="Notas 2 2 5 3 2 10" xfId="32460"/>
    <cellStyle name="Notas 2 2 5 3 2 10 2" xfId="32461"/>
    <cellStyle name="Notas 2 2 5 3 2 11" xfId="32462"/>
    <cellStyle name="Notas 2 2 5 3 2 2" xfId="32463"/>
    <cellStyle name="Notas 2 2 5 3 2 2 2" xfId="32464"/>
    <cellStyle name="Notas 2 2 5 3 2 3" xfId="32465"/>
    <cellStyle name="Notas 2 2 5 3 2 3 2" xfId="32466"/>
    <cellStyle name="Notas 2 2 5 3 2 4" xfId="32467"/>
    <cellStyle name="Notas 2 2 5 3 2 4 2" xfId="32468"/>
    <cellStyle name="Notas 2 2 5 3 2 5" xfId="32469"/>
    <cellStyle name="Notas 2 2 5 3 2 5 2" xfId="32470"/>
    <cellStyle name="Notas 2 2 5 3 2 6" xfId="32471"/>
    <cellStyle name="Notas 2 2 5 3 2 6 2" xfId="32472"/>
    <cellStyle name="Notas 2 2 5 3 2 7" xfId="32473"/>
    <cellStyle name="Notas 2 2 5 3 2 7 2" xfId="32474"/>
    <cellStyle name="Notas 2 2 5 3 2 8" xfId="32475"/>
    <cellStyle name="Notas 2 2 5 3 2 8 2" xfId="32476"/>
    <cellStyle name="Notas 2 2 5 3 2 9" xfId="32477"/>
    <cellStyle name="Notas 2 2 5 3 2 9 2" xfId="32478"/>
    <cellStyle name="Notas 2 2 5 3 3" xfId="32479"/>
    <cellStyle name="Notas 2 2 5 3 3 10" xfId="32480"/>
    <cellStyle name="Notas 2 2 5 3 3 10 2" xfId="32481"/>
    <cellStyle name="Notas 2 2 5 3 3 11" xfId="32482"/>
    <cellStyle name="Notas 2 2 5 3 3 2" xfId="32483"/>
    <cellStyle name="Notas 2 2 5 3 3 2 2" xfId="32484"/>
    <cellStyle name="Notas 2 2 5 3 3 3" xfId="32485"/>
    <cellStyle name="Notas 2 2 5 3 3 3 2" xfId="32486"/>
    <cellStyle name="Notas 2 2 5 3 3 4" xfId="32487"/>
    <cellStyle name="Notas 2 2 5 3 3 4 2" xfId="32488"/>
    <cellStyle name="Notas 2 2 5 3 3 5" xfId="32489"/>
    <cellStyle name="Notas 2 2 5 3 3 5 2" xfId="32490"/>
    <cellStyle name="Notas 2 2 5 3 3 6" xfId="32491"/>
    <cellStyle name="Notas 2 2 5 3 3 6 2" xfId="32492"/>
    <cellStyle name="Notas 2 2 5 3 3 7" xfId="32493"/>
    <cellStyle name="Notas 2 2 5 3 3 7 2" xfId="32494"/>
    <cellStyle name="Notas 2 2 5 3 3 8" xfId="32495"/>
    <cellStyle name="Notas 2 2 5 3 3 8 2" xfId="32496"/>
    <cellStyle name="Notas 2 2 5 3 3 9" xfId="32497"/>
    <cellStyle name="Notas 2 2 5 3 3 9 2" xfId="32498"/>
    <cellStyle name="Notas 2 2 5 3 4" xfId="32499"/>
    <cellStyle name="Notas 2 2 5 3 4 2" xfId="32500"/>
    <cellStyle name="Notas 2 2 5 3 5" xfId="32501"/>
    <cellStyle name="Notas 2 2 5 3 5 2" xfId="32502"/>
    <cellStyle name="Notas 2 2 5 3 6" xfId="32503"/>
    <cellStyle name="Notas 2 2 5 3 6 2" xfId="32504"/>
    <cellStyle name="Notas 2 2 5 3 7" xfId="32505"/>
    <cellStyle name="Notas 2 2 5 3 7 2" xfId="32506"/>
    <cellStyle name="Notas 2 2 5 3 8" xfId="32507"/>
    <cellStyle name="Notas 2 2 5 3 8 2" xfId="32508"/>
    <cellStyle name="Notas 2 2 5 3 9" xfId="32509"/>
    <cellStyle name="Notas 2 2 5 3 9 2" xfId="32510"/>
    <cellStyle name="Notas 2 2 5 4" xfId="32511"/>
    <cellStyle name="Notas 2 2 5 4 10" xfId="32512"/>
    <cellStyle name="Notas 2 2 5 4 10 2" xfId="32513"/>
    <cellStyle name="Notas 2 2 5 4 11" xfId="32514"/>
    <cellStyle name="Notas 2 2 5 4 2" xfId="32515"/>
    <cellStyle name="Notas 2 2 5 4 2 2" xfId="32516"/>
    <cellStyle name="Notas 2 2 5 4 3" xfId="32517"/>
    <cellStyle name="Notas 2 2 5 4 3 2" xfId="32518"/>
    <cellStyle name="Notas 2 2 5 4 4" xfId="32519"/>
    <cellStyle name="Notas 2 2 5 4 4 2" xfId="32520"/>
    <cellStyle name="Notas 2 2 5 4 5" xfId="32521"/>
    <cellStyle name="Notas 2 2 5 4 5 2" xfId="32522"/>
    <cellStyle name="Notas 2 2 5 4 6" xfId="32523"/>
    <cellStyle name="Notas 2 2 5 4 6 2" xfId="32524"/>
    <cellStyle name="Notas 2 2 5 4 7" xfId="32525"/>
    <cellStyle name="Notas 2 2 5 4 7 2" xfId="32526"/>
    <cellStyle name="Notas 2 2 5 4 8" xfId="32527"/>
    <cellStyle name="Notas 2 2 5 4 8 2" xfId="32528"/>
    <cellStyle name="Notas 2 2 5 4 9" xfId="32529"/>
    <cellStyle name="Notas 2 2 5 4 9 2" xfId="32530"/>
    <cellStyle name="Notas 2 2 5 5" xfId="32531"/>
    <cellStyle name="Notas 2 2 5 5 10" xfId="32532"/>
    <cellStyle name="Notas 2 2 5 5 10 2" xfId="32533"/>
    <cellStyle name="Notas 2 2 5 5 11" xfId="32534"/>
    <cellStyle name="Notas 2 2 5 5 2" xfId="32535"/>
    <cellStyle name="Notas 2 2 5 5 2 2" xfId="32536"/>
    <cellStyle name="Notas 2 2 5 5 3" xfId="32537"/>
    <cellStyle name="Notas 2 2 5 5 3 2" xfId="32538"/>
    <cellStyle name="Notas 2 2 5 5 4" xfId="32539"/>
    <cellStyle name="Notas 2 2 5 5 4 2" xfId="32540"/>
    <cellStyle name="Notas 2 2 5 5 5" xfId="32541"/>
    <cellStyle name="Notas 2 2 5 5 5 2" xfId="32542"/>
    <cellStyle name="Notas 2 2 5 5 6" xfId="32543"/>
    <cellStyle name="Notas 2 2 5 5 6 2" xfId="32544"/>
    <cellStyle name="Notas 2 2 5 5 7" xfId="32545"/>
    <cellStyle name="Notas 2 2 5 5 7 2" xfId="32546"/>
    <cellStyle name="Notas 2 2 5 5 8" xfId="32547"/>
    <cellStyle name="Notas 2 2 5 5 8 2" xfId="32548"/>
    <cellStyle name="Notas 2 2 5 5 9" xfId="32549"/>
    <cellStyle name="Notas 2 2 5 5 9 2" xfId="32550"/>
    <cellStyle name="Notas 2 2 5 6" xfId="32551"/>
    <cellStyle name="Notas 2 2 5 6 2" xfId="32552"/>
    <cellStyle name="Notas 2 2 5 7" xfId="32553"/>
    <cellStyle name="Notas 2 2 5 7 2" xfId="32554"/>
    <cellStyle name="Notas 2 2 5 8" xfId="32555"/>
    <cellStyle name="Notas 2 2 5 8 2" xfId="32556"/>
    <cellStyle name="Notas 2 2 5 9" xfId="32557"/>
    <cellStyle name="Notas 2 2 5 9 2" xfId="32558"/>
    <cellStyle name="Notas 2 2 6" xfId="32559"/>
    <cellStyle name="Notas 2 2 6 10" xfId="32560"/>
    <cellStyle name="Notas 2 2 6 10 2" xfId="32561"/>
    <cellStyle name="Notas 2 2 6 11" xfId="32562"/>
    <cellStyle name="Notas 2 2 6 11 2" xfId="32563"/>
    <cellStyle name="Notas 2 2 6 12" xfId="32564"/>
    <cellStyle name="Notas 2 2 6 12 2" xfId="32565"/>
    <cellStyle name="Notas 2 2 6 13" xfId="32566"/>
    <cellStyle name="Notas 2 2 6 2" xfId="32567"/>
    <cellStyle name="Notas 2 2 6 2 10" xfId="32568"/>
    <cellStyle name="Notas 2 2 6 2 10 2" xfId="32569"/>
    <cellStyle name="Notas 2 2 6 2 11" xfId="32570"/>
    <cellStyle name="Notas 2 2 6 2 2" xfId="32571"/>
    <cellStyle name="Notas 2 2 6 2 2 2" xfId="32572"/>
    <cellStyle name="Notas 2 2 6 2 3" xfId="32573"/>
    <cellStyle name="Notas 2 2 6 2 3 2" xfId="32574"/>
    <cellStyle name="Notas 2 2 6 2 4" xfId="32575"/>
    <cellStyle name="Notas 2 2 6 2 4 2" xfId="32576"/>
    <cellStyle name="Notas 2 2 6 2 5" xfId="32577"/>
    <cellStyle name="Notas 2 2 6 2 5 2" xfId="32578"/>
    <cellStyle name="Notas 2 2 6 2 6" xfId="32579"/>
    <cellStyle name="Notas 2 2 6 2 6 2" xfId="32580"/>
    <cellStyle name="Notas 2 2 6 2 7" xfId="32581"/>
    <cellStyle name="Notas 2 2 6 2 7 2" xfId="32582"/>
    <cellStyle name="Notas 2 2 6 2 8" xfId="32583"/>
    <cellStyle name="Notas 2 2 6 2 8 2" xfId="32584"/>
    <cellStyle name="Notas 2 2 6 2 9" xfId="32585"/>
    <cellStyle name="Notas 2 2 6 2 9 2" xfId="32586"/>
    <cellStyle name="Notas 2 2 6 3" xfId="32587"/>
    <cellStyle name="Notas 2 2 6 3 10" xfId="32588"/>
    <cellStyle name="Notas 2 2 6 3 10 2" xfId="32589"/>
    <cellStyle name="Notas 2 2 6 3 11" xfId="32590"/>
    <cellStyle name="Notas 2 2 6 3 2" xfId="32591"/>
    <cellStyle name="Notas 2 2 6 3 2 2" xfId="32592"/>
    <cellStyle name="Notas 2 2 6 3 3" xfId="32593"/>
    <cellStyle name="Notas 2 2 6 3 3 2" xfId="32594"/>
    <cellStyle name="Notas 2 2 6 3 4" xfId="32595"/>
    <cellStyle name="Notas 2 2 6 3 4 2" xfId="32596"/>
    <cellStyle name="Notas 2 2 6 3 5" xfId="32597"/>
    <cellStyle name="Notas 2 2 6 3 5 2" xfId="32598"/>
    <cellStyle name="Notas 2 2 6 3 6" xfId="32599"/>
    <cellStyle name="Notas 2 2 6 3 6 2" xfId="32600"/>
    <cellStyle name="Notas 2 2 6 3 7" xfId="32601"/>
    <cellStyle name="Notas 2 2 6 3 7 2" xfId="32602"/>
    <cellStyle name="Notas 2 2 6 3 8" xfId="32603"/>
    <cellStyle name="Notas 2 2 6 3 8 2" xfId="32604"/>
    <cellStyle name="Notas 2 2 6 3 9" xfId="32605"/>
    <cellStyle name="Notas 2 2 6 3 9 2" xfId="32606"/>
    <cellStyle name="Notas 2 2 6 4" xfId="32607"/>
    <cellStyle name="Notas 2 2 6 4 2" xfId="32608"/>
    <cellStyle name="Notas 2 2 6 5" xfId="32609"/>
    <cellStyle name="Notas 2 2 6 5 2" xfId="32610"/>
    <cellStyle name="Notas 2 2 6 6" xfId="32611"/>
    <cellStyle name="Notas 2 2 6 6 2" xfId="32612"/>
    <cellStyle name="Notas 2 2 6 7" xfId="32613"/>
    <cellStyle name="Notas 2 2 6 7 2" xfId="32614"/>
    <cellStyle name="Notas 2 2 6 8" xfId="32615"/>
    <cellStyle name="Notas 2 2 6 8 2" xfId="32616"/>
    <cellStyle name="Notas 2 2 6 9" xfId="32617"/>
    <cellStyle name="Notas 2 2 6 9 2" xfId="32618"/>
    <cellStyle name="Notas 2 2 7" xfId="32619"/>
    <cellStyle name="Notas 2 2 7 10" xfId="32620"/>
    <cellStyle name="Notas 2 2 7 10 2" xfId="32621"/>
    <cellStyle name="Notas 2 2 7 11" xfId="32622"/>
    <cellStyle name="Notas 2 2 7 11 2" xfId="32623"/>
    <cellStyle name="Notas 2 2 7 12" xfId="32624"/>
    <cellStyle name="Notas 2 2 7 12 2" xfId="32625"/>
    <cellStyle name="Notas 2 2 7 13" xfId="32626"/>
    <cellStyle name="Notas 2 2 7 2" xfId="32627"/>
    <cellStyle name="Notas 2 2 7 2 10" xfId="32628"/>
    <cellStyle name="Notas 2 2 7 2 10 2" xfId="32629"/>
    <cellStyle name="Notas 2 2 7 2 11" xfId="32630"/>
    <cellStyle name="Notas 2 2 7 2 2" xfId="32631"/>
    <cellStyle name="Notas 2 2 7 2 2 2" xfId="32632"/>
    <cellStyle name="Notas 2 2 7 2 3" xfId="32633"/>
    <cellStyle name="Notas 2 2 7 2 3 2" xfId="32634"/>
    <cellStyle name="Notas 2 2 7 2 4" xfId="32635"/>
    <cellStyle name="Notas 2 2 7 2 4 2" xfId="32636"/>
    <cellStyle name="Notas 2 2 7 2 5" xfId="32637"/>
    <cellStyle name="Notas 2 2 7 2 5 2" xfId="32638"/>
    <cellStyle name="Notas 2 2 7 2 6" xfId="32639"/>
    <cellStyle name="Notas 2 2 7 2 6 2" xfId="32640"/>
    <cellStyle name="Notas 2 2 7 2 7" xfId="32641"/>
    <cellStyle name="Notas 2 2 7 2 7 2" xfId="32642"/>
    <cellStyle name="Notas 2 2 7 2 8" xfId="32643"/>
    <cellStyle name="Notas 2 2 7 2 8 2" xfId="32644"/>
    <cellStyle name="Notas 2 2 7 2 9" xfId="32645"/>
    <cellStyle name="Notas 2 2 7 2 9 2" xfId="32646"/>
    <cellStyle name="Notas 2 2 7 3" xfId="32647"/>
    <cellStyle name="Notas 2 2 7 3 10" xfId="32648"/>
    <cellStyle name="Notas 2 2 7 3 10 2" xfId="32649"/>
    <cellStyle name="Notas 2 2 7 3 11" xfId="32650"/>
    <cellStyle name="Notas 2 2 7 3 2" xfId="32651"/>
    <cellStyle name="Notas 2 2 7 3 2 2" xfId="32652"/>
    <cellStyle name="Notas 2 2 7 3 3" xfId="32653"/>
    <cellStyle name="Notas 2 2 7 3 3 2" xfId="32654"/>
    <cellStyle name="Notas 2 2 7 3 4" xfId="32655"/>
    <cellStyle name="Notas 2 2 7 3 4 2" xfId="32656"/>
    <cellStyle name="Notas 2 2 7 3 5" xfId="32657"/>
    <cellStyle name="Notas 2 2 7 3 5 2" xfId="32658"/>
    <cellStyle name="Notas 2 2 7 3 6" xfId="32659"/>
    <cellStyle name="Notas 2 2 7 3 6 2" xfId="32660"/>
    <cellStyle name="Notas 2 2 7 3 7" xfId="32661"/>
    <cellStyle name="Notas 2 2 7 3 7 2" xfId="32662"/>
    <cellStyle name="Notas 2 2 7 3 8" xfId="32663"/>
    <cellStyle name="Notas 2 2 7 3 8 2" xfId="32664"/>
    <cellStyle name="Notas 2 2 7 3 9" xfId="32665"/>
    <cellStyle name="Notas 2 2 7 3 9 2" xfId="32666"/>
    <cellStyle name="Notas 2 2 7 4" xfId="32667"/>
    <cellStyle name="Notas 2 2 7 4 2" xfId="32668"/>
    <cellStyle name="Notas 2 2 7 5" xfId="32669"/>
    <cellStyle name="Notas 2 2 7 5 2" xfId="32670"/>
    <cellStyle name="Notas 2 2 7 6" xfId="32671"/>
    <cellStyle name="Notas 2 2 7 6 2" xfId="32672"/>
    <cellStyle name="Notas 2 2 7 7" xfId="32673"/>
    <cellStyle name="Notas 2 2 7 7 2" xfId="32674"/>
    <cellStyle name="Notas 2 2 7 8" xfId="32675"/>
    <cellStyle name="Notas 2 2 7 8 2" xfId="32676"/>
    <cellStyle name="Notas 2 2 7 9" xfId="32677"/>
    <cellStyle name="Notas 2 2 7 9 2" xfId="32678"/>
    <cellStyle name="Notas 2 2 8" xfId="32679"/>
    <cellStyle name="Notas 2 2 8 2" xfId="32680"/>
    <cellStyle name="Notas 2 2 9" xfId="32681"/>
    <cellStyle name="Notas 2 2 9 2" xfId="32682"/>
    <cellStyle name="Notas 2 20" xfId="32683"/>
    <cellStyle name="Notas 2 20 2" xfId="32684"/>
    <cellStyle name="Notas 2 21" xfId="32685"/>
    <cellStyle name="Notas 2 22" xfId="32686"/>
    <cellStyle name="Notas 2 23" xfId="32687"/>
    <cellStyle name="Notas 2 3" xfId="1149"/>
    <cellStyle name="Notas 2 3 10" xfId="32688"/>
    <cellStyle name="Notas 2 3 10 2" xfId="32689"/>
    <cellStyle name="Notas 2 3 11" xfId="32690"/>
    <cellStyle name="Notas 2 3 11 2" xfId="32691"/>
    <cellStyle name="Notas 2 3 12" xfId="32692"/>
    <cellStyle name="Notas 2 3 12 2" xfId="32693"/>
    <cellStyle name="Notas 2 3 13" xfId="32694"/>
    <cellStyle name="Notas 2 3 13 2" xfId="32695"/>
    <cellStyle name="Notas 2 3 14" xfId="32696"/>
    <cellStyle name="Notas 2 3 14 2" xfId="32697"/>
    <cellStyle name="Notas 2 3 15" xfId="32698"/>
    <cellStyle name="Notas 2 3 15 2" xfId="32699"/>
    <cellStyle name="Notas 2 3 16" xfId="32700"/>
    <cellStyle name="Notas 2 3 16 2" xfId="32701"/>
    <cellStyle name="Notas 2 3 17" xfId="32702"/>
    <cellStyle name="Notas 2 3 18" xfId="32703"/>
    <cellStyle name="Notas 2 3 19" xfId="32704"/>
    <cellStyle name="Notas 2 3 2" xfId="32705"/>
    <cellStyle name="Notas 2 3 2 10" xfId="32706"/>
    <cellStyle name="Notas 2 3 2 10 2" xfId="32707"/>
    <cellStyle name="Notas 2 3 2 11" xfId="32708"/>
    <cellStyle name="Notas 2 3 2 11 2" xfId="32709"/>
    <cellStyle name="Notas 2 3 2 12" xfId="32710"/>
    <cellStyle name="Notas 2 3 2 12 2" xfId="32711"/>
    <cellStyle name="Notas 2 3 2 13" xfId="32712"/>
    <cellStyle name="Notas 2 3 2 13 2" xfId="32713"/>
    <cellStyle name="Notas 2 3 2 14" xfId="32714"/>
    <cellStyle name="Notas 2 3 2 14 2" xfId="32715"/>
    <cellStyle name="Notas 2 3 2 15" xfId="32716"/>
    <cellStyle name="Notas 2 3 2 2" xfId="32717"/>
    <cellStyle name="Notas 2 3 2 2 10" xfId="32718"/>
    <cellStyle name="Notas 2 3 2 2 10 2" xfId="32719"/>
    <cellStyle name="Notas 2 3 2 2 11" xfId="32720"/>
    <cellStyle name="Notas 2 3 2 2 11 2" xfId="32721"/>
    <cellStyle name="Notas 2 3 2 2 12" xfId="32722"/>
    <cellStyle name="Notas 2 3 2 2 12 2" xfId="32723"/>
    <cellStyle name="Notas 2 3 2 2 13" xfId="32724"/>
    <cellStyle name="Notas 2 3 2 2 2" xfId="32725"/>
    <cellStyle name="Notas 2 3 2 2 2 10" xfId="32726"/>
    <cellStyle name="Notas 2 3 2 2 2 10 2" xfId="32727"/>
    <cellStyle name="Notas 2 3 2 2 2 11" xfId="32728"/>
    <cellStyle name="Notas 2 3 2 2 2 2" xfId="32729"/>
    <cellStyle name="Notas 2 3 2 2 2 2 2" xfId="32730"/>
    <cellStyle name="Notas 2 3 2 2 2 3" xfId="32731"/>
    <cellStyle name="Notas 2 3 2 2 2 3 2" xfId="32732"/>
    <cellStyle name="Notas 2 3 2 2 2 4" xfId="32733"/>
    <cellStyle name="Notas 2 3 2 2 2 4 2" xfId="32734"/>
    <cellStyle name="Notas 2 3 2 2 2 5" xfId="32735"/>
    <cellStyle name="Notas 2 3 2 2 2 5 2" xfId="32736"/>
    <cellStyle name="Notas 2 3 2 2 2 6" xfId="32737"/>
    <cellStyle name="Notas 2 3 2 2 2 6 2" xfId="32738"/>
    <cellStyle name="Notas 2 3 2 2 2 7" xfId="32739"/>
    <cellStyle name="Notas 2 3 2 2 2 7 2" xfId="32740"/>
    <cellStyle name="Notas 2 3 2 2 2 8" xfId="32741"/>
    <cellStyle name="Notas 2 3 2 2 2 8 2" xfId="32742"/>
    <cellStyle name="Notas 2 3 2 2 2 9" xfId="32743"/>
    <cellStyle name="Notas 2 3 2 2 2 9 2" xfId="32744"/>
    <cellStyle name="Notas 2 3 2 2 3" xfId="32745"/>
    <cellStyle name="Notas 2 3 2 2 3 10" xfId="32746"/>
    <cellStyle name="Notas 2 3 2 2 3 10 2" xfId="32747"/>
    <cellStyle name="Notas 2 3 2 2 3 11" xfId="32748"/>
    <cellStyle name="Notas 2 3 2 2 3 2" xfId="32749"/>
    <cellStyle name="Notas 2 3 2 2 3 2 2" xfId="32750"/>
    <cellStyle name="Notas 2 3 2 2 3 3" xfId="32751"/>
    <cellStyle name="Notas 2 3 2 2 3 3 2" xfId="32752"/>
    <cellStyle name="Notas 2 3 2 2 3 4" xfId="32753"/>
    <cellStyle name="Notas 2 3 2 2 3 4 2" xfId="32754"/>
    <cellStyle name="Notas 2 3 2 2 3 5" xfId="32755"/>
    <cellStyle name="Notas 2 3 2 2 3 5 2" xfId="32756"/>
    <cellStyle name="Notas 2 3 2 2 3 6" xfId="32757"/>
    <cellStyle name="Notas 2 3 2 2 3 6 2" xfId="32758"/>
    <cellStyle name="Notas 2 3 2 2 3 7" xfId="32759"/>
    <cellStyle name="Notas 2 3 2 2 3 7 2" xfId="32760"/>
    <cellStyle name="Notas 2 3 2 2 3 8" xfId="32761"/>
    <cellStyle name="Notas 2 3 2 2 3 8 2" xfId="32762"/>
    <cellStyle name="Notas 2 3 2 2 3 9" xfId="32763"/>
    <cellStyle name="Notas 2 3 2 2 3 9 2" xfId="32764"/>
    <cellStyle name="Notas 2 3 2 2 4" xfId="32765"/>
    <cellStyle name="Notas 2 3 2 2 4 2" xfId="32766"/>
    <cellStyle name="Notas 2 3 2 2 5" xfId="32767"/>
    <cellStyle name="Notas 2 3 2 2 5 2" xfId="32768"/>
    <cellStyle name="Notas 2 3 2 2 6" xfId="32769"/>
    <cellStyle name="Notas 2 3 2 2 6 2" xfId="32770"/>
    <cellStyle name="Notas 2 3 2 2 7" xfId="32771"/>
    <cellStyle name="Notas 2 3 2 2 7 2" xfId="32772"/>
    <cellStyle name="Notas 2 3 2 2 8" xfId="32773"/>
    <cellStyle name="Notas 2 3 2 2 8 2" xfId="32774"/>
    <cellStyle name="Notas 2 3 2 2 9" xfId="32775"/>
    <cellStyle name="Notas 2 3 2 2 9 2" xfId="32776"/>
    <cellStyle name="Notas 2 3 2 3" xfId="32777"/>
    <cellStyle name="Notas 2 3 2 3 10" xfId="32778"/>
    <cellStyle name="Notas 2 3 2 3 10 2" xfId="32779"/>
    <cellStyle name="Notas 2 3 2 3 11" xfId="32780"/>
    <cellStyle name="Notas 2 3 2 3 11 2" xfId="32781"/>
    <cellStyle name="Notas 2 3 2 3 12" xfId="32782"/>
    <cellStyle name="Notas 2 3 2 3 12 2" xfId="32783"/>
    <cellStyle name="Notas 2 3 2 3 13" xfId="32784"/>
    <cellStyle name="Notas 2 3 2 3 2" xfId="32785"/>
    <cellStyle name="Notas 2 3 2 3 2 10" xfId="32786"/>
    <cellStyle name="Notas 2 3 2 3 2 10 2" xfId="32787"/>
    <cellStyle name="Notas 2 3 2 3 2 11" xfId="32788"/>
    <cellStyle name="Notas 2 3 2 3 2 2" xfId="32789"/>
    <cellStyle name="Notas 2 3 2 3 2 2 2" xfId="32790"/>
    <cellStyle name="Notas 2 3 2 3 2 3" xfId="32791"/>
    <cellStyle name="Notas 2 3 2 3 2 3 2" xfId="32792"/>
    <cellStyle name="Notas 2 3 2 3 2 4" xfId="32793"/>
    <cellStyle name="Notas 2 3 2 3 2 4 2" xfId="32794"/>
    <cellStyle name="Notas 2 3 2 3 2 5" xfId="32795"/>
    <cellStyle name="Notas 2 3 2 3 2 5 2" xfId="32796"/>
    <cellStyle name="Notas 2 3 2 3 2 6" xfId="32797"/>
    <cellStyle name="Notas 2 3 2 3 2 6 2" xfId="32798"/>
    <cellStyle name="Notas 2 3 2 3 2 7" xfId="32799"/>
    <cellStyle name="Notas 2 3 2 3 2 7 2" xfId="32800"/>
    <cellStyle name="Notas 2 3 2 3 2 8" xfId="32801"/>
    <cellStyle name="Notas 2 3 2 3 2 8 2" xfId="32802"/>
    <cellStyle name="Notas 2 3 2 3 2 9" xfId="32803"/>
    <cellStyle name="Notas 2 3 2 3 2 9 2" xfId="32804"/>
    <cellStyle name="Notas 2 3 2 3 3" xfId="32805"/>
    <cellStyle name="Notas 2 3 2 3 3 10" xfId="32806"/>
    <cellStyle name="Notas 2 3 2 3 3 10 2" xfId="32807"/>
    <cellStyle name="Notas 2 3 2 3 3 11" xfId="32808"/>
    <cellStyle name="Notas 2 3 2 3 3 2" xfId="32809"/>
    <cellStyle name="Notas 2 3 2 3 3 2 2" xfId="32810"/>
    <cellStyle name="Notas 2 3 2 3 3 3" xfId="32811"/>
    <cellStyle name="Notas 2 3 2 3 3 3 2" xfId="32812"/>
    <cellStyle name="Notas 2 3 2 3 3 4" xfId="32813"/>
    <cellStyle name="Notas 2 3 2 3 3 4 2" xfId="32814"/>
    <cellStyle name="Notas 2 3 2 3 3 5" xfId="32815"/>
    <cellStyle name="Notas 2 3 2 3 3 5 2" xfId="32816"/>
    <cellStyle name="Notas 2 3 2 3 3 6" xfId="32817"/>
    <cellStyle name="Notas 2 3 2 3 3 6 2" xfId="32818"/>
    <cellStyle name="Notas 2 3 2 3 3 7" xfId="32819"/>
    <cellStyle name="Notas 2 3 2 3 3 7 2" xfId="32820"/>
    <cellStyle name="Notas 2 3 2 3 3 8" xfId="32821"/>
    <cellStyle name="Notas 2 3 2 3 3 8 2" xfId="32822"/>
    <cellStyle name="Notas 2 3 2 3 3 9" xfId="32823"/>
    <cellStyle name="Notas 2 3 2 3 3 9 2" xfId="32824"/>
    <cellStyle name="Notas 2 3 2 3 4" xfId="32825"/>
    <cellStyle name="Notas 2 3 2 3 4 2" xfId="32826"/>
    <cellStyle name="Notas 2 3 2 3 5" xfId="32827"/>
    <cellStyle name="Notas 2 3 2 3 5 2" xfId="32828"/>
    <cellStyle name="Notas 2 3 2 3 6" xfId="32829"/>
    <cellStyle name="Notas 2 3 2 3 6 2" xfId="32830"/>
    <cellStyle name="Notas 2 3 2 3 7" xfId="32831"/>
    <cellStyle name="Notas 2 3 2 3 7 2" xfId="32832"/>
    <cellStyle name="Notas 2 3 2 3 8" xfId="32833"/>
    <cellStyle name="Notas 2 3 2 3 8 2" xfId="32834"/>
    <cellStyle name="Notas 2 3 2 3 9" xfId="32835"/>
    <cellStyle name="Notas 2 3 2 3 9 2" xfId="32836"/>
    <cellStyle name="Notas 2 3 2 4" xfId="32837"/>
    <cellStyle name="Notas 2 3 2 4 10" xfId="32838"/>
    <cellStyle name="Notas 2 3 2 4 10 2" xfId="32839"/>
    <cellStyle name="Notas 2 3 2 4 11" xfId="32840"/>
    <cellStyle name="Notas 2 3 2 4 2" xfId="32841"/>
    <cellStyle name="Notas 2 3 2 4 2 2" xfId="32842"/>
    <cellStyle name="Notas 2 3 2 4 3" xfId="32843"/>
    <cellStyle name="Notas 2 3 2 4 3 2" xfId="32844"/>
    <cellStyle name="Notas 2 3 2 4 4" xfId="32845"/>
    <cellStyle name="Notas 2 3 2 4 4 2" xfId="32846"/>
    <cellStyle name="Notas 2 3 2 4 5" xfId="32847"/>
    <cellStyle name="Notas 2 3 2 4 5 2" xfId="32848"/>
    <cellStyle name="Notas 2 3 2 4 6" xfId="32849"/>
    <cellStyle name="Notas 2 3 2 4 6 2" xfId="32850"/>
    <cellStyle name="Notas 2 3 2 4 7" xfId="32851"/>
    <cellStyle name="Notas 2 3 2 4 7 2" xfId="32852"/>
    <cellStyle name="Notas 2 3 2 4 8" xfId="32853"/>
    <cellStyle name="Notas 2 3 2 4 8 2" xfId="32854"/>
    <cellStyle name="Notas 2 3 2 4 9" xfId="32855"/>
    <cellStyle name="Notas 2 3 2 4 9 2" xfId="32856"/>
    <cellStyle name="Notas 2 3 2 5" xfId="32857"/>
    <cellStyle name="Notas 2 3 2 5 10" xfId="32858"/>
    <cellStyle name="Notas 2 3 2 5 10 2" xfId="32859"/>
    <cellStyle name="Notas 2 3 2 5 11" xfId="32860"/>
    <cellStyle name="Notas 2 3 2 5 2" xfId="32861"/>
    <cellStyle name="Notas 2 3 2 5 2 2" xfId="32862"/>
    <cellStyle name="Notas 2 3 2 5 3" xfId="32863"/>
    <cellStyle name="Notas 2 3 2 5 3 2" xfId="32864"/>
    <cellStyle name="Notas 2 3 2 5 4" xfId="32865"/>
    <cellStyle name="Notas 2 3 2 5 4 2" xfId="32866"/>
    <cellStyle name="Notas 2 3 2 5 5" xfId="32867"/>
    <cellStyle name="Notas 2 3 2 5 5 2" xfId="32868"/>
    <cellStyle name="Notas 2 3 2 5 6" xfId="32869"/>
    <cellStyle name="Notas 2 3 2 5 6 2" xfId="32870"/>
    <cellStyle name="Notas 2 3 2 5 7" xfId="32871"/>
    <cellStyle name="Notas 2 3 2 5 7 2" xfId="32872"/>
    <cellStyle name="Notas 2 3 2 5 8" xfId="32873"/>
    <cellStyle name="Notas 2 3 2 5 8 2" xfId="32874"/>
    <cellStyle name="Notas 2 3 2 5 9" xfId="32875"/>
    <cellStyle name="Notas 2 3 2 5 9 2" xfId="32876"/>
    <cellStyle name="Notas 2 3 2 6" xfId="32877"/>
    <cellStyle name="Notas 2 3 2 6 2" xfId="32878"/>
    <cellStyle name="Notas 2 3 2 7" xfId="32879"/>
    <cellStyle name="Notas 2 3 2 7 2" xfId="32880"/>
    <cellStyle name="Notas 2 3 2 8" xfId="32881"/>
    <cellStyle name="Notas 2 3 2 8 2" xfId="32882"/>
    <cellStyle name="Notas 2 3 2 9" xfId="32883"/>
    <cellStyle name="Notas 2 3 2 9 2" xfId="32884"/>
    <cellStyle name="Notas 2 3 3" xfId="32885"/>
    <cellStyle name="Notas 2 3 3 10" xfId="32886"/>
    <cellStyle name="Notas 2 3 3 10 2" xfId="32887"/>
    <cellStyle name="Notas 2 3 3 11" xfId="32888"/>
    <cellStyle name="Notas 2 3 3 11 2" xfId="32889"/>
    <cellStyle name="Notas 2 3 3 12" xfId="32890"/>
    <cellStyle name="Notas 2 3 3 12 2" xfId="32891"/>
    <cellStyle name="Notas 2 3 3 13" xfId="32892"/>
    <cellStyle name="Notas 2 3 3 13 2" xfId="32893"/>
    <cellStyle name="Notas 2 3 3 14" xfId="32894"/>
    <cellStyle name="Notas 2 3 3 14 2" xfId="32895"/>
    <cellStyle name="Notas 2 3 3 15" xfId="32896"/>
    <cellStyle name="Notas 2 3 3 2" xfId="32897"/>
    <cellStyle name="Notas 2 3 3 2 10" xfId="32898"/>
    <cellStyle name="Notas 2 3 3 2 10 2" xfId="32899"/>
    <cellStyle name="Notas 2 3 3 2 11" xfId="32900"/>
    <cellStyle name="Notas 2 3 3 2 11 2" xfId="32901"/>
    <cellStyle name="Notas 2 3 3 2 12" xfId="32902"/>
    <cellStyle name="Notas 2 3 3 2 12 2" xfId="32903"/>
    <cellStyle name="Notas 2 3 3 2 13" xfId="32904"/>
    <cellStyle name="Notas 2 3 3 2 2" xfId="32905"/>
    <cellStyle name="Notas 2 3 3 2 2 10" xfId="32906"/>
    <cellStyle name="Notas 2 3 3 2 2 10 2" xfId="32907"/>
    <cellStyle name="Notas 2 3 3 2 2 11" xfId="32908"/>
    <cellStyle name="Notas 2 3 3 2 2 2" xfId="32909"/>
    <cellStyle name="Notas 2 3 3 2 2 2 2" xfId="32910"/>
    <cellStyle name="Notas 2 3 3 2 2 3" xfId="32911"/>
    <cellStyle name="Notas 2 3 3 2 2 3 2" xfId="32912"/>
    <cellStyle name="Notas 2 3 3 2 2 4" xfId="32913"/>
    <cellStyle name="Notas 2 3 3 2 2 4 2" xfId="32914"/>
    <cellStyle name="Notas 2 3 3 2 2 5" xfId="32915"/>
    <cellStyle name="Notas 2 3 3 2 2 5 2" xfId="32916"/>
    <cellStyle name="Notas 2 3 3 2 2 6" xfId="32917"/>
    <cellStyle name="Notas 2 3 3 2 2 6 2" xfId="32918"/>
    <cellStyle name="Notas 2 3 3 2 2 7" xfId="32919"/>
    <cellStyle name="Notas 2 3 3 2 2 7 2" xfId="32920"/>
    <cellStyle name="Notas 2 3 3 2 2 8" xfId="32921"/>
    <cellStyle name="Notas 2 3 3 2 2 8 2" xfId="32922"/>
    <cellStyle name="Notas 2 3 3 2 2 9" xfId="32923"/>
    <cellStyle name="Notas 2 3 3 2 2 9 2" xfId="32924"/>
    <cellStyle name="Notas 2 3 3 2 3" xfId="32925"/>
    <cellStyle name="Notas 2 3 3 2 3 10" xfId="32926"/>
    <cellStyle name="Notas 2 3 3 2 3 10 2" xfId="32927"/>
    <cellStyle name="Notas 2 3 3 2 3 11" xfId="32928"/>
    <cellStyle name="Notas 2 3 3 2 3 2" xfId="32929"/>
    <cellStyle name="Notas 2 3 3 2 3 2 2" xfId="32930"/>
    <cellStyle name="Notas 2 3 3 2 3 3" xfId="32931"/>
    <cellStyle name="Notas 2 3 3 2 3 3 2" xfId="32932"/>
    <cellStyle name="Notas 2 3 3 2 3 4" xfId="32933"/>
    <cellStyle name="Notas 2 3 3 2 3 4 2" xfId="32934"/>
    <cellStyle name="Notas 2 3 3 2 3 5" xfId="32935"/>
    <cellStyle name="Notas 2 3 3 2 3 5 2" xfId="32936"/>
    <cellStyle name="Notas 2 3 3 2 3 6" xfId="32937"/>
    <cellStyle name="Notas 2 3 3 2 3 6 2" xfId="32938"/>
    <cellStyle name="Notas 2 3 3 2 3 7" xfId="32939"/>
    <cellStyle name="Notas 2 3 3 2 3 7 2" xfId="32940"/>
    <cellStyle name="Notas 2 3 3 2 3 8" xfId="32941"/>
    <cellStyle name="Notas 2 3 3 2 3 8 2" xfId="32942"/>
    <cellStyle name="Notas 2 3 3 2 3 9" xfId="32943"/>
    <cellStyle name="Notas 2 3 3 2 3 9 2" xfId="32944"/>
    <cellStyle name="Notas 2 3 3 2 4" xfId="32945"/>
    <cellStyle name="Notas 2 3 3 2 4 2" xfId="32946"/>
    <cellStyle name="Notas 2 3 3 2 5" xfId="32947"/>
    <cellStyle name="Notas 2 3 3 2 5 2" xfId="32948"/>
    <cellStyle name="Notas 2 3 3 2 6" xfId="32949"/>
    <cellStyle name="Notas 2 3 3 2 6 2" xfId="32950"/>
    <cellStyle name="Notas 2 3 3 2 7" xfId="32951"/>
    <cellStyle name="Notas 2 3 3 2 7 2" xfId="32952"/>
    <cellStyle name="Notas 2 3 3 2 8" xfId="32953"/>
    <cellStyle name="Notas 2 3 3 2 8 2" xfId="32954"/>
    <cellStyle name="Notas 2 3 3 2 9" xfId="32955"/>
    <cellStyle name="Notas 2 3 3 2 9 2" xfId="32956"/>
    <cellStyle name="Notas 2 3 3 3" xfId="32957"/>
    <cellStyle name="Notas 2 3 3 3 10" xfId="32958"/>
    <cellStyle name="Notas 2 3 3 3 10 2" xfId="32959"/>
    <cellStyle name="Notas 2 3 3 3 11" xfId="32960"/>
    <cellStyle name="Notas 2 3 3 3 11 2" xfId="32961"/>
    <cellStyle name="Notas 2 3 3 3 12" xfId="32962"/>
    <cellStyle name="Notas 2 3 3 3 12 2" xfId="32963"/>
    <cellStyle name="Notas 2 3 3 3 13" xfId="32964"/>
    <cellStyle name="Notas 2 3 3 3 2" xfId="32965"/>
    <cellStyle name="Notas 2 3 3 3 2 10" xfId="32966"/>
    <cellStyle name="Notas 2 3 3 3 2 10 2" xfId="32967"/>
    <cellStyle name="Notas 2 3 3 3 2 11" xfId="32968"/>
    <cellStyle name="Notas 2 3 3 3 2 2" xfId="32969"/>
    <cellStyle name="Notas 2 3 3 3 2 2 2" xfId="32970"/>
    <cellStyle name="Notas 2 3 3 3 2 3" xfId="32971"/>
    <cellStyle name="Notas 2 3 3 3 2 3 2" xfId="32972"/>
    <cellStyle name="Notas 2 3 3 3 2 4" xfId="32973"/>
    <cellStyle name="Notas 2 3 3 3 2 4 2" xfId="32974"/>
    <cellStyle name="Notas 2 3 3 3 2 5" xfId="32975"/>
    <cellStyle name="Notas 2 3 3 3 2 5 2" xfId="32976"/>
    <cellStyle name="Notas 2 3 3 3 2 6" xfId="32977"/>
    <cellStyle name="Notas 2 3 3 3 2 6 2" xfId="32978"/>
    <cellStyle name="Notas 2 3 3 3 2 7" xfId="32979"/>
    <cellStyle name="Notas 2 3 3 3 2 7 2" xfId="32980"/>
    <cellStyle name="Notas 2 3 3 3 2 8" xfId="32981"/>
    <cellStyle name="Notas 2 3 3 3 2 8 2" xfId="32982"/>
    <cellStyle name="Notas 2 3 3 3 2 9" xfId="32983"/>
    <cellStyle name="Notas 2 3 3 3 2 9 2" xfId="32984"/>
    <cellStyle name="Notas 2 3 3 3 3" xfId="32985"/>
    <cellStyle name="Notas 2 3 3 3 3 10" xfId="32986"/>
    <cellStyle name="Notas 2 3 3 3 3 10 2" xfId="32987"/>
    <cellStyle name="Notas 2 3 3 3 3 11" xfId="32988"/>
    <cellStyle name="Notas 2 3 3 3 3 2" xfId="32989"/>
    <cellStyle name="Notas 2 3 3 3 3 2 2" xfId="32990"/>
    <cellStyle name="Notas 2 3 3 3 3 3" xfId="32991"/>
    <cellStyle name="Notas 2 3 3 3 3 3 2" xfId="32992"/>
    <cellStyle name="Notas 2 3 3 3 3 4" xfId="32993"/>
    <cellStyle name="Notas 2 3 3 3 3 4 2" xfId="32994"/>
    <cellStyle name="Notas 2 3 3 3 3 5" xfId="32995"/>
    <cellStyle name="Notas 2 3 3 3 3 5 2" xfId="32996"/>
    <cellStyle name="Notas 2 3 3 3 3 6" xfId="32997"/>
    <cellStyle name="Notas 2 3 3 3 3 6 2" xfId="32998"/>
    <cellStyle name="Notas 2 3 3 3 3 7" xfId="32999"/>
    <cellStyle name="Notas 2 3 3 3 3 7 2" xfId="33000"/>
    <cellStyle name="Notas 2 3 3 3 3 8" xfId="33001"/>
    <cellStyle name="Notas 2 3 3 3 3 8 2" xfId="33002"/>
    <cellStyle name="Notas 2 3 3 3 3 9" xfId="33003"/>
    <cellStyle name="Notas 2 3 3 3 3 9 2" xfId="33004"/>
    <cellStyle name="Notas 2 3 3 3 4" xfId="33005"/>
    <cellStyle name="Notas 2 3 3 3 4 2" xfId="33006"/>
    <cellStyle name="Notas 2 3 3 3 5" xfId="33007"/>
    <cellStyle name="Notas 2 3 3 3 5 2" xfId="33008"/>
    <cellStyle name="Notas 2 3 3 3 6" xfId="33009"/>
    <cellStyle name="Notas 2 3 3 3 6 2" xfId="33010"/>
    <cellStyle name="Notas 2 3 3 3 7" xfId="33011"/>
    <cellStyle name="Notas 2 3 3 3 7 2" xfId="33012"/>
    <cellStyle name="Notas 2 3 3 3 8" xfId="33013"/>
    <cellStyle name="Notas 2 3 3 3 8 2" xfId="33014"/>
    <cellStyle name="Notas 2 3 3 3 9" xfId="33015"/>
    <cellStyle name="Notas 2 3 3 3 9 2" xfId="33016"/>
    <cellStyle name="Notas 2 3 3 4" xfId="33017"/>
    <cellStyle name="Notas 2 3 3 4 10" xfId="33018"/>
    <cellStyle name="Notas 2 3 3 4 10 2" xfId="33019"/>
    <cellStyle name="Notas 2 3 3 4 11" xfId="33020"/>
    <cellStyle name="Notas 2 3 3 4 2" xfId="33021"/>
    <cellStyle name="Notas 2 3 3 4 2 2" xfId="33022"/>
    <cellStyle name="Notas 2 3 3 4 3" xfId="33023"/>
    <cellStyle name="Notas 2 3 3 4 3 2" xfId="33024"/>
    <cellStyle name="Notas 2 3 3 4 4" xfId="33025"/>
    <cellStyle name="Notas 2 3 3 4 4 2" xfId="33026"/>
    <cellStyle name="Notas 2 3 3 4 5" xfId="33027"/>
    <cellStyle name="Notas 2 3 3 4 5 2" xfId="33028"/>
    <cellStyle name="Notas 2 3 3 4 6" xfId="33029"/>
    <cellStyle name="Notas 2 3 3 4 6 2" xfId="33030"/>
    <cellStyle name="Notas 2 3 3 4 7" xfId="33031"/>
    <cellStyle name="Notas 2 3 3 4 7 2" xfId="33032"/>
    <cellStyle name="Notas 2 3 3 4 8" xfId="33033"/>
    <cellStyle name="Notas 2 3 3 4 8 2" xfId="33034"/>
    <cellStyle name="Notas 2 3 3 4 9" xfId="33035"/>
    <cellStyle name="Notas 2 3 3 4 9 2" xfId="33036"/>
    <cellStyle name="Notas 2 3 3 5" xfId="33037"/>
    <cellStyle name="Notas 2 3 3 5 10" xfId="33038"/>
    <cellStyle name="Notas 2 3 3 5 10 2" xfId="33039"/>
    <cellStyle name="Notas 2 3 3 5 11" xfId="33040"/>
    <cellStyle name="Notas 2 3 3 5 2" xfId="33041"/>
    <cellStyle name="Notas 2 3 3 5 2 2" xfId="33042"/>
    <cellStyle name="Notas 2 3 3 5 3" xfId="33043"/>
    <cellStyle name="Notas 2 3 3 5 3 2" xfId="33044"/>
    <cellStyle name="Notas 2 3 3 5 4" xfId="33045"/>
    <cellStyle name="Notas 2 3 3 5 4 2" xfId="33046"/>
    <cellStyle name="Notas 2 3 3 5 5" xfId="33047"/>
    <cellStyle name="Notas 2 3 3 5 5 2" xfId="33048"/>
    <cellStyle name="Notas 2 3 3 5 6" xfId="33049"/>
    <cellStyle name="Notas 2 3 3 5 6 2" xfId="33050"/>
    <cellStyle name="Notas 2 3 3 5 7" xfId="33051"/>
    <cellStyle name="Notas 2 3 3 5 7 2" xfId="33052"/>
    <cellStyle name="Notas 2 3 3 5 8" xfId="33053"/>
    <cellStyle name="Notas 2 3 3 5 8 2" xfId="33054"/>
    <cellStyle name="Notas 2 3 3 5 9" xfId="33055"/>
    <cellStyle name="Notas 2 3 3 5 9 2" xfId="33056"/>
    <cellStyle name="Notas 2 3 3 6" xfId="33057"/>
    <cellStyle name="Notas 2 3 3 6 2" xfId="33058"/>
    <cellStyle name="Notas 2 3 3 7" xfId="33059"/>
    <cellStyle name="Notas 2 3 3 7 2" xfId="33060"/>
    <cellStyle name="Notas 2 3 3 8" xfId="33061"/>
    <cellStyle name="Notas 2 3 3 8 2" xfId="33062"/>
    <cellStyle name="Notas 2 3 3 9" xfId="33063"/>
    <cellStyle name="Notas 2 3 3 9 2" xfId="33064"/>
    <cellStyle name="Notas 2 3 4" xfId="33065"/>
    <cellStyle name="Notas 2 3 4 10" xfId="33066"/>
    <cellStyle name="Notas 2 3 4 10 2" xfId="33067"/>
    <cellStyle name="Notas 2 3 4 11" xfId="33068"/>
    <cellStyle name="Notas 2 3 4 11 2" xfId="33069"/>
    <cellStyle name="Notas 2 3 4 12" xfId="33070"/>
    <cellStyle name="Notas 2 3 4 12 2" xfId="33071"/>
    <cellStyle name="Notas 2 3 4 13" xfId="33072"/>
    <cellStyle name="Notas 2 3 4 13 2" xfId="33073"/>
    <cellStyle name="Notas 2 3 4 14" xfId="33074"/>
    <cellStyle name="Notas 2 3 4 14 2" xfId="33075"/>
    <cellStyle name="Notas 2 3 4 15" xfId="33076"/>
    <cellStyle name="Notas 2 3 4 2" xfId="33077"/>
    <cellStyle name="Notas 2 3 4 2 10" xfId="33078"/>
    <cellStyle name="Notas 2 3 4 2 10 2" xfId="33079"/>
    <cellStyle name="Notas 2 3 4 2 11" xfId="33080"/>
    <cellStyle name="Notas 2 3 4 2 11 2" xfId="33081"/>
    <cellStyle name="Notas 2 3 4 2 12" xfId="33082"/>
    <cellStyle name="Notas 2 3 4 2 12 2" xfId="33083"/>
    <cellStyle name="Notas 2 3 4 2 13" xfId="33084"/>
    <cellStyle name="Notas 2 3 4 2 2" xfId="33085"/>
    <cellStyle name="Notas 2 3 4 2 2 10" xfId="33086"/>
    <cellStyle name="Notas 2 3 4 2 2 10 2" xfId="33087"/>
    <cellStyle name="Notas 2 3 4 2 2 11" xfId="33088"/>
    <cellStyle name="Notas 2 3 4 2 2 2" xfId="33089"/>
    <cellStyle name="Notas 2 3 4 2 2 2 2" xfId="33090"/>
    <cellStyle name="Notas 2 3 4 2 2 3" xfId="33091"/>
    <cellStyle name="Notas 2 3 4 2 2 3 2" xfId="33092"/>
    <cellStyle name="Notas 2 3 4 2 2 4" xfId="33093"/>
    <cellStyle name="Notas 2 3 4 2 2 4 2" xfId="33094"/>
    <cellStyle name="Notas 2 3 4 2 2 5" xfId="33095"/>
    <cellStyle name="Notas 2 3 4 2 2 5 2" xfId="33096"/>
    <cellStyle name="Notas 2 3 4 2 2 6" xfId="33097"/>
    <cellStyle name="Notas 2 3 4 2 2 6 2" xfId="33098"/>
    <cellStyle name="Notas 2 3 4 2 2 7" xfId="33099"/>
    <cellStyle name="Notas 2 3 4 2 2 7 2" xfId="33100"/>
    <cellStyle name="Notas 2 3 4 2 2 8" xfId="33101"/>
    <cellStyle name="Notas 2 3 4 2 2 8 2" xfId="33102"/>
    <cellStyle name="Notas 2 3 4 2 2 9" xfId="33103"/>
    <cellStyle name="Notas 2 3 4 2 2 9 2" xfId="33104"/>
    <cellStyle name="Notas 2 3 4 2 3" xfId="33105"/>
    <cellStyle name="Notas 2 3 4 2 3 10" xfId="33106"/>
    <cellStyle name="Notas 2 3 4 2 3 10 2" xfId="33107"/>
    <cellStyle name="Notas 2 3 4 2 3 11" xfId="33108"/>
    <cellStyle name="Notas 2 3 4 2 3 2" xfId="33109"/>
    <cellStyle name="Notas 2 3 4 2 3 2 2" xfId="33110"/>
    <cellStyle name="Notas 2 3 4 2 3 3" xfId="33111"/>
    <cellStyle name="Notas 2 3 4 2 3 3 2" xfId="33112"/>
    <cellStyle name="Notas 2 3 4 2 3 4" xfId="33113"/>
    <cellStyle name="Notas 2 3 4 2 3 4 2" xfId="33114"/>
    <cellStyle name="Notas 2 3 4 2 3 5" xfId="33115"/>
    <cellStyle name="Notas 2 3 4 2 3 5 2" xfId="33116"/>
    <cellStyle name="Notas 2 3 4 2 3 6" xfId="33117"/>
    <cellStyle name="Notas 2 3 4 2 3 6 2" xfId="33118"/>
    <cellStyle name="Notas 2 3 4 2 3 7" xfId="33119"/>
    <cellStyle name="Notas 2 3 4 2 3 7 2" xfId="33120"/>
    <cellStyle name="Notas 2 3 4 2 3 8" xfId="33121"/>
    <cellStyle name="Notas 2 3 4 2 3 8 2" xfId="33122"/>
    <cellStyle name="Notas 2 3 4 2 3 9" xfId="33123"/>
    <cellStyle name="Notas 2 3 4 2 3 9 2" xfId="33124"/>
    <cellStyle name="Notas 2 3 4 2 4" xfId="33125"/>
    <cellStyle name="Notas 2 3 4 2 4 2" xfId="33126"/>
    <cellStyle name="Notas 2 3 4 2 5" xfId="33127"/>
    <cellStyle name="Notas 2 3 4 2 5 2" xfId="33128"/>
    <cellStyle name="Notas 2 3 4 2 6" xfId="33129"/>
    <cellStyle name="Notas 2 3 4 2 6 2" xfId="33130"/>
    <cellStyle name="Notas 2 3 4 2 7" xfId="33131"/>
    <cellStyle name="Notas 2 3 4 2 7 2" xfId="33132"/>
    <cellStyle name="Notas 2 3 4 2 8" xfId="33133"/>
    <cellStyle name="Notas 2 3 4 2 8 2" xfId="33134"/>
    <cellStyle name="Notas 2 3 4 2 9" xfId="33135"/>
    <cellStyle name="Notas 2 3 4 2 9 2" xfId="33136"/>
    <cellStyle name="Notas 2 3 4 3" xfId="33137"/>
    <cellStyle name="Notas 2 3 4 3 10" xfId="33138"/>
    <cellStyle name="Notas 2 3 4 3 10 2" xfId="33139"/>
    <cellStyle name="Notas 2 3 4 3 11" xfId="33140"/>
    <cellStyle name="Notas 2 3 4 3 11 2" xfId="33141"/>
    <cellStyle name="Notas 2 3 4 3 12" xfId="33142"/>
    <cellStyle name="Notas 2 3 4 3 12 2" xfId="33143"/>
    <cellStyle name="Notas 2 3 4 3 13" xfId="33144"/>
    <cellStyle name="Notas 2 3 4 3 2" xfId="33145"/>
    <cellStyle name="Notas 2 3 4 3 2 10" xfId="33146"/>
    <cellStyle name="Notas 2 3 4 3 2 10 2" xfId="33147"/>
    <cellStyle name="Notas 2 3 4 3 2 11" xfId="33148"/>
    <cellStyle name="Notas 2 3 4 3 2 2" xfId="33149"/>
    <cellStyle name="Notas 2 3 4 3 2 2 2" xfId="33150"/>
    <cellStyle name="Notas 2 3 4 3 2 3" xfId="33151"/>
    <cellStyle name="Notas 2 3 4 3 2 3 2" xfId="33152"/>
    <cellStyle name="Notas 2 3 4 3 2 4" xfId="33153"/>
    <cellStyle name="Notas 2 3 4 3 2 4 2" xfId="33154"/>
    <cellStyle name="Notas 2 3 4 3 2 5" xfId="33155"/>
    <cellStyle name="Notas 2 3 4 3 2 5 2" xfId="33156"/>
    <cellStyle name="Notas 2 3 4 3 2 6" xfId="33157"/>
    <cellStyle name="Notas 2 3 4 3 2 6 2" xfId="33158"/>
    <cellStyle name="Notas 2 3 4 3 2 7" xfId="33159"/>
    <cellStyle name="Notas 2 3 4 3 2 7 2" xfId="33160"/>
    <cellStyle name="Notas 2 3 4 3 2 8" xfId="33161"/>
    <cellStyle name="Notas 2 3 4 3 2 8 2" xfId="33162"/>
    <cellStyle name="Notas 2 3 4 3 2 9" xfId="33163"/>
    <cellStyle name="Notas 2 3 4 3 2 9 2" xfId="33164"/>
    <cellStyle name="Notas 2 3 4 3 3" xfId="33165"/>
    <cellStyle name="Notas 2 3 4 3 3 10" xfId="33166"/>
    <cellStyle name="Notas 2 3 4 3 3 10 2" xfId="33167"/>
    <cellStyle name="Notas 2 3 4 3 3 11" xfId="33168"/>
    <cellStyle name="Notas 2 3 4 3 3 2" xfId="33169"/>
    <cellStyle name="Notas 2 3 4 3 3 2 2" xfId="33170"/>
    <cellStyle name="Notas 2 3 4 3 3 3" xfId="33171"/>
    <cellStyle name="Notas 2 3 4 3 3 3 2" xfId="33172"/>
    <cellStyle name="Notas 2 3 4 3 3 4" xfId="33173"/>
    <cellStyle name="Notas 2 3 4 3 3 4 2" xfId="33174"/>
    <cellStyle name="Notas 2 3 4 3 3 5" xfId="33175"/>
    <cellStyle name="Notas 2 3 4 3 3 5 2" xfId="33176"/>
    <cellStyle name="Notas 2 3 4 3 3 6" xfId="33177"/>
    <cellStyle name="Notas 2 3 4 3 3 6 2" xfId="33178"/>
    <cellStyle name="Notas 2 3 4 3 3 7" xfId="33179"/>
    <cellStyle name="Notas 2 3 4 3 3 7 2" xfId="33180"/>
    <cellStyle name="Notas 2 3 4 3 3 8" xfId="33181"/>
    <cellStyle name="Notas 2 3 4 3 3 8 2" xfId="33182"/>
    <cellStyle name="Notas 2 3 4 3 3 9" xfId="33183"/>
    <cellStyle name="Notas 2 3 4 3 3 9 2" xfId="33184"/>
    <cellStyle name="Notas 2 3 4 3 4" xfId="33185"/>
    <cellStyle name="Notas 2 3 4 3 4 2" xfId="33186"/>
    <cellStyle name="Notas 2 3 4 3 5" xfId="33187"/>
    <cellStyle name="Notas 2 3 4 3 5 2" xfId="33188"/>
    <cellStyle name="Notas 2 3 4 3 6" xfId="33189"/>
    <cellStyle name="Notas 2 3 4 3 6 2" xfId="33190"/>
    <cellStyle name="Notas 2 3 4 3 7" xfId="33191"/>
    <cellStyle name="Notas 2 3 4 3 7 2" xfId="33192"/>
    <cellStyle name="Notas 2 3 4 3 8" xfId="33193"/>
    <cellStyle name="Notas 2 3 4 3 8 2" xfId="33194"/>
    <cellStyle name="Notas 2 3 4 3 9" xfId="33195"/>
    <cellStyle name="Notas 2 3 4 3 9 2" xfId="33196"/>
    <cellStyle name="Notas 2 3 4 4" xfId="33197"/>
    <cellStyle name="Notas 2 3 4 4 10" xfId="33198"/>
    <cellStyle name="Notas 2 3 4 4 10 2" xfId="33199"/>
    <cellStyle name="Notas 2 3 4 4 11" xfId="33200"/>
    <cellStyle name="Notas 2 3 4 4 2" xfId="33201"/>
    <cellStyle name="Notas 2 3 4 4 2 2" xfId="33202"/>
    <cellStyle name="Notas 2 3 4 4 3" xfId="33203"/>
    <cellStyle name="Notas 2 3 4 4 3 2" xfId="33204"/>
    <cellStyle name="Notas 2 3 4 4 4" xfId="33205"/>
    <cellStyle name="Notas 2 3 4 4 4 2" xfId="33206"/>
    <cellStyle name="Notas 2 3 4 4 5" xfId="33207"/>
    <cellStyle name="Notas 2 3 4 4 5 2" xfId="33208"/>
    <cellStyle name="Notas 2 3 4 4 6" xfId="33209"/>
    <cellStyle name="Notas 2 3 4 4 6 2" xfId="33210"/>
    <cellStyle name="Notas 2 3 4 4 7" xfId="33211"/>
    <cellStyle name="Notas 2 3 4 4 7 2" xfId="33212"/>
    <cellStyle name="Notas 2 3 4 4 8" xfId="33213"/>
    <cellStyle name="Notas 2 3 4 4 8 2" xfId="33214"/>
    <cellStyle name="Notas 2 3 4 4 9" xfId="33215"/>
    <cellStyle name="Notas 2 3 4 4 9 2" xfId="33216"/>
    <cellStyle name="Notas 2 3 4 5" xfId="33217"/>
    <cellStyle name="Notas 2 3 4 5 10" xfId="33218"/>
    <cellStyle name="Notas 2 3 4 5 10 2" xfId="33219"/>
    <cellStyle name="Notas 2 3 4 5 11" xfId="33220"/>
    <cellStyle name="Notas 2 3 4 5 2" xfId="33221"/>
    <cellStyle name="Notas 2 3 4 5 2 2" xfId="33222"/>
    <cellStyle name="Notas 2 3 4 5 3" xfId="33223"/>
    <cellStyle name="Notas 2 3 4 5 3 2" xfId="33224"/>
    <cellStyle name="Notas 2 3 4 5 4" xfId="33225"/>
    <cellStyle name="Notas 2 3 4 5 4 2" xfId="33226"/>
    <cellStyle name="Notas 2 3 4 5 5" xfId="33227"/>
    <cellStyle name="Notas 2 3 4 5 5 2" xfId="33228"/>
    <cellStyle name="Notas 2 3 4 5 6" xfId="33229"/>
    <cellStyle name="Notas 2 3 4 5 6 2" xfId="33230"/>
    <cellStyle name="Notas 2 3 4 5 7" xfId="33231"/>
    <cellStyle name="Notas 2 3 4 5 7 2" xfId="33232"/>
    <cellStyle name="Notas 2 3 4 5 8" xfId="33233"/>
    <cellStyle name="Notas 2 3 4 5 8 2" xfId="33234"/>
    <cellStyle name="Notas 2 3 4 5 9" xfId="33235"/>
    <cellStyle name="Notas 2 3 4 5 9 2" xfId="33236"/>
    <cellStyle name="Notas 2 3 4 6" xfId="33237"/>
    <cellStyle name="Notas 2 3 4 6 2" xfId="33238"/>
    <cellStyle name="Notas 2 3 4 7" xfId="33239"/>
    <cellStyle name="Notas 2 3 4 7 2" xfId="33240"/>
    <cellStyle name="Notas 2 3 4 8" xfId="33241"/>
    <cellStyle name="Notas 2 3 4 8 2" xfId="33242"/>
    <cellStyle name="Notas 2 3 4 9" xfId="33243"/>
    <cellStyle name="Notas 2 3 4 9 2" xfId="33244"/>
    <cellStyle name="Notas 2 3 5" xfId="33245"/>
    <cellStyle name="Notas 2 3 5 10" xfId="33246"/>
    <cellStyle name="Notas 2 3 5 10 2" xfId="33247"/>
    <cellStyle name="Notas 2 3 5 11" xfId="33248"/>
    <cellStyle name="Notas 2 3 5 11 2" xfId="33249"/>
    <cellStyle name="Notas 2 3 5 12" xfId="33250"/>
    <cellStyle name="Notas 2 3 5 12 2" xfId="33251"/>
    <cellStyle name="Notas 2 3 5 13" xfId="33252"/>
    <cellStyle name="Notas 2 3 5 13 2" xfId="33253"/>
    <cellStyle name="Notas 2 3 5 14" xfId="33254"/>
    <cellStyle name="Notas 2 3 5 14 2" xfId="33255"/>
    <cellStyle name="Notas 2 3 5 15" xfId="33256"/>
    <cellStyle name="Notas 2 3 5 2" xfId="33257"/>
    <cellStyle name="Notas 2 3 5 2 10" xfId="33258"/>
    <cellStyle name="Notas 2 3 5 2 10 2" xfId="33259"/>
    <cellStyle name="Notas 2 3 5 2 11" xfId="33260"/>
    <cellStyle name="Notas 2 3 5 2 11 2" xfId="33261"/>
    <cellStyle name="Notas 2 3 5 2 12" xfId="33262"/>
    <cellStyle name="Notas 2 3 5 2 12 2" xfId="33263"/>
    <cellStyle name="Notas 2 3 5 2 13" xfId="33264"/>
    <cellStyle name="Notas 2 3 5 2 2" xfId="33265"/>
    <cellStyle name="Notas 2 3 5 2 2 10" xfId="33266"/>
    <cellStyle name="Notas 2 3 5 2 2 10 2" xfId="33267"/>
    <cellStyle name="Notas 2 3 5 2 2 11" xfId="33268"/>
    <cellStyle name="Notas 2 3 5 2 2 2" xfId="33269"/>
    <cellStyle name="Notas 2 3 5 2 2 2 2" xfId="33270"/>
    <cellStyle name="Notas 2 3 5 2 2 3" xfId="33271"/>
    <cellStyle name="Notas 2 3 5 2 2 3 2" xfId="33272"/>
    <cellStyle name="Notas 2 3 5 2 2 4" xfId="33273"/>
    <cellStyle name="Notas 2 3 5 2 2 4 2" xfId="33274"/>
    <cellStyle name="Notas 2 3 5 2 2 5" xfId="33275"/>
    <cellStyle name="Notas 2 3 5 2 2 5 2" xfId="33276"/>
    <cellStyle name="Notas 2 3 5 2 2 6" xfId="33277"/>
    <cellStyle name="Notas 2 3 5 2 2 6 2" xfId="33278"/>
    <cellStyle name="Notas 2 3 5 2 2 7" xfId="33279"/>
    <cellStyle name="Notas 2 3 5 2 2 7 2" xfId="33280"/>
    <cellStyle name="Notas 2 3 5 2 2 8" xfId="33281"/>
    <cellStyle name="Notas 2 3 5 2 2 8 2" xfId="33282"/>
    <cellStyle name="Notas 2 3 5 2 2 9" xfId="33283"/>
    <cellStyle name="Notas 2 3 5 2 2 9 2" xfId="33284"/>
    <cellStyle name="Notas 2 3 5 2 3" xfId="33285"/>
    <cellStyle name="Notas 2 3 5 2 3 10" xfId="33286"/>
    <cellStyle name="Notas 2 3 5 2 3 10 2" xfId="33287"/>
    <cellStyle name="Notas 2 3 5 2 3 11" xfId="33288"/>
    <cellStyle name="Notas 2 3 5 2 3 2" xfId="33289"/>
    <cellStyle name="Notas 2 3 5 2 3 2 2" xfId="33290"/>
    <cellStyle name="Notas 2 3 5 2 3 3" xfId="33291"/>
    <cellStyle name="Notas 2 3 5 2 3 3 2" xfId="33292"/>
    <cellStyle name="Notas 2 3 5 2 3 4" xfId="33293"/>
    <cellStyle name="Notas 2 3 5 2 3 4 2" xfId="33294"/>
    <cellStyle name="Notas 2 3 5 2 3 5" xfId="33295"/>
    <cellStyle name="Notas 2 3 5 2 3 5 2" xfId="33296"/>
    <cellStyle name="Notas 2 3 5 2 3 6" xfId="33297"/>
    <cellStyle name="Notas 2 3 5 2 3 6 2" xfId="33298"/>
    <cellStyle name="Notas 2 3 5 2 3 7" xfId="33299"/>
    <cellStyle name="Notas 2 3 5 2 3 7 2" xfId="33300"/>
    <cellStyle name="Notas 2 3 5 2 3 8" xfId="33301"/>
    <cellStyle name="Notas 2 3 5 2 3 8 2" xfId="33302"/>
    <cellStyle name="Notas 2 3 5 2 3 9" xfId="33303"/>
    <cellStyle name="Notas 2 3 5 2 3 9 2" xfId="33304"/>
    <cellStyle name="Notas 2 3 5 2 4" xfId="33305"/>
    <cellStyle name="Notas 2 3 5 2 4 2" xfId="33306"/>
    <cellStyle name="Notas 2 3 5 2 5" xfId="33307"/>
    <cellStyle name="Notas 2 3 5 2 5 2" xfId="33308"/>
    <cellStyle name="Notas 2 3 5 2 6" xfId="33309"/>
    <cellStyle name="Notas 2 3 5 2 6 2" xfId="33310"/>
    <cellStyle name="Notas 2 3 5 2 7" xfId="33311"/>
    <cellStyle name="Notas 2 3 5 2 7 2" xfId="33312"/>
    <cellStyle name="Notas 2 3 5 2 8" xfId="33313"/>
    <cellStyle name="Notas 2 3 5 2 8 2" xfId="33314"/>
    <cellStyle name="Notas 2 3 5 2 9" xfId="33315"/>
    <cellStyle name="Notas 2 3 5 2 9 2" xfId="33316"/>
    <cellStyle name="Notas 2 3 5 3" xfId="33317"/>
    <cellStyle name="Notas 2 3 5 3 10" xfId="33318"/>
    <cellStyle name="Notas 2 3 5 3 10 2" xfId="33319"/>
    <cellStyle name="Notas 2 3 5 3 11" xfId="33320"/>
    <cellStyle name="Notas 2 3 5 3 11 2" xfId="33321"/>
    <cellStyle name="Notas 2 3 5 3 12" xfId="33322"/>
    <cellStyle name="Notas 2 3 5 3 12 2" xfId="33323"/>
    <cellStyle name="Notas 2 3 5 3 13" xfId="33324"/>
    <cellStyle name="Notas 2 3 5 3 2" xfId="33325"/>
    <cellStyle name="Notas 2 3 5 3 2 10" xfId="33326"/>
    <cellStyle name="Notas 2 3 5 3 2 10 2" xfId="33327"/>
    <cellStyle name="Notas 2 3 5 3 2 11" xfId="33328"/>
    <cellStyle name="Notas 2 3 5 3 2 2" xfId="33329"/>
    <cellStyle name="Notas 2 3 5 3 2 2 2" xfId="33330"/>
    <cellStyle name="Notas 2 3 5 3 2 3" xfId="33331"/>
    <cellStyle name="Notas 2 3 5 3 2 3 2" xfId="33332"/>
    <cellStyle name="Notas 2 3 5 3 2 4" xfId="33333"/>
    <cellStyle name="Notas 2 3 5 3 2 4 2" xfId="33334"/>
    <cellStyle name="Notas 2 3 5 3 2 5" xfId="33335"/>
    <cellStyle name="Notas 2 3 5 3 2 5 2" xfId="33336"/>
    <cellStyle name="Notas 2 3 5 3 2 6" xfId="33337"/>
    <cellStyle name="Notas 2 3 5 3 2 6 2" xfId="33338"/>
    <cellStyle name="Notas 2 3 5 3 2 7" xfId="33339"/>
    <cellStyle name="Notas 2 3 5 3 2 7 2" xfId="33340"/>
    <cellStyle name="Notas 2 3 5 3 2 8" xfId="33341"/>
    <cellStyle name="Notas 2 3 5 3 2 8 2" xfId="33342"/>
    <cellStyle name="Notas 2 3 5 3 2 9" xfId="33343"/>
    <cellStyle name="Notas 2 3 5 3 2 9 2" xfId="33344"/>
    <cellStyle name="Notas 2 3 5 3 3" xfId="33345"/>
    <cellStyle name="Notas 2 3 5 3 3 10" xfId="33346"/>
    <cellStyle name="Notas 2 3 5 3 3 10 2" xfId="33347"/>
    <cellStyle name="Notas 2 3 5 3 3 11" xfId="33348"/>
    <cellStyle name="Notas 2 3 5 3 3 2" xfId="33349"/>
    <cellStyle name="Notas 2 3 5 3 3 2 2" xfId="33350"/>
    <cellStyle name="Notas 2 3 5 3 3 3" xfId="33351"/>
    <cellStyle name="Notas 2 3 5 3 3 3 2" xfId="33352"/>
    <cellStyle name="Notas 2 3 5 3 3 4" xfId="33353"/>
    <cellStyle name="Notas 2 3 5 3 3 4 2" xfId="33354"/>
    <cellStyle name="Notas 2 3 5 3 3 5" xfId="33355"/>
    <cellStyle name="Notas 2 3 5 3 3 5 2" xfId="33356"/>
    <cellStyle name="Notas 2 3 5 3 3 6" xfId="33357"/>
    <cellStyle name="Notas 2 3 5 3 3 6 2" xfId="33358"/>
    <cellStyle name="Notas 2 3 5 3 3 7" xfId="33359"/>
    <cellStyle name="Notas 2 3 5 3 3 7 2" xfId="33360"/>
    <cellStyle name="Notas 2 3 5 3 3 8" xfId="33361"/>
    <cellStyle name="Notas 2 3 5 3 3 8 2" xfId="33362"/>
    <cellStyle name="Notas 2 3 5 3 3 9" xfId="33363"/>
    <cellStyle name="Notas 2 3 5 3 3 9 2" xfId="33364"/>
    <cellStyle name="Notas 2 3 5 3 4" xfId="33365"/>
    <cellStyle name="Notas 2 3 5 3 4 2" xfId="33366"/>
    <cellStyle name="Notas 2 3 5 3 5" xfId="33367"/>
    <cellStyle name="Notas 2 3 5 3 5 2" xfId="33368"/>
    <cellStyle name="Notas 2 3 5 3 6" xfId="33369"/>
    <cellStyle name="Notas 2 3 5 3 6 2" xfId="33370"/>
    <cellStyle name="Notas 2 3 5 3 7" xfId="33371"/>
    <cellStyle name="Notas 2 3 5 3 7 2" xfId="33372"/>
    <cellStyle name="Notas 2 3 5 3 8" xfId="33373"/>
    <cellStyle name="Notas 2 3 5 3 8 2" xfId="33374"/>
    <cellStyle name="Notas 2 3 5 3 9" xfId="33375"/>
    <cellStyle name="Notas 2 3 5 3 9 2" xfId="33376"/>
    <cellStyle name="Notas 2 3 5 4" xfId="33377"/>
    <cellStyle name="Notas 2 3 5 4 10" xfId="33378"/>
    <cellStyle name="Notas 2 3 5 4 10 2" xfId="33379"/>
    <cellStyle name="Notas 2 3 5 4 11" xfId="33380"/>
    <cellStyle name="Notas 2 3 5 4 2" xfId="33381"/>
    <cellStyle name="Notas 2 3 5 4 2 2" xfId="33382"/>
    <cellStyle name="Notas 2 3 5 4 3" xfId="33383"/>
    <cellStyle name="Notas 2 3 5 4 3 2" xfId="33384"/>
    <cellStyle name="Notas 2 3 5 4 4" xfId="33385"/>
    <cellStyle name="Notas 2 3 5 4 4 2" xfId="33386"/>
    <cellStyle name="Notas 2 3 5 4 5" xfId="33387"/>
    <cellStyle name="Notas 2 3 5 4 5 2" xfId="33388"/>
    <cellStyle name="Notas 2 3 5 4 6" xfId="33389"/>
    <cellStyle name="Notas 2 3 5 4 6 2" xfId="33390"/>
    <cellStyle name="Notas 2 3 5 4 7" xfId="33391"/>
    <cellStyle name="Notas 2 3 5 4 7 2" xfId="33392"/>
    <cellStyle name="Notas 2 3 5 4 8" xfId="33393"/>
    <cellStyle name="Notas 2 3 5 4 8 2" xfId="33394"/>
    <cellStyle name="Notas 2 3 5 4 9" xfId="33395"/>
    <cellStyle name="Notas 2 3 5 4 9 2" xfId="33396"/>
    <cellStyle name="Notas 2 3 5 5" xfId="33397"/>
    <cellStyle name="Notas 2 3 5 5 10" xfId="33398"/>
    <cellStyle name="Notas 2 3 5 5 10 2" xfId="33399"/>
    <cellStyle name="Notas 2 3 5 5 11" xfId="33400"/>
    <cellStyle name="Notas 2 3 5 5 2" xfId="33401"/>
    <cellStyle name="Notas 2 3 5 5 2 2" xfId="33402"/>
    <cellStyle name="Notas 2 3 5 5 3" xfId="33403"/>
    <cellStyle name="Notas 2 3 5 5 3 2" xfId="33404"/>
    <cellStyle name="Notas 2 3 5 5 4" xfId="33405"/>
    <cellStyle name="Notas 2 3 5 5 4 2" xfId="33406"/>
    <cellStyle name="Notas 2 3 5 5 5" xfId="33407"/>
    <cellStyle name="Notas 2 3 5 5 5 2" xfId="33408"/>
    <cellStyle name="Notas 2 3 5 5 6" xfId="33409"/>
    <cellStyle name="Notas 2 3 5 5 6 2" xfId="33410"/>
    <cellStyle name="Notas 2 3 5 5 7" xfId="33411"/>
    <cellStyle name="Notas 2 3 5 5 7 2" xfId="33412"/>
    <cellStyle name="Notas 2 3 5 5 8" xfId="33413"/>
    <cellStyle name="Notas 2 3 5 5 8 2" xfId="33414"/>
    <cellStyle name="Notas 2 3 5 5 9" xfId="33415"/>
    <cellStyle name="Notas 2 3 5 5 9 2" xfId="33416"/>
    <cellStyle name="Notas 2 3 5 6" xfId="33417"/>
    <cellStyle name="Notas 2 3 5 6 2" xfId="33418"/>
    <cellStyle name="Notas 2 3 5 7" xfId="33419"/>
    <cellStyle name="Notas 2 3 5 7 2" xfId="33420"/>
    <cellStyle name="Notas 2 3 5 8" xfId="33421"/>
    <cellStyle name="Notas 2 3 5 8 2" xfId="33422"/>
    <cellStyle name="Notas 2 3 5 9" xfId="33423"/>
    <cellStyle name="Notas 2 3 5 9 2" xfId="33424"/>
    <cellStyle name="Notas 2 3 6" xfId="33425"/>
    <cellStyle name="Notas 2 3 6 10" xfId="33426"/>
    <cellStyle name="Notas 2 3 6 10 2" xfId="33427"/>
    <cellStyle name="Notas 2 3 6 11" xfId="33428"/>
    <cellStyle name="Notas 2 3 6 11 2" xfId="33429"/>
    <cellStyle name="Notas 2 3 6 12" xfId="33430"/>
    <cellStyle name="Notas 2 3 6 12 2" xfId="33431"/>
    <cellStyle name="Notas 2 3 6 13" xfId="33432"/>
    <cellStyle name="Notas 2 3 6 2" xfId="33433"/>
    <cellStyle name="Notas 2 3 6 2 10" xfId="33434"/>
    <cellStyle name="Notas 2 3 6 2 10 2" xfId="33435"/>
    <cellStyle name="Notas 2 3 6 2 11" xfId="33436"/>
    <cellStyle name="Notas 2 3 6 2 2" xfId="33437"/>
    <cellStyle name="Notas 2 3 6 2 2 2" xfId="33438"/>
    <cellStyle name="Notas 2 3 6 2 3" xfId="33439"/>
    <cellStyle name="Notas 2 3 6 2 3 2" xfId="33440"/>
    <cellStyle name="Notas 2 3 6 2 4" xfId="33441"/>
    <cellStyle name="Notas 2 3 6 2 4 2" xfId="33442"/>
    <cellStyle name="Notas 2 3 6 2 5" xfId="33443"/>
    <cellStyle name="Notas 2 3 6 2 5 2" xfId="33444"/>
    <cellStyle name="Notas 2 3 6 2 6" xfId="33445"/>
    <cellStyle name="Notas 2 3 6 2 6 2" xfId="33446"/>
    <cellStyle name="Notas 2 3 6 2 7" xfId="33447"/>
    <cellStyle name="Notas 2 3 6 2 7 2" xfId="33448"/>
    <cellStyle name="Notas 2 3 6 2 8" xfId="33449"/>
    <cellStyle name="Notas 2 3 6 2 8 2" xfId="33450"/>
    <cellStyle name="Notas 2 3 6 2 9" xfId="33451"/>
    <cellStyle name="Notas 2 3 6 2 9 2" xfId="33452"/>
    <cellStyle name="Notas 2 3 6 3" xfId="33453"/>
    <cellStyle name="Notas 2 3 6 3 10" xfId="33454"/>
    <cellStyle name="Notas 2 3 6 3 10 2" xfId="33455"/>
    <cellStyle name="Notas 2 3 6 3 11" xfId="33456"/>
    <cellStyle name="Notas 2 3 6 3 2" xfId="33457"/>
    <cellStyle name="Notas 2 3 6 3 2 2" xfId="33458"/>
    <cellStyle name="Notas 2 3 6 3 3" xfId="33459"/>
    <cellStyle name="Notas 2 3 6 3 3 2" xfId="33460"/>
    <cellStyle name="Notas 2 3 6 3 4" xfId="33461"/>
    <cellStyle name="Notas 2 3 6 3 4 2" xfId="33462"/>
    <cellStyle name="Notas 2 3 6 3 5" xfId="33463"/>
    <cellStyle name="Notas 2 3 6 3 5 2" xfId="33464"/>
    <cellStyle name="Notas 2 3 6 3 6" xfId="33465"/>
    <cellStyle name="Notas 2 3 6 3 6 2" xfId="33466"/>
    <cellStyle name="Notas 2 3 6 3 7" xfId="33467"/>
    <cellStyle name="Notas 2 3 6 3 7 2" xfId="33468"/>
    <cellStyle name="Notas 2 3 6 3 8" xfId="33469"/>
    <cellStyle name="Notas 2 3 6 3 8 2" xfId="33470"/>
    <cellStyle name="Notas 2 3 6 3 9" xfId="33471"/>
    <cellStyle name="Notas 2 3 6 3 9 2" xfId="33472"/>
    <cellStyle name="Notas 2 3 6 4" xfId="33473"/>
    <cellStyle name="Notas 2 3 6 4 2" xfId="33474"/>
    <cellStyle name="Notas 2 3 6 5" xfId="33475"/>
    <cellStyle name="Notas 2 3 6 5 2" xfId="33476"/>
    <cellStyle name="Notas 2 3 6 6" xfId="33477"/>
    <cellStyle name="Notas 2 3 6 6 2" xfId="33478"/>
    <cellStyle name="Notas 2 3 6 7" xfId="33479"/>
    <cellStyle name="Notas 2 3 6 7 2" xfId="33480"/>
    <cellStyle name="Notas 2 3 6 8" xfId="33481"/>
    <cellStyle name="Notas 2 3 6 8 2" xfId="33482"/>
    <cellStyle name="Notas 2 3 6 9" xfId="33483"/>
    <cellStyle name="Notas 2 3 6 9 2" xfId="33484"/>
    <cellStyle name="Notas 2 3 7" xfId="33485"/>
    <cellStyle name="Notas 2 3 7 10" xfId="33486"/>
    <cellStyle name="Notas 2 3 7 10 2" xfId="33487"/>
    <cellStyle name="Notas 2 3 7 11" xfId="33488"/>
    <cellStyle name="Notas 2 3 7 11 2" xfId="33489"/>
    <cellStyle name="Notas 2 3 7 12" xfId="33490"/>
    <cellStyle name="Notas 2 3 7 12 2" xfId="33491"/>
    <cellStyle name="Notas 2 3 7 13" xfId="33492"/>
    <cellStyle name="Notas 2 3 7 2" xfId="33493"/>
    <cellStyle name="Notas 2 3 7 2 10" xfId="33494"/>
    <cellStyle name="Notas 2 3 7 2 10 2" xfId="33495"/>
    <cellStyle name="Notas 2 3 7 2 11" xfId="33496"/>
    <cellStyle name="Notas 2 3 7 2 2" xfId="33497"/>
    <cellStyle name="Notas 2 3 7 2 2 2" xfId="33498"/>
    <cellStyle name="Notas 2 3 7 2 3" xfId="33499"/>
    <cellStyle name="Notas 2 3 7 2 3 2" xfId="33500"/>
    <cellStyle name="Notas 2 3 7 2 4" xfId="33501"/>
    <cellStyle name="Notas 2 3 7 2 4 2" xfId="33502"/>
    <cellStyle name="Notas 2 3 7 2 5" xfId="33503"/>
    <cellStyle name="Notas 2 3 7 2 5 2" xfId="33504"/>
    <cellStyle name="Notas 2 3 7 2 6" xfId="33505"/>
    <cellStyle name="Notas 2 3 7 2 6 2" xfId="33506"/>
    <cellStyle name="Notas 2 3 7 2 7" xfId="33507"/>
    <cellStyle name="Notas 2 3 7 2 7 2" xfId="33508"/>
    <cellStyle name="Notas 2 3 7 2 8" xfId="33509"/>
    <cellStyle name="Notas 2 3 7 2 8 2" xfId="33510"/>
    <cellStyle name="Notas 2 3 7 2 9" xfId="33511"/>
    <cellStyle name="Notas 2 3 7 2 9 2" xfId="33512"/>
    <cellStyle name="Notas 2 3 7 3" xfId="33513"/>
    <cellStyle name="Notas 2 3 7 3 10" xfId="33514"/>
    <cellStyle name="Notas 2 3 7 3 10 2" xfId="33515"/>
    <cellStyle name="Notas 2 3 7 3 11" xfId="33516"/>
    <cellStyle name="Notas 2 3 7 3 2" xfId="33517"/>
    <cellStyle name="Notas 2 3 7 3 2 2" xfId="33518"/>
    <cellStyle name="Notas 2 3 7 3 3" xfId="33519"/>
    <cellStyle name="Notas 2 3 7 3 3 2" xfId="33520"/>
    <cellStyle name="Notas 2 3 7 3 4" xfId="33521"/>
    <cellStyle name="Notas 2 3 7 3 4 2" xfId="33522"/>
    <cellStyle name="Notas 2 3 7 3 5" xfId="33523"/>
    <cellStyle name="Notas 2 3 7 3 5 2" xfId="33524"/>
    <cellStyle name="Notas 2 3 7 3 6" xfId="33525"/>
    <cellStyle name="Notas 2 3 7 3 6 2" xfId="33526"/>
    <cellStyle name="Notas 2 3 7 3 7" xfId="33527"/>
    <cellStyle name="Notas 2 3 7 3 7 2" xfId="33528"/>
    <cellStyle name="Notas 2 3 7 3 8" xfId="33529"/>
    <cellStyle name="Notas 2 3 7 3 8 2" xfId="33530"/>
    <cellStyle name="Notas 2 3 7 3 9" xfId="33531"/>
    <cellStyle name="Notas 2 3 7 3 9 2" xfId="33532"/>
    <cellStyle name="Notas 2 3 7 4" xfId="33533"/>
    <cellStyle name="Notas 2 3 7 4 2" xfId="33534"/>
    <cellStyle name="Notas 2 3 7 5" xfId="33535"/>
    <cellStyle name="Notas 2 3 7 5 2" xfId="33536"/>
    <cellStyle name="Notas 2 3 7 6" xfId="33537"/>
    <cellStyle name="Notas 2 3 7 6 2" xfId="33538"/>
    <cellStyle name="Notas 2 3 7 7" xfId="33539"/>
    <cellStyle name="Notas 2 3 7 7 2" xfId="33540"/>
    <cellStyle name="Notas 2 3 7 8" xfId="33541"/>
    <cellStyle name="Notas 2 3 7 8 2" xfId="33542"/>
    <cellStyle name="Notas 2 3 7 9" xfId="33543"/>
    <cellStyle name="Notas 2 3 7 9 2" xfId="33544"/>
    <cellStyle name="Notas 2 3 8" xfId="33545"/>
    <cellStyle name="Notas 2 3 8 2" xfId="33546"/>
    <cellStyle name="Notas 2 3 9" xfId="33547"/>
    <cellStyle name="Notas 2 3 9 2" xfId="33548"/>
    <cellStyle name="Notas 2 4" xfId="33549"/>
    <cellStyle name="Notas 2 4 10" xfId="33550"/>
    <cellStyle name="Notas 2 4 10 2" xfId="33551"/>
    <cellStyle name="Notas 2 4 11" xfId="33552"/>
    <cellStyle name="Notas 2 4 11 2" xfId="33553"/>
    <cellStyle name="Notas 2 4 12" xfId="33554"/>
    <cellStyle name="Notas 2 4 12 2" xfId="33555"/>
    <cellStyle name="Notas 2 4 13" xfId="33556"/>
    <cellStyle name="Notas 2 4 13 2" xfId="33557"/>
    <cellStyle name="Notas 2 4 14" xfId="33558"/>
    <cellStyle name="Notas 2 4 14 2" xfId="33559"/>
    <cellStyle name="Notas 2 4 15" xfId="33560"/>
    <cellStyle name="Notas 2 4 2" xfId="33561"/>
    <cellStyle name="Notas 2 4 2 10" xfId="33562"/>
    <cellStyle name="Notas 2 4 2 10 2" xfId="33563"/>
    <cellStyle name="Notas 2 4 2 11" xfId="33564"/>
    <cellStyle name="Notas 2 4 2 11 2" xfId="33565"/>
    <cellStyle name="Notas 2 4 2 12" xfId="33566"/>
    <cellStyle name="Notas 2 4 2 12 2" xfId="33567"/>
    <cellStyle name="Notas 2 4 2 13" xfId="33568"/>
    <cellStyle name="Notas 2 4 2 2" xfId="33569"/>
    <cellStyle name="Notas 2 4 2 2 10" xfId="33570"/>
    <cellStyle name="Notas 2 4 2 2 10 2" xfId="33571"/>
    <cellStyle name="Notas 2 4 2 2 11" xfId="33572"/>
    <cellStyle name="Notas 2 4 2 2 2" xfId="33573"/>
    <cellStyle name="Notas 2 4 2 2 2 2" xfId="33574"/>
    <cellStyle name="Notas 2 4 2 2 3" xfId="33575"/>
    <cellStyle name="Notas 2 4 2 2 3 2" xfId="33576"/>
    <cellStyle name="Notas 2 4 2 2 4" xfId="33577"/>
    <cellStyle name="Notas 2 4 2 2 4 2" xfId="33578"/>
    <cellStyle name="Notas 2 4 2 2 5" xfId="33579"/>
    <cellStyle name="Notas 2 4 2 2 5 2" xfId="33580"/>
    <cellStyle name="Notas 2 4 2 2 6" xfId="33581"/>
    <cellStyle name="Notas 2 4 2 2 6 2" xfId="33582"/>
    <cellStyle name="Notas 2 4 2 2 7" xfId="33583"/>
    <cellStyle name="Notas 2 4 2 2 7 2" xfId="33584"/>
    <cellStyle name="Notas 2 4 2 2 8" xfId="33585"/>
    <cellStyle name="Notas 2 4 2 2 8 2" xfId="33586"/>
    <cellStyle name="Notas 2 4 2 2 9" xfId="33587"/>
    <cellStyle name="Notas 2 4 2 2 9 2" xfId="33588"/>
    <cellStyle name="Notas 2 4 2 3" xfId="33589"/>
    <cellStyle name="Notas 2 4 2 3 10" xfId="33590"/>
    <cellStyle name="Notas 2 4 2 3 10 2" xfId="33591"/>
    <cellStyle name="Notas 2 4 2 3 11" xfId="33592"/>
    <cellStyle name="Notas 2 4 2 3 2" xfId="33593"/>
    <cellStyle name="Notas 2 4 2 3 2 2" xfId="33594"/>
    <cellStyle name="Notas 2 4 2 3 3" xfId="33595"/>
    <cellStyle name="Notas 2 4 2 3 3 2" xfId="33596"/>
    <cellStyle name="Notas 2 4 2 3 4" xfId="33597"/>
    <cellStyle name="Notas 2 4 2 3 4 2" xfId="33598"/>
    <cellStyle name="Notas 2 4 2 3 5" xfId="33599"/>
    <cellStyle name="Notas 2 4 2 3 5 2" xfId="33600"/>
    <cellStyle name="Notas 2 4 2 3 6" xfId="33601"/>
    <cellStyle name="Notas 2 4 2 3 6 2" xfId="33602"/>
    <cellStyle name="Notas 2 4 2 3 7" xfId="33603"/>
    <cellStyle name="Notas 2 4 2 3 7 2" xfId="33604"/>
    <cellStyle name="Notas 2 4 2 3 8" xfId="33605"/>
    <cellStyle name="Notas 2 4 2 3 8 2" xfId="33606"/>
    <cellStyle name="Notas 2 4 2 3 9" xfId="33607"/>
    <cellStyle name="Notas 2 4 2 3 9 2" xfId="33608"/>
    <cellStyle name="Notas 2 4 2 4" xfId="33609"/>
    <cellStyle name="Notas 2 4 2 4 2" xfId="33610"/>
    <cellStyle name="Notas 2 4 2 5" xfId="33611"/>
    <cellStyle name="Notas 2 4 2 5 2" xfId="33612"/>
    <cellStyle name="Notas 2 4 2 6" xfId="33613"/>
    <cellStyle name="Notas 2 4 2 6 2" xfId="33614"/>
    <cellStyle name="Notas 2 4 2 7" xfId="33615"/>
    <cellStyle name="Notas 2 4 2 7 2" xfId="33616"/>
    <cellStyle name="Notas 2 4 2 8" xfId="33617"/>
    <cellStyle name="Notas 2 4 2 8 2" xfId="33618"/>
    <cellStyle name="Notas 2 4 2 9" xfId="33619"/>
    <cellStyle name="Notas 2 4 2 9 2" xfId="33620"/>
    <cellStyle name="Notas 2 4 3" xfId="33621"/>
    <cellStyle name="Notas 2 4 3 10" xfId="33622"/>
    <cellStyle name="Notas 2 4 3 10 2" xfId="33623"/>
    <cellStyle name="Notas 2 4 3 11" xfId="33624"/>
    <cellStyle name="Notas 2 4 3 11 2" xfId="33625"/>
    <cellStyle name="Notas 2 4 3 12" xfId="33626"/>
    <cellStyle name="Notas 2 4 3 12 2" xfId="33627"/>
    <cellStyle name="Notas 2 4 3 13" xfId="33628"/>
    <cellStyle name="Notas 2 4 3 2" xfId="33629"/>
    <cellStyle name="Notas 2 4 3 2 10" xfId="33630"/>
    <cellStyle name="Notas 2 4 3 2 10 2" xfId="33631"/>
    <cellStyle name="Notas 2 4 3 2 11" xfId="33632"/>
    <cellStyle name="Notas 2 4 3 2 2" xfId="33633"/>
    <cellStyle name="Notas 2 4 3 2 2 2" xfId="33634"/>
    <cellStyle name="Notas 2 4 3 2 3" xfId="33635"/>
    <cellStyle name="Notas 2 4 3 2 3 2" xfId="33636"/>
    <cellStyle name="Notas 2 4 3 2 4" xfId="33637"/>
    <cellStyle name="Notas 2 4 3 2 4 2" xfId="33638"/>
    <cellStyle name="Notas 2 4 3 2 5" xfId="33639"/>
    <cellStyle name="Notas 2 4 3 2 5 2" xfId="33640"/>
    <cellStyle name="Notas 2 4 3 2 6" xfId="33641"/>
    <cellStyle name="Notas 2 4 3 2 6 2" xfId="33642"/>
    <cellStyle name="Notas 2 4 3 2 7" xfId="33643"/>
    <cellStyle name="Notas 2 4 3 2 7 2" xfId="33644"/>
    <cellStyle name="Notas 2 4 3 2 8" xfId="33645"/>
    <cellStyle name="Notas 2 4 3 2 8 2" xfId="33646"/>
    <cellStyle name="Notas 2 4 3 2 9" xfId="33647"/>
    <cellStyle name="Notas 2 4 3 2 9 2" xfId="33648"/>
    <cellStyle name="Notas 2 4 3 3" xfId="33649"/>
    <cellStyle name="Notas 2 4 3 3 10" xfId="33650"/>
    <cellStyle name="Notas 2 4 3 3 10 2" xfId="33651"/>
    <cellStyle name="Notas 2 4 3 3 11" xfId="33652"/>
    <cellStyle name="Notas 2 4 3 3 2" xfId="33653"/>
    <cellStyle name="Notas 2 4 3 3 2 2" xfId="33654"/>
    <cellStyle name="Notas 2 4 3 3 3" xfId="33655"/>
    <cellStyle name="Notas 2 4 3 3 3 2" xfId="33656"/>
    <cellStyle name="Notas 2 4 3 3 4" xfId="33657"/>
    <cellStyle name="Notas 2 4 3 3 4 2" xfId="33658"/>
    <cellStyle name="Notas 2 4 3 3 5" xfId="33659"/>
    <cellStyle name="Notas 2 4 3 3 5 2" xfId="33660"/>
    <cellStyle name="Notas 2 4 3 3 6" xfId="33661"/>
    <cellStyle name="Notas 2 4 3 3 6 2" xfId="33662"/>
    <cellStyle name="Notas 2 4 3 3 7" xfId="33663"/>
    <cellStyle name="Notas 2 4 3 3 7 2" xfId="33664"/>
    <cellStyle name="Notas 2 4 3 3 8" xfId="33665"/>
    <cellStyle name="Notas 2 4 3 3 8 2" xfId="33666"/>
    <cellStyle name="Notas 2 4 3 3 9" xfId="33667"/>
    <cellStyle name="Notas 2 4 3 3 9 2" xfId="33668"/>
    <cellStyle name="Notas 2 4 3 4" xfId="33669"/>
    <cellStyle name="Notas 2 4 3 4 2" xfId="33670"/>
    <cellStyle name="Notas 2 4 3 5" xfId="33671"/>
    <cellStyle name="Notas 2 4 3 5 2" xfId="33672"/>
    <cellStyle name="Notas 2 4 3 6" xfId="33673"/>
    <cellStyle name="Notas 2 4 3 6 2" xfId="33674"/>
    <cellStyle name="Notas 2 4 3 7" xfId="33675"/>
    <cellStyle name="Notas 2 4 3 7 2" xfId="33676"/>
    <cellStyle name="Notas 2 4 3 8" xfId="33677"/>
    <cellStyle name="Notas 2 4 3 8 2" xfId="33678"/>
    <cellStyle name="Notas 2 4 3 9" xfId="33679"/>
    <cellStyle name="Notas 2 4 3 9 2" xfId="33680"/>
    <cellStyle name="Notas 2 4 4" xfId="33681"/>
    <cellStyle name="Notas 2 4 4 10" xfId="33682"/>
    <cellStyle name="Notas 2 4 4 10 2" xfId="33683"/>
    <cellStyle name="Notas 2 4 4 11" xfId="33684"/>
    <cellStyle name="Notas 2 4 4 2" xfId="33685"/>
    <cellStyle name="Notas 2 4 4 2 2" xfId="33686"/>
    <cellStyle name="Notas 2 4 4 3" xfId="33687"/>
    <cellStyle name="Notas 2 4 4 3 2" xfId="33688"/>
    <cellStyle name="Notas 2 4 4 4" xfId="33689"/>
    <cellStyle name="Notas 2 4 4 4 2" xfId="33690"/>
    <cellStyle name="Notas 2 4 4 5" xfId="33691"/>
    <cellStyle name="Notas 2 4 4 5 2" xfId="33692"/>
    <cellStyle name="Notas 2 4 4 6" xfId="33693"/>
    <cellStyle name="Notas 2 4 4 6 2" xfId="33694"/>
    <cellStyle name="Notas 2 4 4 7" xfId="33695"/>
    <cellStyle name="Notas 2 4 4 7 2" xfId="33696"/>
    <cellStyle name="Notas 2 4 4 8" xfId="33697"/>
    <cellStyle name="Notas 2 4 4 8 2" xfId="33698"/>
    <cellStyle name="Notas 2 4 4 9" xfId="33699"/>
    <cellStyle name="Notas 2 4 4 9 2" xfId="33700"/>
    <cellStyle name="Notas 2 4 5" xfId="33701"/>
    <cellStyle name="Notas 2 4 5 10" xfId="33702"/>
    <cellStyle name="Notas 2 4 5 10 2" xfId="33703"/>
    <cellStyle name="Notas 2 4 5 11" xfId="33704"/>
    <cellStyle name="Notas 2 4 5 2" xfId="33705"/>
    <cellStyle name="Notas 2 4 5 2 2" xfId="33706"/>
    <cellStyle name="Notas 2 4 5 3" xfId="33707"/>
    <cellStyle name="Notas 2 4 5 3 2" xfId="33708"/>
    <cellStyle name="Notas 2 4 5 4" xfId="33709"/>
    <cellStyle name="Notas 2 4 5 4 2" xfId="33710"/>
    <cellStyle name="Notas 2 4 5 5" xfId="33711"/>
    <cellStyle name="Notas 2 4 5 5 2" xfId="33712"/>
    <cellStyle name="Notas 2 4 5 6" xfId="33713"/>
    <cellStyle name="Notas 2 4 5 6 2" xfId="33714"/>
    <cellStyle name="Notas 2 4 5 7" xfId="33715"/>
    <cellStyle name="Notas 2 4 5 7 2" xfId="33716"/>
    <cellStyle name="Notas 2 4 5 8" xfId="33717"/>
    <cellStyle name="Notas 2 4 5 8 2" xfId="33718"/>
    <cellStyle name="Notas 2 4 5 9" xfId="33719"/>
    <cellStyle name="Notas 2 4 5 9 2" xfId="33720"/>
    <cellStyle name="Notas 2 4 6" xfId="33721"/>
    <cellStyle name="Notas 2 4 6 2" xfId="33722"/>
    <cellStyle name="Notas 2 4 7" xfId="33723"/>
    <cellStyle name="Notas 2 4 7 2" xfId="33724"/>
    <cellStyle name="Notas 2 4 8" xfId="33725"/>
    <cellStyle name="Notas 2 4 8 2" xfId="33726"/>
    <cellStyle name="Notas 2 4 9" xfId="33727"/>
    <cellStyle name="Notas 2 4 9 2" xfId="33728"/>
    <cellStyle name="Notas 2 5" xfId="33729"/>
    <cellStyle name="Notas 2 5 10" xfId="33730"/>
    <cellStyle name="Notas 2 5 10 2" xfId="33731"/>
    <cellStyle name="Notas 2 5 11" xfId="33732"/>
    <cellStyle name="Notas 2 5 11 2" xfId="33733"/>
    <cellStyle name="Notas 2 5 12" xfId="33734"/>
    <cellStyle name="Notas 2 5 12 2" xfId="33735"/>
    <cellStyle name="Notas 2 5 13" xfId="33736"/>
    <cellStyle name="Notas 2 5 13 2" xfId="33737"/>
    <cellStyle name="Notas 2 5 14" xfId="33738"/>
    <cellStyle name="Notas 2 5 14 2" xfId="33739"/>
    <cellStyle name="Notas 2 5 15" xfId="33740"/>
    <cellStyle name="Notas 2 5 2" xfId="33741"/>
    <cellStyle name="Notas 2 5 2 10" xfId="33742"/>
    <cellStyle name="Notas 2 5 2 10 2" xfId="33743"/>
    <cellStyle name="Notas 2 5 2 11" xfId="33744"/>
    <cellStyle name="Notas 2 5 2 11 2" xfId="33745"/>
    <cellStyle name="Notas 2 5 2 12" xfId="33746"/>
    <cellStyle name="Notas 2 5 2 12 2" xfId="33747"/>
    <cellStyle name="Notas 2 5 2 13" xfId="33748"/>
    <cellStyle name="Notas 2 5 2 2" xfId="33749"/>
    <cellStyle name="Notas 2 5 2 2 10" xfId="33750"/>
    <cellStyle name="Notas 2 5 2 2 10 2" xfId="33751"/>
    <cellStyle name="Notas 2 5 2 2 11" xfId="33752"/>
    <cellStyle name="Notas 2 5 2 2 2" xfId="33753"/>
    <cellStyle name="Notas 2 5 2 2 2 2" xfId="33754"/>
    <cellStyle name="Notas 2 5 2 2 3" xfId="33755"/>
    <cellStyle name="Notas 2 5 2 2 3 2" xfId="33756"/>
    <cellStyle name="Notas 2 5 2 2 4" xfId="33757"/>
    <cellStyle name="Notas 2 5 2 2 4 2" xfId="33758"/>
    <cellStyle name="Notas 2 5 2 2 5" xfId="33759"/>
    <cellStyle name="Notas 2 5 2 2 5 2" xfId="33760"/>
    <cellStyle name="Notas 2 5 2 2 6" xfId="33761"/>
    <cellStyle name="Notas 2 5 2 2 6 2" xfId="33762"/>
    <cellStyle name="Notas 2 5 2 2 7" xfId="33763"/>
    <cellStyle name="Notas 2 5 2 2 7 2" xfId="33764"/>
    <cellStyle name="Notas 2 5 2 2 8" xfId="33765"/>
    <cellStyle name="Notas 2 5 2 2 8 2" xfId="33766"/>
    <cellStyle name="Notas 2 5 2 2 9" xfId="33767"/>
    <cellStyle name="Notas 2 5 2 2 9 2" xfId="33768"/>
    <cellStyle name="Notas 2 5 2 3" xfId="33769"/>
    <cellStyle name="Notas 2 5 2 3 10" xfId="33770"/>
    <cellStyle name="Notas 2 5 2 3 10 2" xfId="33771"/>
    <cellStyle name="Notas 2 5 2 3 11" xfId="33772"/>
    <cellStyle name="Notas 2 5 2 3 2" xfId="33773"/>
    <cellStyle name="Notas 2 5 2 3 2 2" xfId="33774"/>
    <cellStyle name="Notas 2 5 2 3 3" xfId="33775"/>
    <cellStyle name="Notas 2 5 2 3 3 2" xfId="33776"/>
    <cellStyle name="Notas 2 5 2 3 4" xfId="33777"/>
    <cellStyle name="Notas 2 5 2 3 4 2" xfId="33778"/>
    <cellStyle name="Notas 2 5 2 3 5" xfId="33779"/>
    <cellStyle name="Notas 2 5 2 3 5 2" xfId="33780"/>
    <cellStyle name="Notas 2 5 2 3 6" xfId="33781"/>
    <cellStyle name="Notas 2 5 2 3 6 2" xfId="33782"/>
    <cellStyle name="Notas 2 5 2 3 7" xfId="33783"/>
    <cellStyle name="Notas 2 5 2 3 7 2" xfId="33784"/>
    <cellStyle name="Notas 2 5 2 3 8" xfId="33785"/>
    <cellStyle name="Notas 2 5 2 3 8 2" xfId="33786"/>
    <cellStyle name="Notas 2 5 2 3 9" xfId="33787"/>
    <cellStyle name="Notas 2 5 2 3 9 2" xfId="33788"/>
    <cellStyle name="Notas 2 5 2 4" xfId="33789"/>
    <cellStyle name="Notas 2 5 2 4 2" xfId="33790"/>
    <cellStyle name="Notas 2 5 2 5" xfId="33791"/>
    <cellStyle name="Notas 2 5 2 5 2" xfId="33792"/>
    <cellStyle name="Notas 2 5 2 6" xfId="33793"/>
    <cellStyle name="Notas 2 5 2 6 2" xfId="33794"/>
    <cellStyle name="Notas 2 5 2 7" xfId="33795"/>
    <cellStyle name="Notas 2 5 2 7 2" xfId="33796"/>
    <cellStyle name="Notas 2 5 2 8" xfId="33797"/>
    <cellStyle name="Notas 2 5 2 8 2" xfId="33798"/>
    <cellStyle name="Notas 2 5 2 9" xfId="33799"/>
    <cellStyle name="Notas 2 5 2 9 2" xfId="33800"/>
    <cellStyle name="Notas 2 5 3" xfId="33801"/>
    <cellStyle name="Notas 2 5 3 10" xfId="33802"/>
    <cellStyle name="Notas 2 5 3 10 2" xfId="33803"/>
    <cellStyle name="Notas 2 5 3 11" xfId="33804"/>
    <cellStyle name="Notas 2 5 3 11 2" xfId="33805"/>
    <cellStyle name="Notas 2 5 3 12" xfId="33806"/>
    <cellStyle name="Notas 2 5 3 12 2" xfId="33807"/>
    <cellStyle name="Notas 2 5 3 13" xfId="33808"/>
    <cellStyle name="Notas 2 5 3 2" xfId="33809"/>
    <cellStyle name="Notas 2 5 3 2 10" xfId="33810"/>
    <cellStyle name="Notas 2 5 3 2 10 2" xfId="33811"/>
    <cellStyle name="Notas 2 5 3 2 11" xfId="33812"/>
    <cellStyle name="Notas 2 5 3 2 2" xfId="33813"/>
    <cellStyle name="Notas 2 5 3 2 2 2" xfId="33814"/>
    <cellStyle name="Notas 2 5 3 2 3" xfId="33815"/>
    <cellStyle name="Notas 2 5 3 2 3 2" xfId="33816"/>
    <cellStyle name="Notas 2 5 3 2 4" xfId="33817"/>
    <cellStyle name="Notas 2 5 3 2 4 2" xfId="33818"/>
    <cellStyle name="Notas 2 5 3 2 5" xfId="33819"/>
    <cellStyle name="Notas 2 5 3 2 5 2" xfId="33820"/>
    <cellStyle name="Notas 2 5 3 2 6" xfId="33821"/>
    <cellStyle name="Notas 2 5 3 2 6 2" xfId="33822"/>
    <cellStyle name="Notas 2 5 3 2 7" xfId="33823"/>
    <cellStyle name="Notas 2 5 3 2 7 2" xfId="33824"/>
    <cellStyle name="Notas 2 5 3 2 8" xfId="33825"/>
    <cellStyle name="Notas 2 5 3 2 8 2" xfId="33826"/>
    <cellStyle name="Notas 2 5 3 2 9" xfId="33827"/>
    <cellStyle name="Notas 2 5 3 2 9 2" xfId="33828"/>
    <cellStyle name="Notas 2 5 3 3" xfId="33829"/>
    <cellStyle name="Notas 2 5 3 3 10" xfId="33830"/>
    <cellStyle name="Notas 2 5 3 3 10 2" xfId="33831"/>
    <cellStyle name="Notas 2 5 3 3 11" xfId="33832"/>
    <cellStyle name="Notas 2 5 3 3 2" xfId="33833"/>
    <cellStyle name="Notas 2 5 3 3 2 2" xfId="33834"/>
    <cellStyle name="Notas 2 5 3 3 3" xfId="33835"/>
    <cellStyle name="Notas 2 5 3 3 3 2" xfId="33836"/>
    <cellStyle name="Notas 2 5 3 3 4" xfId="33837"/>
    <cellStyle name="Notas 2 5 3 3 4 2" xfId="33838"/>
    <cellStyle name="Notas 2 5 3 3 5" xfId="33839"/>
    <cellStyle name="Notas 2 5 3 3 5 2" xfId="33840"/>
    <cellStyle name="Notas 2 5 3 3 6" xfId="33841"/>
    <cellStyle name="Notas 2 5 3 3 6 2" xfId="33842"/>
    <cellStyle name="Notas 2 5 3 3 7" xfId="33843"/>
    <cellStyle name="Notas 2 5 3 3 7 2" xfId="33844"/>
    <cellStyle name="Notas 2 5 3 3 8" xfId="33845"/>
    <cellStyle name="Notas 2 5 3 3 8 2" xfId="33846"/>
    <cellStyle name="Notas 2 5 3 3 9" xfId="33847"/>
    <cellStyle name="Notas 2 5 3 3 9 2" xfId="33848"/>
    <cellStyle name="Notas 2 5 3 4" xfId="33849"/>
    <cellStyle name="Notas 2 5 3 4 2" xfId="33850"/>
    <cellStyle name="Notas 2 5 3 5" xfId="33851"/>
    <cellStyle name="Notas 2 5 3 5 2" xfId="33852"/>
    <cellStyle name="Notas 2 5 3 6" xfId="33853"/>
    <cellStyle name="Notas 2 5 3 6 2" xfId="33854"/>
    <cellStyle name="Notas 2 5 3 7" xfId="33855"/>
    <cellStyle name="Notas 2 5 3 7 2" xfId="33856"/>
    <cellStyle name="Notas 2 5 3 8" xfId="33857"/>
    <cellStyle name="Notas 2 5 3 8 2" xfId="33858"/>
    <cellStyle name="Notas 2 5 3 9" xfId="33859"/>
    <cellStyle name="Notas 2 5 3 9 2" xfId="33860"/>
    <cellStyle name="Notas 2 5 4" xfId="33861"/>
    <cellStyle name="Notas 2 5 4 10" xfId="33862"/>
    <cellStyle name="Notas 2 5 4 10 2" xfId="33863"/>
    <cellStyle name="Notas 2 5 4 11" xfId="33864"/>
    <cellStyle name="Notas 2 5 4 2" xfId="33865"/>
    <cellStyle name="Notas 2 5 4 2 2" xfId="33866"/>
    <cellStyle name="Notas 2 5 4 3" xfId="33867"/>
    <cellStyle name="Notas 2 5 4 3 2" xfId="33868"/>
    <cellStyle name="Notas 2 5 4 4" xfId="33869"/>
    <cellStyle name="Notas 2 5 4 4 2" xfId="33870"/>
    <cellStyle name="Notas 2 5 4 5" xfId="33871"/>
    <cellStyle name="Notas 2 5 4 5 2" xfId="33872"/>
    <cellStyle name="Notas 2 5 4 6" xfId="33873"/>
    <cellStyle name="Notas 2 5 4 6 2" xfId="33874"/>
    <cellStyle name="Notas 2 5 4 7" xfId="33875"/>
    <cellStyle name="Notas 2 5 4 7 2" xfId="33876"/>
    <cellStyle name="Notas 2 5 4 8" xfId="33877"/>
    <cellStyle name="Notas 2 5 4 8 2" xfId="33878"/>
    <cellStyle name="Notas 2 5 4 9" xfId="33879"/>
    <cellStyle name="Notas 2 5 4 9 2" xfId="33880"/>
    <cellStyle name="Notas 2 5 5" xfId="33881"/>
    <cellStyle name="Notas 2 5 5 10" xfId="33882"/>
    <cellStyle name="Notas 2 5 5 10 2" xfId="33883"/>
    <cellStyle name="Notas 2 5 5 11" xfId="33884"/>
    <cellStyle name="Notas 2 5 5 2" xfId="33885"/>
    <cellStyle name="Notas 2 5 5 2 2" xfId="33886"/>
    <cellStyle name="Notas 2 5 5 3" xfId="33887"/>
    <cellStyle name="Notas 2 5 5 3 2" xfId="33888"/>
    <cellStyle name="Notas 2 5 5 4" xfId="33889"/>
    <cellStyle name="Notas 2 5 5 4 2" xfId="33890"/>
    <cellStyle name="Notas 2 5 5 5" xfId="33891"/>
    <cellStyle name="Notas 2 5 5 5 2" xfId="33892"/>
    <cellStyle name="Notas 2 5 5 6" xfId="33893"/>
    <cellStyle name="Notas 2 5 5 6 2" xfId="33894"/>
    <cellStyle name="Notas 2 5 5 7" xfId="33895"/>
    <cellStyle name="Notas 2 5 5 7 2" xfId="33896"/>
    <cellStyle name="Notas 2 5 5 8" xfId="33897"/>
    <cellStyle name="Notas 2 5 5 8 2" xfId="33898"/>
    <cellStyle name="Notas 2 5 5 9" xfId="33899"/>
    <cellStyle name="Notas 2 5 5 9 2" xfId="33900"/>
    <cellStyle name="Notas 2 5 6" xfId="33901"/>
    <cellStyle name="Notas 2 5 6 2" xfId="33902"/>
    <cellStyle name="Notas 2 5 7" xfId="33903"/>
    <cellStyle name="Notas 2 5 7 2" xfId="33904"/>
    <cellStyle name="Notas 2 5 8" xfId="33905"/>
    <cellStyle name="Notas 2 5 8 2" xfId="33906"/>
    <cellStyle name="Notas 2 5 9" xfId="33907"/>
    <cellStyle name="Notas 2 5 9 2" xfId="33908"/>
    <cellStyle name="Notas 2 6" xfId="33909"/>
    <cellStyle name="Notas 2 6 10" xfId="33910"/>
    <cellStyle name="Notas 2 6 10 2" xfId="33911"/>
    <cellStyle name="Notas 2 6 11" xfId="33912"/>
    <cellStyle name="Notas 2 6 11 2" xfId="33913"/>
    <cellStyle name="Notas 2 6 12" xfId="33914"/>
    <cellStyle name="Notas 2 6 12 2" xfId="33915"/>
    <cellStyle name="Notas 2 6 13" xfId="33916"/>
    <cellStyle name="Notas 2 6 13 2" xfId="33917"/>
    <cellStyle name="Notas 2 6 14" xfId="33918"/>
    <cellStyle name="Notas 2 6 14 2" xfId="33919"/>
    <cellStyle name="Notas 2 6 15" xfId="33920"/>
    <cellStyle name="Notas 2 6 2" xfId="33921"/>
    <cellStyle name="Notas 2 6 2 10" xfId="33922"/>
    <cellStyle name="Notas 2 6 2 10 2" xfId="33923"/>
    <cellStyle name="Notas 2 6 2 11" xfId="33924"/>
    <cellStyle name="Notas 2 6 2 11 2" xfId="33925"/>
    <cellStyle name="Notas 2 6 2 12" xfId="33926"/>
    <cellStyle name="Notas 2 6 2 12 2" xfId="33927"/>
    <cellStyle name="Notas 2 6 2 13" xfId="33928"/>
    <cellStyle name="Notas 2 6 2 2" xfId="33929"/>
    <cellStyle name="Notas 2 6 2 2 10" xfId="33930"/>
    <cellStyle name="Notas 2 6 2 2 10 2" xfId="33931"/>
    <cellStyle name="Notas 2 6 2 2 11" xfId="33932"/>
    <cellStyle name="Notas 2 6 2 2 2" xfId="33933"/>
    <cellStyle name="Notas 2 6 2 2 2 2" xfId="33934"/>
    <cellStyle name="Notas 2 6 2 2 3" xfId="33935"/>
    <cellStyle name="Notas 2 6 2 2 3 2" xfId="33936"/>
    <cellStyle name="Notas 2 6 2 2 4" xfId="33937"/>
    <cellStyle name="Notas 2 6 2 2 4 2" xfId="33938"/>
    <cellStyle name="Notas 2 6 2 2 5" xfId="33939"/>
    <cellStyle name="Notas 2 6 2 2 5 2" xfId="33940"/>
    <cellStyle name="Notas 2 6 2 2 6" xfId="33941"/>
    <cellStyle name="Notas 2 6 2 2 6 2" xfId="33942"/>
    <cellStyle name="Notas 2 6 2 2 7" xfId="33943"/>
    <cellStyle name="Notas 2 6 2 2 7 2" xfId="33944"/>
    <cellStyle name="Notas 2 6 2 2 8" xfId="33945"/>
    <cellStyle name="Notas 2 6 2 2 8 2" xfId="33946"/>
    <cellStyle name="Notas 2 6 2 2 9" xfId="33947"/>
    <cellStyle name="Notas 2 6 2 2 9 2" xfId="33948"/>
    <cellStyle name="Notas 2 6 2 3" xfId="33949"/>
    <cellStyle name="Notas 2 6 2 3 10" xfId="33950"/>
    <cellStyle name="Notas 2 6 2 3 10 2" xfId="33951"/>
    <cellStyle name="Notas 2 6 2 3 11" xfId="33952"/>
    <cellStyle name="Notas 2 6 2 3 2" xfId="33953"/>
    <cellStyle name="Notas 2 6 2 3 2 2" xfId="33954"/>
    <cellStyle name="Notas 2 6 2 3 3" xfId="33955"/>
    <cellStyle name="Notas 2 6 2 3 3 2" xfId="33956"/>
    <cellStyle name="Notas 2 6 2 3 4" xfId="33957"/>
    <cellStyle name="Notas 2 6 2 3 4 2" xfId="33958"/>
    <cellStyle name="Notas 2 6 2 3 5" xfId="33959"/>
    <cellStyle name="Notas 2 6 2 3 5 2" xfId="33960"/>
    <cellStyle name="Notas 2 6 2 3 6" xfId="33961"/>
    <cellStyle name="Notas 2 6 2 3 6 2" xfId="33962"/>
    <cellStyle name="Notas 2 6 2 3 7" xfId="33963"/>
    <cellStyle name="Notas 2 6 2 3 7 2" xfId="33964"/>
    <cellStyle name="Notas 2 6 2 3 8" xfId="33965"/>
    <cellStyle name="Notas 2 6 2 3 8 2" xfId="33966"/>
    <cellStyle name="Notas 2 6 2 3 9" xfId="33967"/>
    <cellStyle name="Notas 2 6 2 3 9 2" xfId="33968"/>
    <cellStyle name="Notas 2 6 2 4" xfId="33969"/>
    <cellStyle name="Notas 2 6 2 4 2" xfId="33970"/>
    <cellStyle name="Notas 2 6 2 5" xfId="33971"/>
    <cellStyle name="Notas 2 6 2 5 2" xfId="33972"/>
    <cellStyle name="Notas 2 6 2 6" xfId="33973"/>
    <cellStyle name="Notas 2 6 2 6 2" xfId="33974"/>
    <cellStyle name="Notas 2 6 2 7" xfId="33975"/>
    <cellStyle name="Notas 2 6 2 7 2" xfId="33976"/>
    <cellStyle name="Notas 2 6 2 8" xfId="33977"/>
    <cellStyle name="Notas 2 6 2 8 2" xfId="33978"/>
    <cellStyle name="Notas 2 6 2 9" xfId="33979"/>
    <cellStyle name="Notas 2 6 2 9 2" xfId="33980"/>
    <cellStyle name="Notas 2 6 3" xfId="33981"/>
    <cellStyle name="Notas 2 6 3 10" xfId="33982"/>
    <cellStyle name="Notas 2 6 3 10 2" xfId="33983"/>
    <cellStyle name="Notas 2 6 3 11" xfId="33984"/>
    <cellStyle name="Notas 2 6 3 11 2" xfId="33985"/>
    <cellStyle name="Notas 2 6 3 12" xfId="33986"/>
    <cellStyle name="Notas 2 6 3 12 2" xfId="33987"/>
    <cellStyle name="Notas 2 6 3 13" xfId="33988"/>
    <cellStyle name="Notas 2 6 3 2" xfId="33989"/>
    <cellStyle name="Notas 2 6 3 2 10" xfId="33990"/>
    <cellStyle name="Notas 2 6 3 2 10 2" xfId="33991"/>
    <cellStyle name="Notas 2 6 3 2 11" xfId="33992"/>
    <cellStyle name="Notas 2 6 3 2 2" xfId="33993"/>
    <cellStyle name="Notas 2 6 3 2 2 2" xfId="33994"/>
    <cellStyle name="Notas 2 6 3 2 3" xfId="33995"/>
    <cellStyle name="Notas 2 6 3 2 3 2" xfId="33996"/>
    <cellStyle name="Notas 2 6 3 2 4" xfId="33997"/>
    <cellStyle name="Notas 2 6 3 2 4 2" xfId="33998"/>
    <cellStyle name="Notas 2 6 3 2 5" xfId="33999"/>
    <cellStyle name="Notas 2 6 3 2 5 2" xfId="34000"/>
    <cellStyle name="Notas 2 6 3 2 6" xfId="34001"/>
    <cellStyle name="Notas 2 6 3 2 6 2" xfId="34002"/>
    <cellStyle name="Notas 2 6 3 2 7" xfId="34003"/>
    <cellStyle name="Notas 2 6 3 2 7 2" xfId="34004"/>
    <cellStyle name="Notas 2 6 3 2 8" xfId="34005"/>
    <cellStyle name="Notas 2 6 3 2 8 2" xfId="34006"/>
    <cellStyle name="Notas 2 6 3 2 9" xfId="34007"/>
    <cellStyle name="Notas 2 6 3 2 9 2" xfId="34008"/>
    <cellStyle name="Notas 2 6 3 3" xfId="34009"/>
    <cellStyle name="Notas 2 6 3 3 10" xfId="34010"/>
    <cellStyle name="Notas 2 6 3 3 10 2" xfId="34011"/>
    <cellStyle name="Notas 2 6 3 3 11" xfId="34012"/>
    <cellStyle name="Notas 2 6 3 3 2" xfId="34013"/>
    <cellStyle name="Notas 2 6 3 3 2 2" xfId="34014"/>
    <cellStyle name="Notas 2 6 3 3 3" xfId="34015"/>
    <cellStyle name="Notas 2 6 3 3 3 2" xfId="34016"/>
    <cellStyle name="Notas 2 6 3 3 4" xfId="34017"/>
    <cellStyle name="Notas 2 6 3 3 4 2" xfId="34018"/>
    <cellStyle name="Notas 2 6 3 3 5" xfId="34019"/>
    <cellStyle name="Notas 2 6 3 3 5 2" xfId="34020"/>
    <cellStyle name="Notas 2 6 3 3 6" xfId="34021"/>
    <cellStyle name="Notas 2 6 3 3 6 2" xfId="34022"/>
    <cellStyle name="Notas 2 6 3 3 7" xfId="34023"/>
    <cellStyle name="Notas 2 6 3 3 7 2" xfId="34024"/>
    <cellStyle name="Notas 2 6 3 3 8" xfId="34025"/>
    <cellStyle name="Notas 2 6 3 3 8 2" xfId="34026"/>
    <cellStyle name="Notas 2 6 3 3 9" xfId="34027"/>
    <cellStyle name="Notas 2 6 3 3 9 2" xfId="34028"/>
    <cellStyle name="Notas 2 6 3 4" xfId="34029"/>
    <cellStyle name="Notas 2 6 3 4 2" xfId="34030"/>
    <cellStyle name="Notas 2 6 3 5" xfId="34031"/>
    <cellStyle name="Notas 2 6 3 5 2" xfId="34032"/>
    <cellStyle name="Notas 2 6 3 6" xfId="34033"/>
    <cellStyle name="Notas 2 6 3 6 2" xfId="34034"/>
    <cellStyle name="Notas 2 6 3 7" xfId="34035"/>
    <cellStyle name="Notas 2 6 3 7 2" xfId="34036"/>
    <cellStyle name="Notas 2 6 3 8" xfId="34037"/>
    <cellStyle name="Notas 2 6 3 8 2" xfId="34038"/>
    <cellStyle name="Notas 2 6 3 9" xfId="34039"/>
    <cellStyle name="Notas 2 6 3 9 2" xfId="34040"/>
    <cellStyle name="Notas 2 6 4" xfId="34041"/>
    <cellStyle name="Notas 2 6 4 10" xfId="34042"/>
    <cellStyle name="Notas 2 6 4 10 2" xfId="34043"/>
    <cellStyle name="Notas 2 6 4 11" xfId="34044"/>
    <cellStyle name="Notas 2 6 4 2" xfId="34045"/>
    <cellStyle name="Notas 2 6 4 2 2" xfId="34046"/>
    <cellStyle name="Notas 2 6 4 3" xfId="34047"/>
    <cellStyle name="Notas 2 6 4 3 2" xfId="34048"/>
    <cellStyle name="Notas 2 6 4 4" xfId="34049"/>
    <cellStyle name="Notas 2 6 4 4 2" xfId="34050"/>
    <cellStyle name="Notas 2 6 4 5" xfId="34051"/>
    <cellStyle name="Notas 2 6 4 5 2" xfId="34052"/>
    <cellStyle name="Notas 2 6 4 6" xfId="34053"/>
    <cellStyle name="Notas 2 6 4 6 2" xfId="34054"/>
    <cellStyle name="Notas 2 6 4 7" xfId="34055"/>
    <cellStyle name="Notas 2 6 4 7 2" xfId="34056"/>
    <cellStyle name="Notas 2 6 4 8" xfId="34057"/>
    <cellStyle name="Notas 2 6 4 8 2" xfId="34058"/>
    <cellStyle name="Notas 2 6 4 9" xfId="34059"/>
    <cellStyle name="Notas 2 6 4 9 2" xfId="34060"/>
    <cellStyle name="Notas 2 6 5" xfId="34061"/>
    <cellStyle name="Notas 2 6 5 10" xfId="34062"/>
    <cellStyle name="Notas 2 6 5 10 2" xfId="34063"/>
    <cellStyle name="Notas 2 6 5 11" xfId="34064"/>
    <cellStyle name="Notas 2 6 5 2" xfId="34065"/>
    <cellStyle name="Notas 2 6 5 2 2" xfId="34066"/>
    <cellStyle name="Notas 2 6 5 3" xfId="34067"/>
    <cellStyle name="Notas 2 6 5 3 2" xfId="34068"/>
    <cellStyle name="Notas 2 6 5 4" xfId="34069"/>
    <cellStyle name="Notas 2 6 5 4 2" xfId="34070"/>
    <cellStyle name="Notas 2 6 5 5" xfId="34071"/>
    <cellStyle name="Notas 2 6 5 5 2" xfId="34072"/>
    <cellStyle name="Notas 2 6 5 6" xfId="34073"/>
    <cellStyle name="Notas 2 6 5 6 2" xfId="34074"/>
    <cellStyle name="Notas 2 6 5 7" xfId="34075"/>
    <cellStyle name="Notas 2 6 5 7 2" xfId="34076"/>
    <cellStyle name="Notas 2 6 5 8" xfId="34077"/>
    <cellStyle name="Notas 2 6 5 8 2" xfId="34078"/>
    <cellStyle name="Notas 2 6 5 9" xfId="34079"/>
    <cellStyle name="Notas 2 6 5 9 2" xfId="34080"/>
    <cellStyle name="Notas 2 6 6" xfId="34081"/>
    <cellStyle name="Notas 2 6 6 2" xfId="34082"/>
    <cellStyle name="Notas 2 6 7" xfId="34083"/>
    <cellStyle name="Notas 2 6 7 2" xfId="34084"/>
    <cellStyle name="Notas 2 6 8" xfId="34085"/>
    <cellStyle name="Notas 2 6 8 2" xfId="34086"/>
    <cellStyle name="Notas 2 6 9" xfId="34087"/>
    <cellStyle name="Notas 2 6 9 2" xfId="34088"/>
    <cellStyle name="Notas 2 7" xfId="34089"/>
    <cellStyle name="Notas 2 7 10" xfId="34090"/>
    <cellStyle name="Notas 2 7 10 2" xfId="34091"/>
    <cellStyle name="Notas 2 7 11" xfId="34092"/>
    <cellStyle name="Notas 2 7 11 2" xfId="34093"/>
    <cellStyle name="Notas 2 7 12" xfId="34094"/>
    <cellStyle name="Notas 2 7 12 2" xfId="34095"/>
    <cellStyle name="Notas 2 7 13" xfId="34096"/>
    <cellStyle name="Notas 2 7 13 2" xfId="34097"/>
    <cellStyle name="Notas 2 7 14" xfId="34098"/>
    <cellStyle name="Notas 2 7 14 2" xfId="34099"/>
    <cellStyle name="Notas 2 7 15" xfId="34100"/>
    <cellStyle name="Notas 2 7 2" xfId="34101"/>
    <cellStyle name="Notas 2 7 2 10" xfId="34102"/>
    <cellStyle name="Notas 2 7 2 10 2" xfId="34103"/>
    <cellStyle name="Notas 2 7 2 11" xfId="34104"/>
    <cellStyle name="Notas 2 7 2 11 2" xfId="34105"/>
    <cellStyle name="Notas 2 7 2 12" xfId="34106"/>
    <cellStyle name="Notas 2 7 2 12 2" xfId="34107"/>
    <cellStyle name="Notas 2 7 2 13" xfId="34108"/>
    <cellStyle name="Notas 2 7 2 2" xfId="34109"/>
    <cellStyle name="Notas 2 7 2 2 10" xfId="34110"/>
    <cellStyle name="Notas 2 7 2 2 10 2" xfId="34111"/>
    <cellStyle name="Notas 2 7 2 2 11" xfId="34112"/>
    <cellStyle name="Notas 2 7 2 2 2" xfId="34113"/>
    <cellStyle name="Notas 2 7 2 2 2 2" xfId="34114"/>
    <cellStyle name="Notas 2 7 2 2 3" xfId="34115"/>
    <cellStyle name="Notas 2 7 2 2 3 2" xfId="34116"/>
    <cellStyle name="Notas 2 7 2 2 4" xfId="34117"/>
    <cellStyle name="Notas 2 7 2 2 4 2" xfId="34118"/>
    <cellStyle name="Notas 2 7 2 2 5" xfId="34119"/>
    <cellStyle name="Notas 2 7 2 2 5 2" xfId="34120"/>
    <cellStyle name="Notas 2 7 2 2 6" xfId="34121"/>
    <cellStyle name="Notas 2 7 2 2 6 2" xfId="34122"/>
    <cellStyle name="Notas 2 7 2 2 7" xfId="34123"/>
    <cellStyle name="Notas 2 7 2 2 7 2" xfId="34124"/>
    <cellStyle name="Notas 2 7 2 2 8" xfId="34125"/>
    <cellStyle name="Notas 2 7 2 2 8 2" xfId="34126"/>
    <cellStyle name="Notas 2 7 2 2 9" xfId="34127"/>
    <cellStyle name="Notas 2 7 2 2 9 2" xfId="34128"/>
    <cellStyle name="Notas 2 7 2 3" xfId="34129"/>
    <cellStyle name="Notas 2 7 2 3 10" xfId="34130"/>
    <cellStyle name="Notas 2 7 2 3 10 2" xfId="34131"/>
    <cellStyle name="Notas 2 7 2 3 11" xfId="34132"/>
    <cellStyle name="Notas 2 7 2 3 2" xfId="34133"/>
    <cellStyle name="Notas 2 7 2 3 2 2" xfId="34134"/>
    <cellStyle name="Notas 2 7 2 3 3" xfId="34135"/>
    <cellStyle name="Notas 2 7 2 3 3 2" xfId="34136"/>
    <cellStyle name="Notas 2 7 2 3 4" xfId="34137"/>
    <cellStyle name="Notas 2 7 2 3 4 2" xfId="34138"/>
    <cellStyle name="Notas 2 7 2 3 5" xfId="34139"/>
    <cellStyle name="Notas 2 7 2 3 5 2" xfId="34140"/>
    <cellStyle name="Notas 2 7 2 3 6" xfId="34141"/>
    <cellStyle name="Notas 2 7 2 3 6 2" xfId="34142"/>
    <cellStyle name="Notas 2 7 2 3 7" xfId="34143"/>
    <cellStyle name="Notas 2 7 2 3 7 2" xfId="34144"/>
    <cellStyle name="Notas 2 7 2 3 8" xfId="34145"/>
    <cellStyle name="Notas 2 7 2 3 8 2" xfId="34146"/>
    <cellStyle name="Notas 2 7 2 3 9" xfId="34147"/>
    <cellStyle name="Notas 2 7 2 3 9 2" xfId="34148"/>
    <cellStyle name="Notas 2 7 2 4" xfId="34149"/>
    <cellStyle name="Notas 2 7 2 4 2" xfId="34150"/>
    <cellStyle name="Notas 2 7 2 5" xfId="34151"/>
    <cellStyle name="Notas 2 7 2 5 2" xfId="34152"/>
    <cellStyle name="Notas 2 7 2 6" xfId="34153"/>
    <cellStyle name="Notas 2 7 2 6 2" xfId="34154"/>
    <cellStyle name="Notas 2 7 2 7" xfId="34155"/>
    <cellStyle name="Notas 2 7 2 7 2" xfId="34156"/>
    <cellStyle name="Notas 2 7 2 8" xfId="34157"/>
    <cellStyle name="Notas 2 7 2 8 2" xfId="34158"/>
    <cellStyle name="Notas 2 7 2 9" xfId="34159"/>
    <cellStyle name="Notas 2 7 2 9 2" xfId="34160"/>
    <cellStyle name="Notas 2 7 3" xfId="34161"/>
    <cellStyle name="Notas 2 7 3 10" xfId="34162"/>
    <cellStyle name="Notas 2 7 3 10 2" xfId="34163"/>
    <cellStyle name="Notas 2 7 3 11" xfId="34164"/>
    <cellStyle name="Notas 2 7 3 11 2" xfId="34165"/>
    <cellStyle name="Notas 2 7 3 12" xfId="34166"/>
    <cellStyle name="Notas 2 7 3 12 2" xfId="34167"/>
    <cellStyle name="Notas 2 7 3 13" xfId="34168"/>
    <cellStyle name="Notas 2 7 3 2" xfId="34169"/>
    <cellStyle name="Notas 2 7 3 2 10" xfId="34170"/>
    <cellStyle name="Notas 2 7 3 2 10 2" xfId="34171"/>
    <cellStyle name="Notas 2 7 3 2 11" xfId="34172"/>
    <cellStyle name="Notas 2 7 3 2 2" xfId="34173"/>
    <cellStyle name="Notas 2 7 3 2 2 2" xfId="34174"/>
    <cellStyle name="Notas 2 7 3 2 3" xfId="34175"/>
    <cellStyle name="Notas 2 7 3 2 3 2" xfId="34176"/>
    <cellStyle name="Notas 2 7 3 2 4" xfId="34177"/>
    <cellStyle name="Notas 2 7 3 2 4 2" xfId="34178"/>
    <cellStyle name="Notas 2 7 3 2 5" xfId="34179"/>
    <cellStyle name="Notas 2 7 3 2 5 2" xfId="34180"/>
    <cellStyle name="Notas 2 7 3 2 6" xfId="34181"/>
    <cellStyle name="Notas 2 7 3 2 6 2" xfId="34182"/>
    <cellStyle name="Notas 2 7 3 2 7" xfId="34183"/>
    <cellStyle name="Notas 2 7 3 2 7 2" xfId="34184"/>
    <cellStyle name="Notas 2 7 3 2 8" xfId="34185"/>
    <cellStyle name="Notas 2 7 3 2 8 2" xfId="34186"/>
    <cellStyle name="Notas 2 7 3 2 9" xfId="34187"/>
    <cellStyle name="Notas 2 7 3 2 9 2" xfId="34188"/>
    <cellStyle name="Notas 2 7 3 3" xfId="34189"/>
    <cellStyle name="Notas 2 7 3 3 10" xfId="34190"/>
    <cellStyle name="Notas 2 7 3 3 10 2" xfId="34191"/>
    <cellStyle name="Notas 2 7 3 3 11" xfId="34192"/>
    <cellStyle name="Notas 2 7 3 3 2" xfId="34193"/>
    <cellStyle name="Notas 2 7 3 3 2 2" xfId="34194"/>
    <cellStyle name="Notas 2 7 3 3 3" xfId="34195"/>
    <cellStyle name="Notas 2 7 3 3 3 2" xfId="34196"/>
    <cellStyle name="Notas 2 7 3 3 4" xfId="34197"/>
    <cellStyle name="Notas 2 7 3 3 4 2" xfId="34198"/>
    <cellStyle name="Notas 2 7 3 3 5" xfId="34199"/>
    <cellStyle name="Notas 2 7 3 3 5 2" xfId="34200"/>
    <cellStyle name="Notas 2 7 3 3 6" xfId="34201"/>
    <cellStyle name="Notas 2 7 3 3 6 2" xfId="34202"/>
    <cellStyle name="Notas 2 7 3 3 7" xfId="34203"/>
    <cellStyle name="Notas 2 7 3 3 7 2" xfId="34204"/>
    <cellStyle name="Notas 2 7 3 3 8" xfId="34205"/>
    <cellStyle name="Notas 2 7 3 3 8 2" xfId="34206"/>
    <cellStyle name="Notas 2 7 3 3 9" xfId="34207"/>
    <cellStyle name="Notas 2 7 3 3 9 2" xfId="34208"/>
    <cellStyle name="Notas 2 7 3 4" xfId="34209"/>
    <cellStyle name="Notas 2 7 3 4 2" xfId="34210"/>
    <cellStyle name="Notas 2 7 3 5" xfId="34211"/>
    <cellStyle name="Notas 2 7 3 5 2" xfId="34212"/>
    <cellStyle name="Notas 2 7 3 6" xfId="34213"/>
    <cellStyle name="Notas 2 7 3 6 2" xfId="34214"/>
    <cellStyle name="Notas 2 7 3 7" xfId="34215"/>
    <cellStyle name="Notas 2 7 3 7 2" xfId="34216"/>
    <cellStyle name="Notas 2 7 3 8" xfId="34217"/>
    <cellStyle name="Notas 2 7 3 8 2" xfId="34218"/>
    <cellStyle name="Notas 2 7 3 9" xfId="34219"/>
    <cellStyle name="Notas 2 7 3 9 2" xfId="34220"/>
    <cellStyle name="Notas 2 7 4" xfId="34221"/>
    <cellStyle name="Notas 2 7 4 10" xfId="34222"/>
    <cellStyle name="Notas 2 7 4 10 2" xfId="34223"/>
    <cellStyle name="Notas 2 7 4 11" xfId="34224"/>
    <cellStyle name="Notas 2 7 4 2" xfId="34225"/>
    <cellStyle name="Notas 2 7 4 2 2" xfId="34226"/>
    <cellStyle name="Notas 2 7 4 3" xfId="34227"/>
    <cellStyle name="Notas 2 7 4 3 2" xfId="34228"/>
    <cellStyle name="Notas 2 7 4 4" xfId="34229"/>
    <cellStyle name="Notas 2 7 4 4 2" xfId="34230"/>
    <cellStyle name="Notas 2 7 4 5" xfId="34231"/>
    <cellStyle name="Notas 2 7 4 5 2" xfId="34232"/>
    <cellStyle name="Notas 2 7 4 6" xfId="34233"/>
    <cellStyle name="Notas 2 7 4 6 2" xfId="34234"/>
    <cellStyle name="Notas 2 7 4 7" xfId="34235"/>
    <cellStyle name="Notas 2 7 4 7 2" xfId="34236"/>
    <cellStyle name="Notas 2 7 4 8" xfId="34237"/>
    <cellStyle name="Notas 2 7 4 8 2" xfId="34238"/>
    <cellStyle name="Notas 2 7 4 9" xfId="34239"/>
    <cellStyle name="Notas 2 7 4 9 2" xfId="34240"/>
    <cellStyle name="Notas 2 7 5" xfId="34241"/>
    <cellStyle name="Notas 2 7 5 10" xfId="34242"/>
    <cellStyle name="Notas 2 7 5 10 2" xfId="34243"/>
    <cellStyle name="Notas 2 7 5 11" xfId="34244"/>
    <cellStyle name="Notas 2 7 5 2" xfId="34245"/>
    <cellStyle name="Notas 2 7 5 2 2" xfId="34246"/>
    <cellStyle name="Notas 2 7 5 3" xfId="34247"/>
    <cellStyle name="Notas 2 7 5 3 2" xfId="34248"/>
    <cellStyle name="Notas 2 7 5 4" xfId="34249"/>
    <cellStyle name="Notas 2 7 5 4 2" xfId="34250"/>
    <cellStyle name="Notas 2 7 5 5" xfId="34251"/>
    <cellStyle name="Notas 2 7 5 5 2" xfId="34252"/>
    <cellStyle name="Notas 2 7 5 6" xfId="34253"/>
    <cellStyle name="Notas 2 7 5 6 2" xfId="34254"/>
    <cellStyle name="Notas 2 7 5 7" xfId="34255"/>
    <cellStyle name="Notas 2 7 5 7 2" xfId="34256"/>
    <cellStyle name="Notas 2 7 5 8" xfId="34257"/>
    <cellStyle name="Notas 2 7 5 8 2" xfId="34258"/>
    <cellStyle name="Notas 2 7 5 9" xfId="34259"/>
    <cellStyle name="Notas 2 7 5 9 2" xfId="34260"/>
    <cellStyle name="Notas 2 7 6" xfId="34261"/>
    <cellStyle name="Notas 2 7 6 2" xfId="34262"/>
    <cellStyle name="Notas 2 7 7" xfId="34263"/>
    <cellStyle name="Notas 2 7 7 2" xfId="34264"/>
    <cellStyle name="Notas 2 7 8" xfId="34265"/>
    <cellStyle name="Notas 2 7 8 2" xfId="34266"/>
    <cellStyle name="Notas 2 7 9" xfId="34267"/>
    <cellStyle name="Notas 2 7 9 2" xfId="34268"/>
    <cellStyle name="Notas 2 8" xfId="34269"/>
    <cellStyle name="Notas 2 8 10" xfId="34270"/>
    <cellStyle name="Notas 2 8 10 2" xfId="34271"/>
    <cellStyle name="Notas 2 8 11" xfId="34272"/>
    <cellStyle name="Notas 2 8 11 2" xfId="34273"/>
    <cellStyle name="Notas 2 8 12" xfId="34274"/>
    <cellStyle name="Notas 2 8 12 2" xfId="34275"/>
    <cellStyle name="Notas 2 8 13" xfId="34276"/>
    <cellStyle name="Notas 2 8 13 2" xfId="34277"/>
    <cellStyle name="Notas 2 8 14" xfId="34278"/>
    <cellStyle name="Notas 2 8 14 2" xfId="34279"/>
    <cellStyle name="Notas 2 8 15" xfId="34280"/>
    <cellStyle name="Notas 2 8 2" xfId="34281"/>
    <cellStyle name="Notas 2 8 2 10" xfId="34282"/>
    <cellStyle name="Notas 2 8 2 10 2" xfId="34283"/>
    <cellStyle name="Notas 2 8 2 11" xfId="34284"/>
    <cellStyle name="Notas 2 8 2 11 2" xfId="34285"/>
    <cellStyle name="Notas 2 8 2 12" xfId="34286"/>
    <cellStyle name="Notas 2 8 2 12 2" xfId="34287"/>
    <cellStyle name="Notas 2 8 2 13" xfId="34288"/>
    <cellStyle name="Notas 2 8 2 2" xfId="34289"/>
    <cellStyle name="Notas 2 8 2 2 10" xfId="34290"/>
    <cellStyle name="Notas 2 8 2 2 10 2" xfId="34291"/>
    <cellStyle name="Notas 2 8 2 2 11" xfId="34292"/>
    <cellStyle name="Notas 2 8 2 2 2" xfId="34293"/>
    <cellStyle name="Notas 2 8 2 2 2 2" xfId="34294"/>
    <cellStyle name="Notas 2 8 2 2 3" xfId="34295"/>
    <cellStyle name="Notas 2 8 2 2 3 2" xfId="34296"/>
    <cellStyle name="Notas 2 8 2 2 4" xfId="34297"/>
    <cellStyle name="Notas 2 8 2 2 4 2" xfId="34298"/>
    <cellStyle name="Notas 2 8 2 2 5" xfId="34299"/>
    <cellStyle name="Notas 2 8 2 2 5 2" xfId="34300"/>
    <cellStyle name="Notas 2 8 2 2 6" xfId="34301"/>
    <cellStyle name="Notas 2 8 2 2 6 2" xfId="34302"/>
    <cellStyle name="Notas 2 8 2 2 7" xfId="34303"/>
    <cellStyle name="Notas 2 8 2 2 7 2" xfId="34304"/>
    <cellStyle name="Notas 2 8 2 2 8" xfId="34305"/>
    <cellStyle name="Notas 2 8 2 2 8 2" xfId="34306"/>
    <cellStyle name="Notas 2 8 2 2 9" xfId="34307"/>
    <cellStyle name="Notas 2 8 2 2 9 2" xfId="34308"/>
    <cellStyle name="Notas 2 8 2 3" xfId="34309"/>
    <cellStyle name="Notas 2 8 2 3 10" xfId="34310"/>
    <cellStyle name="Notas 2 8 2 3 10 2" xfId="34311"/>
    <cellStyle name="Notas 2 8 2 3 11" xfId="34312"/>
    <cellStyle name="Notas 2 8 2 3 2" xfId="34313"/>
    <cellStyle name="Notas 2 8 2 3 2 2" xfId="34314"/>
    <cellStyle name="Notas 2 8 2 3 3" xfId="34315"/>
    <cellStyle name="Notas 2 8 2 3 3 2" xfId="34316"/>
    <cellStyle name="Notas 2 8 2 3 4" xfId="34317"/>
    <cellStyle name="Notas 2 8 2 3 4 2" xfId="34318"/>
    <cellStyle name="Notas 2 8 2 3 5" xfId="34319"/>
    <cellStyle name="Notas 2 8 2 3 5 2" xfId="34320"/>
    <cellStyle name="Notas 2 8 2 3 6" xfId="34321"/>
    <cellStyle name="Notas 2 8 2 3 6 2" xfId="34322"/>
    <cellStyle name="Notas 2 8 2 3 7" xfId="34323"/>
    <cellStyle name="Notas 2 8 2 3 7 2" xfId="34324"/>
    <cellStyle name="Notas 2 8 2 3 8" xfId="34325"/>
    <cellStyle name="Notas 2 8 2 3 8 2" xfId="34326"/>
    <cellStyle name="Notas 2 8 2 3 9" xfId="34327"/>
    <cellStyle name="Notas 2 8 2 3 9 2" xfId="34328"/>
    <cellStyle name="Notas 2 8 2 4" xfId="34329"/>
    <cellStyle name="Notas 2 8 2 4 2" xfId="34330"/>
    <cellStyle name="Notas 2 8 2 5" xfId="34331"/>
    <cellStyle name="Notas 2 8 2 5 2" xfId="34332"/>
    <cellStyle name="Notas 2 8 2 6" xfId="34333"/>
    <cellStyle name="Notas 2 8 2 6 2" xfId="34334"/>
    <cellStyle name="Notas 2 8 2 7" xfId="34335"/>
    <cellStyle name="Notas 2 8 2 7 2" xfId="34336"/>
    <cellStyle name="Notas 2 8 2 8" xfId="34337"/>
    <cellStyle name="Notas 2 8 2 8 2" xfId="34338"/>
    <cellStyle name="Notas 2 8 2 9" xfId="34339"/>
    <cellStyle name="Notas 2 8 2 9 2" xfId="34340"/>
    <cellStyle name="Notas 2 8 3" xfId="34341"/>
    <cellStyle name="Notas 2 8 3 10" xfId="34342"/>
    <cellStyle name="Notas 2 8 3 10 2" xfId="34343"/>
    <cellStyle name="Notas 2 8 3 11" xfId="34344"/>
    <cellStyle name="Notas 2 8 3 11 2" xfId="34345"/>
    <cellStyle name="Notas 2 8 3 12" xfId="34346"/>
    <cellStyle name="Notas 2 8 3 12 2" xfId="34347"/>
    <cellStyle name="Notas 2 8 3 13" xfId="34348"/>
    <cellStyle name="Notas 2 8 3 2" xfId="34349"/>
    <cellStyle name="Notas 2 8 3 2 10" xfId="34350"/>
    <cellStyle name="Notas 2 8 3 2 10 2" xfId="34351"/>
    <cellStyle name="Notas 2 8 3 2 11" xfId="34352"/>
    <cellStyle name="Notas 2 8 3 2 2" xfId="34353"/>
    <cellStyle name="Notas 2 8 3 2 2 2" xfId="34354"/>
    <cellStyle name="Notas 2 8 3 2 3" xfId="34355"/>
    <cellStyle name="Notas 2 8 3 2 3 2" xfId="34356"/>
    <cellStyle name="Notas 2 8 3 2 4" xfId="34357"/>
    <cellStyle name="Notas 2 8 3 2 4 2" xfId="34358"/>
    <cellStyle name="Notas 2 8 3 2 5" xfId="34359"/>
    <cellStyle name="Notas 2 8 3 2 5 2" xfId="34360"/>
    <cellStyle name="Notas 2 8 3 2 6" xfId="34361"/>
    <cellStyle name="Notas 2 8 3 2 6 2" xfId="34362"/>
    <cellStyle name="Notas 2 8 3 2 7" xfId="34363"/>
    <cellStyle name="Notas 2 8 3 2 7 2" xfId="34364"/>
    <cellStyle name="Notas 2 8 3 2 8" xfId="34365"/>
    <cellStyle name="Notas 2 8 3 2 8 2" xfId="34366"/>
    <cellStyle name="Notas 2 8 3 2 9" xfId="34367"/>
    <cellStyle name="Notas 2 8 3 2 9 2" xfId="34368"/>
    <cellStyle name="Notas 2 8 3 3" xfId="34369"/>
    <cellStyle name="Notas 2 8 3 3 10" xfId="34370"/>
    <cellStyle name="Notas 2 8 3 3 10 2" xfId="34371"/>
    <cellStyle name="Notas 2 8 3 3 11" xfId="34372"/>
    <cellStyle name="Notas 2 8 3 3 2" xfId="34373"/>
    <cellStyle name="Notas 2 8 3 3 2 2" xfId="34374"/>
    <cellStyle name="Notas 2 8 3 3 3" xfId="34375"/>
    <cellStyle name="Notas 2 8 3 3 3 2" xfId="34376"/>
    <cellStyle name="Notas 2 8 3 3 4" xfId="34377"/>
    <cellStyle name="Notas 2 8 3 3 4 2" xfId="34378"/>
    <cellStyle name="Notas 2 8 3 3 5" xfId="34379"/>
    <cellStyle name="Notas 2 8 3 3 5 2" xfId="34380"/>
    <cellStyle name="Notas 2 8 3 3 6" xfId="34381"/>
    <cellStyle name="Notas 2 8 3 3 6 2" xfId="34382"/>
    <cellStyle name="Notas 2 8 3 3 7" xfId="34383"/>
    <cellStyle name="Notas 2 8 3 3 7 2" xfId="34384"/>
    <cellStyle name="Notas 2 8 3 3 8" xfId="34385"/>
    <cellStyle name="Notas 2 8 3 3 8 2" xfId="34386"/>
    <cellStyle name="Notas 2 8 3 3 9" xfId="34387"/>
    <cellStyle name="Notas 2 8 3 3 9 2" xfId="34388"/>
    <cellStyle name="Notas 2 8 3 4" xfId="34389"/>
    <cellStyle name="Notas 2 8 3 4 2" xfId="34390"/>
    <cellStyle name="Notas 2 8 3 5" xfId="34391"/>
    <cellStyle name="Notas 2 8 3 5 2" xfId="34392"/>
    <cellStyle name="Notas 2 8 3 6" xfId="34393"/>
    <cellStyle name="Notas 2 8 3 6 2" xfId="34394"/>
    <cellStyle name="Notas 2 8 3 7" xfId="34395"/>
    <cellStyle name="Notas 2 8 3 7 2" xfId="34396"/>
    <cellStyle name="Notas 2 8 3 8" xfId="34397"/>
    <cellStyle name="Notas 2 8 3 8 2" xfId="34398"/>
    <cellStyle name="Notas 2 8 3 9" xfId="34399"/>
    <cellStyle name="Notas 2 8 3 9 2" xfId="34400"/>
    <cellStyle name="Notas 2 8 4" xfId="34401"/>
    <cellStyle name="Notas 2 8 4 10" xfId="34402"/>
    <cellStyle name="Notas 2 8 4 10 2" xfId="34403"/>
    <cellStyle name="Notas 2 8 4 11" xfId="34404"/>
    <cellStyle name="Notas 2 8 4 2" xfId="34405"/>
    <cellStyle name="Notas 2 8 4 2 2" xfId="34406"/>
    <cellStyle name="Notas 2 8 4 3" xfId="34407"/>
    <cellStyle name="Notas 2 8 4 3 2" xfId="34408"/>
    <cellStyle name="Notas 2 8 4 4" xfId="34409"/>
    <cellStyle name="Notas 2 8 4 4 2" xfId="34410"/>
    <cellStyle name="Notas 2 8 4 5" xfId="34411"/>
    <cellStyle name="Notas 2 8 4 5 2" xfId="34412"/>
    <cellStyle name="Notas 2 8 4 6" xfId="34413"/>
    <cellStyle name="Notas 2 8 4 6 2" xfId="34414"/>
    <cellStyle name="Notas 2 8 4 7" xfId="34415"/>
    <cellStyle name="Notas 2 8 4 7 2" xfId="34416"/>
    <cellStyle name="Notas 2 8 4 8" xfId="34417"/>
    <cellStyle name="Notas 2 8 4 8 2" xfId="34418"/>
    <cellStyle name="Notas 2 8 4 9" xfId="34419"/>
    <cellStyle name="Notas 2 8 4 9 2" xfId="34420"/>
    <cellStyle name="Notas 2 8 5" xfId="34421"/>
    <cellStyle name="Notas 2 8 5 10" xfId="34422"/>
    <cellStyle name="Notas 2 8 5 10 2" xfId="34423"/>
    <cellStyle name="Notas 2 8 5 11" xfId="34424"/>
    <cellStyle name="Notas 2 8 5 2" xfId="34425"/>
    <cellStyle name="Notas 2 8 5 2 2" xfId="34426"/>
    <cellStyle name="Notas 2 8 5 3" xfId="34427"/>
    <cellStyle name="Notas 2 8 5 3 2" xfId="34428"/>
    <cellStyle name="Notas 2 8 5 4" xfId="34429"/>
    <cellStyle name="Notas 2 8 5 4 2" xfId="34430"/>
    <cellStyle name="Notas 2 8 5 5" xfId="34431"/>
    <cellStyle name="Notas 2 8 5 5 2" xfId="34432"/>
    <cellStyle name="Notas 2 8 5 6" xfId="34433"/>
    <cellStyle name="Notas 2 8 5 6 2" xfId="34434"/>
    <cellStyle name="Notas 2 8 5 7" xfId="34435"/>
    <cellStyle name="Notas 2 8 5 7 2" xfId="34436"/>
    <cellStyle name="Notas 2 8 5 8" xfId="34437"/>
    <cellStyle name="Notas 2 8 5 8 2" xfId="34438"/>
    <cellStyle name="Notas 2 8 5 9" xfId="34439"/>
    <cellStyle name="Notas 2 8 5 9 2" xfId="34440"/>
    <cellStyle name="Notas 2 8 6" xfId="34441"/>
    <cellStyle name="Notas 2 8 6 2" xfId="34442"/>
    <cellStyle name="Notas 2 8 7" xfId="34443"/>
    <cellStyle name="Notas 2 8 7 2" xfId="34444"/>
    <cellStyle name="Notas 2 8 8" xfId="34445"/>
    <cellStyle name="Notas 2 8 8 2" xfId="34446"/>
    <cellStyle name="Notas 2 8 9" xfId="34447"/>
    <cellStyle name="Notas 2 8 9 2" xfId="34448"/>
    <cellStyle name="Notas 2 9" xfId="34449"/>
    <cellStyle name="Notas 2 9 10" xfId="34450"/>
    <cellStyle name="Notas 2 9 10 2" xfId="34451"/>
    <cellStyle name="Notas 2 9 11" xfId="34452"/>
    <cellStyle name="Notas 2 9 11 2" xfId="34453"/>
    <cellStyle name="Notas 2 9 12" xfId="34454"/>
    <cellStyle name="Notas 2 9 12 2" xfId="34455"/>
    <cellStyle name="Notas 2 9 13" xfId="34456"/>
    <cellStyle name="Notas 2 9 2" xfId="34457"/>
    <cellStyle name="Notas 2 9 2 10" xfId="34458"/>
    <cellStyle name="Notas 2 9 2 10 2" xfId="34459"/>
    <cellStyle name="Notas 2 9 2 11" xfId="34460"/>
    <cellStyle name="Notas 2 9 2 2" xfId="34461"/>
    <cellStyle name="Notas 2 9 2 2 2" xfId="34462"/>
    <cellStyle name="Notas 2 9 2 3" xfId="34463"/>
    <cellStyle name="Notas 2 9 2 3 2" xfId="34464"/>
    <cellStyle name="Notas 2 9 2 4" xfId="34465"/>
    <cellStyle name="Notas 2 9 2 4 2" xfId="34466"/>
    <cellStyle name="Notas 2 9 2 5" xfId="34467"/>
    <cellStyle name="Notas 2 9 2 5 2" xfId="34468"/>
    <cellStyle name="Notas 2 9 2 6" xfId="34469"/>
    <cellStyle name="Notas 2 9 2 6 2" xfId="34470"/>
    <cellStyle name="Notas 2 9 2 7" xfId="34471"/>
    <cellStyle name="Notas 2 9 2 7 2" xfId="34472"/>
    <cellStyle name="Notas 2 9 2 8" xfId="34473"/>
    <cellStyle name="Notas 2 9 2 8 2" xfId="34474"/>
    <cellStyle name="Notas 2 9 2 9" xfId="34475"/>
    <cellStyle name="Notas 2 9 2 9 2" xfId="34476"/>
    <cellStyle name="Notas 2 9 3" xfId="34477"/>
    <cellStyle name="Notas 2 9 3 10" xfId="34478"/>
    <cellStyle name="Notas 2 9 3 10 2" xfId="34479"/>
    <cellStyle name="Notas 2 9 3 11" xfId="34480"/>
    <cellStyle name="Notas 2 9 3 2" xfId="34481"/>
    <cellStyle name="Notas 2 9 3 2 2" xfId="34482"/>
    <cellStyle name="Notas 2 9 3 3" xfId="34483"/>
    <cellStyle name="Notas 2 9 3 3 2" xfId="34484"/>
    <cellStyle name="Notas 2 9 3 4" xfId="34485"/>
    <cellStyle name="Notas 2 9 3 4 2" xfId="34486"/>
    <cellStyle name="Notas 2 9 3 5" xfId="34487"/>
    <cellStyle name="Notas 2 9 3 5 2" xfId="34488"/>
    <cellStyle name="Notas 2 9 3 6" xfId="34489"/>
    <cellStyle name="Notas 2 9 3 6 2" xfId="34490"/>
    <cellStyle name="Notas 2 9 3 7" xfId="34491"/>
    <cellStyle name="Notas 2 9 3 7 2" xfId="34492"/>
    <cellStyle name="Notas 2 9 3 8" xfId="34493"/>
    <cellStyle name="Notas 2 9 3 8 2" xfId="34494"/>
    <cellStyle name="Notas 2 9 3 9" xfId="34495"/>
    <cellStyle name="Notas 2 9 3 9 2" xfId="34496"/>
    <cellStyle name="Notas 2 9 4" xfId="34497"/>
    <cellStyle name="Notas 2 9 4 2" xfId="34498"/>
    <cellStyle name="Notas 2 9 5" xfId="34499"/>
    <cellStyle name="Notas 2 9 5 2" xfId="34500"/>
    <cellStyle name="Notas 2 9 6" xfId="34501"/>
    <cellStyle name="Notas 2 9 6 2" xfId="34502"/>
    <cellStyle name="Notas 2 9 7" xfId="34503"/>
    <cellStyle name="Notas 2 9 7 2" xfId="34504"/>
    <cellStyle name="Notas 2 9 8" xfId="34505"/>
    <cellStyle name="Notas 2 9 8 2" xfId="34506"/>
    <cellStyle name="Notas 2 9 9" xfId="34507"/>
    <cellStyle name="Notas 2 9 9 2" xfId="34508"/>
    <cellStyle name="Notas 3" xfId="1150"/>
    <cellStyle name="Notas 3 10" xfId="34509"/>
    <cellStyle name="Notas 3 10 2" xfId="34510"/>
    <cellStyle name="Notas 3 11" xfId="34511"/>
    <cellStyle name="Notas 3 11 2" xfId="34512"/>
    <cellStyle name="Notas 3 12" xfId="34513"/>
    <cellStyle name="Notas 3 12 2" xfId="34514"/>
    <cellStyle name="Notas 3 13" xfId="34515"/>
    <cellStyle name="Notas 3 13 2" xfId="34516"/>
    <cellStyle name="Notas 3 14" xfId="34517"/>
    <cellStyle name="Notas 3 14 2" xfId="34518"/>
    <cellStyle name="Notas 3 15" xfId="34519"/>
    <cellStyle name="Notas 3 15 2" xfId="34520"/>
    <cellStyle name="Notas 3 16" xfId="34521"/>
    <cellStyle name="Notas 3 16 2" xfId="34522"/>
    <cellStyle name="Notas 3 17" xfId="34523"/>
    <cellStyle name="Notas 3 18" xfId="34524"/>
    <cellStyle name="Notas 3 19" xfId="34525"/>
    <cellStyle name="Notas 3 2" xfId="34526"/>
    <cellStyle name="Notas 3 2 10" xfId="34527"/>
    <cellStyle name="Notas 3 2 10 2" xfId="34528"/>
    <cellStyle name="Notas 3 2 11" xfId="34529"/>
    <cellStyle name="Notas 3 2 11 2" xfId="34530"/>
    <cellStyle name="Notas 3 2 12" xfId="34531"/>
    <cellStyle name="Notas 3 2 12 2" xfId="34532"/>
    <cellStyle name="Notas 3 2 13" xfId="34533"/>
    <cellStyle name="Notas 3 2 13 2" xfId="34534"/>
    <cellStyle name="Notas 3 2 14" xfId="34535"/>
    <cellStyle name="Notas 3 2 14 2" xfId="34536"/>
    <cellStyle name="Notas 3 2 15" xfId="34537"/>
    <cellStyle name="Notas 3 2 2" xfId="34538"/>
    <cellStyle name="Notas 3 2 2 10" xfId="34539"/>
    <cellStyle name="Notas 3 2 2 10 2" xfId="34540"/>
    <cellStyle name="Notas 3 2 2 11" xfId="34541"/>
    <cellStyle name="Notas 3 2 2 11 2" xfId="34542"/>
    <cellStyle name="Notas 3 2 2 12" xfId="34543"/>
    <cellStyle name="Notas 3 2 2 12 2" xfId="34544"/>
    <cellStyle name="Notas 3 2 2 13" xfId="34545"/>
    <cellStyle name="Notas 3 2 2 2" xfId="34546"/>
    <cellStyle name="Notas 3 2 2 2 10" xfId="34547"/>
    <cellStyle name="Notas 3 2 2 2 10 2" xfId="34548"/>
    <cellStyle name="Notas 3 2 2 2 11" xfId="34549"/>
    <cellStyle name="Notas 3 2 2 2 2" xfId="34550"/>
    <cellStyle name="Notas 3 2 2 2 2 2" xfId="34551"/>
    <cellStyle name="Notas 3 2 2 2 3" xfId="34552"/>
    <cellStyle name="Notas 3 2 2 2 3 2" xfId="34553"/>
    <cellStyle name="Notas 3 2 2 2 4" xfId="34554"/>
    <cellStyle name="Notas 3 2 2 2 4 2" xfId="34555"/>
    <cellStyle name="Notas 3 2 2 2 5" xfId="34556"/>
    <cellStyle name="Notas 3 2 2 2 5 2" xfId="34557"/>
    <cellStyle name="Notas 3 2 2 2 6" xfId="34558"/>
    <cellStyle name="Notas 3 2 2 2 6 2" xfId="34559"/>
    <cellStyle name="Notas 3 2 2 2 7" xfId="34560"/>
    <cellStyle name="Notas 3 2 2 2 7 2" xfId="34561"/>
    <cellStyle name="Notas 3 2 2 2 8" xfId="34562"/>
    <cellStyle name="Notas 3 2 2 2 8 2" xfId="34563"/>
    <cellStyle name="Notas 3 2 2 2 9" xfId="34564"/>
    <cellStyle name="Notas 3 2 2 2 9 2" xfId="34565"/>
    <cellStyle name="Notas 3 2 2 3" xfId="34566"/>
    <cellStyle name="Notas 3 2 2 3 10" xfId="34567"/>
    <cellStyle name="Notas 3 2 2 3 10 2" xfId="34568"/>
    <cellStyle name="Notas 3 2 2 3 11" xfId="34569"/>
    <cellStyle name="Notas 3 2 2 3 2" xfId="34570"/>
    <cellStyle name="Notas 3 2 2 3 2 2" xfId="34571"/>
    <cellStyle name="Notas 3 2 2 3 3" xfId="34572"/>
    <cellStyle name="Notas 3 2 2 3 3 2" xfId="34573"/>
    <cellStyle name="Notas 3 2 2 3 4" xfId="34574"/>
    <cellStyle name="Notas 3 2 2 3 4 2" xfId="34575"/>
    <cellStyle name="Notas 3 2 2 3 5" xfId="34576"/>
    <cellStyle name="Notas 3 2 2 3 5 2" xfId="34577"/>
    <cellStyle name="Notas 3 2 2 3 6" xfId="34578"/>
    <cellStyle name="Notas 3 2 2 3 6 2" xfId="34579"/>
    <cellStyle name="Notas 3 2 2 3 7" xfId="34580"/>
    <cellStyle name="Notas 3 2 2 3 7 2" xfId="34581"/>
    <cellStyle name="Notas 3 2 2 3 8" xfId="34582"/>
    <cellStyle name="Notas 3 2 2 3 8 2" xfId="34583"/>
    <cellStyle name="Notas 3 2 2 3 9" xfId="34584"/>
    <cellStyle name="Notas 3 2 2 3 9 2" xfId="34585"/>
    <cellStyle name="Notas 3 2 2 4" xfId="34586"/>
    <cellStyle name="Notas 3 2 2 4 2" xfId="34587"/>
    <cellStyle name="Notas 3 2 2 5" xfId="34588"/>
    <cellStyle name="Notas 3 2 2 5 2" xfId="34589"/>
    <cellStyle name="Notas 3 2 2 6" xfId="34590"/>
    <cellStyle name="Notas 3 2 2 6 2" xfId="34591"/>
    <cellStyle name="Notas 3 2 2 7" xfId="34592"/>
    <cellStyle name="Notas 3 2 2 7 2" xfId="34593"/>
    <cellStyle name="Notas 3 2 2 8" xfId="34594"/>
    <cellStyle name="Notas 3 2 2 8 2" xfId="34595"/>
    <cellStyle name="Notas 3 2 2 9" xfId="34596"/>
    <cellStyle name="Notas 3 2 2 9 2" xfId="34597"/>
    <cellStyle name="Notas 3 2 3" xfId="34598"/>
    <cellStyle name="Notas 3 2 3 10" xfId="34599"/>
    <cellStyle name="Notas 3 2 3 10 2" xfId="34600"/>
    <cellStyle name="Notas 3 2 3 11" xfId="34601"/>
    <cellStyle name="Notas 3 2 3 11 2" xfId="34602"/>
    <cellStyle name="Notas 3 2 3 12" xfId="34603"/>
    <cellStyle name="Notas 3 2 3 12 2" xfId="34604"/>
    <cellStyle name="Notas 3 2 3 13" xfId="34605"/>
    <cellStyle name="Notas 3 2 3 2" xfId="34606"/>
    <cellStyle name="Notas 3 2 3 2 10" xfId="34607"/>
    <cellStyle name="Notas 3 2 3 2 10 2" xfId="34608"/>
    <cellStyle name="Notas 3 2 3 2 11" xfId="34609"/>
    <cellStyle name="Notas 3 2 3 2 2" xfId="34610"/>
    <cellStyle name="Notas 3 2 3 2 2 2" xfId="34611"/>
    <cellStyle name="Notas 3 2 3 2 3" xfId="34612"/>
    <cellStyle name="Notas 3 2 3 2 3 2" xfId="34613"/>
    <cellStyle name="Notas 3 2 3 2 4" xfId="34614"/>
    <cellStyle name="Notas 3 2 3 2 4 2" xfId="34615"/>
    <cellStyle name="Notas 3 2 3 2 5" xfId="34616"/>
    <cellStyle name="Notas 3 2 3 2 5 2" xfId="34617"/>
    <cellStyle name="Notas 3 2 3 2 6" xfId="34618"/>
    <cellStyle name="Notas 3 2 3 2 6 2" xfId="34619"/>
    <cellStyle name="Notas 3 2 3 2 7" xfId="34620"/>
    <cellStyle name="Notas 3 2 3 2 7 2" xfId="34621"/>
    <cellStyle name="Notas 3 2 3 2 8" xfId="34622"/>
    <cellStyle name="Notas 3 2 3 2 8 2" xfId="34623"/>
    <cellStyle name="Notas 3 2 3 2 9" xfId="34624"/>
    <cellStyle name="Notas 3 2 3 2 9 2" xfId="34625"/>
    <cellStyle name="Notas 3 2 3 3" xfId="34626"/>
    <cellStyle name="Notas 3 2 3 3 10" xfId="34627"/>
    <cellStyle name="Notas 3 2 3 3 10 2" xfId="34628"/>
    <cellStyle name="Notas 3 2 3 3 11" xfId="34629"/>
    <cellStyle name="Notas 3 2 3 3 2" xfId="34630"/>
    <cellStyle name="Notas 3 2 3 3 2 2" xfId="34631"/>
    <cellStyle name="Notas 3 2 3 3 3" xfId="34632"/>
    <cellStyle name="Notas 3 2 3 3 3 2" xfId="34633"/>
    <cellStyle name="Notas 3 2 3 3 4" xfId="34634"/>
    <cellStyle name="Notas 3 2 3 3 4 2" xfId="34635"/>
    <cellStyle name="Notas 3 2 3 3 5" xfId="34636"/>
    <cellStyle name="Notas 3 2 3 3 5 2" xfId="34637"/>
    <cellStyle name="Notas 3 2 3 3 6" xfId="34638"/>
    <cellStyle name="Notas 3 2 3 3 6 2" xfId="34639"/>
    <cellStyle name="Notas 3 2 3 3 7" xfId="34640"/>
    <cellStyle name="Notas 3 2 3 3 7 2" xfId="34641"/>
    <cellStyle name="Notas 3 2 3 3 8" xfId="34642"/>
    <cellStyle name="Notas 3 2 3 3 8 2" xfId="34643"/>
    <cellStyle name="Notas 3 2 3 3 9" xfId="34644"/>
    <cellStyle name="Notas 3 2 3 3 9 2" xfId="34645"/>
    <cellStyle name="Notas 3 2 3 4" xfId="34646"/>
    <cellStyle name="Notas 3 2 3 4 2" xfId="34647"/>
    <cellStyle name="Notas 3 2 3 5" xfId="34648"/>
    <cellStyle name="Notas 3 2 3 5 2" xfId="34649"/>
    <cellStyle name="Notas 3 2 3 6" xfId="34650"/>
    <cellStyle name="Notas 3 2 3 6 2" xfId="34651"/>
    <cellStyle name="Notas 3 2 3 7" xfId="34652"/>
    <cellStyle name="Notas 3 2 3 7 2" xfId="34653"/>
    <cellStyle name="Notas 3 2 3 8" xfId="34654"/>
    <cellStyle name="Notas 3 2 3 8 2" xfId="34655"/>
    <cellStyle name="Notas 3 2 3 9" xfId="34656"/>
    <cellStyle name="Notas 3 2 3 9 2" xfId="34657"/>
    <cellStyle name="Notas 3 2 4" xfId="34658"/>
    <cellStyle name="Notas 3 2 4 10" xfId="34659"/>
    <cellStyle name="Notas 3 2 4 10 2" xfId="34660"/>
    <cellStyle name="Notas 3 2 4 11" xfId="34661"/>
    <cellStyle name="Notas 3 2 4 2" xfId="34662"/>
    <cellStyle name="Notas 3 2 4 2 2" xfId="34663"/>
    <cellStyle name="Notas 3 2 4 3" xfId="34664"/>
    <cellStyle name="Notas 3 2 4 3 2" xfId="34665"/>
    <cellStyle name="Notas 3 2 4 4" xfId="34666"/>
    <cellStyle name="Notas 3 2 4 4 2" xfId="34667"/>
    <cellStyle name="Notas 3 2 4 5" xfId="34668"/>
    <cellStyle name="Notas 3 2 4 5 2" xfId="34669"/>
    <cellStyle name="Notas 3 2 4 6" xfId="34670"/>
    <cellStyle name="Notas 3 2 4 6 2" xfId="34671"/>
    <cellStyle name="Notas 3 2 4 7" xfId="34672"/>
    <cellStyle name="Notas 3 2 4 7 2" xfId="34673"/>
    <cellStyle name="Notas 3 2 4 8" xfId="34674"/>
    <cellStyle name="Notas 3 2 4 8 2" xfId="34675"/>
    <cellStyle name="Notas 3 2 4 9" xfId="34676"/>
    <cellStyle name="Notas 3 2 4 9 2" xfId="34677"/>
    <cellStyle name="Notas 3 2 5" xfId="34678"/>
    <cellStyle name="Notas 3 2 5 10" xfId="34679"/>
    <cellStyle name="Notas 3 2 5 10 2" xfId="34680"/>
    <cellStyle name="Notas 3 2 5 11" xfId="34681"/>
    <cellStyle name="Notas 3 2 5 2" xfId="34682"/>
    <cellStyle name="Notas 3 2 5 2 2" xfId="34683"/>
    <cellStyle name="Notas 3 2 5 3" xfId="34684"/>
    <cellStyle name="Notas 3 2 5 3 2" xfId="34685"/>
    <cellStyle name="Notas 3 2 5 4" xfId="34686"/>
    <cellStyle name="Notas 3 2 5 4 2" xfId="34687"/>
    <cellStyle name="Notas 3 2 5 5" xfId="34688"/>
    <cellStyle name="Notas 3 2 5 5 2" xfId="34689"/>
    <cellStyle name="Notas 3 2 5 6" xfId="34690"/>
    <cellStyle name="Notas 3 2 5 6 2" xfId="34691"/>
    <cellStyle name="Notas 3 2 5 7" xfId="34692"/>
    <cellStyle name="Notas 3 2 5 7 2" xfId="34693"/>
    <cellStyle name="Notas 3 2 5 8" xfId="34694"/>
    <cellStyle name="Notas 3 2 5 8 2" xfId="34695"/>
    <cellStyle name="Notas 3 2 5 9" xfId="34696"/>
    <cellStyle name="Notas 3 2 5 9 2" xfId="34697"/>
    <cellStyle name="Notas 3 2 6" xfId="34698"/>
    <cellStyle name="Notas 3 2 6 2" xfId="34699"/>
    <cellStyle name="Notas 3 2 7" xfId="34700"/>
    <cellStyle name="Notas 3 2 7 2" xfId="34701"/>
    <cellStyle name="Notas 3 2 8" xfId="34702"/>
    <cellStyle name="Notas 3 2 8 2" xfId="34703"/>
    <cellStyle name="Notas 3 2 9" xfId="34704"/>
    <cellStyle name="Notas 3 2 9 2" xfId="34705"/>
    <cellStyle name="Notas 3 3" xfId="34706"/>
    <cellStyle name="Notas 3 3 10" xfId="34707"/>
    <cellStyle name="Notas 3 3 10 2" xfId="34708"/>
    <cellStyle name="Notas 3 3 11" xfId="34709"/>
    <cellStyle name="Notas 3 3 11 2" xfId="34710"/>
    <cellStyle name="Notas 3 3 12" xfId="34711"/>
    <cellStyle name="Notas 3 3 12 2" xfId="34712"/>
    <cellStyle name="Notas 3 3 13" xfId="34713"/>
    <cellStyle name="Notas 3 3 13 2" xfId="34714"/>
    <cellStyle name="Notas 3 3 14" xfId="34715"/>
    <cellStyle name="Notas 3 3 14 2" xfId="34716"/>
    <cellStyle name="Notas 3 3 15" xfId="34717"/>
    <cellStyle name="Notas 3 3 2" xfId="34718"/>
    <cellStyle name="Notas 3 3 2 10" xfId="34719"/>
    <cellStyle name="Notas 3 3 2 10 2" xfId="34720"/>
    <cellStyle name="Notas 3 3 2 11" xfId="34721"/>
    <cellStyle name="Notas 3 3 2 11 2" xfId="34722"/>
    <cellStyle name="Notas 3 3 2 12" xfId="34723"/>
    <cellStyle name="Notas 3 3 2 12 2" xfId="34724"/>
    <cellStyle name="Notas 3 3 2 13" xfId="34725"/>
    <cellStyle name="Notas 3 3 2 2" xfId="34726"/>
    <cellStyle name="Notas 3 3 2 2 10" xfId="34727"/>
    <cellStyle name="Notas 3 3 2 2 10 2" xfId="34728"/>
    <cellStyle name="Notas 3 3 2 2 11" xfId="34729"/>
    <cellStyle name="Notas 3 3 2 2 2" xfId="34730"/>
    <cellStyle name="Notas 3 3 2 2 2 2" xfId="34731"/>
    <cellStyle name="Notas 3 3 2 2 3" xfId="34732"/>
    <cellStyle name="Notas 3 3 2 2 3 2" xfId="34733"/>
    <cellStyle name="Notas 3 3 2 2 4" xfId="34734"/>
    <cellStyle name="Notas 3 3 2 2 4 2" xfId="34735"/>
    <cellStyle name="Notas 3 3 2 2 5" xfId="34736"/>
    <cellStyle name="Notas 3 3 2 2 5 2" xfId="34737"/>
    <cellStyle name="Notas 3 3 2 2 6" xfId="34738"/>
    <cellStyle name="Notas 3 3 2 2 6 2" xfId="34739"/>
    <cellStyle name="Notas 3 3 2 2 7" xfId="34740"/>
    <cellStyle name="Notas 3 3 2 2 7 2" xfId="34741"/>
    <cellStyle name="Notas 3 3 2 2 8" xfId="34742"/>
    <cellStyle name="Notas 3 3 2 2 8 2" xfId="34743"/>
    <cellStyle name="Notas 3 3 2 2 9" xfId="34744"/>
    <cellStyle name="Notas 3 3 2 2 9 2" xfId="34745"/>
    <cellStyle name="Notas 3 3 2 3" xfId="34746"/>
    <cellStyle name="Notas 3 3 2 3 10" xfId="34747"/>
    <cellStyle name="Notas 3 3 2 3 10 2" xfId="34748"/>
    <cellStyle name="Notas 3 3 2 3 11" xfId="34749"/>
    <cellStyle name="Notas 3 3 2 3 2" xfId="34750"/>
    <cellStyle name="Notas 3 3 2 3 2 2" xfId="34751"/>
    <cellStyle name="Notas 3 3 2 3 3" xfId="34752"/>
    <cellStyle name="Notas 3 3 2 3 3 2" xfId="34753"/>
    <cellStyle name="Notas 3 3 2 3 4" xfId="34754"/>
    <cellStyle name="Notas 3 3 2 3 4 2" xfId="34755"/>
    <cellStyle name="Notas 3 3 2 3 5" xfId="34756"/>
    <cellStyle name="Notas 3 3 2 3 5 2" xfId="34757"/>
    <cellStyle name="Notas 3 3 2 3 6" xfId="34758"/>
    <cellStyle name="Notas 3 3 2 3 6 2" xfId="34759"/>
    <cellStyle name="Notas 3 3 2 3 7" xfId="34760"/>
    <cellStyle name="Notas 3 3 2 3 7 2" xfId="34761"/>
    <cellStyle name="Notas 3 3 2 3 8" xfId="34762"/>
    <cellStyle name="Notas 3 3 2 3 8 2" xfId="34763"/>
    <cellStyle name="Notas 3 3 2 3 9" xfId="34764"/>
    <cellStyle name="Notas 3 3 2 3 9 2" xfId="34765"/>
    <cellStyle name="Notas 3 3 2 4" xfId="34766"/>
    <cellStyle name="Notas 3 3 2 4 2" xfId="34767"/>
    <cellStyle name="Notas 3 3 2 5" xfId="34768"/>
    <cellStyle name="Notas 3 3 2 5 2" xfId="34769"/>
    <cellStyle name="Notas 3 3 2 6" xfId="34770"/>
    <cellStyle name="Notas 3 3 2 6 2" xfId="34771"/>
    <cellStyle name="Notas 3 3 2 7" xfId="34772"/>
    <cellStyle name="Notas 3 3 2 7 2" xfId="34773"/>
    <cellStyle name="Notas 3 3 2 8" xfId="34774"/>
    <cellStyle name="Notas 3 3 2 8 2" xfId="34775"/>
    <cellStyle name="Notas 3 3 2 9" xfId="34776"/>
    <cellStyle name="Notas 3 3 2 9 2" xfId="34777"/>
    <cellStyle name="Notas 3 3 3" xfId="34778"/>
    <cellStyle name="Notas 3 3 3 10" xfId="34779"/>
    <cellStyle name="Notas 3 3 3 10 2" xfId="34780"/>
    <cellStyle name="Notas 3 3 3 11" xfId="34781"/>
    <cellStyle name="Notas 3 3 3 11 2" xfId="34782"/>
    <cellStyle name="Notas 3 3 3 12" xfId="34783"/>
    <cellStyle name="Notas 3 3 3 12 2" xfId="34784"/>
    <cellStyle name="Notas 3 3 3 13" xfId="34785"/>
    <cellStyle name="Notas 3 3 3 2" xfId="34786"/>
    <cellStyle name="Notas 3 3 3 2 10" xfId="34787"/>
    <cellStyle name="Notas 3 3 3 2 10 2" xfId="34788"/>
    <cellStyle name="Notas 3 3 3 2 11" xfId="34789"/>
    <cellStyle name="Notas 3 3 3 2 2" xfId="34790"/>
    <cellStyle name="Notas 3 3 3 2 2 2" xfId="34791"/>
    <cellStyle name="Notas 3 3 3 2 3" xfId="34792"/>
    <cellStyle name="Notas 3 3 3 2 3 2" xfId="34793"/>
    <cellStyle name="Notas 3 3 3 2 4" xfId="34794"/>
    <cellStyle name="Notas 3 3 3 2 4 2" xfId="34795"/>
    <cellStyle name="Notas 3 3 3 2 5" xfId="34796"/>
    <cellStyle name="Notas 3 3 3 2 5 2" xfId="34797"/>
    <cellStyle name="Notas 3 3 3 2 6" xfId="34798"/>
    <cellStyle name="Notas 3 3 3 2 6 2" xfId="34799"/>
    <cellStyle name="Notas 3 3 3 2 7" xfId="34800"/>
    <cellStyle name="Notas 3 3 3 2 7 2" xfId="34801"/>
    <cellStyle name="Notas 3 3 3 2 8" xfId="34802"/>
    <cellStyle name="Notas 3 3 3 2 8 2" xfId="34803"/>
    <cellStyle name="Notas 3 3 3 2 9" xfId="34804"/>
    <cellStyle name="Notas 3 3 3 2 9 2" xfId="34805"/>
    <cellStyle name="Notas 3 3 3 3" xfId="34806"/>
    <cellStyle name="Notas 3 3 3 3 10" xfId="34807"/>
    <cellStyle name="Notas 3 3 3 3 10 2" xfId="34808"/>
    <cellStyle name="Notas 3 3 3 3 11" xfId="34809"/>
    <cellStyle name="Notas 3 3 3 3 2" xfId="34810"/>
    <cellStyle name="Notas 3 3 3 3 2 2" xfId="34811"/>
    <cellStyle name="Notas 3 3 3 3 3" xfId="34812"/>
    <cellStyle name="Notas 3 3 3 3 3 2" xfId="34813"/>
    <cellStyle name="Notas 3 3 3 3 4" xfId="34814"/>
    <cellStyle name="Notas 3 3 3 3 4 2" xfId="34815"/>
    <cellStyle name="Notas 3 3 3 3 5" xfId="34816"/>
    <cellStyle name="Notas 3 3 3 3 5 2" xfId="34817"/>
    <cellStyle name="Notas 3 3 3 3 6" xfId="34818"/>
    <cellStyle name="Notas 3 3 3 3 6 2" xfId="34819"/>
    <cellStyle name="Notas 3 3 3 3 7" xfId="34820"/>
    <cellStyle name="Notas 3 3 3 3 7 2" xfId="34821"/>
    <cellStyle name="Notas 3 3 3 3 8" xfId="34822"/>
    <cellStyle name="Notas 3 3 3 3 8 2" xfId="34823"/>
    <cellStyle name="Notas 3 3 3 3 9" xfId="34824"/>
    <cellStyle name="Notas 3 3 3 3 9 2" xfId="34825"/>
    <cellStyle name="Notas 3 3 3 4" xfId="34826"/>
    <cellStyle name="Notas 3 3 3 4 2" xfId="34827"/>
    <cellStyle name="Notas 3 3 3 5" xfId="34828"/>
    <cellStyle name="Notas 3 3 3 5 2" xfId="34829"/>
    <cellStyle name="Notas 3 3 3 6" xfId="34830"/>
    <cellStyle name="Notas 3 3 3 6 2" xfId="34831"/>
    <cellStyle name="Notas 3 3 3 7" xfId="34832"/>
    <cellStyle name="Notas 3 3 3 7 2" xfId="34833"/>
    <cellStyle name="Notas 3 3 3 8" xfId="34834"/>
    <cellStyle name="Notas 3 3 3 8 2" xfId="34835"/>
    <cellStyle name="Notas 3 3 3 9" xfId="34836"/>
    <cellStyle name="Notas 3 3 3 9 2" xfId="34837"/>
    <cellStyle name="Notas 3 3 4" xfId="34838"/>
    <cellStyle name="Notas 3 3 4 10" xfId="34839"/>
    <cellStyle name="Notas 3 3 4 10 2" xfId="34840"/>
    <cellStyle name="Notas 3 3 4 11" xfId="34841"/>
    <cellStyle name="Notas 3 3 4 2" xfId="34842"/>
    <cellStyle name="Notas 3 3 4 2 2" xfId="34843"/>
    <cellStyle name="Notas 3 3 4 3" xfId="34844"/>
    <cellStyle name="Notas 3 3 4 3 2" xfId="34845"/>
    <cellStyle name="Notas 3 3 4 4" xfId="34846"/>
    <cellStyle name="Notas 3 3 4 4 2" xfId="34847"/>
    <cellStyle name="Notas 3 3 4 5" xfId="34848"/>
    <cellStyle name="Notas 3 3 4 5 2" xfId="34849"/>
    <cellStyle name="Notas 3 3 4 6" xfId="34850"/>
    <cellStyle name="Notas 3 3 4 6 2" xfId="34851"/>
    <cellStyle name="Notas 3 3 4 7" xfId="34852"/>
    <cellStyle name="Notas 3 3 4 7 2" xfId="34853"/>
    <cellStyle name="Notas 3 3 4 8" xfId="34854"/>
    <cellStyle name="Notas 3 3 4 8 2" xfId="34855"/>
    <cellStyle name="Notas 3 3 4 9" xfId="34856"/>
    <cellStyle name="Notas 3 3 4 9 2" xfId="34857"/>
    <cellStyle name="Notas 3 3 5" xfId="34858"/>
    <cellStyle name="Notas 3 3 5 10" xfId="34859"/>
    <cellStyle name="Notas 3 3 5 10 2" xfId="34860"/>
    <cellStyle name="Notas 3 3 5 11" xfId="34861"/>
    <cellStyle name="Notas 3 3 5 2" xfId="34862"/>
    <cellStyle name="Notas 3 3 5 2 2" xfId="34863"/>
    <cellStyle name="Notas 3 3 5 3" xfId="34864"/>
    <cellStyle name="Notas 3 3 5 3 2" xfId="34865"/>
    <cellStyle name="Notas 3 3 5 4" xfId="34866"/>
    <cellStyle name="Notas 3 3 5 4 2" xfId="34867"/>
    <cellStyle name="Notas 3 3 5 5" xfId="34868"/>
    <cellStyle name="Notas 3 3 5 5 2" xfId="34869"/>
    <cellStyle name="Notas 3 3 5 6" xfId="34870"/>
    <cellStyle name="Notas 3 3 5 6 2" xfId="34871"/>
    <cellStyle name="Notas 3 3 5 7" xfId="34872"/>
    <cellStyle name="Notas 3 3 5 7 2" xfId="34873"/>
    <cellStyle name="Notas 3 3 5 8" xfId="34874"/>
    <cellStyle name="Notas 3 3 5 8 2" xfId="34875"/>
    <cellStyle name="Notas 3 3 5 9" xfId="34876"/>
    <cellStyle name="Notas 3 3 5 9 2" xfId="34877"/>
    <cellStyle name="Notas 3 3 6" xfId="34878"/>
    <cellStyle name="Notas 3 3 6 2" xfId="34879"/>
    <cellStyle name="Notas 3 3 7" xfId="34880"/>
    <cellStyle name="Notas 3 3 7 2" xfId="34881"/>
    <cellStyle name="Notas 3 3 8" xfId="34882"/>
    <cellStyle name="Notas 3 3 8 2" xfId="34883"/>
    <cellStyle name="Notas 3 3 9" xfId="34884"/>
    <cellStyle name="Notas 3 3 9 2" xfId="34885"/>
    <cellStyle name="Notas 3 4" xfId="34886"/>
    <cellStyle name="Notas 3 4 10" xfId="34887"/>
    <cellStyle name="Notas 3 4 10 2" xfId="34888"/>
    <cellStyle name="Notas 3 4 11" xfId="34889"/>
    <cellStyle name="Notas 3 4 11 2" xfId="34890"/>
    <cellStyle name="Notas 3 4 12" xfId="34891"/>
    <cellStyle name="Notas 3 4 12 2" xfId="34892"/>
    <cellStyle name="Notas 3 4 13" xfId="34893"/>
    <cellStyle name="Notas 3 4 13 2" xfId="34894"/>
    <cellStyle name="Notas 3 4 14" xfId="34895"/>
    <cellStyle name="Notas 3 4 14 2" xfId="34896"/>
    <cellStyle name="Notas 3 4 15" xfId="34897"/>
    <cellStyle name="Notas 3 4 2" xfId="34898"/>
    <cellStyle name="Notas 3 4 2 10" xfId="34899"/>
    <cellStyle name="Notas 3 4 2 10 2" xfId="34900"/>
    <cellStyle name="Notas 3 4 2 11" xfId="34901"/>
    <cellStyle name="Notas 3 4 2 11 2" xfId="34902"/>
    <cellStyle name="Notas 3 4 2 12" xfId="34903"/>
    <cellStyle name="Notas 3 4 2 12 2" xfId="34904"/>
    <cellStyle name="Notas 3 4 2 13" xfId="34905"/>
    <cellStyle name="Notas 3 4 2 2" xfId="34906"/>
    <cellStyle name="Notas 3 4 2 2 10" xfId="34907"/>
    <cellStyle name="Notas 3 4 2 2 10 2" xfId="34908"/>
    <cellStyle name="Notas 3 4 2 2 11" xfId="34909"/>
    <cellStyle name="Notas 3 4 2 2 2" xfId="34910"/>
    <cellStyle name="Notas 3 4 2 2 2 2" xfId="34911"/>
    <cellStyle name="Notas 3 4 2 2 3" xfId="34912"/>
    <cellStyle name="Notas 3 4 2 2 3 2" xfId="34913"/>
    <cellStyle name="Notas 3 4 2 2 4" xfId="34914"/>
    <cellStyle name="Notas 3 4 2 2 4 2" xfId="34915"/>
    <cellStyle name="Notas 3 4 2 2 5" xfId="34916"/>
    <cellStyle name="Notas 3 4 2 2 5 2" xfId="34917"/>
    <cellStyle name="Notas 3 4 2 2 6" xfId="34918"/>
    <cellStyle name="Notas 3 4 2 2 6 2" xfId="34919"/>
    <cellStyle name="Notas 3 4 2 2 7" xfId="34920"/>
    <cellStyle name="Notas 3 4 2 2 7 2" xfId="34921"/>
    <cellStyle name="Notas 3 4 2 2 8" xfId="34922"/>
    <cellStyle name="Notas 3 4 2 2 8 2" xfId="34923"/>
    <cellStyle name="Notas 3 4 2 2 9" xfId="34924"/>
    <cellStyle name="Notas 3 4 2 2 9 2" xfId="34925"/>
    <cellStyle name="Notas 3 4 2 3" xfId="34926"/>
    <cellStyle name="Notas 3 4 2 3 10" xfId="34927"/>
    <cellStyle name="Notas 3 4 2 3 10 2" xfId="34928"/>
    <cellStyle name="Notas 3 4 2 3 11" xfId="34929"/>
    <cellStyle name="Notas 3 4 2 3 2" xfId="34930"/>
    <cellStyle name="Notas 3 4 2 3 2 2" xfId="34931"/>
    <cellStyle name="Notas 3 4 2 3 3" xfId="34932"/>
    <cellStyle name="Notas 3 4 2 3 3 2" xfId="34933"/>
    <cellStyle name="Notas 3 4 2 3 4" xfId="34934"/>
    <cellStyle name="Notas 3 4 2 3 4 2" xfId="34935"/>
    <cellStyle name="Notas 3 4 2 3 5" xfId="34936"/>
    <cellStyle name="Notas 3 4 2 3 5 2" xfId="34937"/>
    <cellStyle name="Notas 3 4 2 3 6" xfId="34938"/>
    <cellStyle name="Notas 3 4 2 3 6 2" xfId="34939"/>
    <cellStyle name="Notas 3 4 2 3 7" xfId="34940"/>
    <cellStyle name="Notas 3 4 2 3 7 2" xfId="34941"/>
    <cellStyle name="Notas 3 4 2 3 8" xfId="34942"/>
    <cellStyle name="Notas 3 4 2 3 8 2" xfId="34943"/>
    <cellStyle name="Notas 3 4 2 3 9" xfId="34944"/>
    <cellStyle name="Notas 3 4 2 3 9 2" xfId="34945"/>
    <cellStyle name="Notas 3 4 2 4" xfId="34946"/>
    <cellStyle name="Notas 3 4 2 4 2" xfId="34947"/>
    <cellStyle name="Notas 3 4 2 5" xfId="34948"/>
    <cellStyle name="Notas 3 4 2 5 2" xfId="34949"/>
    <cellStyle name="Notas 3 4 2 6" xfId="34950"/>
    <cellStyle name="Notas 3 4 2 6 2" xfId="34951"/>
    <cellStyle name="Notas 3 4 2 7" xfId="34952"/>
    <cellStyle name="Notas 3 4 2 7 2" xfId="34953"/>
    <cellStyle name="Notas 3 4 2 8" xfId="34954"/>
    <cellStyle name="Notas 3 4 2 8 2" xfId="34955"/>
    <cellStyle name="Notas 3 4 2 9" xfId="34956"/>
    <cellStyle name="Notas 3 4 2 9 2" xfId="34957"/>
    <cellStyle name="Notas 3 4 3" xfId="34958"/>
    <cellStyle name="Notas 3 4 3 10" xfId="34959"/>
    <cellStyle name="Notas 3 4 3 10 2" xfId="34960"/>
    <cellStyle name="Notas 3 4 3 11" xfId="34961"/>
    <cellStyle name="Notas 3 4 3 11 2" xfId="34962"/>
    <cellStyle name="Notas 3 4 3 12" xfId="34963"/>
    <cellStyle name="Notas 3 4 3 12 2" xfId="34964"/>
    <cellStyle name="Notas 3 4 3 13" xfId="34965"/>
    <cellStyle name="Notas 3 4 3 2" xfId="34966"/>
    <cellStyle name="Notas 3 4 3 2 10" xfId="34967"/>
    <cellStyle name="Notas 3 4 3 2 10 2" xfId="34968"/>
    <cellStyle name="Notas 3 4 3 2 11" xfId="34969"/>
    <cellStyle name="Notas 3 4 3 2 2" xfId="34970"/>
    <cellStyle name="Notas 3 4 3 2 2 2" xfId="34971"/>
    <cellStyle name="Notas 3 4 3 2 3" xfId="34972"/>
    <cellStyle name="Notas 3 4 3 2 3 2" xfId="34973"/>
    <cellStyle name="Notas 3 4 3 2 4" xfId="34974"/>
    <cellStyle name="Notas 3 4 3 2 4 2" xfId="34975"/>
    <cellStyle name="Notas 3 4 3 2 5" xfId="34976"/>
    <cellStyle name="Notas 3 4 3 2 5 2" xfId="34977"/>
    <cellStyle name="Notas 3 4 3 2 6" xfId="34978"/>
    <cellStyle name="Notas 3 4 3 2 6 2" xfId="34979"/>
    <cellStyle name="Notas 3 4 3 2 7" xfId="34980"/>
    <cellStyle name="Notas 3 4 3 2 7 2" xfId="34981"/>
    <cellStyle name="Notas 3 4 3 2 8" xfId="34982"/>
    <cellStyle name="Notas 3 4 3 2 8 2" xfId="34983"/>
    <cellStyle name="Notas 3 4 3 2 9" xfId="34984"/>
    <cellStyle name="Notas 3 4 3 2 9 2" xfId="34985"/>
    <cellStyle name="Notas 3 4 3 3" xfId="34986"/>
    <cellStyle name="Notas 3 4 3 3 10" xfId="34987"/>
    <cellStyle name="Notas 3 4 3 3 10 2" xfId="34988"/>
    <cellStyle name="Notas 3 4 3 3 11" xfId="34989"/>
    <cellStyle name="Notas 3 4 3 3 2" xfId="34990"/>
    <cellStyle name="Notas 3 4 3 3 2 2" xfId="34991"/>
    <cellStyle name="Notas 3 4 3 3 3" xfId="34992"/>
    <cellStyle name="Notas 3 4 3 3 3 2" xfId="34993"/>
    <cellStyle name="Notas 3 4 3 3 4" xfId="34994"/>
    <cellStyle name="Notas 3 4 3 3 4 2" xfId="34995"/>
    <cellStyle name="Notas 3 4 3 3 5" xfId="34996"/>
    <cellStyle name="Notas 3 4 3 3 5 2" xfId="34997"/>
    <cellStyle name="Notas 3 4 3 3 6" xfId="34998"/>
    <cellStyle name="Notas 3 4 3 3 6 2" xfId="34999"/>
    <cellStyle name="Notas 3 4 3 3 7" xfId="35000"/>
    <cellStyle name="Notas 3 4 3 3 7 2" xfId="35001"/>
    <cellStyle name="Notas 3 4 3 3 8" xfId="35002"/>
    <cellStyle name="Notas 3 4 3 3 8 2" xfId="35003"/>
    <cellStyle name="Notas 3 4 3 3 9" xfId="35004"/>
    <cellStyle name="Notas 3 4 3 3 9 2" xfId="35005"/>
    <cellStyle name="Notas 3 4 3 4" xfId="35006"/>
    <cellStyle name="Notas 3 4 3 4 2" xfId="35007"/>
    <cellStyle name="Notas 3 4 3 5" xfId="35008"/>
    <cellStyle name="Notas 3 4 3 5 2" xfId="35009"/>
    <cellStyle name="Notas 3 4 3 6" xfId="35010"/>
    <cellStyle name="Notas 3 4 3 6 2" xfId="35011"/>
    <cellStyle name="Notas 3 4 3 7" xfId="35012"/>
    <cellStyle name="Notas 3 4 3 7 2" xfId="35013"/>
    <cellStyle name="Notas 3 4 3 8" xfId="35014"/>
    <cellStyle name="Notas 3 4 3 8 2" xfId="35015"/>
    <cellStyle name="Notas 3 4 3 9" xfId="35016"/>
    <cellStyle name="Notas 3 4 3 9 2" xfId="35017"/>
    <cellStyle name="Notas 3 4 4" xfId="35018"/>
    <cellStyle name="Notas 3 4 4 10" xfId="35019"/>
    <cellStyle name="Notas 3 4 4 10 2" xfId="35020"/>
    <cellStyle name="Notas 3 4 4 11" xfId="35021"/>
    <cellStyle name="Notas 3 4 4 2" xfId="35022"/>
    <cellStyle name="Notas 3 4 4 2 2" xfId="35023"/>
    <cellStyle name="Notas 3 4 4 3" xfId="35024"/>
    <cellStyle name="Notas 3 4 4 3 2" xfId="35025"/>
    <cellStyle name="Notas 3 4 4 4" xfId="35026"/>
    <cellStyle name="Notas 3 4 4 4 2" xfId="35027"/>
    <cellStyle name="Notas 3 4 4 5" xfId="35028"/>
    <cellStyle name="Notas 3 4 4 5 2" xfId="35029"/>
    <cellStyle name="Notas 3 4 4 6" xfId="35030"/>
    <cellStyle name="Notas 3 4 4 6 2" xfId="35031"/>
    <cellStyle name="Notas 3 4 4 7" xfId="35032"/>
    <cellStyle name="Notas 3 4 4 7 2" xfId="35033"/>
    <cellStyle name="Notas 3 4 4 8" xfId="35034"/>
    <cellStyle name="Notas 3 4 4 8 2" xfId="35035"/>
    <cellStyle name="Notas 3 4 4 9" xfId="35036"/>
    <cellStyle name="Notas 3 4 4 9 2" xfId="35037"/>
    <cellStyle name="Notas 3 4 5" xfId="35038"/>
    <cellStyle name="Notas 3 4 5 10" xfId="35039"/>
    <cellStyle name="Notas 3 4 5 10 2" xfId="35040"/>
    <cellStyle name="Notas 3 4 5 11" xfId="35041"/>
    <cellStyle name="Notas 3 4 5 2" xfId="35042"/>
    <cellStyle name="Notas 3 4 5 2 2" xfId="35043"/>
    <cellStyle name="Notas 3 4 5 3" xfId="35044"/>
    <cellStyle name="Notas 3 4 5 3 2" xfId="35045"/>
    <cellStyle name="Notas 3 4 5 4" xfId="35046"/>
    <cellStyle name="Notas 3 4 5 4 2" xfId="35047"/>
    <cellStyle name="Notas 3 4 5 5" xfId="35048"/>
    <cellStyle name="Notas 3 4 5 5 2" xfId="35049"/>
    <cellStyle name="Notas 3 4 5 6" xfId="35050"/>
    <cellStyle name="Notas 3 4 5 6 2" xfId="35051"/>
    <cellStyle name="Notas 3 4 5 7" xfId="35052"/>
    <cellStyle name="Notas 3 4 5 7 2" xfId="35053"/>
    <cellStyle name="Notas 3 4 5 8" xfId="35054"/>
    <cellStyle name="Notas 3 4 5 8 2" xfId="35055"/>
    <cellStyle name="Notas 3 4 5 9" xfId="35056"/>
    <cellStyle name="Notas 3 4 5 9 2" xfId="35057"/>
    <cellStyle name="Notas 3 4 6" xfId="35058"/>
    <cellStyle name="Notas 3 4 6 2" xfId="35059"/>
    <cellStyle name="Notas 3 4 7" xfId="35060"/>
    <cellStyle name="Notas 3 4 7 2" xfId="35061"/>
    <cellStyle name="Notas 3 4 8" xfId="35062"/>
    <cellStyle name="Notas 3 4 8 2" xfId="35063"/>
    <cellStyle name="Notas 3 4 9" xfId="35064"/>
    <cellStyle name="Notas 3 4 9 2" xfId="35065"/>
    <cellStyle name="Notas 3 5" xfId="35066"/>
    <cellStyle name="Notas 3 5 10" xfId="35067"/>
    <cellStyle name="Notas 3 5 10 2" xfId="35068"/>
    <cellStyle name="Notas 3 5 11" xfId="35069"/>
    <cellStyle name="Notas 3 5 11 2" xfId="35070"/>
    <cellStyle name="Notas 3 5 12" xfId="35071"/>
    <cellStyle name="Notas 3 5 12 2" xfId="35072"/>
    <cellStyle name="Notas 3 5 13" xfId="35073"/>
    <cellStyle name="Notas 3 5 13 2" xfId="35074"/>
    <cellStyle name="Notas 3 5 14" xfId="35075"/>
    <cellStyle name="Notas 3 5 14 2" xfId="35076"/>
    <cellStyle name="Notas 3 5 15" xfId="35077"/>
    <cellStyle name="Notas 3 5 2" xfId="35078"/>
    <cellStyle name="Notas 3 5 2 10" xfId="35079"/>
    <cellStyle name="Notas 3 5 2 10 2" xfId="35080"/>
    <cellStyle name="Notas 3 5 2 11" xfId="35081"/>
    <cellStyle name="Notas 3 5 2 11 2" xfId="35082"/>
    <cellStyle name="Notas 3 5 2 12" xfId="35083"/>
    <cellStyle name="Notas 3 5 2 12 2" xfId="35084"/>
    <cellStyle name="Notas 3 5 2 13" xfId="35085"/>
    <cellStyle name="Notas 3 5 2 2" xfId="35086"/>
    <cellStyle name="Notas 3 5 2 2 10" xfId="35087"/>
    <cellStyle name="Notas 3 5 2 2 10 2" xfId="35088"/>
    <cellStyle name="Notas 3 5 2 2 11" xfId="35089"/>
    <cellStyle name="Notas 3 5 2 2 2" xfId="35090"/>
    <cellStyle name="Notas 3 5 2 2 2 2" xfId="35091"/>
    <cellStyle name="Notas 3 5 2 2 3" xfId="35092"/>
    <cellStyle name="Notas 3 5 2 2 3 2" xfId="35093"/>
    <cellStyle name="Notas 3 5 2 2 4" xfId="35094"/>
    <cellStyle name="Notas 3 5 2 2 4 2" xfId="35095"/>
    <cellStyle name="Notas 3 5 2 2 5" xfId="35096"/>
    <cellStyle name="Notas 3 5 2 2 5 2" xfId="35097"/>
    <cellStyle name="Notas 3 5 2 2 6" xfId="35098"/>
    <cellStyle name="Notas 3 5 2 2 6 2" xfId="35099"/>
    <cellStyle name="Notas 3 5 2 2 7" xfId="35100"/>
    <cellStyle name="Notas 3 5 2 2 7 2" xfId="35101"/>
    <cellStyle name="Notas 3 5 2 2 8" xfId="35102"/>
    <cellStyle name="Notas 3 5 2 2 8 2" xfId="35103"/>
    <cellStyle name="Notas 3 5 2 2 9" xfId="35104"/>
    <cellStyle name="Notas 3 5 2 2 9 2" xfId="35105"/>
    <cellStyle name="Notas 3 5 2 3" xfId="35106"/>
    <cellStyle name="Notas 3 5 2 3 10" xfId="35107"/>
    <cellStyle name="Notas 3 5 2 3 10 2" xfId="35108"/>
    <cellStyle name="Notas 3 5 2 3 11" xfId="35109"/>
    <cellStyle name="Notas 3 5 2 3 2" xfId="35110"/>
    <cellStyle name="Notas 3 5 2 3 2 2" xfId="35111"/>
    <cellStyle name="Notas 3 5 2 3 3" xfId="35112"/>
    <cellStyle name="Notas 3 5 2 3 3 2" xfId="35113"/>
    <cellStyle name="Notas 3 5 2 3 4" xfId="35114"/>
    <cellStyle name="Notas 3 5 2 3 4 2" xfId="35115"/>
    <cellStyle name="Notas 3 5 2 3 5" xfId="35116"/>
    <cellStyle name="Notas 3 5 2 3 5 2" xfId="35117"/>
    <cellStyle name="Notas 3 5 2 3 6" xfId="35118"/>
    <cellStyle name="Notas 3 5 2 3 6 2" xfId="35119"/>
    <cellStyle name="Notas 3 5 2 3 7" xfId="35120"/>
    <cellStyle name="Notas 3 5 2 3 7 2" xfId="35121"/>
    <cellStyle name="Notas 3 5 2 3 8" xfId="35122"/>
    <cellStyle name="Notas 3 5 2 3 8 2" xfId="35123"/>
    <cellStyle name="Notas 3 5 2 3 9" xfId="35124"/>
    <cellStyle name="Notas 3 5 2 3 9 2" xfId="35125"/>
    <cellStyle name="Notas 3 5 2 4" xfId="35126"/>
    <cellStyle name="Notas 3 5 2 4 2" xfId="35127"/>
    <cellStyle name="Notas 3 5 2 5" xfId="35128"/>
    <cellStyle name="Notas 3 5 2 5 2" xfId="35129"/>
    <cellStyle name="Notas 3 5 2 6" xfId="35130"/>
    <cellStyle name="Notas 3 5 2 6 2" xfId="35131"/>
    <cellStyle name="Notas 3 5 2 7" xfId="35132"/>
    <cellStyle name="Notas 3 5 2 7 2" xfId="35133"/>
    <cellStyle name="Notas 3 5 2 8" xfId="35134"/>
    <cellStyle name="Notas 3 5 2 8 2" xfId="35135"/>
    <cellStyle name="Notas 3 5 2 9" xfId="35136"/>
    <cellStyle name="Notas 3 5 2 9 2" xfId="35137"/>
    <cellStyle name="Notas 3 5 3" xfId="35138"/>
    <cellStyle name="Notas 3 5 3 10" xfId="35139"/>
    <cellStyle name="Notas 3 5 3 10 2" xfId="35140"/>
    <cellStyle name="Notas 3 5 3 11" xfId="35141"/>
    <cellStyle name="Notas 3 5 3 11 2" xfId="35142"/>
    <cellStyle name="Notas 3 5 3 12" xfId="35143"/>
    <cellStyle name="Notas 3 5 3 12 2" xfId="35144"/>
    <cellStyle name="Notas 3 5 3 13" xfId="35145"/>
    <cellStyle name="Notas 3 5 3 2" xfId="35146"/>
    <cellStyle name="Notas 3 5 3 2 10" xfId="35147"/>
    <cellStyle name="Notas 3 5 3 2 10 2" xfId="35148"/>
    <cellStyle name="Notas 3 5 3 2 11" xfId="35149"/>
    <cellStyle name="Notas 3 5 3 2 2" xfId="35150"/>
    <cellStyle name="Notas 3 5 3 2 2 2" xfId="35151"/>
    <cellStyle name="Notas 3 5 3 2 3" xfId="35152"/>
    <cellStyle name="Notas 3 5 3 2 3 2" xfId="35153"/>
    <cellStyle name="Notas 3 5 3 2 4" xfId="35154"/>
    <cellStyle name="Notas 3 5 3 2 4 2" xfId="35155"/>
    <cellStyle name="Notas 3 5 3 2 5" xfId="35156"/>
    <cellStyle name="Notas 3 5 3 2 5 2" xfId="35157"/>
    <cellStyle name="Notas 3 5 3 2 6" xfId="35158"/>
    <cellStyle name="Notas 3 5 3 2 6 2" xfId="35159"/>
    <cellStyle name="Notas 3 5 3 2 7" xfId="35160"/>
    <cellStyle name="Notas 3 5 3 2 7 2" xfId="35161"/>
    <cellStyle name="Notas 3 5 3 2 8" xfId="35162"/>
    <cellStyle name="Notas 3 5 3 2 8 2" xfId="35163"/>
    <cellStyle name="Notas 3 5 3 2 9" xfId="35164"/>
    <cellStyle name="Notas 3 5 3 2 9 2" xfId="35165"/>
    <cellStyle name="Notas 3 5 3 3" xfId="35166"/>
    <cellStyle name="Notas 3 5 3 3 10" xfId="35167"/>
    <cellStyle name="Notas 3 5 3 3 10 2" xfId="35168"/>
    <cellStyle name="Notas 3 5 3 3 11" xfId="35169"/>
    <cellStyle name="Notas 3 5 3 3 2" xfId="35170"/>
    <cellStyle name="Notas 3 5 3 3 2 2" xfId="35171"/>
    <cellStyle name="Notas 3 5 3 3 3" xfId="35172"/>
    <cellStyle name="Notas 3 5 3 3 3 2" xfId="35173"/>
    <cellStyle name="Notas 3 5 3 3 4" xfId="35174"/>
    <cellStyle name="Notas 3 5 3 3 4 2" xfId="35175"/>
    <cellStyle name="Notas 3 5 3 3 5" xfId="35176"/>
    <cellStyle name="Notas 3 5 3 3 5 2" xfId="35177"/>
    <cellStyle name="Notas 3 5 3 3 6" xfId="35178"/>
    <cellStyle name="Notas 3 5 3 3 6 2" xfId="35179"/>
    <cellStyle name="Notas 3 5 3 3 7" xfId="35180"/>
    <cellStyle name="Notas 3 5 3 3 7 2" xfId="35181"/>
    <cellStyle name="Notas 3 5 3 3 8" xfId="35182"/>
    <cellStyle name="Notas 3 5 3 3 8 2" xfId="35183"/>
    <cellStyle name="Notas 3 5 3 3 9" xfId="35184"/>
    <cellStyle name="Notas 3 5 3 3 9 2" xfId="35185"/>
    <cellStyle name="Notas 3 5 3 4" xfId="35186"/>
    <cellStyle name="Notas 3 5 3 4 2" xfId="35187"/>
    <cellStyle name="Notas 3 5 3 5" xfId="35188"/>
    <cellStyle name="Notas 3 5 3 5 2" xfId="35189"/>
    <cellStyle name="Notas 3 5 3 6" xfId="35190"/>
    <cellStyle name="Notas 3 5 3 6 2" xfId="35191"/>
    <cellStyle name="Notas 3 5 3 7" xfId="35192"/>
    <cellStyle name="Notas 3 5 3 7 2" xfId="35193"/>
    <cellStyle name="Notas 3 5 3 8" xfId="35194"/>
    <cellStyle name="Notas 3 5 3 8 2" xfId="35195"/>
    <cellStyle name="Notas 3 5 3 9" xfId="35196"/>
    <cellStyle name="Notas 3 5 3 9 2" xfId="35197"/>
    <cellStyle name="Notas 3 5 4" xfId="35198"/>
    <cellStyle name="Notas 3 5 4 10" xfId="35199"/>
    <cellStyle name="Notas 3 5 4 10 2" xfId="35200"/>
    <cellStyle name="Notas 3 5 4 11" xfId="35201"/>
    <cellStyle name="Notas 3 5 4 2" xfId="35202"/>
    <cellStyle name="Notas 3 5 4 2 2" xfId="35203"/>
    <cellStyle name="Notas 3 5 4 3" xfId="35204"/>
    <cellStyle name="Notas 3 5 4 3 2" xfId="35205"/>
    <cellStyle name="Notas 3 5 4 4" xfId="35206"/>
    <cellStyle name="Notas 3 5 4 4 2" xfId="35207"/>
    <cellStyle name="Notas 3 5 4 5" xfId="35208"/>
    <cellStyle name="Notas 3 5 4 5 2" xfId="35209"/>
    <cellStyle name="Notas 3 5 4 6" xfId="35210"/>
    <cellStyle name="Notas 3 5 4 6 2" xfId="35211"/>
    <cellStyle name="Notas 3 5 4 7" xfId="35212"/>
    <cellStyle name="Notas 3 5 4 7 2" xfId="35213"/>
    <cellStyle name="Notas 3 5 4 8" xfId="35214"/>
    <cellStyle name="Notas 3 5 4 8 2" xfId="35215"/>
    <cellStyle name="Notas 3 5 4 9" xfId="35216"/>
    <cellStyle name="Notas 3 5 4 9 2" xfId="35217"/>
    <cellStyle name="Notas 3 5 5" xfId="35218"/>
    <cellStyle name="Notas 3 5 5 10" xfId="35219"/>
    <cellStyle name="Notas 3 5 5 10 2" xfId="35220"/>
    <cellStyle name="Notas 3 5 5 11" xfId="35221"/>
    <cellStyle name="Notas 3 5 5 2" xfId="35222"/>
    <cellStyle name="Notas 3 5 5 2 2" xfId="35223"/>
    <cellStyle name="Notas 3 5 5 3" xfId="35224"/>
    <cellStyle name="Notas 3 5 5 3 2" xfId="35225"/>
    <cellStyle name="Notas 3 5 5 4" xfId="35226"/>
    <cellStyle name="Notas 3 5 5 4 2" xfId="35227"/>
    <cellStyle name="Notas 3 5 5 5" xfId="35228"/>
    <cellStyle name="Notas 3 5 5 5 2" xfId="35229"/>
    <cellStyle name="Notas 3 5 5 6" xfId="35230"/>
    <cellStyle name="Notas 3 5 5 6 2" xfId="35231"/>
    <cellStyle name="Notas 3 5 5 7" xfId="35232"/>
    <cellStyle name="Notas 3 5 5 7 2" xfId="35233"/>
    <cellStyle name="Notas 3 5 5 8" xfId="35234"/>
    <cellStyle name="Notas 3 5 5 8 2" xfId="35235"/>
    <cellStyle name="Notas 3 5 5 9" xfId="35236"/>
    <cellStyle name="Notas 3 5 5 9 2" xfId="35237"/>
    <cellStyle name="Notas 3 5 6" xfId="35238"/>
    <cellStyle name="Notas 3 5 6 2" xfId="35239"/>
    <cellStyle name="Notas 3 5 7" xfId="35240"/>
    <cellStyle name="Notas 3 5 7 2" xfId="35241"/>
    <cellStyle name="Notas 3 5 8" xfId="35242"/>
    <cellStyle name="Notas 3 5 8 2" xfId="35243"/>
    <cellStyle name="Notas 3 5 9" xfId="35244"/>
    <cellStyle name="Notas 3 5 9 2" xfId="35245"/>
    <cellStyle name="Notas 3 6" xfId="35246"/>
    <cellStyle name="Notas 3 6 10" xfId="35247"/>
    <cellStyle name="Notas 3 6 10 2" xfId="35248"/>
    <cellStyle name="Notas 3 6 11" xfId="35249"/>
    <cellStyle name="Notas 3 6 11 2" xfId="35250"/>
    <cellStyle name="Notas 3 6 12" xfId="35251"/>
    <cellStyle name="Notas 3 6 12 2" xfId="35252"/>
    <cellStyle name="Notas 3 6 13" xfId="35253"/>
    <cellStyle name="Notas 3 6 2" xfId="35254"/>
    <cellStyle name="Notas 3 6 2 10" xfId="35255"/>
    <cellStyle name="Notas 3 6 2 10 2" xfId="35256"/>
    <cellStyle name="Notas 3 6 2 11" xfId="35257"/>
    <cellStyle name="Notas 3 6 2 2" xfId="35258"/>
    <cellStyle name="Notas 3 6 2 2 2" xfId="35259"/>
    <cellStyle name="Notas 3 6 2 3" xfId="35260"/>
    <cellStyle name="Notas 3 6 2 3 2" xfId="35261"/>
    <cellStyle name="Notas 3 6 2 4" xfId="35262"/>
    <cellStyle name="Notas 3 6 2 4 2" xfId="35263"/>
    <cellStyle name="Notas 3 6 2 5" xfId="35264"/>
    <cellStyle name="Notas 3 6 2 5 2" xfId="35265"/>
    <cellStyle name="Notas 3 6 2 6" xfId="35266"/>
    <cellStyle name="Notas 3 6 2 6 2" xfId="35267"/>
    <cellStyle name="Notas 3 6 2 7" xfId="35268"/>
    <cellStyle name="Notas 3 6 2 7 2" xfId="35269"/>
    <cellStyle name="Notas 3 6 2 8" xfId="35270"/>
    <cellStyle name="Notas 3 6 2 8 2" xfId="35271"/>
    <cellStyle name="Notas 3 6 2 9" xfId="35272"/>
    <cellStyle name="Notas 3 6 2 9 2" xfId="35273"/>
    <cellStyle name="Notas 3 6 3" xfId="35274"/>
    <cellStyle name="Notas 3 6 3 10" xfId="35275"/>
    <cellStyle name="Notas 3 6 3 10 2" xfId="35276"/>
    <cellStyle name="Notas 3 6 3 11" xfId="35277"/>
    <cellStyle name="Notas 3 6 3 2" xfId="35278"/>
    <cellStyle name="Notas 3 6 3 2 2" xfId="35279"/>
    <cellStyle name="Notas 3 6 3 3" xfId="35280"/>
    <cellStyle name="Notas 3 6 3 3 2" xfId="35281"/>
    <cellStyle name="Notas 3 6 3 4" xfId="35282"/>
    <cellStyle name="Notas 3 6 3 4 2" xfId="35283"/>
    <cellStyle name="Notas 3 6 3 5" xfId="35284"/>
    <cellStyle name="Notas 3 6 3 5 2" xfId="35285"/>
    <cellStyle name="Notas 3 6 3 6" xfId="35286"/>
    <cellStyle name="Notas 3 6 3 6 2" xfId="35287"/>
    <cellStyle name="Notas 3 6 3 7" xfId="35288"/>
    <cellStyle name="Notas 3 6 3 7 2" xfId="35289"/>
    <cellStyle name="Notas 3 6 3 8" xfId="35290"/>
    <cellStyle name="Notas 3 6 3 8 2" xfId="35291"/>
    <cellStyle name="Notas 3 6 3 9" xfId="35292"/>
    <cellStyle name="Notas 3 6 3 9 2" xfId="35293"/>
    <cellStyle name="Notas 3 6 4" xfId="35294"/>
    <cellStyle name="Notas 3 6 4 2" xfId="35295"/>
    <cellStyle name="Notas 3 6 5" xfId="35296"/>
    <cellStyle name="Notas 3 6 5 2" xfId="35297"/>
    <cellStyle name="Notas 3 6 6" xfId="35298"/>
    <cellStyle name="Notas 3 6 6 2" xfId="35299"/>
    <cellStyle name="Notas 3 6 7" xfId="35300"/>
    <cellStyle name="Notas 3 6 7 2" xfId="35301"/>
    <cellStyle name="Notas 3 6 8" xfId="35302"/>
    <cellStyle name="Notas 3 6 8 2" xfId="35303"/>
    <cellStyle name="Notas 3 6 9" xfId="35304"/>
    <cellStyle name="Notas 3 6 9 2" xfId="35305"/>
    <cellStyle name="Notas 3 7" xfId="35306"/>
    <cellStyle name="Notas 3 7 10" xfId="35307"/>
    <cellStyle name="Notas 3 7 10 2" xfId="35308"/>
    <cellStyle name="Notas 3 7 11" xfId="35309"/>
    <cellStyle name="Notas 3 7 11 2" xfId="35310"/>
    <cellStyle name="Notas 3 7 12" xfId="35311"/>
    <cellStyle name="Notas 3 7 12 2" xfId="35312"/>
    <cellStyle name="Notas 3 7 13" xfId="35313"/>
    <cellStyle name="Notas 3 7 2" xfId="35314"/>
    <cellStyle name="Notas 3 7 2 10" xfId="35315"/>
    <cellStyle name="Notas 3 7 2 10 2" xfId="35316"/>
    <cellStyle name="Notas 3 7 2 11" xfId="35317"/>
    <cellStyle name="Notas 3 7 2 2" xfId="35318"/>
    <cellStyle name="Notas 3 7 2 2 2" xfId="35319"/>
    <cellStyle name="Notas 3 7 2 3" xfId="35320"/>
    <cellStyle name="Notas 3 7 2 3 2" xfId="35321"/>
    <cellStyle name="Notas 3 7 2 4" xfId="35322"/>
    <cellStyle name="Notas 3 7 2 4 2" xfId="35323"/>
    <cellStyle name="Notas 3 7 2 5" xfId="35324"/>
    <cellStyle name="Notas 3 7 2 5 2" xfId="35325"/>
    <cellStyle name="Notas 3 7 2 6" xfId="35326"/>
    <cellStyle name="Notas 3 7 2 6 2" xfId="35327"/>
    <cellStyle name="Notas 3 7 2 7" xfId="35328"/>
    <cellStyle name="Notas 3 7 2 7 2" xfId="35329"/>
    <cellStyle name="Notas 3 7 2 8" xfId="35330"/>
    <cellStyle name="Notas 3 7 2 8 2" xfId="35331"/>
    <cellStyle name="Notas 3 7 2 9" xfId="35332"/>
    <cellStyle name="Notas 3 7 2 9 2" xfId="35333"/>
    <cellStyle name="Notas 3 7 3" xfId="35334"/>
    <cellStyle name="Notas 3 7 3 10" xfId="35335"/>
    <cellStyle name="Notas 3 7 3 10 2" xfId="35336"/>
    <cellStyle name="Notas 3 7 3 11" xfId="35337"/>
    <cellStyle name="Notas 3 7 3 2" xfId="35338"/>
    <cellStyle name="Notas 3 7 3 2 2" xfId="35339"/>
    <cellStyle name="Notas 3 7 3 3" xfId="35340"/>
    <cellStyle name="Notas 3 7 3 3 2" xfId="35341"/>
    <cellStyle name="Notas 3 7 3 4" xfId="35342"/>
    <cellStyle name="Notas 3 7 3 4 2" xfId="35343"/>
    <cellStyle name="Notas 3 7 3 5" xfId="35344"/>
    <cellStyle name="Notas 3 7 3 5 2" xfId="35345"/>
    <cellStyle name="Notas 3 7 3 6" xfId="35346"/>
    <cellStyle name="Notas 3 7 3 6 2" xfId="35347"/>
    <cellStyle name="Notas 3 7 3 7" xfId="35348"/>
    <cellStyle name="Notas 3 7 3 7 2" xfId="35349"/>
    <cellStyle name="Notas 3 7 3 8" xfId="35350"/>
    <cellStyle name="Notas 3 7 3 8 2" xfId="35351"/>
    <cellStyle name="Notas 3 7 3 9" xfId="35352"/>
    <cellStyle name="Notas 3 7 3 9 2" xfId="35353"/>
    <cellStyle name="Notas 3 7 4" xfId="35354"/>
    <cellStyle name="Notas 3 7 4 2" xfId="35355"/>
    <cellStyle name="Notas 3 7 5" xfId="35356"/>
    <cellStyle name="Notas 3 7 5 2" xfId="35357"/>
    <cellStyle name="Notas 3 7 6" xfId="35358"/>
    <cellStyle name="Notas 3 7 6 2" xfId="35359"/>
    <cellStyle name="Notas 3 7 7" xfId="35360"/>
    <cellStyle name="Notas 3 7 7 2" xfId="35361"/>
    <cellStyle name="Notas 3 7 8" xfId="35362"/>
    <cellStyle name="Notas 3 7 8 2" xfId="35363"/>
    <cellStyle name="Notas 3 7 9" xfId="35364"/>
    <cellStyle name="Notas 3 7 9 2" xfId="35365"/>
    <cellStyle name="Notas 3 8" xfId="35366"/>
    <cellStyle name="Notas 3 8 2" xfId="35367"/>
    <cellStyle name="Notas 3 9" xfId="35368"/>
    <cellStyle name="Notas 3 9 2" xfId="35369"/>
    <cellStyle name="Notas 4" xfId="35370"/>
    <cellStyle name="Notas 4 10" xfId="35371"/>
    <cellStyle name="Notas 4 10 2" xfId="35372"/>
    <cellStyle name="Notas 4 11" xfId="35373"/>
    <cellStyle name="Notas 4 11 2" xfId="35374"/>
    <cellStyle name="Notas 4 12" xfId="35375"/>
    <cellStyle name="Notas 4 12 2" xfId="35376"/>
    <cellStyle name="Notas 4 13" xfId="35377"/>
    <cellStyle name="Notas 4 13 2" xfId="35378"/>
    <cellStyle name="Notas 4 14" xfId="35379"/>
    <cellStyle name="Notas 4 14 2" xfId="35380"/>
    <cellStyle name="Notas 4 15" xfId="35381"/>
    <cellStyle name="Notas 4 15 2" xfId="35382"/>
    <cellStyle name="Notas 4 16" xfId="35383"/>
    <cellStyle name="Notas 4 16 2" xfId="35384"/>
    <cellStyle name="Notas 4 17" xfId="35385"/>
    <cellStyle name="Notas 4 17 2" xfId="35386"/>
    <cellStyle name="Notas 4 18" xfId="35387"/>
    <cellStyle name="Notas 4 19" xfId="35388"/>
    <cellStyle name="Notas 4 2" xfId="35389"/>
    <cellStyle name="Notas 4 2 10" xfId="35390"/>
    <cellStyle name="Notas 4 2 10 2" xfId="35391"/>
    <cellStyle name="Notas 4 2 11" xfId="35392"/>
    <cellStyle name="Notas 4 2 11 2" xfId="35393"/>
    <cellStyle name="Notas 4 2 12" xfId="35394"/>
    <cellStyle name="Notas 4 2 12 2" xfId="35395"/>
    <cellStyle name="Notas 4 2 13" xfId="35396"/>
    <cellStyle name="Notas 4 2 13 2" xfId="35397"/>
    <cellStyle name="Notas 4 2 14" xfId="35398"/>
    <cellStyle name="Notas 4 2 14 2" xfId="35399"/>
    <cellStyle name="Notas 4 2 15" xfId="35400"/>
    <cellStyle name="Notas 4 2 2" xfId="35401"/>
    <cellStyle name="Notas 4 2 2 10" xfId="35402"/>
    <cellStyle name="Notas 4 2 2 10 2" xfId="35403"/>
    <cellStyle name="Notas 4 2 2 11" xfId="35404"/>
    <cellStyle name="Notas 4 2 2 11 2" xfId="35405"/>
    <cellStyle name="Notas 4 2 2 12" xfId="35406"/>
    <cellStyle name="Notas 4 2 2 12 2" xfId="35407"/>
    <cellStyle name="Notas 4 2 2 13" xfId="35408"/>
    <cellStyle name="Notas 4 2 2 2" xfId="35409"/>
    <cellStyle name="Notas 4 2 2 2 10" xfId="35410"/>
    <cellStyle name="Notas 4 2 2 2 10 2" xfId="35411"/>
    <cellStyle name="Notas 4 2 2 2 11" xfId="35412"/>
    <cellStyle name="Notas 4 2 2 2 2" xfId="35413"/>
    <cellStyle name="Notas 4 2 2 2 2 2" xfId="35414"/>
    <cellStyle name="Notas 4 2 2 2 3" xfId="35415"/>
    <cellStyle name="Notas 4 2 2 2 3 2" xfId="35416"/>
    <cellStyle name="Notas 4 2 2 2 4" xfId="35417"/>
    <cellStyle name="Notas 4 2 2 2 4 2" xfId="35418"/>
    <cellStyle name="Notas 4 2 2 2 5" xfId="35419"/>
    <cellStyle name="Notas 4 2 2 2 5 2" xfId="35420"/>
    <cellStyle name="Notas 4 2 2 2 6" xfId="35421"/>
    <cellStyle name="Notas 4 2 2 2 6 2" xfId="35422"/>
    <cellStyle name="Notas 4 2 2 2 7" xfId="35423"/>
    <cellStyle name="Notas 4 2 2 2 7 2" xfId="35424"/>
    <cellStyle name="Notas 4 2 2 2 8" xfId="35425"/>
    <cellStyle name="Notas 4 2 2 2 8 2" xfId="35426"/>
    <cellStyle name="Notas 4 2 2 2 9" xfId="35427"/>
    <cellStyle name="Notas 4 2 2 2 9 2" xfId="35428"/>
    <cellStyle name="Notas 4 2 2 3" xfId="35429"/>
    <cellStyle name="Notas 4 2 2 3 10" xfId="35430"/>
    <cellStyle name="Notas 4 2 2 3 10 2" xfId="35431"/>
    <cellStyle name="Notas 4 2 2 3 11" xfId="35432"/>
    <cellStyle name="Notas 4 2 2 3 2" xfId="35433"/>
    <cellStyle name="Notas 4 2 2 3 2 2" xfId="35434"/>
    <cellStyle name="Notas 4 2 2 3 3" xfId="35435"/>
    <cellStyle name="Notas 4 2 2 3 3 2" xfId="35436"/>
    <cellStyle name="Notas 4 2 2 3 4" xfId="35437"/>
    <cellStyle name="Notas 4 2 2 3 4 2" xfId="35438"/>
    <cellStyle name="Notas 4 2 2 3 5" xfId="35439"/>
    <cellStyle name="Notas 4 2 2 3 5 2" xfId="35440"/>
    <cellStyle name="Notas 4 2 2 3 6" xfId="35441"/>
    <cellStyle name="Notas 4 2 2 3 6 2" xfId="35442"/>
    <cellStyle name="Notas 4 2 2 3 7" xfId="35443"/>
    <cellStyle name="Notas 4 2 2 3 7 2" xfId="35444"/>
    <cellStyle name="Notas 4 2 2 3 8" xfId="35445"/>
    <cellStyle name="Notas 4 2 2 3 8 2" xfId="35446"/>
    <cellStyle name="Notas 4 2 2 3 9" xfId="35447"/>
    <cellStyle name="Notas 4 2 2 3 9 2" xfId="35448"/>
    <cellStyle name="Notas 4 2 2 4" xfId="35449"/>
    <cellStyle name="Notas 4 2 2 4 2" xfId="35450"/>
    <cellStyle name="Notas 4 2 2 5" xfId="35451"/>
    <cellStyle name="Notas 4 2 2 5 2" xfId="35452"/>
    <cellStyle name="Notas 4 2 2 6" xfId="35453"/>
    <cellStyle name="Notas 4 2 2 6 2" xfId="35454"/>
    <cellStyle name="Notas 4 2 2 7" xfId="35455"/>
    <cellStyle name="Notas 4 2 2 7 2" xfId="35456"/>
    <cellStyle name="Notas 4 2 2 8" xfId="35457"/>
    <cellStyle name="Notas 4 2 2 8 2" xfId="35458"/>
    <cellStyle name="Notas 4 2 2 9" xfId="35459"/>
    <cellStyle name="Notas 4 2 2 9 2" xfId="35460"/>
    <cellStyle name="Notas 4 2 3" xfId="35461"/>
    <cellStyle name="Notas 4 2 3 10" xfId="35462"/>
    <cellStyle name="Notas 4 2 3 10 2" xfId="35463"/>
    <cellStyle name="Notas 4 2 3 11" xfId="35464"/>
    <cellStyle name="Notas 4 2 3 11 2" xfId="35465"/>
    <cellStyle name="Notas 4 2 3 12" xfId="35466"/>
    <cellStyle name="Notas 4 2 3 12 2" xfId="35467"/>
    <cellStyle name="Notas 4 2 3 13" xfId="35468"/>
    <cellStyle name="Notas 4 2 3 2" xfId="35469"/>
    <cellStyle name="Notas 4 2 3 2 10" xfId="35470"/>
    <cellStyle name="Notas 4 2 3 2 10 2" xfId="35471"/>
    <cellStyle name="Notas 4 2 3 2 11" xfId="35472"/>
    <cellStyle name="Notas 4 2 3 2 2" xfId="35473"/>
    <cellStyle name="Notas 4 2 3 2 2 2" xfId="35474"/>
    <cellStyle name="Notas 4 2 3 2 3" xfId="35475"/>
    <cellStyle name="Notas 4 2 3 2 3 2" xfId="35476"/>
    <cellStyle name="Notas 4 2 3 2 4" xfId="35477"/>
    <cellStyle name="Notas 4 2 3 2 4 2" xfId="35478"/>
    <cellStyle name="Notas 4 2 3 2 5" xfId="35479"/>
    <cellStyle name="Notas 4 2 3 2 5 2" xfId="35480"/>
    <cellStyle name="Notas 4 2 3 2 6" xfId="35481"/>
    <cellStyle name="Notas 4 2 3 2 6 2" xfId="35482"/>
    <cellStyle name="Notas 4 2 3 2 7" xfId="35483"/>
    <cellStyle name="Notas 4 2 3 2 7 2" xfId="35484"/>
    <cellStyle name="Notas 4 2 3 2 8" xfId="35485"/>
    <cellStyle name="Notas 4 2 3 2 8 2" xfId="35486"/>
    <cellStyle name="Notas 4 2 3 2 9" xfId="35487"/>
    <cellStyle name="Notas 4 2 3 2 9 2" xfId="35488"/>
    <cellStyle name="Notas 4 2 3 3" xfId="35489"/>
    <cellStyle name="Notas 4 2 3 3 10" xfId="35490"/>
    <cellStyle name="Notas 4 2 3 3 10 2" xfId="35491"/>
    <cellStyle name="Notas 4 2 3 3 11" xfId="35492"/>
    <cellStyle name="Notas 4 2 3 3 2" xfId="35493"/>
    <cellStyle name="Notas 4 2 3 3 2 2" xfId="35494"/>
    <cellStyle name="Notas 4 2 3 3 3" xfId="35495"/>
    <cellStyle name="Notas 4 2 3 3 3 2" xfId="35496"/>
    <cellStyle name="Notas 4 2 3 3 4" xfId="35497"/>
    <cellStyle name="Notas 4 2 3 3 4 2" xfId="35498"/>
    <cellStyle name="Notas 4 2 3 3 5" xfId="35499"/>
    <cellStyle name="Notas 4 2 3 3 5 2" xfId="35500"/>
    <cellStyle name="Notas 4 2 3 3 6" xfId="35501"/>
    <cellStyle name="Notas 4 2 3 3 6 2" xfId="35502"/>
    <cellStyle name="Notas 4 2 3 3 7" xfId="35503"/>
    <cellStyle name="Notas 4 2 3 3 7 2" xfId="35504"/>
    <cellStyle name="Notas 4 2 3 3 8" xfId="35505"/>
    <cellStyle name="Notas 4 2 3 3 8 2" xfId="35506"/>
    <cellStyle name="Notas 4 2 3 3 9" xfId="35507"/>
    <cellStyle name="Notas 4 2 3 3 9 2" xfId="35508"/>
    <cellStyle name="Notas 4 2 3 4" xfId="35509"/>
    <cellStyle name="Notas 4 2 3 4 2" xfId="35510"/>
    <cellStyle name="Notas 4 2 3 5" xfId="35511"/>
    <cellStyle name="Notas 4 2 3 5 2" xfId="35512"/>
    <cellStyle name="Notas 4 2 3 6" xfId="35513"/>
    <cellStyle name="Notas 4 2 3 6 2" xfId="35514"/>
    <cellStyle name="Notas 4 2 3 7" xfId="35515"/>
    <cellStyle name="Notas 4 2 3 7 2" xfId="35516"/>
    <cellStyle name="Notas 4 2 3 8" xfId="35517"/>
    <cellStyle name="Notas 4 2 3 8 2" xfId="35518"/>
    <cellStyle name="Notas 4 2 3 9" xfId="35519"/>
    <cellStyle name="Notas 4 2 3 9 2" xfId="35520"/>
    <cellStyle name="Notas 4 2 4" xfId="35521"/>
    <cellStyle name="Notas 4 2 4 10" xfId="35522"/>
    <cellStyle name="Notas 4 2 4 10 2" xfId="35523"/>
    <cellStyle name="Notas 4 2 4 11" xfId="35524"/>
    <cellStyle name="Notas 4 2 4 2" xfId="35525"/>
    <cellStyle name="Notas 4 2 4 2 2" xfId="35526"/>
    <cellStyle name="Notas 4 2 4 3" xfId="35527"/>
    <cellStyle name="Notas 4 2 4 3 2" xfId="35528"/>
    <cellStyle name="Notas 4 2 4 4" xfId="35529"/>
    <cellStyle name="Notas 4 2 4 4 2" xfId="35530"/>
    <cellStyle name="Notas 4 2 4 5" xfId="35531"/>
    <cellStyle name="Notas 4 2 4 5 2" xfId="35532"/>
    <cellStyle name="Notas 4 2 4 6" xfId="35533"/>
    <cellStyle name="Notas 4 2 4 6 2" xfId="35534"/>
    <cellStyle name="Notas 4 2 4 7" xfId="35535"/>
    <cellStyle name="Notas 4 2 4 7 2" xfId="35536"/>
    <cellStyle name="Notas 4 2 4 8" xfId="35537"/>
    <cellStyle name="Notas 4 2 4 8 2" xfId="35538"/>
    <cellStyle name="Notas 4 2 4 9" xfId="35539"/>
    <cellStyle name="Notas 4 2 4 9 2" xfId="35540"/>
    <cellStyle name="Notas 4 2 5" xfId="35541"/>
    <cellStyle name="Notas 4 2 5 10" xfId="35542"/>
    <cellStyle name="Notas 4 2 5 10 2" xfId="35543"/>
    <cellStyle name="Notas 4 2 5 11" xfId="35544"/>
    <cellStyle name="Notas 4 2 5 2" xfId="35545"/>
    <cellStyle name="Notas 4 2 5 2 2" xfId="35546"/>
    <cellStyle name="Notas 4 2 5 3" xfId="35547"/>
    <cellStyle name="Notas 4 2 5 3 2" xfId="35548"/>
    <cellStyle name="Notas 4 2 5 4" xfId="35549"/>
    <cellStyle name="Notas 4 2 5 4 2" xfId="35550"/>
    <cellStyle name="Notas 4 2 5 5" xfId="35551"/>
    <cellStyle name="Notas 4 2 5 5 2" xfId="35552"/>
    <cellStyle name="Notas 4 2 5 6" xfId="35553"/>
    <cellStyle name="Notas 4 2 5 6 2" xfId="35554"/>
    <cellStyle name="Notas 4 2 5 7" xfId="35555"/>
    <cellStyle name="Notas 4 2 5 7 2" xfId="35556"/>
    <cellStyle name="Notas 4 2 5 8" xfId="35557"/>
    <cellStyle name="Notas 4 2 5 8 2" xfId="35558"/>
    <cellStyle name="Notas 4 2 5 9" xfId="35559"/>
    <cellStyle name="Notas 4 2 5 9 2" xfId="35560"/>
    <cellStyle name="Notas 4 2 6" xfId="35561"/>
    <cellStyle name="Notas 4 2 6 2" xfId="35562"/>
    <cellStyle name="Notas 4 2 7" xfId="35563"/>
    <cellStyle name="Notas 4 2 7 2" xfId="35564"/>
    <cellStyle name="Notas 4 2 8" xfId="35565"/>
    <cellStyle name="Notas 4 2 8 2" xfId="35566"/>
    <cellStyle name="Notas 4 2 9" xfId="35567"/>
    <cellStyle name="Notas 4 2 9 2" xfId="35568"/>
    <cellStyle name="Notas 4 20" xfId="35569"/>
    <cellStyle name="Notas 4 3" xfId="35570"/>
    <cellStyle name="Notas 4 3 10" xfId="35571"/>
    <cellStyle name="Notas 4 3 10 2" xfId="35572"/>
    <cellStyle name="Notas 4 3 11" xfId="35573"/>
    <cellStyle name="Notas 4 3 11 2" xfId="35574"/>
    <cellStyle name="Notas 4 3 12" xfId="35575"/>
    <cellStyle name="Notas 4 3 12 2" xfId="35576"/>
    <cellStyle name="Notas 4 3 13" xfId="35577"/>
    <cellStyle name="Notas 4 3 13 2" xfId="35578"/>
    <cellStyle name="Notas 4 3 14" xfId="35579"/>
    <cellStyle name="Notas 4 3 14 2" xfId="35580"/>
    <cellStyle name="Notas 4 3 15" xfId="35581"/>
    <cellStyle name="Notas 4 3 2" xfId="35582"/>
    <cellStyle name="Notas 4 3 2 10" xfId="35583"/>
    <cellStyle name="Notas 4 3 2 10 2" xfId="35584"/>
    <cellStyle name="Notas 4 3 2 11" xfId="35585"/>
    <cellStyle name="Notas 4 3 2 11 2" xfId="35586"/>
    <cellStyle name="Notas 4 3 2 12" xfId="35587"/>
    <cellStyle name="Notas 4 3 2 12 2" xfId="35588"/>
    <cellStyle name="Notas 4 3 2 13" xfId="35589"/>
    <cellStyle name="Notas 4 3 2 2" xfId="35590"/>
    <cellStyle name="Notas 4 3 2 2 10" xfId="35591"/>
    <cellStyle name="Notas 4 3 2 2 10 2" xfId="35592"/>
    <cellStyle name="Notas 4 3 2 2 11" xfId="35593"/>
    <cellStyle name="Notas 4 3 2 2 2" xfId="35594"/>
    <cellStyle name="Notas 4 3 2 2 2 2" xfId="35595"/>
    <cellStyle name="Notas 4 3 2 2 3" xfId="35596"/>
    <cellStyle name="Notas 4 3 2 2 3 2" xfId="35597"/>
    <cellStyle name="Notas 4 3 2 2 4" xfId="35598"/>
    <cellStyle name="Notas 4 3 2 2 4 2" xfId="35599"/>
    <cellStyle name="Notas 4 3 2 2 5" xfId="35600"/>
    <cellStyle name="Notas 4 3 2 2 5 2" xfId="35601"/>
    <cellStyle name="Notas 4 3 2 2 6" xfId="35602"/>
    <cellStyle name="Notas 4 3 2 2 6 2" xfId="35603"/>
    <cellStyle name="Notas 4 3 2 2 7" xfId="35604"/>
    <cellStyle name="Notas 4 3 2 2 7 2" xfId="35605"/>
    <cellStyle name="Notas 4 3 2 2 8" xfId="35606"/>
    <cellStyle name="Notas 4 3 2 2 8 2" xfId="35607"/>
    <cellStyle name="Notas 4 3 2 2 9" xfId="35608"/>
    <cellStyle name="Notas 4 3 2 2 9 2" xfId="35609"/>
    <cellStyle name="Notas 4 3 2 3" xfId="35610"/>
    <cellStyle name="Notas 4 3 2 3 10" xfId="35611"/>
    <cellStyle name="Notas 4 3 2 3 10 2" xfId="35612"/>
    <cellStyle name="Notas 4 3 2 3 11" xfId="35613"/>
    <cellStyle name="Notas 4 3 2 3 2" xfId="35614"/>
    <cellStyle name="Notas 4 3 2 3 2 2" xfId="35615"/>
    <cellStyle name="Notas 4 3 2 3 3" xfId="35616"/>
    <cellStyle name="Notas 4 3 2 3 3 2" xfId="35617"/>
    <cellStyle name="Notas 4 3 2 3 4" xfId="35618"/>
    <cellStyle name="Notas 4 3 2 3 4 2" xfId="35619"/>
    <cellStyle name="Notas 4 3 2 3 5" xfId="35620"/>
    <cellStyle name="Notas 4 3 2 3 5 2" xfId="35621"/>
    <cellStyle name="Notas 4 3 2 3 6" xfId="35622"/>
    <cellStyle name="Notas 4 3 2 3 6 2" xfId="35623"/>
    <cellStyle name="Notas 4 3 2 3 7" xfId="35624"/>
    <cellStyle name="Notas 4 3 2 3 7 2" xfId="35625"/>
    <cellStyle name="Notas 4 3 2 3 8" xfId="35626"/>
    <cellStyle name="Notas 4 3 2 3 8 2" xfId="35627"/>
    <cellStyle name="Notas 4 3 2 3 9" xfId="35628"/>
    <cellStyle name="Notas 4 3 2 3 9 2" xfId="35629"/>
    <cellStyle name="Notas 4 3 2 4" xfId="35630"/>
    <cellStyle name="Notas 4 3 2 4 2" xfId="35631"/>
    <cellStyle name="Notas 4 3 2 5" xfId="35632"/>
    <cellStyle name="Notas 4 3 2 5 2" xfId="35633"/>
    <cellStyle name="Notas 4 3 2 6" xfId="35634"/>
    <cellStyle name="Notas 4 3 2 6 2" xfId="35635"/>
    <cellStyle name="Notas 4 3 2 7" xfId="35636"/>
    <cellStyle name="Notas 4 3 2 7 2" xfId="35637"/>
    <cellStyle name="Notas 4 3 2 8" xfId="35638"/>
    <cellStyle name="Notas 4 3 2 8 2" xfId="35639"/>
    <cellStyle name="Notas 4 3 2 9" xfId="35640"/>
    <cellStyle name="Notas 4 3 2 9 2" xfId="35641"/>
    <cellStyle name="Notas 4 3 3" xfId="35642"/>
    <cellStyle name="Notas 4 3 3 10" xfId="35643"/>
    <cellStyle name="Notas 4 3 3 10 2" xfId="35644"/>
    <cellStyle name="Notas 4 3 3 11" xfId="35645"/>
    <cellStyle name="Notas 4 3 3 11 2" xfId="35646"/>
    <cellStyle name="Notas 4 3 3 12" xfId="35647"/>
    <cellStyle name="Notas 4 3 3 12 2" xfId="35648"/>
    <cellStyle name="Notas 4 3 3 13" xfId="35649"/>
    <cellStyle name="Notas 4 3 3 2" xfId="35650"/>
    <cellStyle name="Notas 4 3 3 2 10" xfId="35651"/>
    <cellStyle name="Notas 4 3 3 2 10 2" xfId="35652"/>
    <cellStyle name="Notas 4 3 3 2 11" xfId="35653"/>
    <cellStyle name="Notas 4 3 3 2 2" xfId="35654"/>
    <cellStyle name="Notas 4 3 3 2 2 2" xfId="35655"/>
    <cellStyle name="Notas 4 3 3 2 3" xfId="35656"/>
    <cellStyle name="Notas 4 3 3 2 3 2" xfId="35657"/>
    <cellStyle name="Notas 4 3 3 2 4" xfId="35658"/>
    <cellStyle name="Notas 4 3 3 2 4 2" xfId="35659"/>
    <cellStyle name="Notas 4 3 3 2 5" xfId="35660"/>
    <cellStyle name="Notas 4 3 3 2 5 2" xfId="35661"/>
    <cellStyle name="Notas 4 3 3 2 6" xfId="35662"/>
    <cellStyle name="Notas 4 3 3 2 6 2" xfId="35663"/>
    <cellStyle name="Notas 4 3 3 2 7" xfId="35664"/>
    <cellStyle name="Notas 4 3 3 2 7 2" xfId="35665"/>
    <cellStyle name="Notas 4 3 3 2 8" xfId="35666"/>
    <cellStyle name="Notas 4 3 3 2 8 2" xfId="35667"/>
    <cellStyle name="Notas 4 3 3 2 9" xfId="35668"/>
    <cellStyle name="Notas 4 3 3 2 9 2" xfId="35669"/>
    <cellStyle name="Notas 4 3 3 3" xfId="35670"/>
    <cellStyle name="Notas 4 3 3 3 10" xfId="35671"/>
    <cellStyle name="Notas 4 3 3 3 10 2" xfId="35672"/>
    <cellStyle name="Notas 4 3 3 3 11" xfId="35673"/>
    <cellStyle name="Notas 4 3 3 3 2" xfId="35674"/>
    <cellStyle name="Notas 4 3 3 3 2 2" xfId="35675"/>
    <cellStyle name="Notas 4 3 3 3 3" xfId="35676"/>
    <cellStyle name="Notas 4 3 3 3 3 2" xfId="35677"/>
    <cellStyle name="Notas 4 3 3 3 4" xfId="35678"/>
    <cellStyle name="Notas 4 3 3 3 4 2" xfId="35679"/>
    <cellStyle name="Notas 4 3 3 3 5" xfId="35680"/>
    <cellStyle name="Notas 4 3 3 3 5 2" xfId="35681"/>
    <cellStyle name="Notas 4 3 3 3 6" xfId="35682"/>
    <cellStyle name="Notas 4 3 3 3 6 2" xfId="35683"/>
    <cellStyle name="Notas 4 3 3 3 7" xfId="35684"/>
    <cellStyle name="Notas 4 3 3 3 7 2" xfId="35685"/>
    <cellStyle name="Notas 4 3 3 3 8" xfId="35686"/>
    <cellStyle name="Notas 4 3 3 3 8 2" xfId="35687"/>
    <cellStyle name="Notas 4 3 3 3 9" xfId="35688"/>
    <cellStyle name="Notas 4 3 3 3 9 2" xfId="35689"/>
    <cellStyle name="Notas 4 3 3 4" xfId="35690"/>
    <cellStyle name="Notas 4 3 3 4 2" xfId="35691"/>
    <cellStyle name="Notas 4 3 3 5" xfId="35692"/>
    <cellStyle name="Notas 4 3 3 5 2" xfId="35693"/>
    <cellStyle name="Notas 4 3 3 6" xfId="35694"/>
    <cellStyle name="Notas 4 3 3 6 2" xfId="35695"/>
    <cellStyle name="Notas 4 3 3 7" xfId="35696"/>
    <cellStyle name="Notas 4 3 3 7 2" xfId="35697"/>
    <cellStyle name="Notas 4 3 3 8" xfId="35698"/>
    <cellStyle name="Notas 4 3 3 8 2" xfId="35699"/>
    <cellStyle name="Notas 4 3 3 9" xfId="35700"/>
    <cellStyle name="Notas 4 3 3 9 2" xfId="35701"/>
    <cellStyle name="Notas 4 3 4" xfId="35702"/>
    <cellStyle name="Notas 4 3 4 10" xfId="35703"/>
    <cellStyle name="Notas 4 3 4 10 2" xfId="35704"/>
    <cellStyle name="Notas 4 3 4 11" xfId="35705"/>
    <cellStyle name="Notas 4 3 4 2" xfId="35706"/>
    <cellStyle name="Notas 4 3 4 2 2" xfId="35707"/>
    <cellStyle name="Notas 4 3 4 3" xfId="35708"/>
    <cellStyle name="Notas 4 3 4 3 2" xfId="35709"/>
    <cellStyle name="Notas 4 3 4 4" xfId="35710"/>
    <cellStyle name="Notas 4 3 4 4 2" xfId="35711"/>
    <cellStyle name="Notas 4 3 4 5" xfId="35712"/>
    <cellStyle name="Notas 4 3 4 5 2" xfId="35713"/>
    <cellStyle name="Notas 4 3 4 6" xfId="35714"/>
    <cellStyle name="Notas 4 3 4 6 2" xfId="35715"/>
    <cellStyle name="Notas 4 3 4 7" xfId="35716"/>
    <cellStyle name="Notas 4 3 4 7 2" xfId="35717"/>
    <cellStyle name="Notas 4 3 4 8" xfId="35718"/>
    <cellStyle name="Notas 4 3 4 8 2" xfId="35719"/>
    <cellStyle name="Notas 4 3 4 9" xfId="35720"/>
    <cellStyle name="Notas 4 3 4 9 2" xfId="35721"/>
    <cellStyle name="Notas 4 3 5" xfId="35722"/>
    <cellStyle name="Notas 4 3 5 10" xfId="35723"/>
    <cellStyle name="Notas 4 3 5 10 2" xfId="35724"/>
    <cellStyle name="Notas 4 3 5 11" xfId="35725"/>
    <cellStyle name="Notas 4 3 5 2" xfId="35726"/>
    <cellStyle name="Notas 4 3 5 2 2" xfId="35727"/>
    <cellStyle name="Notas 4 3 5 3" xfId="35728"/>
    <cellStyle name="Notas 4 3 5 3 2" xfId="35729"/>
    <cellStyle name="Notas 4 3 5 4" xfId="35730"/>
    <cellStyle name="Notas 4 3 5 4 2" xfId="35731"/>
    <cellStyle name="Notas 4 3 5 5" xfId="35732"/>
    <cellStyle name="Notas 4 3 5 5 2" xfId="35733"/>
    <cellStyle name="Notas 4 3 5 6" xfId="35734"/>
    <cellStyle name="Notas 4 3 5 6 2" xfId="35735"/>
    <cellStyle name="Notas 4 3 5 7" xfId="35736"/>
    <cellStyle name="Notas 4 3 5 7 2" xfId="35737"/>
    <cellStyle name="Notas 4 3 5 8" xfId="35738"/>
    <cellStyle name="Notas 4 3 5 8 2" xfId="35739"/>
    <cellStyle name="Notas 4 3 5 9" xfId="35740"/>
    <cellStyle name="Notas 4 3 5 9 2" xfId="35741"/>
    <cellStyle name="Notas 4 3 6" xfId="35742"/>
    <cellStyle name="Notas 4 3 6 2" xfId="35743"/>
    <cellStyle name="Notas 4 3 7" xfId="35744"/>
    <cellStyle name="Notas 4 3 7 2" xfId="35745"/>
    <cellStyle name="Notas 4 3 8" xfId="35746"/>
    <cellStyle name="Notas 4 3 8 2" xfId="35747"/>
    <cellStyle name="Notas 4 3 9" xfId="35748"/>
    <cellStyle name="Notas 4 3 9 2" xfId="35749"/>
    <cellStyle name="Notas 4 4" xfId="35750"/>
    <cellStyle name="Notas 4 4 10" xfId="35751"/>
    <cellStyle name="Notas 4 4 10 2" xfId="35752"/>
    <cellStyle name="Notas 4 4 11" xfId="35753"/>
    <cellStyle name="Notas 4 4 11 2" xfId="35754"/>
    <cellStyle name="Notas 4 4 12" xfId="35755"/>
    <cellStyle name="Notas 4 4 12 2" xfId="35756"/>
    <cellStyle name="Notas 4 4 13" xfId="35757"/>
    <cellStyle name="Notas 4 4 13 2" xfId="35758"/>
    <cellStyle name="Notas 4 4 14" xfId="35759"/>
    <cellStyle name="Notas 4 4 14 2" xfId="35760"/>
    <cellStyle name="Notas 4 4 15" xfId="35761"/>
    <cellStyle name="Notas 4 4 2" xfId="35762"/>
    <cellStyle name="Notas 4 4 2 10" xfId="35763"/>
    <cellStyle name="Notas 4 4 2 10 2" xfId="35764"/>
    <cellStyle name="Notas 4 4 2 11" xfId="35765"/>
    <cellStyle name="Notas 4 4 2 11 2" xfId="35766"/>
    <cellStyle name="Notas 4 4 2 12" xfId="35767"/>
    <cellStyle name="Notas 4 4 2 12 2" xfId="35768"/>
    <cellStyle name="Notas 4 4 2 13" xfId="35769"/>
    <cellStyle name="Notas 4 4 2 2" xfId="35770"/>
    <cellStyle name="Notas 4 4 2 2 10" xfId="35771"/>
    <cellStyle name="Notas 4 4 2 2 10 2" xfId="35772"/>
    <cellStyle name="Notas 4 4 2 2 11" xfId="35773"/>
    <cellStyle name="Notas 4 4 2 2 2" xfId="35774"/>
    <cellStyle name="Notas 4 4 2 2 2 2" xfId="35775"/>
    <cellStyle name="Notas 4 4 2 2 3" xfId="35776"/>
    <cellStyle name="Notas 4 4 2 2 3 2" xfId="35777"/>
    <cellStyle name="Notas 4 4 2 2 4" xfId="35778"/>
    <cellStyle name="Notas 4 4 2 2 4 2" xfId="35779"/>
    <cellStyle name="Notas 4 4 2 2 5" xfId="35780"/>
    <cellStyle name="Notas 4 4 2 2 5 2" xfId="35781"/>
    <cellStyle name="Notas 4 4 2 2 6" xfId="35782"/>
    <cellStyle name="Notas 4 4 2 2 6 2" xfId="35783"/>
    <cellStyle name="Notas 4 4 2 2 7" xfId="35784"/>
    <cellStyle name="Notas 4 4 2 2 7 2" xfId="35785"/>
    <cellStyle name="Notas 4 4 2 2 8" xfId="35786"/>
    <cellStyle name="Notas 4 4 2 2 8 2" xfId="35787"/>
    <cellStyle name="Notas 4 4 2 2 9" xfId="35788"/>
    <cellStyle name="Notas 4 4 2 2 9 2" xfId="35789"/>
    <cellStyle name="Notas 4 4 2 3" xfId="35790"/>
    <cellStyle name="Notas 4 4 2 3 10" xfId="35791"/>
    <cellStyle name="Notas 4 4 2 3 10 2" xfId="35792"/>
    <cellStyle name="Notas 4 4 2 3 11" xfId="35793"/>
    <cellStyle name="Notas 4 4 2 3 2" xfId="35794"/>
    <cellStyle name="Notas 4 4 2 3 2 2" xfId="35795"/>
    <cellStyle name="Notas 4 4 2 3 3" xfId="35796"/>
    <cellStyle name="Notas 4 4 2 3 3 2" xfId="35797"/>
    <cellStyle name="Notas 4 4 2 3 4" xfId="35798"/>
    <cellStyle name="Notas 4 4 2 3 4 2" xfId="35799"/>
    <cellStyle name="Notas 4 4 2 3 5" xfId="35800"/>
    <cellStyle name="Notas 4 4 2 3 5 2" xfId="35801"/>
    <cellStyle name="Notas 4 4 2 3 6" xfId="35802"/>
    <cellStyle name="Notas 4 4 2 3 6 2" xfId="35803"/>
    <cellStyle name="Notas 4 4 2 3 7" xfId="35804"/>
    <cellStyle name="Notas 4 4 2 3 7 2" xfId="35805"/>
    <cellStyle name="Notas 4 4 2 3 8" xfId="35806"/>
    <cellStyle name="Notas 4 4 2 3 8 2" xfId="35807"/>
    <cellStyle name="Notas 4 4 2 3 9" xfId="35808"/>
    <cellStyle name="Notas 4 4 2 3 9 2" xfId="35809"/>
    <cellStyle name="Notas 4 4 2 4" xfId="35810"/>
    <cellStyle name="Notas 4 4 2 4 2" xfId="35811"/>
    <cellStyle name="Notas 4 4 2 5" xfId="35812"/>
    <cellStyle name="Notas 4 4 2 5 2" xfId="35813"/>
    <cellStyle name="Notas 4 4 2 6" xfId="35814"/>
    <cellStyle name="Notas 4 4 2 6 2" xfId="35815"/>
    <cellStyle name="Notas 4 4 2 7" xfId="35816"/>
    <cellStyle name="Notas 4 4 2 7 2" xfId="35817"/>
    <cellStyle name="Notas 4 4 2 8" xfId="35818"/>
    <cellStyle name="Notas 4 4 2 8 2" xfId="35819"/>
    <cellStyle name="Notas 4 4 2 9" xfId="35820"/>
    <cellStyle name="Notas 4 4 2 9 2" xfId="35821"/>
    <cellStyle name="Notas 4 4 3" xfId="35822"/>
    <cellStyle name="Notas 4 4 3 10" xfId="35823"/>
    <cellStyle name="Notas 4 4 3 10 2" xfId="35824"/>
    <cellStyle name="Notas 4 4 3 11" xfId="35825"/>
    <cellStyle name="Notas 4 4 3 11 2" xfId="35826"/>
    <cellStyle name="Notas 4 4 3 12" xfId="35827"/>
    <cellStyle name="Notas 4 4 3 12 2" xfId="35828"/>
    <cellStyle name="Notas 4 4 3 13" xfId="35829"/>
    <cellStyle name="Notas 4 4 3 2" xfId="35830"/>
    <cellStyle name="Notas 4 4 3 2 10" xfId="35831"/>
    <cellStyle name="Notas 4 4 3 2 10 2" xfId="35832"/>
    <cellStyle name="Notas 4 4 3 2 11" xfId="35833"/>
    <cellStyle name="Notas 4 4 3 2 2" xfId="35834"/>
    <cellStyle name="Notas 4 4 3 2 2 2" xfId="35835"/>
    <cellStyle name="Notas 4 4 3 2 3" xfId="35836"/>
    <cellStyle name="Notas 4 4 3 2 3 2" xfId="35837"/>
    <cellStyle name="Notas 4 4 3 2 4" xfId="35838"/>
    <cellStyle name="Notas 4 4 3 2 4 2" xfId="35839"/>
    <cellStyle name="Notas 4 4 3 2 5" xfId="35840"/>
    <cellStyle name="Notas 4 4 3 2 5 2" xfId="35841"/>
    <cellStyle name="Notas 4 4 3 2 6" xfId="35842"/>
    <cellStyle name="Notas 4 4 3 2 6 2" xfId="35843"/>
    <cellStyle name="Notas 4 4 3 2 7" xfId="35844"/>
    <cellStyle name="Notas 4 4 3 2 7 2" xfId="35845"/>
    <cellStyle name="Notas 4 4 3 2 8" xfId="35846"/>
    <cellStyle name="Notas 4 4 3 2 8 2" xfId="35847"/>
    <cellStyle name="Notas 4 4 3 2 9" xfId="35848"/>
    <cellStyle name="Notas 4 4 3 2 9 2" xfId="35849"/>
    <cellStyle name="Notas 4 4 3 3" xfId="35850"/>
    <cellStyle name="Notas 4 4 3 3 10" xfId="35851"/>
    <cellStyle name="Notas 4 4 3 3 10 2" xfId="35852"/>
    <cellStyle name="Notas 4 4 3 3 11" xfId="35853"/>
    <cellStyle name="Notas 4 4 3 3 2" xfId="35854"/>
    <cellStyle name="Notas 4 4 3 3 2 2" xfId="35855"/>
    <cellStyle name="Notas 4 4 3 3 3" xfId="35856"/>
    <cellStyle name="Notas 4 4 3 3 3 2" xfId="35857"/>
    <cellStyle name="Notas 4 4 3 3 4" xfId="35858"/>
    <cellStyle name="Notas 4 4 3 3 4 2" xfId="35859"/>
    <cellStyle name="Notas 4 4 3 3 5" xfId="35860"/>
    <cellStyle name="Notas 4 4 3 3 5 2" xfId="35861"/>
    <cellStyle name="Notas 4 4 3 3 6" xfId="35862"/>
    <cellStyle name="Notas 4 4 3 3 6 2" xfId="35863"/>
    <cellStyle name="Notas 4 4 3 3 7" xfId="35864"/>
    <cellStyle name="Notas 4 4 3 3 7 2" xfId="35865"/>
    <cellStyle name="Notas 4 4 3 3 8" xfId="35866"/>
    <cellStyle name="Notas 4 4 3 3 8 2" xfId="35867"/>
    <cellStyle name="Notas 4 4 3 3 9" xfId="35868"/>
    <cellStyle name="Notas 4 4 3 3 9 2" xfId="35869"/>
    <cellStyle name="Notas 4 4 3 4" xfId="35870"/>
    <cellStyle name="Notas 4 4 3 4 2" xfId="35871"/>
    <cellStyle name="Notas 4 4 3 5" xfId="35872"/>
    <cellStyle name="Notas 4 4 3 5 2" xfId="35873"/>
    <cellStyle name="Notas 4 4 3 6" xfId="35874"/>
    <cellStyle name="Notas 4 4 3 6 2" xfId="35875"/>
    <cellStyle name="Notas 4 4 3 7" xfId="35876"/>
    <cellStyle name="Notas 4 4 3 7 2" xfId="35877"/>
    <cellStyle name="Notas 4 4 3 8" xfId="35878"/>
    <cellStyle name="Notas 4 4 3 8 2" xfId="35879"/>
    <cellStyle name="Notas 4 4 3 9" xfId="35880"/>
    <cellStyle name="Notas 4 4 3 9 2" xfId="35881"/>
    <cellStyle name="Notas 4 4 4" xfId="35882"/>
    <cellStyle name="Notas 4 4 4 10" xfId="35883"/>
    <cellStyle name="Notas 4 4 4 10 2" xfId="35884"/>
    <cellStyle name="Notas 4 4 4 11" xfId="35885"/>
    <cellStyle name="Notas 4 4 4 2" xfId="35886"/>
    <cellStyle name="Notas 4 4 4 2 2" xfId="35887"/>
    <cellStyle name="Notas 4 4 4 3" xfId="35888"/>
    <cellStyle name="Notas 4 4 4 3 2" xfId="35889"/>
    <cellStyle name="Notas 4 4 4 4" xfId="35890"/>
    <cellStyle name="Notas 4 4 4 4 2" xfId="35891"/>
    <cellStyle name="Notas 4 4 4 5" xfId="35892"/>
    <cellStyle name="Notas 4 4 4 5 2" xfId="35893"/>
    <cellStyle name="Notas 4 4 4 6" xfId="35894"/>
    <cellStyle name="Notas 4 4 4 6 2" xfId="35895"/>
    <cellStyle name="Notas 4 4 4 7" xfId="35896"/>
    <cellStyle name="Notas 4 4 4 7 2" xfId="35897"/>
    <cellStyle name="Notas 4 4 4 8" xfId="35898"/>
    <cellStyle name="Notas 4 4 4 8 2" xfId="35899"/>
    <cellStyle name="Notas 4 4 4 9" xfId="35900"/>
    <cellStyle name="Notas 4 4 4 9 2" xfId="35901"/>
    <cellStyle name="Notas 4 4 5" xfId="35902"/>
    <cellStyle name="Notas 4 4 5 10" xfId="35903"/>
    <cellStyle name="Notas 4 4 5 10 2" xfId="35904"/>
    <cellStyle name="Notas 4 4 5 11" xfId="35905"/>
    <cellStyle name="Notas 4 4 5 2" xfId="35906"/>
    <cellStyle name="Notas 4 4 5 2 2" xfId="35907"/>
    <cellStyle name="Notas 4 4 5 3" xfId="35908"/>
    <cellStyle name="Notas 4 4 5 3 2" xfId="35909"/>
    <cellStyle name="Notas 4 4 5 4" xfId="35910"/>
    <cellStyle name="Notas 4 4 5 4 2" xfId="35911"/>
    <cellStyle name="Notas 4 4 5 5" xfId="35912"/>
    <cellStyle name="Notas 4 4 5 5 2" xfId="35913"/>
    <cellStyle name="Notas 4 4 5 6" xfId="35914"/>
    <cellStyle name="Notas 4 4 5 6 2" xfId="35915"/>
    <cellStyle name="Notas 4 4 5 7" xfId="35916"/>
    <cellStyle name="Notas 4 4 5 7 2" xfId="35917"/>
    <cellStyle name="Notas 4 4 5 8" xfId="35918"/>
    <cellStyle name="Notas 4 4 5 8 2" xfId="35919"/>
    <cellStyle name="Notas 4 4 5 9" xfId="35920"/>
    <cellStyle name="Notas 4 4 5 9 2" xfId="35921"/>
    <cellStyle name="Notas 4 4 6" xfId="35922"/>
    <cellStyle name="Notas 4 4 6 2" xfId="35923"/>
    <cellStyle name="Notas 4 4 7" xfId="35924"/>
    <cellStyle name="Notas 4 4 7 2" xfId="35925"/>
    <cellStyle name="Notas 4 4 8" xfId="35926"/>
    <cellStyle name="Notas 4 4 8 2" xfId="35927"/>
    <cellStyle name="Notas 4 4 9" xfId="35928"/>
    <cellStyle name="Notas 4 4 9 2" xfId="35929"/>
    <cellStyle name="Notas 4 5" xfId="35930"/>
    <cellStyle name="Notas 4 5 10" xfId="35931"/>
    <cellStyle name="Notas 4 5 10 2" xfId="35932"/>
    <cellStyle name="Notas 4 5 11" xfId="35933"/>
    <cellStyle name="Notas 4 5 11 2" xfId="35934"/>
    <cellStyle name="Notas 4 5 12" xfId="35935"/>
    <cellStyle name="Notas 4 5 12 2" xfId="35936"/>
    <cellStyle name="Notas 4 5 13" xfId="35937"/>
    <cellStyle name="Notas 4 5 2" xfId="35938"/>
    <cellStyle name="Notas 4 5 2 10" xfId="35939"/>
    <cellStyle name="Notas 4 5 2 10 2" xfId="35940"/>
    <cellStyle name="Notas 4 5 2 11" xfId="35941"/>
    <cellStyle name="Notas 4 5 2 2" xfId="35942"/>
    <cellStyle name="Notas 4 5 2 2 2" xfId="35943"/>
    <cellStyle name="Notas 4 5 2 3" xfId="35944"/>
    <cellStyle name="Notas 4 5 2 3 2" xfId="35945"/>
    <cellStyle name="Notas 4 5 2 4" xfId="35946"/>
    <cellStyle name="Notas 4 5 2 4 2" xfId="35947"/>
    <cellStyle name="Notas 4 5 2 5" xfId="35948"/>
    <cellStyle name="Notas 4 5 2 5 2" xfId="35949"/>
    <cellStyle name="Notas 4 5 2 6" xfId="35950"/>
    <cellStyle name="Notas 4 5 2 6 2" xfId="35951"/>
    <cellStyle name="Notas 4 5 2 7" xfId="35952"/>
    <cellStyle name="Notas 4 5 2 7 2" xfId="35953"/>
    <cellStyle name="Notas 4 5 2 8" xfId="35954"/>
    <cellStyle name="Notas 4 5 2 8 2" xfId="35955"/>
    <cellStyle name="Notas 4 5 2 9" xfId="35956"/>
    <cellStyle name="Notas 4 5 2 9 2" xfId="35957"/>
    <cellStyle name="Notas 4 5 3" xfId="35958"/>
    <cellStyle name="Notas 4 5 3 10" xfId="35959"/>
    <cellStyle name="Notas 4 5 3 10 2" xfId="35960"/>
    <cellStyle name="Notas 4 5 3 11" xfId="35961"/>
    <cellStyle name="Notas 4 5 3 2" xfId="35962"/>
    <cellStyle name="Notas 4 5 3 2 2" xfId="35963"/>
    <cellStyle name="Notas 4 5 3 3" xfId="35964"/>
    <cellStyle name="Notas 4 5 3 3 2" xfId="35965"/>
    <cellStyle name="Notas 4 5 3 4" xfId="35966"/>
    <cellStyle name="Notas 4 5 3 4 2" xfId="35967"/>
    <cellStyle name="Notas 4 5 3 5" xfId="35968"/>
    <cellStyle name="Notas 4 5 3 5 2" xfId="35969"/>
    <cellStyle name="Notas 4 5 3 6" xfId="35970"/>
    <cellStyle name="Notas 4 5 3 6 2" xfId="35971"/>
    <cellStyle name="Notas 4 5 3 7" xfId="35972"/>
    <cellStyle name="Notas 4 5 3 7 2" xfId="35973"/>
    <cellStyle name="Notas 4 5 3 8" xfId="35974"/>
    <cellStyle name="Notas 4 5 3 8 2" xfId="35975"/>
    <cellStyle name="Notas 4 5 3 9" xfId="35976"/>
    <cellStyle name="Notas 4 5 3 9 2" xfId="35977"/>
    <cellStyle name="Notas 4 5 4" xfId="35978"/>
    <cellStyle name="Notas 4 5 4 2" xfId="35979"/>
    <cellStyle name="Notas 4 5 5" xfId="35980"/>
    <cellStyle name="Notas 4 5 5 2" xfId="35981"/>
    <cellStyle name="Notas 4 5 6" xfId="35982"/>
    <cellStyle name="Notas 4 5 6 2" xfId="35983"/>
    <cellStyle name="Notas 4 5 7" xfId="35984"/>
    <cellStyle name="Notas 4 5 7 2" xfId="35985"/>
    <cellStyle name="Notas 4 5 8" xfId="35986"/>
    <cellStyle name="Notas 4 5 8 2" xfId="35987"/>
    <cellStyle name="Notas 4 5 9" xfId="35988"/>
    <cellStyle name="Notas 4 5 9 2" xfId="35989"/>
    <cellStyle name="Notas 4 6" xfId="35990"/>
    <cellStyle name="Notas 4 6 10" xfId="35991"/>
    <cellStyle name="Notas 4 6 10 2" xfId="35992"/>
    <cellStyle name="Notas 4 6 11" xfId="35993"/>
    <cellStyle name="Notas 4 6 11 2" xfId="35994"/>
    <cellStyle name="Notas 4 6 12" xfId="35995"/>
    <cellStyle name="Notas 4 6 12 2" xfId="35996"/>
    <cellStyle name="Notas 4 6 13" xfId="35997"/>
    <cellStyle name="Notas 4 6 2" xfId="35998"/>
    <cellStyle name="Notas 4 6 2 10" xfId="35999"/>
    <cellStyle name="Notas 4 6 2 10 2" xfId="36000"/>
    <cellStyle name="Notas 4 6 2 11" xfId="36001"/>
    <cellStyle name="Notas 4 6 2 2" xfId="36002"/>
    <cellStyle name="Notas 4 6 2 2 2" xfId="36003"/>
    <cellStyle name="Notas 4 6 2 3" xfId="36004"/>
    <cellStyle name="Notas 4 6 2 3 2" xfId="36005"/>
    <cellStyle name="Notas 4 6 2 4" xfId="36006"/>
    <cellStyle name="Notas 4 6 2 4 2" xfId="36007"/>
    <cellStyle name="Notas 4 6 2 5" xfId="36008"/>
    <cellStyle name="Notas 4 6 2 5 2" xfId="36009"/>
    <cellStyle name="Notas 4 6 2 6" xfId="36010"/>
    <cellStyle name="Notas 4 6 2 6 2" xfId="36011"/>
    <cellStyle name="Notas 4 6 2 7" xfId="36012"/>
    <cellStyle name="Notas 4 6 2 7 2" xfId="36013"/>
    <cellStyle name="Notas 4 6 2 8" xfId="36014"/>
    <cellStyle name="Notas 4 6 2 8 2" xfId="36015"/>
    <cellStyle name="Notas 4 6 2 9" xfId="36016"/>
    <cellStyle name="Notas 4 6 2 9 2" xfId="36017"/>
    <cellStyle name="Notas 4 6 3" xfId="36018"/>
    <cellStyle name="Notas 4 6 3 10" xfId="36019"/>
    <cellStyle name="Notas 4 6 3 10 2" xfId="36020"/>
    <cellStyle name="Notas 4 6 3 11" xfId="36021"/>
    <cellStyle name="Notas 4 6 3 2" xfId="36022"/>
    <cellStyle name="Notas 4 6 3 2 2" xfId="36023"/>
    <cellStyle name="Notas 4 6 3 3" xfId="36024"/>
    <cellStyle name="Notas 4 6 3 3 2" xfId="36025"/>
    <cellStyle name="Notas 4 6 3 4" xfId="36026"/>
    <cellStyle name="Notas 4 6 3 4 2" xfId="36027"/>
    <cellStyle name="Notas 4 6 3 5" xfId="36028"/>
    <cellStyle name="Notas 4 6 3 5 2" xfId="36029"/>
    <cellStyle name="Notas 4 6 3 6" xfId="36030"/>
    <cellStyle name="Notas 4 6 3 6 2" xfId="36031"/>
    <cellStyle name="Notas 4 6 3 7" xfId="36032"/>
    <cellStyle name="Notas 4 6 3 7 2" xfId="36033"/>
    <cellStyle name="Notas 4 6 3 8" xfId="36034"/>
    <cellStyle name="Notas 4 6 3 8 2" xfId="36035"/>
    <cellStyle name="Notas 4 6 3 9" xfId="36036"/>
    <cellStyle name="Notas 4 6 3 9 2" xfId="36037"/>
    <cellStyle name="Notas 4 6 4" xfId="36038"/>
    <cellStyle name="Notas 4 6 4 2" xfId="36039"/>
    <cellStyle name="Notas 4 6 5" xfId="36040"/>
    <cellStyle name="Notas 4 6 5 2" xfId="36041"/>
    <cellStyle name="Notas 4 6 6" xfId="36042"/>
    <cellStyle name="Notas 4 6 6 2" xfId="36043"/>
    <cellStyle name="Notas 4 6 7" xfId="36044"/>
    <cellStyle name="Notas 4 6 7 2" xfId="36045"/>
    <cellStyle name="Notas 4 6 8" xfId="36046"/>
    <cellStyle name="Notas 4 6 8 2" xfId="36047"/>
    <cellStyle name="Notas 4 6 9" xfId="36048"/>
    <cellStyle name="Notas 4 6 9 2" xfId="36049"/>
    <cellStyle name="Notas 4 7" xfId="36050"/>
    <cellStyle name="Notas 4 7 10" xfId="36051"/>
    <cellStyle name="Notas 4 7 10 2" xfId="36052"/>
    <cellStyle name="Notas 4 7 11" xfId="36053"/>
    <cellStyle name="Notas 4 7 2" xfId="36054"/>
    <cellStyle name="Notas 4 7 2 2" xfId="36055"/>
    <cellStyle name="Notas 4 7 3" xfId="36056"/>
    <cellStyle name="Notas 4 7 3 2" xfId="36057"/>
    <cellStyle name="Notas 4 7 4" xfId="36058"/>
    <cellStyle name="Notas 4 7 4 2" xfId="36059"/>
    <cellStyle name="Notas 4 7 5" xfId="36060"/>
    <cellStyle name="Notas 4 7 5 2" xfId="36061"/>
    <cellStyle name="Notas 4 7 6" xfId="36062"/>
    <cellStyle name="Notas 4 7 6 2" xfId="36063"/>
    <cellStyle name="Notas 4 7 7" xfId="36064"/>
    <cellStyle name="Notas 4 7 7 2" xfId="36065"/>
    <cellStyle name="Notas 4 7 8" xfId="36066"/>
    <cellStyle name="Notas 4 7 8 2" xfId="36067"/>
    <cellStyle name="Notas 4 7 9" xfId="36068"/>
    <cellStyle name="Notas 4 7 9 2" xfId="36069"/>
    <cellStyle name="Notas 4 8" xfId="36070"/>
    <cellStyle name="Notas 4 8 10" xfId="36071"/>
    <cellStyle name="Notas 4 8 10 2" xfId="36072"/>
    <cellStyle name="Notas 4 8 11" xfId="36073"/>
    <cellStyle name="Notas 4 8 2" xfId="36074"/>
    <cellStyle name="Notas 4 8 2 2" xfId="36075"/>
    <cellStyle name="Notas 4 8 3" xfId="36076"/>
    <cellStyle name="Notas 4 8 3 2" xfId="36077"/>
    <cellStyle name="Notas 4 8 4" xfId="36078"/>
    <cellStyle name="Notas 4 8 4 2" xfId="36079"/>
    <cellStyle name="Notas 4 8 5" xfId="36080"/>
    <cellStyle name="Notas 4 8 5 2" xfId="36081"/>
    <cellStyle name="Notas 4 8 6" xfId="36082"/>
    <cellStyle name="Notas 4 8 6 2" xfId="36083"/>
    <cellStyle name="Notas 4 8 7" xfId="36084"/>
    <cellStyle name="Notas 4 8 7 2" xfId="36085"/>
    <cellStyle name="Notas 4 8 8" xfId="36086"/>
    <cellStyle name="Notas 4 8 8 2" xfId="36087"/>
    <cellStyle name="Notas 4 8 9" xfId="36088"/>
    <cellStyle name="Notas 4 8 9 2" xfId="36089"/>
    <cellStyle name="Notas 4 9" xfId="36090"/>
    <cellStyle name="Notas 4 9 2" xfId="36091"/>
    <cellStyle name="Notas 5" xfId="36092"/>
    <cellStyle name="Notas 5 10" xfId="36093"/>
    <cellStyle name="Notas 5 10 2" xfId="36094"/>
    <cellStyle name="Notas 5 11" xfId="36095"/>
    <cellStyle name="Notas 5 11 2" xfId="36096"/>
    <cellStyle name="Notas 5 12" xfId="36097"/>
    <cellStyle name="Notas 5 12 2" xfId="36098"/>
    <cellStyle name="Notas 5 13" xfId="36099"/>
    <cellStyle name="Notas 5 2" xfId="36100"/>
    <cellStyle name="Notas 5 2 10" xfId="36101"/>
    <cellStyle name="Notas 5 2 10 2" xfId="36102"/>
    <cellStyle name="Notas 5 2 11" xfId="36103"/>
    <cellStyle name="Notas 5 2 2" xfId="36104"/>
    <cellStyle name="Notas 5 2 2 2" xfId="36105"/>
    <cellStyle name="Notas 5 2 3" xfId="36106"/>
    <cellStyle name="Notas 5 2 3 2" xfId="36107"/>
    <cellStyle name="Notas 5 2 4" xfId="36108"/>
    <cellStyle name="Notas 5 2 4 2" xfId="36109"/>
    <cellStyle name="Notas 5 2 5" xfId="36110"/>
    <cellStyle name="Notas 5 2 5 2" xfId="36111"/>
    <cellStyle name="Notas 5 2 6" xfId="36112"/>
    <cellStyle name="Notas 5 2 6 2" xfId="36113"/>
    <cellStyle name="Notas 5 2 7" xfId="36114"/>
    <cellStyle name="Notas 5 2 7 2" xfId="36115"/>
    <cellStyle name="Notas 5 2 8" xfId="36116"/>
    <cellStyle name="Notas 5 2 8 2" xfId="36117"/>
    <cellStyle name="Notas 5 2 9" xfId="36118"/>
    <cellStyle name="Notas 5 2 9 2" xfId="36119"/>
    <cellStyle name="Notas 5 3" xfId="36120"/>
    <cellStyle name="Notas 5 3 10" xfId="36121"/>
    <cellStyle name="Notas 5 3 10 2" xfId="36122"/>
    <cellStyle name="Notas 5 3 11" xfId="36123"/>
    <cellStyle name="Notas 5 3 2" xfId="36124"/>
    <cellStyle name="Notas 5 3 2 2" xfId="36125"/>
    <cellStyle name="Notas 5 3 3" xfId="36126"/>
    <cellStyle name="Notas 5 3 3 2" xfId="36127"/>
    <cellStyle name="Notas 5 3 4" xfId="36128"/>
    <cellStyle name="Notas 5 3 4 2" xfId="36129"/>
    <cellStyle name="Notas 5 3 5" xfId="36130"/>
    <cellStyle name="Notas 5 3 5 2" xfId="36131"/>
    <cellStyle name="Notas 5 3 6" xfId="36132"/>
    <cellStyle name="Notas 5 3 6 2" xfId="36133"/>
    <cellStyle name="Notas 5 3 7" xfId="36134"/>
    <cellStyle name="Notas 5 3 7 2" xfId="36135"/>
    <cellStyle name="Notas 5 3 8" xfId="36136"/>
    <cellStyle name="Notas 5 3 8 2" xfId="36137"/>
    <cellStyle name="Notas 5 3 9" xfId="36138"/>
    <cellStyle name="Notas 5 3 9 2" xfId="36139"/>
    <cellStyle name="Notas 5 4" xfId="36140"/>
    <cellStyle name="Notas 5 4 2" xfId="36141"/>
    <cellStyle name="Notas 5 5" xfId="36142"/>
    <cellStyle name="Notas 5 5 2" xfId="36143"/>
    <cellStyle name="Notas 5 6" xfId="36144"/>
    <cellStyle name="Notas 5 6 2" xfId="36145"/>
    <cellStyle name="Notas 5 7" xfId="36146"/>
    <cellStyle name="Notas 5 7 2" xfId="36147"/>
    <cellStyle name="Notas 5 8" xfId="36148"/>
    <cellStyle name="Notas 5 8 2" xfId="36149"/>
    <cellStyle name="Notas 5 9" xfId="36150"/>
    <cellStyle name="Notas 5 9 2" xfId="36151"/>
    <cellStyle name="Notas 6" xfId="36152"/>
    <cellStyle name="Notas 6 10" xfId="36153"/>
    <cellStyle name="Notas 6 10 2" xfId="36154"/>
    <cellStyle name="Notas 6 11" xfId="36155"/>
    <cellStyle name="Notas 6 11 2" xfId="36156"/>
    <cellStyle name="Notas 6 12" xfId="36157"/>
    <cellStyle name="Notas 6 12 2" xfId="36158"/>
    <cellStyle name="Notas 6 13" xfId="36159"/>
    <cellStyle name="Notas 6 2" xfId="36160"/>
    <cellStyle name="Notas 6 2 10" xfId="36161"/>
    <cellStyle name="Notas 6 2 10 2" xfId="36162"/>
    <cellStyle name="Notas 6 2 11" xfId="36163"/>
    <cellStyle name="Notas 6 2 2" xfId="36164"/>
    <cellStyle name="Notas 6 2 2 2" xfId="36165"/>
    <cellStyle name="Notas 6 2 3" xfId="36166"/>
    <cellStyle name="Notas 6 2 3 2" xfId="36167"/>
    <cellStyle name="Notas 6 2 4" xfId="36168"/>
    <cellStyle name="Notas 6 2 4 2" xfId="36169"/>
    <cellStyle name="Notas 6 2 5" xfId="36170"/>
    <cellStyle name="Notas 6 2 5 2" xfId="36171"/>
    <cellStyle name="Notas 6 2 6" xfId="36172"/>
    <cellStyle name="Notas 6 2 6 2" xfId="36173"/>
    <cellStyle name="Notas 6 2 7" xfId="36174"/>
    <cellStyle name="Notas 6 2 7 2" xfId="36175"/>
    <cellStyle name="Notas 6 2 8" xfId="36176"/>
    <cellStyle name="Notas 6 2 8 2" xfId="36177"/>
    <cellStyle name="Notas 6 2 9" xfId="36178"/>
    <cellStyle name="Notas 6 2 9 2" xfId="36179"/>
    <cellStyle name="Notas 6 3" xfId="36180"/>
    <cellStyle name="Notas 6 3 10" xfId="36181"/>
    <cellStyle name="Notas 6 3 10 2" xfId="36182"/>
    <cellStyle name="Notas 6 3 11" xfId="36183"/>
    <cellStyle name="Notas 6 3 2" xfId="36184"/>
    <cellStyle name="Notas 6 3 2 2" xfId="36185"/>
    <cellStyle name="Notas 6 3 3" xfId="36186"/>
    <cellStyle name="Notas 6 3 3 2" xfId="36187"/>
    <cellStyle name="Notas 6 3 4" xfId="36188"/>
    <cellStyle name="Notas 6 3 4 2" xfId="36189"/>
    <cellStyle name="Notas 6 3 5" xfId="36190"/>
    <cellStyle name="Notas 6 3 5 2" xfId="36191"/>
    <cellStyle name="Notas 6 3 6" xfId="36192"/>
    <cellStyle name="Notas 6 3 6 2" xfId="36193"/>
    <cellStyle name="Notas 6 3 7" xfId="36194"/>
    <cellStyle name="Notas 6 3 7 2" xfId="36195"/>
    <cellStyle name="Notas 6 3 8" xfId="36196"/>
    <cellStyle name="Notas 6 3 8 2" xfId="36197"/>
    <cellStyle name="Notas 6 3 9" xfId="36198"/>
    <cellStyle name="Notas 6 3 9 2" xfId="36199"/>
    <cellStyle name="Notas 6 4" xfId="36200"/>
    <cellStyle name="Notas 6 4 2" xfId="36201"/>
    <cellStyle name="Notas 6 5" xfId="36202"/>
    <cellStyle name="Notas 6 5 2" xfId="36203"/>
    <cellStyle name="Notas 6 6" xfId="36204"/>
    <cellStyle name="Notas 6 6 2" xfId="36205"/>
    <cellStyle name="Notas 6 7" xfId="36206"/>
    <cellStyle name="Notas 6 7 2" xfId="36207"/>
    <cellStyle name="Notas 6 8" xfId="36208"/>
    <cellStyle name="Notas 6 8 2" xfId="36209"/>
    <cellStyle name="Notas 6 9" xfId="36210"/>
    <cellStyle name="Notas 6 9 2" xfId="36211"/>
    <cellStyle name="Notas 7" xfId="36212"/>
    <cellStyle name="Notas 7 10" xfId="36213"/>
    <cellStyle name="Notas 7 10 2" xfId="36214"/>
    <cellStyle name="Notas 7 11" xfId="36215"/>
    <cellStyle name="Notas 7 11 2" xfId="36216"/>
    <cellStyle name="Notas 7 12" xfId="36217"/>
    <cellStyle name="Notas 7 12 2" xfId="36218"/>
    <cellStyle name="Notas 7 13" xfId="36219"/>
    <cellStyle name="Notas 7 2" xfId="36220"/>
    <cellStyle name="Notas 7 2 10" xfId="36221"/>
    <cellStyle name="Notas 7 2 10 2" xfId="36222"/>
    <cellStyle name="Notas 7 2 11" xfId="36223"/>
    <cellStyle name="Notas 7 2 2" xfId="36224"/>
    <cellStyle name="Notas 7 2 2 2" xfId="36225"/>
    <cellStyle name="Notas 7 2 3" xfId="36226"/>
    <cellStyle name="Notas 7 2 3 2" xfId="36227"/>
    <cellStyle name="Notas 7 2 4" xfId="36228"/>
    <cellStyle name="Notas 7 2 4 2" xfId="36229"/>
    <cellStyle name="Notas 7 2 5" xfId="36230"/>
    <cellStyle name="Notas 7 2 5 2" xfId="36231"/>
    <cellStyle name="Notas 7 2 6" xfId="36232"/>
    <cellStyle name="Notas 7 2 6 2" xfId="36233"/>
    <cellStyle name="Notas 7 2 7" xfId="36234"/>
    <cellStyle name="Notas 7 2 7 2" xfId="36235"/>
    <cellStyle name="Notas 7 2 8" xfId="36236"/>
    <cellStyle name="Notas 7 2 8 2" xfId="36237"/>
    <cellStyle name="Notas 7 2 9" xfId="36238"/>
    <cellStyle name="Notas 7 2 9 2" xfId="36239"/>
    <cellStyle name="Notas 7 3" xfId="36240"/>
    <cellStyle name="Notas 7 3 10" xfId="36241"/>
    <cellStyle name="Notas 7 3 10 2" xfId="36242"/>
    <cellStyle name="Notas 7 3 11" xfId="36243"/>
    <cellStyle name="Notas 7 3 2" xfId="36244"/>
    <cellStyle name="Notas 7 3 2 2" xfId="36245"/>
    <cellStyle name="Notas 7 3 3" xfId="36246"/>
    <cellStyle name="Notas 7 3 3 2" xfId="36247"/>
    <cellStyle name="Notas 7 3 4" xfId="36248"/>
    <cellStyle name="Notas 7 3 4 2" xfId="36249"/>
    <cellStyle name="Notas 7 3 5" xfId="36250"/>
    <cellStyle name="Notas 7 3 5 2" xfId="36251"/>
    <cellStyle name="Notas 7 3 6" xfId="36252"/>
    <cellStyle name="Notas 7 3 6 2" xfId="36253"/>
    <cellStyle name="Notas 7 3 7" xfId="36254"/>
    <cellStyle name="Notas 7 3 7 2" xfId="36255"/>
    <cellStyle name="Notas 7 3 8" xfId="36256"/>
    <cellStyle name="Notas 7 3 8 2" xfId="36257"/>
    <cellStyle name="Notas 7 3 9" xfId="36258"/>
    <cellStyle name="Notas 7 3 9 2" xfId="36259"/>
    <cellStyle name="Notas 7 4" xfId="36260"/>
    <cellStyle name="Notas 7 4 2" xfId="36261"/>
    <cellStyle name="Notas 7 5" xfId="36262"/>
    <cellStyle name="Notas 7 5 2" xfId="36263"/>
    <cellStyle name="Notas 7 6" xfId="36264"/>
    <cellStyle name="Notas 7 6 2" xfId="36265"/>
    <cellStyle name="Notas 7 7" xfId="36266"/>
    <cellStyle name="Notas 7 7 2" xfId="36267"/>
    <cellStyle name="Notas 7 8" xfId="36268"/>
    <cellStyle name="Notas 7 8 2" xfId="36269"/>
    <cellStyle name="Notas 7 9" xfId="36270"/>
    <cellStyle name="Notas 7 9 2" xfId="36271"/>
    <cellStyle name="Notas 8" xfId="36272"/>
    <cellStyle name="Notas 9" xfId="1146"/>
    <cellStyle name="Porcentaje 2" xfId="42133"/>
    <cellStyle name="Porcentaje 3" xfId="42134"/>
    <cellStyle name="Porcentual" xfId="889" builtinId="5"/>
    <cellStyle name="Porcentual 10" xfId="36273"/>
    <cellStyle name="Porcentual 10 10" xfId="36274"/>
    <cellStyle name="Porcentual 10 11" xfId="36275"/>
    <cellStyle name="Porcentual 10 12" xfId="36276"/>
    <cellStyle name="Porcentual 10 2" xfId="36277"/>
    <cellStyle name="Porcentual 10 3" xfId="36278"/>
    <cellStyle name="Porcentual 10 4" xfId="36279"/>
    <cellStyle name="Porcentual 10 5" xfId="36280"/>
    <cellStyle name="Porcentual 10 6" xfId="36281"/>
    <cellStyle name="Porcentual 10 7" xfId="36282"/>
    <cellStyle name="Porcentual 10 8" xfId="36283"/>
    <cellStyle name="Porcentual 10 9" xfId="36284"/>
    <cellStyle name="Porcentual 11" xfId="36285"/>
    <cellStyle name="Porcentual 11 10" xfId="36286"/>
    <cellStyle name="Porcentual 11 11" xfId="36287"/>
    <cellStyle name="Porcentual 11 12" xfId="36288"/>
    <cellStyle name="Porcentual 11 2" xfId="36289"/>
    <cellStyle name="Porcentual 11 3" xfId="36290"/>
    <cellStyle name="Porcentual 11 4" xfId="36291"/>
    <cellStyle name="Porcentual 11 5" xfId="36292"/>
    <cellStyle name="Porcentual 11 6" xfId="36293"/>
    <cellStyle name="Porcentual 11 7" xfId="36294"/>
    <cellStyle name="Porcentual 11 8" xfId="36295"/>
    <cellStyle name="Porcentual 11 9" xfId="36296"/>
    <cellStyle name="Porcentual 12" xfId="36297"/>
    <cellStyle name="Porcentual 13" xfId="36298"/>
    <cellStyle name="Porcentual 2" xfId="890"/>
    <cellStyle name="Porcentual 2 2" xfId="891"/>
    <cellStyle name="Porcentual 2 2 10" xfId="36299"/>
    <cellStyle name="Porcentual 2 2 11" xfId="36300"/>
    <cellStyle name="Porcentual 2 2 12" xfId="36301"/>
    <cellStyle name="Porcentual 2 2 13" xfId="36302"/>
    <cellStyle name="Porcentual 2 2 14" xfId="36303"/>
    <cellStyle name="Porcentual 2 2 15" xfId="36304"/>
    <cellStyle name="Porcentual 2 2 16" xfId="36305"/>
    <cellStyle name="Porcentual 2 2 2" xfId="36306"/>
    <cellStyle name="Porcentual 2 2 3" xfId="36307"/>
    <cellStyle name="Porcentual 2 2 4" xfId="36308"/>
    <cellStyle name="Porcentual 2 2 5" xfId="36309"/>
    <cellStyle name="Porcentual 2 2 6" xfId="36310"/>
    <cellStyle name="Porcentual 2 2 7" xfId="36311"/>
    <cellStyle name="Porcentual 2 2 8" xfId="36312"/>
    <cellStyle name="Porcentual 2 2 9" xfId="36313"/>
    <cellStyle name="Porcentual 2 3" xfId="1151"/>
    <cellStyle name="Porcentual 2 3 10" xfId="36314"/>
    <cellStyle name="Porcentual 2 3 11" xfId="36315"/>
    <cellStyle name="Porcentual 2 3 12" xfId="36316"/>
    <cellStyle name="Porcentual 2 3 13" xfId="36317"/>
    <cellStyle name="Porcentual 2 3 14" xfId="36318"/>
    <cellStyle name="Porcentual 2 3 2" xfId="36319"/>
    <cellStyle name="Porcentual 2 3 3" xfId="36320"/>
    <cellStyle name="Porcentual 2 3 4" xfId="36321"/>
    <cellStyle name="Porcentual 2 3 5" xfId="36322"/>
    <cellStyle name="Porcentual 2 3 6" xfId="36323"/>
    <cellStyle name="Porcentual 2 3 7" xfId="36324"/>
    <cellStyle name="Porcentual 2 3 8" xfId="36325"/>
    <cellStyle name="Porcentual 2 3 9" xfId="36326"/>
    <cellStyle name="Porcentual 2 4" xfId="36327"/>
    <cellStyle name="Porcentual 2 5" xfId="36328"/>
    <cellStyle name="Porcentual 2 6" xfId="36329"/>
    <cellStyle name="Porcentual 2 7" xfId="36330"/>
    <cellStyle name="Porcentual 3" xfId="934"/>
    <cellStyle name="Porcentual 3 10" xfId="36331"/>
    <cellStyle name="Porcentual 3 11" xfId="36332"/>
    <cellStyle name="Porcentual 3 12" xfId="36333"/>
    <cellStyle name="Porcentual 3 13" xfId="36334"/>
    <cellStyle name="Porcentual 3 14" xfId="36335"/>
    <cellStyle name="Porcentual 3 15" xfId="36336"/>
    <cellStyle name="Porcentual 3 16" xfId="36337"/>
    <cellStyle name="Porcentual 3 17" xfId="1152"/>
    <cellStyle name="Porcentual 3 2" xfId="892"/>
    <cellStyle name="Porcentual 3 2 2" xfId="36338"/>
    <cellStyle name="Porcentual 3 3" xfId="36339"/>
    <cellStyle name="Porcentual 3 4" xfId="36340"/>
    <cellStyle name="Porcentual 3 5" xfId="36341"/>
    <cellStyle name="Porcentual 3 6" xfId="36342"/>
    <cellStyle name="Porcentual 3 7" xfId="36343"/>
    <cellStyle name="Porcentual 3 8" xfId="36344"/>
    <cellStyle name="Porcentual 3 9" xfId="36345"/>
    <cellStyle name="Porcentual 4" xfId="938"/>
    <cellStyle name="Porcentual 4 10" xfId="36346"/>
    <cellStyle name="Porcentual 4 11" xfId="36347"/>
    <cellStyle name="Porcentual 4 12" xfId="36348"/>
    <cellStyle name="Porcentual 4 13" xfId="36349"/>
    <cellStyle name="Porcentual 4 14" xfId="36350"/>
    <cellStyle name="Porcentual 4 15" xfId="36351"/>
    <cellStyle name="Porcentual 4 16" xfId="36352"/>
    <cellStyle name="Porcentual 4 17" xfId="1153"/>
    <cellStyle name="Porcentual 4 2" xfId="36353"/>
    <cellStyle name="Porcentual 4 3" xfId="36354"/>
    <cellStyle name="Porcentual 4 4" xfId="36355"/>
    <cellStyle name="Porcentual 4 5" xfId="36356"/>
    <cellStyle name="Porcentual 4 6" xfId="36357"/>
    <cellStyle name="Porcentual 4 7" xfId="36358"/>
    <cellStyle name="Porcentual 4 8" xfId="36359"/>
    <cellStyle name="Porcentual 4 9" xfId="36360"/>
    <cellStyle name="Porcentual 5" xfId="944"/>
    <cellStyle name="Porcentual 5 10" xfId="36361"/>
    <cellStyle name="Porcentual 5 11" xfId="36362"/>
    <cellStyle name="Porcentual 5 12" xfId="36363"/>
    <cellStyle name="Porcentual 5 13" xfId="36364"/>
    <cellStyle name="Porcentual 5 14" xfId="36365"/>
    <cellStyle name="Porcentual 5 15" xfId="36366"/>
    <cellStyle name="Porcentual 5 16" xfId="36367"/>
    <cellStyle name="Porcentual 5 17" xfId="1154"/>
    <cellStyle name="Porcentual 5 2" xfId="36368"/>
    <cellStyle name="Porcentual 5 3" xfId="36369"/>
    <cellStyle name="Porcentual 5 4" xfId="36370"/>
    <cellStyle name="Porcentual 5 5" xfId="36371"/>
    <cellStyle name="Porcentual 5 6" xfId="36372"/>
    <cellStyle name="Porcentual 5 7" xfId="36373"/>
    <cellStyle name="Porcentual 5 8" xfId="36374"/>
    <cellStyle name="Porcentual 5 9" xfId="36375"/>
    <cellStyle name="Porcentual 6" xfId="954"/>
    <cellStyle name="Porcentual 6 10" xfId="36376"/>
    <cellStyle name="Porcentual 6 11" xfId="36377"/>
    <cellStyle name="Porcentual 6 12" xfId="36378"/>
    <cellStyle name="Porcentual 6 13" xfId="36379"/>
    <cellStyle name="Porcentual 6 14" xfId="36380"/>
    <cellStyle name="Porcentual 6 15" xfId="36381"/>
    <cellStyle name="Porcentual 6 16" xfId="36382"/>
    <cellStyle name="Porcentual 6 17" xfId="1155"/>
    <cellStyle name="Porcentual 6 2" xfId="36383"/>
    <cellStyle name="Porcentual 6 3" xfId="36384"/>
    <cellStyle name="Porcentual 6 4" xfId="36385"/>
    <cellStyle name="Porcentual 6 5" xfId="36386"/>
    <cellStyle name="Porcentual 6 6" xfId="36387"/>
    <cellStyle name="Porcentual 6 7" xfId="36388"/>
    <cellStyle name="Porcentual 6 8" xfId="36389"/>
    <cellStyle name="Porcentual 6 9" xfId="36390"/>
    <cellStyle name="Porcentual 7" xfId="1156"/>
    <cellStyle name="Porcentual 7 2" xfId="1157"/>
    <cellStyle name="Porcentual 7 2 10" xfId="36391"/>
    <cellStyle name="Porcentual 7 2 11" xfId="36392"/>
    <cellStyle name="Porcentual 7 2 12" xfId="36393"/>
    <cellStyle name="Porcentual 7 2 13" xfId="36394"/>
    <cellStyle name="Porcentual 7 2 14" xfId="36395"/>
    <cellStyle name="Porcentual 7 2 15" xfId="36396"/>
    <cellStyle name="Porcentual 7 2 2" xfId="36397"/>
    <cellStyle name="Porcentual 7 2 3" xfId="36398"/>
    <cellStyle name="Porcentual 7 2 4" xfId="36399"/>
    <cellStyle name="Porcentual 7 2 5" xfId="36400"/>
    <cellStyle name="Porcentual 7 2 6" xfId="36401"/>
    <cellStyle name="Porcentual 7 2 7" xfId="36402"/>
    <cellStyle name="Porcentual 7 2 8" xfId="36403"/>
    <cellStyle name="Porcentual 7 2 9" xfId="36404"/>
    <cellStyle name="Porcentual 7 3" xfId="1158"/>
    <cellStyle name="Porcentual 7 3 10" xfId="36405"/>
    <cellStyle name="Porcentual 7 3 11" xfId="36406"/>
    <cellStyle name="Porcentual 7 3 12" xfId="36407"/>
    <cellStyle name="Porcentual 7 3 13" xfId="36408"/>
    <cellStyle name="Porcentual 7 3 14" xfId="36409"/>
    <cellStyle name="Porcentual 7 3 2" xfId="36410"/>
    <cellStyle name="Porcentual 7 3 3" xfId="36411"/>
    <cellStyle name="Porcentual 7 3 4" xfId="36412"/>
    <cellStyle name="Porcentual 7 3 5" xfId="36413"/>
    <cellStyle name="Porcentual 7 3 6" xfId="36414"/>
    <cellStyle name="Porcentual 7 3 7" xfId="36415"/>
    <cellStyle name="Porcentual 7 3 8" xfId="36416"/>
    <cellStyle name="Porcentual 7 3 9" xfId="36417"/>
    <cellStyle name="Porcentual 8" xfId="36418"/>
    <cellStyle name="Porcentual 9" xfId="36419"/>
    <cellStyle name="Porcentual 9 10" xfId="36420"/>
    <cellStyle name="Porcentual 9 10 2" xfId="36421"/>
    <cellStyle name="Porcentual 9 11" xfId="36422"/>
    <cellStyle name="Porcentual 9 11 2" xfId="36423"/>
    <cellStyle name="Porcentual 9 12" xfId="36424"/>
    <cellStyle name="Porcentual 9 12 2" xfId="36425"/>
    <cellStyle name="Porcentual 9 13" xfId="36426"/>
    <cellStyle name="Porcentual 9 2" xfId="36427"/>
    <cellStyle name="Porcentual 9 2 10" xfId="36428"/>
    <cellStyle name="Porcentual 9 2 10 2" xfId="36429"/>
    <cellStyle name="Porcentual 9 2 11" xfId="36430"/>
    <cellStyle name="Porcentual 9 2 11 2" xfId="36431"/>
    <cellStyle name="Porcentual 9 2 12" xfId="36432"/>
    <cellStyle name="Porcentual 9 2 2" xfId="36433"/>
    <cellStyle name="Porcentual 9 2 2 10" xfId="36434"/>
    <cellStyle name="Porcentual 9 2 2 10 2" xfId="36435"/>
    <cellStyle name="Porcentual 9 2 2 11" xfId="36436"/>
    <cellStyle name="Porcentual 9 2 2 2" xfId="36437"/>
    <cellStyle name="Porcentual 9 2 2 2 2" xfId="36438"/>
    <cellStyle name="Porcentual 9 2 2 3" xfId="36439"/>
    <cellStyle name="Porcentual 9 2 2 3 2" xfId="36440"/>
    <cellStyle name="Porcentual 9 2 2 4" xfId="36441"/>
    <cellStyle name="Porcentual 9 2 2 4 2" xfId="36442"/>
    <cellStyle name="Porcentual 9 2 2 5" xfId="36443"/>
    <cellStyle name="Porcentual 9 2 2 5 2" xfId="36444"/>
    <cellStyle name="Porcentual 9 2 2 6" xfId="36445"/>
    <cellStyle name="Porcentual 9 2 2 6 2" xfId="36446"/>
    <cellStyle name="Porcentual 9 2 2 7" xfId="36447"/>
    <cellStyle name="Porcentual 9 2 2 7 2" xfId="36448"/>
    <cellStyle name="Porcentual 9 2 2 8" xfId="36449"/>
    <cellStyle name="Porcentual 9 2 2 8 2" xfId="36450"/>
    <cellStyle name="Porcentual 9 2 2 9" xfId="36451"/>
    <cellStyle name="Porcentual 9 2 2 9 2" xfId="36452"/>
    <cellStyle name="Porcentual 9 2 3" xfId="36453"/>
    <cellStyle name="Porcentual 9 2 3 2" xfId="36454"/>
    <cellStyle name="Porcentual 9 2 4" xfId="36455"/>
    <cellStyle name="Porcentual 9 2 4 2" xfId="36456"/>
    <cellStyle name="Porcentual 9 2 5" xfId="36457"/>
    <cellStyle name="Porcentual 9 2 5 2" xfId="36458"/>
    <cellStyle name="Porcentual 9 2 6" xfId="36459"/>
    <cellStyle name="Porcentual 9 2 6 2" xfId="36460"/>
    <cellStyle name="Porcentual 9 2 7" xfId="36461"/>
    <cellStyle name="Porcentual 9 2 7 2" xfId="36462"/>
    <cellStyle name="Porcentual 9 2 8" xfId="36463"/>
    <cellStyle name="Porcentual 9 2 8 2" xfId="36464"/>
    <cellStyle name="Porcentual 9 2 9" xfId="36465"/>
    <cellStyle name="Porcentual 9 2 9 2" xfId="36466"/>
    <cellStyle name="Porcentual 9 3" xfId="36467"/>
    <cellStyle name="Porcentual 9 3 10" xfId="36468"/>
    <cellStyle name="Porcentual 9 3 10 2" xfId="36469"/>
    <cellStyle name="Porcentual 9 3 11" xfId="36470"/>
    <cellStyle name="Porcentual 9 3 2" xfId="36471"/>
    <cellStyle name="Porcentual 9 3 2 2" xfId="36472"/>
    <cellStyle name="Porcentual 9 3 3" xfId="36473"/>
    <cellStyle name="Porcentual 9 3 3 2" xfId="36474"/>
    <cellStyle name="Porcentual 9 3 4" xfId="36475"/>
    <cellStyle name="Porcentual 9 3 4 2" xfId="36476"/>
    <cellStyle name="Porcentual 9 3 5" xfId="36477"/>
    <cellStyle name="Porcentual 9 3 5 2" xfId="36478"/>
    <cellStyle name="Porcentual 9 3 6" xfId="36479"/>
    <cellStyle name="Porcentual 9 3 6 2" xfId="36480"/>
    <cellStyle name="Porcentual 9 3 7" xfId="36481"/>
    <cellStyle name="Porcentual 9 3 7 2" xfId="36482"/>
    <cellStyle name="Porcentual 9 3 8" xfId="36483"/>
    <cellStyle name="Porcentual 9 3 8 2" xfId="36484"/>
    <cellStyle name="Porcentual 9 3 9" xfId="36485"/>
    <cellStyle name="Porcentual 9 3 9 2" xfId="36486"/>
    <cellStyle name="Porcentual 9 4" xfId="36487"/>
    <cellStyle name="Porcentual 9 4 2" xfId="36488"/>
    <cellStyle name="Porcentual 9 5" xfId="36489"/>
    <cellStyle name="Porcentual 9 5 2" xfId="36490"/>
    <cellStyle name="Porcentual 9 6" xfId="36491"/>
    <cellStyle name="Porcentual 9 6 2" xfId="36492"/>
    <cellStyle name="Porcentual 9 7" xfId="36493"/>
    <cellStyle name="Porcentual 9 7 2" xfId="36494"/>
    <cellStyle name="Porcentual 9 8" xfId="36495"/>
    <cellStyle name="Porcentual 9 8 2" xfId="36496"/>
    <cellStyle name="Porcentual 9 9" xfId="36497"/>
    <cellStyle name="Porcentual 9 9 2" xfId="36498"/>
    <cellStyle name="Salida" xfId="902" builtinId="21" customBuiltin="1"/>
    <cellStyle name="Salida 2" xfId="1160"/>
    <cellStyle name="Salida 2 10" xfId="36499"/>
    <cellStyle name="Salida 2 10 2" xfId="36500"/>
    <cellStyle name="Salida 2 11" xfId="36501"/>
    <cellStyle name="Salida 2 11 2" xfId="36502"/>
    <cellStyle name="Salida 2 12" xfId="36503"/>
    <cellStyle name="Salida 2 12 2" xfId="36504"/>
    <cellStyle name="Salida 2 13" xfId="36505"/>
    <cellStyle name="Salida 2 13 2" xfId="36506"/>
    <cellStyle name="Salida 2 14" xfId="36507"/>
    <cellStyle name="Salida 2 14 2" xfId="36508"/>
    <cellStyle name="Salida 2 15" xfId="36509"/>
    <cellStyle name="Salida 2 15 2" xfId="36510"/>
    <cellStyle name="Salida 2 16" xfId="36511"/>
    <cellStyle name="Salida 2 16 2" xfId="36512"/>
    <cellStyle name="Salida 2 17" xfId="36513"/>
    <cellStyle name="Salida 2 17 2" xfId="36514"/>
    <cellStyle name="Salida 2 18" xfId="36515"/>
    <cellStyle name="Salida 2 18 2" xfId="36516"/>
    <cellStyle name="Salida 2 19" xfId="36517"/>
    <cellStyle name="Salida 2 2" xfId="1161"/>
    <cellStyle name="Salida 2 2 10" xfId="36518"/>
    <cellStyle name="Salida 2 2 10 2" xfId="36519"/>
    <cellStyle name="Salida 2 2 11" xfId="36520"/>
    <cellStyle name="Salida 2 2 11 2" xfId="36521"/>
    <cellStyle name="Salida 2 2 12" xfId="36522"/>
    <cellStyle name="Salida 2 2 12 2" xfId="36523"/>
    <cellStyle name="Salida 2 2 13" xfId="36524"/>
    <cellStyle name="Salida 2 2 13 2" xfId="36525"/>
    <cellStyle name="Salida 2 2 14" xfId="36526"/>
    <cellStyle name="Salida 2 2 14 2" xfId="36527"/>
    <cellStyle name="Salida 2 2 15" xfId="36528"/>
    <cellStyle name="Salida 2 2 15 2" xfId="36529"/>
    <cellStyle name="Salida 2 2 16" xfId="36530"/>
    <cellStyle name="Salida 2 2 17" xfId="36531"/>
    <cellStyle name="Salida 2 2 18" xfId="36532"/>
    <cellStyle name="Salida 2 2 2" xfId="36533"/>
    <cellStyle name="Salida 2 2 2 10" xfId="36534"/>
    <cellStyle name="Salida 2 2 2 10 2" xfId="36535"/>
    <cellStyle name="Salida 2 2 2 11" xfId="36536"/>
    <cellStyle name="Salida 2 2 2 11 2" xfId="36537"/>
    <cellStyle name="Salida 2 2 2 12" xfId="36538"/>
    <cellStyle name="Salida 2 2 2 12 2" xfId="36539"/>
    <cellStyle name="Salida 2 2 2 13" xfId="36540"/>
    <cellStyle name="Salida 2 2 2 13 2" xfId="36541"/>
    <cellStyle name="Salida 2 2 2 14" xfId="36542"/>
    <cellStyle name="Salida 2 2 2 14 2" xfId="36543"/>
    <cellStyle name="Salida 2 2 2 15" xfId="36544"/>
    <cellStyle name="Salida 2 2 2 2" xfId="36545"/>
    <cellStyle name="Salida 2 2 2 2 10" xfId="36546"/>
    <cellStyle name="Salida 2 2 2 2 10 2" xfId="36547"/>
    <cellStyle name="Salida 2 2 2 2 11" xfId="36548"/>
    <cellStyle name="Salida 2 2 2 2 11 2" xfId="36549"/>
    <cellStyle name="Salida 2 2 2 2 12" xfId="36550"/>
    <cellStyle name="Salida 2 2 2 2 12 2" xfId="36551"/>
    <cellStyle name="Salida 2 2 2 2 13" xfId="36552"/>
    <cellStyle name="Salida 2 2 2 2 2" xfId="36553"/>
    <cellStyle name="Salida 2 2 2 2 2 10" xfId="36554"/>
    <cellStyle name="Salida 2 2 2 2 2 10 2" xfId="36555"/>
    <cellStyle name="Salida 2 2 2 2 2 11" xfId="36556"/>
    <cellStyle name="Salida 2 2 2 2 2 2" xfId="36557"/>
    <cellStyle name="Salida 2 2 2 2 2 2 2" xfId="36558"/>
    <cellStyle name="Salida 2 2 2 2 2 3" xfId="36559"/>
    <cellStyle name="Salida 2 2 2 2 2 3 2" xfId="36560"/>
    <cellStyle name="Salida 2 2 2 2 2 4" xfId="36561"/>
    <cellStyle name="Salida 2 2 2 2 2 4 2" xfId="36562"/>
    <cellStyle name="Salida 2 2 2 2 2 5" xfId="36563"/>
    <cellStyle name="Salida 2 2 2 2 2 5 2" xfId="36564"/>
    <cellStyle name="Salida 2 2 2 2 2 6" xfId="36565"/>
    <cellStyle name="Salida 2 2 2 2 2 6 2" xfId="36566"/>
    <cellStyle name="Salida 2 2 2 2 2 7" xfId="36567"/>
    <cellStyle name="Salida 2 2 2 2 2 7 2" xfId="36568"/>
    <cellStyle name="Salida 2 2 2 2 2 8" xfId="36569"/>
    <cellStyle name="Salida 2 2 2 2 2 8 2" xfId="36570"/>
    <cellStyle name="Salida 2 2 2 2 2 9" xfId="36571"/>
    <cellStyle name="Salida 2 2 2 2 2 9 2" xfId="36572"/>
    <cellStyle name="Salida 2 2 2 2 3" xfId="36573"/>
    <cellStyle name="Salida 2 2 2 2 3 10" xfId="36574"/>
    <cellStyle name="Salida 2 2 2 2 3 10 2" xfId="36575"/>
    <cellStyle name="Salida 2 2 2 2 3 11" xfId="36576"/>
    <cellStyle name="Salida 2 2 2 2 3 2" xfId="36577"/>
    <cellStyle name="Salida 2 2 2 2 3 2 2" xfId="36578"/>
    <cellStyle name="Salida 2 2 2 2 3 3" xfId="36579"/>
    <cellStyle name="Salida 2 2 2 2 3 3 2" xfId="36580"/>
    <cellStyle name="Salida 2 2 2 2 3 4" xfId="36581"/>
    <cellStyle name="Salida 2 2 2 2 3 4 2" xfId="36582"/>
    <cellStyle name="Salida 2 2 2 2 3 5" xfId="36583"/>
    <cellStyle name="Salida 2 2 2 2 3 5 2" xfId="36584"/>
    <cellStyle name="Salida 2 2 2 2 3 6" xfId="36585"/>
    <cellStyle name="Salida 2 2 2 2 3 6 2" xfId="36586"/>
    <cellStyle name="Salida 2 2 2 2 3 7" xfId="36587"/>
    <cellStyle name="Salida 2 2 2 2 3 7 2" xfId="36588"/>
    <cellStyle name="Salida 2 2 2 2 3 8" xfId="36589"/>
    <cellStyle name="Salida 2 2 2 2 3 8 2" xfId="36590"/>
    <cellStyle name="Salida 2 2 2 2 3 9" xfId="36591"/>
    <cellStyle name="Salida 2 2 2 2 3 9 2" xfId="36592"/>
    <cellStyle name="Salida 2 2 2 2 4" xfId="36593"/>
    <cellStyle name="Salida 2 2 2 2 4 2" xfId="36594"/>
    <cellStyle name="Salida 2 2 2 2 5" xfId="36595"/>
    <cellStyle name="Salida 2 2 2 2 5 2" xfId="36596"/>
    <cellStyle name="Salida 2 2 2 2 6" xfId="36597"/>
    <cellStyle name="Salida 2 2 2 2 6 2" xfId="36598"/>
    <cellStyle name="Salida 2 2 2 2 7" xfId="36599"/>
    <cellStyle name="Salida 2 2 2 2 7 2" xfId="36600"/>
    <cellStyle name="Salida 2 2 2 2 8" xfId="36601"/>
    <cellStyle name="Salida 2 2 2 2 8 2" xfId="36602"/>
    <cellStyle name="Salida 2 2 2 2 9" xfId="36603"/>
    <cellStyle name="Salida 2 2 2 2 9 2" xfId="36604"/>
    <cellStyle name="Salida 2 2 2 3" xfId="36605"/>
    <cellStyle name="Salida 2 2 2 3 10" xfId="36606"/>
    <cellStyle name="Salida 2 2 2 3 10 2" xfId="36607"/>
    <cellStyle name="Salida 2 2 2 3 11" xfId="36608"/>
    <cellStyle name="Salida 2 2 2 3 11 2" xfId="36609"/>
    <cellStyle name="Salida 2 2 2 3 12" xfId="36610"/>
    <cellStyle name="Salida 2 2 2 3 12 2" xfId="36611"/>
    <cellStyle name="Salida 2 2 2 3 13" xfId="36612"/>
    <cellStyle name="Salida 2 2 2 3 2" xfId="36613"/>
    <cellStyle name="Salida 2 2 2 3 2 10" xfId="36614"/>
    <cellStyle name="Salida 2 2 2 3 2 10 2" xfId="36615"/>
    <cellStyle name="Salida 2 2 2 3 2 11" xfId="36616"/>
    <cellStyle name="Salida 2 2 2 3 2 2" xfId="36617"/>
    <cellStyle name="Salida 2 2 2 3 2 2 2" xfId="36618"/>
    <cellStyle name="Salida 2 2 2 3 2 3" xfId="36619"/>
    <cellStyle name="Salida 2 2 2 3 2 3 2" xfId="36620"/>
    <cellStyle name="Salida 2 2 2 3 2 4" xfId="36621"/>
    <cellStyle name="Salida 2 2 2 3 2 4 2" xfId="36622"/>
    <cellStyle name="Salida 2 2 2 3 2 5" xfId="36623"/>
    <cellStyle name="Salida 2 2 2 3 2 5 2" xfId="36624"/>
    <cellStyle name="Salida 2 2 2 3 2 6" xfId="36625"/>
    <cellStyle name="Salida 2 2 2 3 2 6 2" xfId="36626"/>
    <cellStyle name="Salida 2 2 2 3 2 7" xfId="36627"/>
    <cellStyle name="Salida 2 2 2 3 2 7 2" xfId="36628"/>
    <cellStyle name="Salida 2 2 2 3 2 8" xfId="36629"/>
    <cellStyle name="Salida 2 2 2 3 2 8 2" xfId="36630"/>
    <cellStyle name="Salida 2 2 2 3 2 9" xfId="36631"/>
    <cellStyle name="Salida 2 2 2 3 2 9 2" xfId="36632"/>
    <cellStyle name="Salida 2 2 2 3 3" xfId="36633"/>
    <cellStyle name="Salida 2 2 2 3 3 10" xfId="36634"/>
    <cellStyle name="Salida 2 2 2 3 3 10 2" xfId="36635"/>
    <cellStyle name="Salida 2 2 2 3 3 11" xfId="36636"/>
    <cellStyle name="Salida 2 2 2 3 3 2" xfId="36637"/>
    <cellStyle name="Salida 2 2 2 3 3 2 2" xfId="36638"/>
    <cellStyle name="Salida 2 2 2 3 3 3" xfId="36639"/>
    <cellStyle name="Salida 2 2 2 3 3 3 2" xfId="36640"/>
    <cellStyle name="Salida 2 2 2 3 3 4" xfId="36641"/>
    <cellStyle name="Salida 2 2 2 3 3 4 2" xfId="36642"/>
    <cellStyle name="Salida 2 2 2 3 3 5" xfId="36643"/>
    <cellStyle name="Salida 2 2 2 3 3 5 2" xfId="36644"/>
    <cellStyle name="Salida 2 2 2 3 3 6" xfId="36645"/>
    <cellStyle name="Salida 2 2 2 3 3 6 2" xfId="36646"/>
    <cellStyle name="Salida 2 2 2 3 3 7" xfId="36647"/>
    <cellStyle name="Salida 2 2 2 3 3 7 2" xfId="36648"/>
    <cellStyle name="Salida 2 2 2 3 3 8" xfId="36649"/>
    <cellStyle name="Salida 2 2 2 3 3 8 2" xfId="36650"/>
    <cellStyle name="Salida 2 2 2 3 3 9" xfId="36651"/>
    <cellStyle name="Salida 2 2 2 3 3 9 2" xfId="36652"/>
    <cellStyle name="Salida 2 2 2 3 4" xfId="36653"/>
    <cellStyle name="Salida 2 2 2 3 4 2" xfId="36654"/>
    <cellStyle name="Salida 2 2 2 3 5" xfId="36655"/>
    <cellStyle name="Salida 2 2 2 3 5 2" xfId="36656"/>
    <cellStyle name="Salida 2 2 2 3 6" xfId="36657"/>
    <cellStyle name="Salida 2 2 2 3 6 2" xfId="36658"/>
    <cellStyle name="Salida 2 2 2 3 7" xfId="36659"/>
    <cellStyle name="Salida 2 2 2 3 7 2" xfId="36660"/>
    <cellStyle name="Salida 2 2 2 3 8" xfId="36661"/>
    <cellStyle name="Salida 2 2 2 3 8 2" xfId="36662"/>
    <cellStyle name="Salida 2 2 2 3 9" xfId="36663"/>
    <cellStyle name="Salida 2 2 2 3 9 2" xfId="36664"/>
    <cellStyle name="Salida 2 2 2 4" xfId="36665"/>
    <cellStyle name="Salida 2 2 2 4 10" xfId="36666"/>
    <cellStyle name="Salida 2 2 2 4 10 2" xfId="36667"/>
    <cellStyle name="Salida 2 2 2 4 11" xfId="36668"/>
    <cellStyle name="Salida 2 2 2 4 2" xfId="36669"/>
    <cellStyle name="Salida 2 2 2 4 2 2" xfId="36670"/>
    <cellStyle name="Salida 2 2 2 4 3" xfId="36671"/>
    <cellStyle name="Salida 2 2 2 4 3 2" xfId="36672"/>
    <cellStyle name="Salida 2 2 2 4 4" xfId="36673"/>
    <cellStyle name="Salida 2 2 2 4 4 2" xfId="36674"/>
    <cellStyle name="Salida 2 2 2 4 5" xfId="36675"/>
    <cellStyle name="Salida 2 2 2 4 5 2" xfId="36676"/>
    <cellStyle name="Salida 2 2 2 4 6" xfId="36677"/>
    <cellStyle name="Salida 2 2 2 4 6 2" xfId="36678"/>
    <cellStyle name="Salida 2 2 2 4 7" xfId="36679"/>
    <cellStyle name="Salida 2 2 2 4 7 2" xfId="36680"/>
    <cellStyle name="Salida 2 2 2 4 8" xfId="36681"/>
    <cellStyle name="Salida 2 2 2 4 8 2" xfId="36682"/>
    <cellStyle name="Salida 2 2 2 4 9" xfId="36683"/>
    <cellStyle name="Salida 2 2 2 4 9 2" xfId="36684"/>
    <cellStyle name="Salida 2 2 2 5" xfId="36685"/>
    <cellStyle name="Salida 2 2 2 5 10" xfId="36686"/>
    <cellStyle name="Salida 2 2 2 5 10 2" xfId="36687"/>
    <cellStyle name="Salida 2 2 2 5 11" xfId="36688"/>
    <cellStyle name="Salida 2 2 2 5 2" xfId="36689"/>
    <cellStyle name="Salida 2 2 2 5 2 2" xfId="36690"/>
    <cellStyle name="Salida 2 2 2 5 3" xfId="36691"/>
    <cellStyle name="Salida 2 2 2 5 3 2" xfId="36692"/>
    <cellStyle name="Salida 2 2 2 5 4" xfId="36693"/>
    <cellStyle name="Salida 2 2 2 5 4 2" xfId="36694"/>
    <cellStyle name="Salida 2 2 2 5 5" xfId="36695"/>
    <cellStyle name="Salida 2 2 2 5 5 2" xfId="36696"/>
    <cellStyle name="Salida 2 2 2 5 6" xfId="36697"/>
    <cellStyle name="Salida 2 2 2 5 6 2" xfId="36698"/>
    <cellStyle name="Salida 2 2 2 5 7" xfId="36699"/>
    <cellStyle name="Salida 2 2 2 5 7 2" xfId="36700"/>
    <cellStyle name="Salida 2 2 2 5 8" xfId="36701"/>
    <cellStyle name="Salida 2 2 2 5 8 2" xfId="36702"/>
    <cellStyle name="Salida 2 2 2 5 9" xfId="36703"/>
    <cellStyle name="Salida 2 2 2 5 9 2" xfId="36704"/>
    <cellStyle name="Salida 2 2 2 6" xfId="36705"/>
    <cellStyle name="Salida 2 2 2 6 2" xfId="36706"/>
    <cellStyle name="Salida 2 2 2 7" xfId="36707"/>
    <cellStyle name="Salida 2 2 2 7 2" xfId="36708"/>
    <cellStyle name="Salida 2 2 2 8" xfId="36709"/>
    <cellStyle name="Salida 2 2 2 8 2" xfId="36710"/>
    <cellStyle name="Salida 2 2 2 9" xfId="36711"/>
    <cellStyle name="Salida 2 2 2 9 2" xfId="36712"/>
    <cellStyle name="Salida 2 2 3" xfId="36713"/>
    <cellStyle name="Salida 2 2 3 10" xfId="36714"/>
    <cellStyle name="Salida 2 2 3 10 2" xfId="36715"/>
    <cellStyle name="Salida 2 2 3 11" xfId="36716"/>
    <cellStyle name="Salida 2 2 3 11 2" xfId="36717"/>
    <cellStyle name="Salida 2 2 3 12" xfId="36718"/>
    <cellStyle name="Salida 2 2 3 12 2" xfId="36719"/>
    <cellStyle name="Salida 2 2 3 13" xfId="36720"/>
    <cellStyle name="Salida 2 2 3 13 2" xfId="36721"/>
    <cellStyle name="Salida 2 2 3 14" xfId="36722"/>
    <cellStyle name="Salida 2 2 3 14 2" xfId="36723"/>
    <cellStyle name="Salida 2 2 3 15" xfId="36724"/>
    <cellStyle name="Salida 2 2 3 2" xfId="36725"/>
    <cellStyle name="Salida 2 2 3 2 10" xfId="36726"/>
    <cellStyle name="Salida 2 2 3 2 10 2" xfId="36727"/>
    <cellStyle name="Salida 2 2 3 2 11" xfId="36728"/>
    <cellStyle name="Salida 2 2 3 2 11 2" xfId="36729"/>
    <cellStyle name="Salida 2 2 3 2 12" xfId="36730"/>
    <cellStyle name="Salida 2 2 3 2 12 2" xfId="36731"/>
    <cellStyle name="Salida 2 2 3 2 13" xfId="36732"/>
    <cellStyle name="Salida 2 2 3 2 2" xfId="36733"/>
    <cellStyle name="Salida 2 2 3 2 2 10" xfId="36734"/>
    <cellStyle name="Salida 2 2 3 2 2 10 2" xfId="36735"/>
    <cellStyle name="Salida 2 2 3 2 2 11" xfId="36736"/>
    <cellStyle name="Salida 2 2 3 2 2 2" xfId="36737"/>
    <cellStyle name="Salida 2 2 3 2 2 2 2" xfId="36738"/>
    <cellStyle name="Salida 2 2 3 2 2 3" xfId="36739"/>
    <cellStyle name="Salida 2 2 3 2 2 3 2" xfId="36740"/>
    <cellStyle name="Salida 2 2 3 2 2 4" xfId="36741"/>
    <cellStyle name="Salida 2 2 3 2 2 4 2" xfId="36742"/>
    <cellStyle name="Salida 2 2 3 2 2 5" xfId="36743"/>
    <cellStyle name="Salida 2 2 3 2 2 5 2" xfId="36744"/>
    <cellStyle name="Salida 2 2 3 2 2 6" xfId="36745"/>
    <cellStyle name="Salida 2 2 3 2 2 6 2" xfId="36746"/>
    <cellStyle name="Salida 2 2 3 2 2 7" xfId="36747"/>
    <cellStyle name="Salida 2 2 3 2 2 7 2" xfId="36748"/>
    <cellStyle name="Salida 2 2 3 2 2 8" xfId="36749"/>
    <cellStyle name="Salida 2 2 3 2 2 8 2" xfId="36750"/>
    <cellStyle name="Salida 2 2 3 2 2 9" xfId="36751"/>
    <cellStyle name="Salida 2 2 3 2 2 9 2" xfId="36752"/>
    <cellStyle name="Salida 2 2 3 2 3" xfId="36753"/>
    <cellStyle name="Salida 2 2 3 2 3 10" xfId="36754"/>
    <cellStyle name="Salida 2 2 3 2 3 10 2" xfId="36755"/>
    <cellStyle name="Salida 2 2 3 2 3 11" xfId="36756"/>
    <cellStyle name="Salida 2 2 3 2 3 2" xfId="36757"/>
    <cellStyle name="Salida 2 2 3 2 3 2 2" xfId="36758"/>
    <cellStyle name="Salida 2 2 3 2 3 3" xfId="36759"/>
    <cellStyle name="Salida 2 2 3 2 3 3 2" xfId="36760"/>
    <cellStyle name="Salida 2 2 3 2 3 4" xfId="36761"/>
    <cellStyle name="Salida 2 2 3 2 3 4 2" xfId="36762"/>
    <cellStyle name="Salida 2 2 3 2 3 5" xfId="36763"/>
    <cellStyle name="Salida 2 2 3 2 3 5 2" xfId="36764"/>
    <cellStyle name="Salida 2 2 3 2 3 6" xfId="36765"/>
    <cellStyle name="Salida 2 2 3 2 3 6 2" xfId="36766"/>
    <cellStyle name="Salida 2 2 3 2 3 7" xfId="36767"/>
    <cellStyle name="Salida 2 2 3 2 3 7 2" xfId="36768"/>
    <cellStyle name="Salida 2 2 3 2 3 8" xfId="36769"/>
    <cellStyle name="Salida 2 2 3 2 3 8 2" xfId="36770"/>
    <cellStyle name="Salida 2 2 3 2 3 9" xfId="36771"/>
    <cellStyle name="Salida 2 2 3 2 3 9 2" xfId="36772"/>
    <cellStyle name="Salida 2 2 3 2 4" xfId="36773"/>
    <cellStyle name="Salida 2 2 3 2 4 2" xfId="36774"/>
    <cellStyle name="Salida 2 2 3 2 5" xfId="36775"/>
    <cellStyle name="Salida 2 2 3 2 5 2" xfId="36776"/>
    <cellStyle name="Salida 2 2 3 2 6" xfId="36777"/>
    <cellStyle name="Salida 2 2 3 2 6 2" xfId="36778"/>
    <cellStyle name="Salida 2 2 3 2 7" xfId="36779"/>
    <cellStyle name="Salida 2 2 3 2 7 2" xfId="36780"/>
    <cellStyle name="Salida 2 2 3 2 8" xfId="36781"/>
    <cellStyle name="Salida 2 2 3 2 8 2" xfId="36782"/>
    <cellStyle name="Salida 2 2 3 2 9" xfId="36783"/>
    <cellStyle name="Salida 2 2 3 2 9 2" xfId="36784"/>
    <cellStyle name="Salida 2 2 3 3" xfId="36785"/>
    <cellStyle name="Salida 2 2 3 3 10" xfId="36786"/>
    <cellStyle name="Salida 2 2 3 3 10 2" xfId="36787"/>
    <cellStyle name="Salida 2 2 3 3 11" xfId="36788"/>
    <cellStyle name="Salida 2 2 3 3 11 2" xfId="36789"/>
    <cellStyle name="Salida 2 2 3 3 12" xfId="36790"/>
    <cellStyle name="Salida 2 2 3 3 12 2" xfId="36791"/>
    <cellStyle name="Salida 2 2 3 3 13" xfId="36792"/>
    <cellStyle name="Salida 2 2 3 3 2" xfId="36793"/>
    <cellStyle name="Salida 2 2 3 3 2 10" xfId="36794"/>
    <cellStyle name="Salida 2 2 3 3 2 10 2" xfId="36795"/>
    <cellStyle name="Salida 2 2 3 3 2 11" xfId="36796"/>
    <cellStyle name="Salida 2 2 3 3 2 2" xfId="36797"/>
    <cellStyle name="Salida 2 2 3 3 2 2 2" xfId="36798"/>
    <cellStyle name="Salida 2 2 3 3 2 3" xfId="36799"/>
    <cellStyle name="Salida 2 2 3 3 2 3 2" xfId="36800"/>
    <cellStyle name="Salida 2 2 3 3 2 4" xfId="36801"/>
    <cellStyle name="Salida 2 2 3 3 2 4 2" xfId="36802"/>
    <cellStyle name="Salida 2 2 3 3 2 5" xfId="36803"/>
    <cellStyle name="Salida 2 2 3 3 2 5 2" xfId="36804"/>
    <cellStyle name="Salida 2 2 3 3 2 6" xfId="36805"/>
    <cellStyle name="Salida 2 2 3 3 2 6 2" xfId="36806"/>
    <cellStyle name="Salida 2 2 3 3 2 7" xfId="36807"/>
    <cellStyle name="Salida 2 2 3 3 2 7 2" xfId="36808"/>
    <cellStyle name="Salida 2 2 3 3 2 8" xfId="36809"/>
    <cellStyle name="Salida 2 2 3 3 2 8 2" xfId="36810"/>
    <cellStyle name="Salida 2 2 3 3 2 9" xfId="36811"/>
    <cellStyle name="Salida 2 2 3 3 2 9 2" xfId="36812"/>
    <cellStyle name="Salida 2 2 3 3 3" xfId="36813"/>
    <cellStyle name="Salida 2 2 3 3 3 10" xfId="36814"/>
    <cellStyle name="Salida 2 2 3 3 3 10 2" xfId="36815"/>
    <cellStyle name="Salida 2 2 3 3 3 11" xfId="36816"/>
    <cellStyle name="Salida 2 2 3 3 3 2" xfId="36817"/>
    <cellStyle name="Salida 2 2 3 3 3 2 2" xfId="36818"/>
    <cellStyle name="Salida 2 2 3 3 3 3" xfId="36819"/>
    <cellStyle name="Salida 2 2 3 3 3 3 2" xfId="36820"/>
    <cellStyle name="Salida 2 2 3 3 3 4" xfId="36821"/>
    <cellStyle name="Salida 2 2 3 3 3 4 2" xfId="36822"/>
    <cellStyle name="Salida 2 2 3 3 3 5" xfId="36823"/>
    <cellStyle name="Salida 2 2 3 3 3 5 2" xfId="36824"/>
    <cellStyle name="Salida 2 2 3 3 3 6" xfId="36825"/>
    <cellStyle name="Salida 2 2 3 3 3 6 2" xfId="36826"/>
    <cellStyle name="Salida 2 2 3 3 3 7" xfId="36827"/>
    <cellStyle name="Salida 2 2 3 3 3 7 2" xfId="36828"/>
    <cellStyle name="Salida 2 2 3 3 3 8" xfId="36829"/>
    <cellStyle name="Salida 2 2 3 3 3 8 2" xfId="36830"/>
    <cellStyle name="Salida 2 2 3 3 3 9" xfId="36831"/>
    <cellStyle name="Salida 2 2 3 3 3 9 2" xfId="36832"/>
    <cellStyle name="Salida 2 2 3 3 4" xfId="36833"/>
    <cellStyle name="Salida 2 2 3 3 4 2" xfId="36834"/>
    <cellStyle name="Salida 2 2 3 3 5" xfId="36835"/>
    <cellStyle name="Salida 2 2 3 3 5 2" xfId="36836"/>
    <cellStyle name="Salida 2 2 3 3 6" xfId="36837"/>
    <cellStyle name="Salida 2 2 3 3 6 2" xfId="36838"/>
    <cellStyle name="Salida 2 2 3 3 7" xfId="36839"/>
    <cellStyle name="Salida 2 2 3 3 7 2" xfId="36840"/>
    <cellStyle name="Salida 2 2 3 3 8" xfId="36841"/>
    <cellStyle name="Salida 2 2 3 3 8 2" xfId="36842"/>
    <cellStyle name="Salida 2 2 3 3 9" xfId="36843"/>
    <cellStyle name="Salida 2 2 3 3 9 2" xfId="36844"/>
    <cellStyle name="Salida 2 2 3 4" xfId="36845"/>
    <cellStyle name="Salida 2 2 3 4 10" xfId="36846"/>
    <cellStyle name="Salida 2 2 3 4 10 2" xfId="36847"/>
    <cellStyle name="Salida 2 2 3 4 11" xfId="36848"/>
    <cellStyle name="Salida 2 2 3 4 2" xfId="36849"/>
    <cellStyle name="Salida 2 2 3 4 2 2" xfId="36850"/>
    <cellStyle name="Salida 2 2 3 4 3" xfId="36851"/>
    <cellStyle name="Salida 2 2 3 4 3 2" xfId="36852"/>
    <cellStyle name="Salida 2 2 3 4 4" xfId="36853"/>
    <cellStyle name="Salida 2 2 3 4 4 2" xfId="36854"/>
    <cellStyle name="Salida 2 2 3 4 5" xfId="36855"/>
    <cellStyle name="Salida 2 2 3 4 5 2" xfId="36856"/>
    <cellStyle name="Salida 2 2 3 4 6" xfId="36857"/>
    <cellStyle name="Salida 2 2 3 4 6 2" xfId="36858"/>
    <cellStyle name="Salida 2 2 3 4 7" xfId="36859"/>
    <cellStyle name="Salida 2 2 3 4 7 2" xfId="36860"/>
    <cellStyle name="Salida 2 2 3 4 8" xfId="36861"/>
    <cellStyle name="Salida 2 2 3 4 8 2" xfId="36862"/>
    <cellStyle name="Salida 2 2 3 4 9" xfId="36863"/>
    <cellStyle name="Salida 2 2 3 4 9 2" xfId="36864"/>
    <cellStyle name="Salida 2 2 3 5" xfId="36865"/>
    <cellStyle name="Salida 2 2 3 5 10" xfId="36866"/>
    <cellStyle name="Salida 2 2 3 5 10 2" xfId="36867"/>
    <cellStyle name="Salida 2 2 3 5 11" xfId="36868"/>
    <cellStyle name="Salida 2 2 3 5 2" xfId="36869"/>
    <cellStyle name="Salida 2 2 3 5 2 2" xfId="36870"/>
    <cellStyle name="Salida 2 2 3 5 3" xfId="36871"/>
    <cellStyle name="Salida 2 2 3 5 3 2" xfId="36872"/>
    <cellStyle name="Salida 2 2 3 5 4" xfId="36873"/>
    <cellStyle name="Salida 2 2 3 5 4 2" xfId="36874"/>
    <cellStyle name="Salida 2 2 3 5 5" xfId="36875"/>
    <cellStyle name="Salida 2 2 3 5 5 2" xfId="36876"/>
    <cellStyle name="Salida 2 2 3 5 6" xfId="36877"/>
    <cellStyle name="Salida 2 2 3 5 6 2" xfId="36878"/>
    <cellStyle name="Salida 2 2 3 5 7" xfId="36879"/>
    <cellStyle name="Salida 2 2 3 5 7 2" xfId="36880"/>
    <cellStyle name="Salida 2 2 3 5 8" xfId="36881"/>
    <cellStyle name="Salida 2 2 3 5 8 2" xfId="36882"/>
    <cellStyle name="Salida 2 2 3 5 9" xfId="36883"/>
    <cellStyle name="Salida 2 2 3 5 9 2" xfId="36884"/>
    <cellStyle name="Salida 2 2 3 6" xfId="36885"/>
    <cellStyle name="Salida 2 2 3 6 2" xfId="36886"/>
    <cellStyle name="Salida 2 2 3 7" xfId="36887"/>
    <cellStyle name="Salida 2 2 3 7 2" xfId="36888"/>
    <cellStyle name="Salida 2 2 3 8" xfId="36889"/>
    <cellStyle name="Salida 2 2 3 8 2" xfId="36890"/>
    <cellStyle name="Salida 2 2 3 9" xfId="36891"/>
    <cellStyle name="Salida 2 2 3 9 2" xfId="36892"/>
    <cellStyle name="Salida 2 2 4" xfId="36893"/>
    <cellStyle name="Salida 2 2 4 10" xfId="36894"/>
    <cellStyle name="Salida 2 2 4 10 2" xfId="36895"/>
    <cellStyle name="Salida 2 2 4 11" xfId="36896"/>
    <cellStyle name="Salida 2 2 4 11 2" xfId="36897"/>
    <cellStyle name="Salida 2 2 4 12" xfId="36898"/>
    <cellStyle name="Salida 2 2 4 12 2" xfId="36899"/>
    <cellStyle name="Salida 2 2 4 13" xfId="36900"/>
    <cellStyle name="Salida 2 2 4 2" xfId="36901"/>
    <cellStyle name="Salida 2 2 4 2 10" xfId="36902"/>
    <cellStyle name="Salida 2 2 4 2 10 2" xfId="36903"/>
    <cellStyle name="Salida 2 2 4 2 11" xfId="36904"/>
    <cellStyle name="Salida 2 2 4 2 2" xfId="36905"/>
    <cellStyle name="Salida 2 2 4 2 2 2" xfId="36906"/>
    <cellStyle name="Salida 2 2 4 2 3" xfId="36907"/>
    <cellStyle name="Salida 2 2 4 2 3 2" xfId="36908"/>
    <cellStyle name="Salida 2 2 4 2 4" xfId="36909"/>
    <cellStyle name="Salida 2 2 4 2 4 2" xfId="36910"/>
    <cellStyle name="Salida 2 2 4 2 5" xfId="36911"/>
    <cellStyle name="Salida 2 2 4 2 5 2" xfId="36912"/>
    <cellStyle name="Salida 2 2 4 2 6" xfId="36913"/>
    <cellStyle name="Salida 2 2 4 2 6 2" xfId="36914"/>
    <cellStyle name="Salida 2 2 4 2 7" xfId="36915"/>
    <cellStyle name="Salida 2 2 4 2 7 2" xfId="36916"/>
    <cellStyle name="Salida 2 2 4 2 8" xfId="36917"/>
    <cellStyle name="Salida 2 2 4 2 8 2" xfId="36918"/>
    <cellStyle name="Salida 2 2 4 2 9" xfId="36919"/>
    <cellStyle name="Salida 2 2 4 2 9 2" xfId="36920"/>
    <cellStyle name="Salida 2 2 4 3" xfId="36921"/>
    <cellStyle name="Salida 2 2 4 3 10" xfId="36922"/>
    <cellStyle name="Salida 2 2 4 3 10 2" xfId="36923"/>
    <cellStyle name="Salida 2 2 4 3 11" xfId="36924"/>
    <cellStyle name="Salida 2 2 4 3 2" xfId="36925"/>
    <cellStyle name="Salida 2 2 4 3 2 2" xfId="36926"/>
    <cellStyle name="Salida 2 2 4 3 3" xfId="36927"/>
    <cellStyle name="Salida 2 2 4 3 3 2" xfId="36928"/>
    <cellStyle name="Salida 2 2 4 3 4" xfId="36929"/>
    <cellStyle name="Salida 2 2 4 3 4 2" xfId="36930"/>
    <cellStyle name="Salida 2 2 4 3 5" xfId="36931"/>
    <cellStyle name="Salida 2 2 4 3 5 2" xfId="36932"/>
    <cellStyle name="Salida 2 2 4 3 6" xfId="36933"/>
    <cellStyle name="Salida 2 2 4 3 6 2" xfId="36934"/>
    <cellStyle name="Salida 2 2 4 3 7" xfId="36935"/>
    <cellStyle name="Salida 2 2 4 3 7 2" xfId="36936"/>
    <cellStyle name="Salida 2 2 4 3 8" xfId="36937"/>
    <cellStyle name="Salida 2 2 4 3 8 2" xfId="36938"/>
    <cellStyle name="Salida 2 2 4 3 9" xfId="36939"/>
    <cellStyle name="Salida 2 2 4 3 9 2" xfId="36940"/>
    <cellStyle name="Salida 2 2 4 4" xfId="36941"/>
    <cellStyle name="Salida 2 2 4 4 2" xfId="36942"/>
    <cellStyle name="Salida 2 2 4 5" xfId="36943"/>
    <cellStyle name="Salida 2 2 4 5 2" xfId="36944"/>
    <cellStyle name="Salida 2 2 4 6" xfId="36945"/>
    <cellStyle name="Salida 2 2 4 6 2" xfId="36946"/>
    <cellStyle name="Salida 2 2 4 7" xfId="36947"/>
    <cellStyle name="Salida 2 2 4 7 2" xfId="36948"/>
    <cellStyle name="Salida 2 2 4 8" xfId="36949"/>
    <cellStyle name="Salida 2 2 4 8 2" xfId="36950"/>
    <cellStyle name="Salida 2 2 4 9" xfId="36951"/>
    <cellStyle name="Salida 2 2 4 9 2" xfId="36952"/>
    <cellStyle name="Salida 2 2 5" xfId="36953"/>
    <cellStyle name="Salida 2 2 5 10" xfId="36954"/>
    <cellStyle name="Salida 2 2 5 10 2" xfId="36955"/>
    <cellStyle name="Salida 2 2 5 11" xfId="36956"/>
    <cellStyle name="Salida 2 2 5 11 2" xfId="36957"/>
    <cellStyle name="Salida 2 2 5 12" xfId="36958"/>
    <cellStyle name="Salida 2 2 5 12 2" xfId="36959"/>
    <cellStyle name="Salida 2 2 5 13" xfId="36960"/>
    <cellStyle name="Salida 2 2 5 2" xfId="36961"/>
    <cellStyle name="Salida 2 2 5 2 10" xfId="36962"/>
    <cellStyle name="Salida 2 2 5 2 10 2" xfId="36963"/>
    <cellStyle name="Salida 2 2 5 2 11" xfId="36964"/>
    <cellStyle name="Salida 2 2 5 2 2" xfId="36965"/>
    <cellStyle name="Salida 2 2 5 2 2 2" xfId="36966"/>
    <cellStyle name="Salida 2 2 5 2 3" xfId="36967"/>
    <cellStyle name="Salida 2 2 5 2 3 2" xfId="36968"/>
    <cellStyle name="Salida 2 2 5 2 4" xfId="36969"/>
    <cellStyle name="Salida 2 2 5 2 4 2" xfId="36970"/>
    <cellStyle name="Salida 2 2 5 2 5" xfId="36971"/>
    <cellStyle name="Salida 2 2 5 2 5 2" xfId="36972"/>
    <cellStyle name="Salida 2 2 5 2 6" xfId="36973"/>
    <cellStyle name="Salida 2 2 5 2 6 2" xfId="36974"/>
    <cellStyle name="Salida 2 2 5 2 7" xfId="36975"/>
    <cellStyle name="Salida 2 2 5 2 7 2" xfId="36976"/>
    <cellStyle name="Salida 2 2 5 2 8" xfId="36977"/>
    <cellStyle name="Salida 2 2 5 2 8 2" xfId="36978"/>
    <cellStyle name="Salida 2 2 5 2 9" xfId="36979"/>
    <cellStyle name="Salida 2 2 5 2 9 2" xfId="36980"/>
    <cellStyle name="Salida 2 2 5 3" xfId="36981"/>
    <cellStyle name="Salida 2 2 5 3 10" xfId="36982"/>
    <cellStyle name="Salida 2 2 5 3 10 2" xfId="36983"/>
    <cellStyle name="Salida 2 2 5 3 11" xfId="36984"/>
    <cellStyle name="Salida 2 2 5 3 2" xfId="36985"/>
    <cellStyle name="Salida 2 2 5 3 2 2" xfId="36986"/>
    <cellStyle name="Salida 2 2 5 3 3" xfId="36987"/>
    <cellStyle name="Salida 2 2 5 3 3 2" xfId="36988"/>
    <cellStyle name="Salida 2 2 5 3 4" xfId="36989"/>
    <cellStyle name="Salida 2 2 5 3 4 2" xfId="36990"/>
    <cellStyle name="Salida 2 2 5 3 5" xfId="36991"/>
    <cellStyle name="Salida 2 2 5 3 5 2" xfId="36992"/>
    <cellStyle name="Salida 2 2 5 3 6" xfId="36993"/>
    <cellStyle name="Salida 2 2 5 3 6 2" xfId="36994"/>
    <cellStyle name="Salida 2 2 5 3 7" xfId="36995"/>
    <cellStyle name="Salida 2 2 5 3 7 2" xfId="36996"/>
    <cellStyle name="Salida 2 2 5 3 8" xfId="36997"/>
    <cellStyle name="Salida 2 2 5 3 8 2" xfId="36998"/>
    <cellStyle name="Salida 2 2 5 3 9" xfId="36999"/>
    <cellStyle name="Salida 2 2 5 3 9 2" xfId="37000"/>
    <cellStyle name="Salida 2 2 5 4" xfId="37001"/>
    <cellStyle name="Salida 2 2 5 4 2" xfId="37002"/>
    <cellStyle name="Salida 2 2 5 5" xfId="37003"/>
    <cellStyle name="Salida 2 2 5 5 2" xfId="37004"/>
    <cellStyle name="Salida 2 2 5 6" xfId="37005"/>
    <cellStyle name="Salida 2 2 5 6 2" xfId="37006"/>
    <cellStyle name="Salida 2 2 5 7" xfId="37007"/>
    <cellStyle name="Salida 2 2 5 7 2" xfId="37008"/>
    <cellStyle name="Salida 2 2 5 8" xfId="37009"/>
    <cellStyle name="Salida 2 2 5 8 2" xfId="37010"/>
    <cellStyle name="Salida 2 2 5 9" xfId="37011"/>
    <cellStyle name="Salida 2 2 5 9 2" xfId="37012"/>
    <cellStyle name="Salida 2 2 6" xfId="37013"/>
    <cellStyle name="Salida 2 2 6 2" xfId="37014"/>
    <cellStyle name="Salida 2 2 7" xfId="37015"/>
    <cellStyle name="Salida 2 2 7 2" xfId="37016"/>
    <cellStyle name="Salida 2 2 8" xfId="37017"/>
    <cellStyle name="Salida 2 2 8 2" xfId="37018"/>
    <cellStyle name="Salida 2 2 9" xfId="37019"/>
    <cellStyle name="Salida 2 2 9 2" xfId="37020"/>
    <cellStyle name="Salida 2 20" xfId="37021"/>
    <cellStyle name="Salida 2 21" xfId="37022"/>
    <cellStyle name="Salida 2 3" xfId="1162"/>
    <cellStyle name="Salida 2 3 10" xfId="37023"/>
    <cellStyle name="Salida 2 3 10 2" xfId="37024"/>
    <cellStyle name="Salida 2 3 11" xfId="37025"/>
    <cellStyle name="Salida 2 3 11 2" xfId="37026"/>
    <cellStyle name="Salida 2 3 12" xfId="37027"/>
    <cellStyle name="Salida 2 3 12 2" xfId="37028"/>
    <cellStyle name="Salida 2 3 13" xfId="37029"/>
    <cellStyle name="Salida 2 3 13 2" xfId="37030"/>
    <cellStyle name="Salida 2 3 14" xfId="37031"/>
    <cellStyle name="Salida 2 3 14 2" xfId="37032"/>
    <cellStyle name="Salida 2 3 15" xfId="37033"/>
    <cellStyle name="Salida 2 3 16" xfId="37034"/>
    <cellStyle name="Salida 2 3 17" xfId="37035"/>
    <cellStyle name="Salida 2 3 2" xfId="37036"/>
    <cellStyle name="Salida 2 3 2 10" xfId="37037"/>
    <cellStyle name="Salida 2 3 2 10 2" xfId="37038"/>
    <cellStyle name="Salida 2 3 2 11" xfId="37039"/>
    <cellStyle name="Salida 2 3 2 11 2" xfId="37040"/>
    <cellStyle name="Salida 2 3 2 12" xfId="37041"/>
    <cellStyle name="Salida 2 3 2 12 2" xfId="37042"/>
    <cellStyle name="Salida 2 3 2 13" xfId="37043"/>
    <cellStyle name="Salida 2 3 2 13 2" xfId="37044"/>
    <cellStyle name="Salida 2 3 2 14" xfId="37045"/>
    <cellStyle name="Salida 2 3 2 14 2" xfId="37046"/>
    <cellStyle name="Salida 2 3 2 15" xfId="37047"/>
    <cellStyle name="Salida 2 3 2 2" xfId="37048"/>
    <cellStyle name="Salida 2 3 2 2 10" xfId="37049"/>
    <cellStyle name="Salida 2 3 2 2 10 2" xfId="37050"/>
    <cellStyle name="Salida 2 3 2 2 11" xfId="37051"/>
    <cellStyle name="Salida 2 3 2 2 11 2" xfId="37052"/>
    <cellStyle name="Salida 2 3 2 2 12" xfId="37053"/>
    <cellStyle name="Salida 2 3 2 2 12 2" xfId="37054"/>
    <cellStyle name="Salida 2 3 2 2 13" xfId="37055"/>
    <cellStyle name="Salida 2 3 2 2 2" xfId="37056"/>
    <cellStyle name="Salida 2 3 2 2 2 10" xfId="37057"/>
    <cellStyle name="Salida 2 3 2 2 2 10 2" xfId="37058"/>
    <cellStyle name="Salida 2 3 2 2 2 11" xfId="37059"/>
    <cellStyle name="Salida 2 3 2 2 2 2" xfId="37060"/>
    <cellStyle name="Salida 2 3 2 2 2 2 2" xfId="37061"/>
    <cellStyle name="Salida 2 3 2 2 2 3" xfId="37062"/>
    <cellStyle name="Salida 2 3 2 2 2 3 2" xfId="37063"/>
    <cellStyle name="Salida 2 3 2 2 2 4" xfId="37064"/>
    <cellStyle name="Salida 2 3 2 2 2 4 2" xfId="37065"/>
    <cellStyle name="Salida 2 3 2 2 2 5" xfId="37066"/>
    <cellStyle name="Salida 2 3 2 2 2 5 2" xfId="37067"/>
    <cellStyle name="Salida 2 3 2 2 2 6" xfId="37068"/>
    <cellStyle name="Salida 2 3 2 2 2 6 2" xfId="37069"/>
    <cellStyle name="Salida 2 3 2 2 2 7" xfId="37070"/>
    <cellStyle name="Salida 2 3 2 2 2 7 2" xfId="37071"/>
    <cellStyle name="Salida 2 3 2 2 2 8" xfId="37072"/>
    <cellStyle name="Salida 2 3 2 2 2 8 2" xfId="37073"/>
    <cellStyle name="Salida 2 3 2 2 2 9" xfId="37074"/>
    <cellStyle name="Salida 2 3 2 2 2 9 2" xfId="37075"/>
    <cellStyle name="Salida 2 3 2 2 3" xfId="37076"/>
    <cellStyle name="Salida 2 3 2 2 3 10" xfId="37077"/>
    <cellStyle name="Salida 2 3 2 2 3 10 2" xfId="37078"/>
    <cellStyle name="Salida 2 3 2 2 3 11" xfId="37079"/>
    <cellStyle name="Salida 2 3 2 2 3 2" xfId="37080"/>
    <cellStyle name="Salida 2 3 2 2 3 2 2" xfId="37081"/>
    <cellStyle name="Salida 2 3 2 2 3 3" xfId="37082"/>
    <cellStyle name="Salida 2 3 2 2 3 3 2" xfId="37083"/>
    <cellStyle name="Salida 2 3 2 2 3 4" xfId="37084"/>
    <cellStyle name="Salida 2 3 2 2 3 4 2" xfId="37085"/>
    <cellStyle name="Salida 2 3 2 2 3 5" xfId="37086"/>
    <cellStyle name="Salida 2 3 2 2 3 5 2" xfId="37087"/>
    <cellStyle name="Salida 2 3 2 2 3 6" xfId="37088"/>
    <cellStyle name="Salida 2 3 2 2 3 6 2" xfId="37089"/>
    <cellStyle name="Salida 2 3 2 2 3 7" xfId="37090"/>
    <cellStyle name="Salida 2 3 2 2 3 7 2" xfId="37091"/>
    <cellStyle name="Salida 2 3 2 2 3 8" xfId="37092"/>
    <cellStyle name="Salida 2 3 2 2 3 8 2" xfId="37093"/>
    <cellStyle name="Salida 2 3 2 2 3 9" xfId="37094"/>
    <cellStyle name="Salida 2 3 2 2 3 9 2" xfId="37095"/>
    <cellStyle name="Salida 2 3 2 2 4" xfId="37096"/>
    <cellStyle name="Salida 2 3 2 2 4 2" xfId="37097"/>
    <cellStyle name="Salida 2 3 2 2 5" xfId="37098"/>
    <cellStyle name="Salida 2 3 2 2 5 2" xfId="37099"/>
    <cellStyle name="Salida 2 3 2 2 6" xfId="37100"/>
    <cellStyle name="Salida 2 3 2 2 6 2" xfId="37101"/>
    <cellStyle name="Salida 2 3 2 2 7" xfId="37102"/>
    <cellStyle name="Salida 2 3 2 2 7 2" xfId="37103"/>
    <cellStyle name="Salida 2 3 2 2 8" xfId="37104"/>
    <cellStyle name="Salida 2 3 2 2 8 2" xfId="37105"/>
    <cellStyle name="Salida 2 3 2 2 9" xfId="37106"/>
    <cellStyle name="Salida 2 3 2 2 9 2" xfId="37107"/>
    <cellStyle name="Salida 2 3 2 3" xfId="37108"/>
    <cellStyle name="Salida 2 3 2 3 10" xfId="37109"/>
    <cellStyle name="Salida 2 3 2 3 10 2" xfId="37110"/>
    <cellStyle name="Salida 2 3 2 3 11" xfId="37111"/>
    <cellStyle name="Salida 2 3 2 3 11 2" xfId="37112"/>
    <cellStyle name="Salida 2 3 2 3 12" xfId="37113"/>
    <cellStyle name="Salida 2 3 2 3 12 2" xfId="37114"/>
    <cellStyle name="Salida 2 3 2 3 13" xfId="37115"/>
    <cellStyle name="Salida 2 3 2 3 2" xfId="37116"/>
    <cellStyle name="Salida 2 3 2 3 2 10" xfId="37117"/>
    <cellStyle name="Salida 2 3 2 3 2 10 2" xfId="37118"/>
    <cellStyle name="Salida 2 3 2 3 2 11" xfId="37119"/>
    <cellStyle name="Salida 2 3 2 3 2 2" xfId="37120"/>
    <cellStyle name="Salida 2 3 2 3 2 2 2" xfId="37121"/>
    <cellStyle name="Salida 2 3 2 3 2 3" xfId="37122"/>
    <cellStyle name="Salida 2 3 2 3 2 3 2" xfId="37123"/>
    <cellStyle name="Salida 2 3 2 3 2 4" xfId="37124"/>
    <cellStyle name="Salida 2 3 2 3 2 4 2" xfId="37125"/>
    <cellStyle name="Salida 2 3 2 3 2 5" xfId="37126"/>
    <cellStyle name="Salida 2 3 2 3 2 5 2" xfId="37127"/>
    <cellStyle name="Salida 2 3 2 3 2 6" xfId="37128"/>
    <cellStyle name="Salida 2 3 2 3 2 6 2" xfId="37129"/>
    <cellStyle name="Salida 2 3 2 3 2 7" xfId="37130"/>
    <cellStyle name="Salida 2 3 2 3 2 7 2" xfId="37131"/>
    <cellStyle name="Salida 2 3 2 3 2 8" xfId="37132"/>
    <cellStyle name="Salida 2 3 2 3 2 8 2" xfId="37133"/>
    <cellStyle name="Salida 2 3 2 3 2 9" xfId="37134"/>
    <cellStyle name="Salida 2 3 2 3 2 9 2" xfId="37135"/>
    <cellStyle name="Salida 2 3 2 3 3" xfId="37136"/>
    <cellStyle name="Salida 2 3 2 3 3 10" xfId="37137"/>
    <cellStyle name="Salida 2 3 2 3 3 10 2" xfId="37138"/>
    <cellStyle name="Salida 2 3 2 3 3 11" xfId="37139"/>
    <cellStyle name="Salida 2 3 2 3 3 2" xfId="37140"/>
    <cellStyle name="Salida 2 3 2 3 3 2 2" xfId="37141"/>
    <cellStyle name="Salida 2 3 2 3 3 3" xfId="37142"/>
    <cellStyle name="Salida 2 3 2 3 3 3 2" xfId="37143"/>
    <cellStyle name="Salida 2 3 2 3 3 4" xfId="37144"/>
    <cellStyle name="Salida 2 3 2 3 3 4 2" xfId="37145"/>
    <cellStyle name="Salida 2 3 2 3 3 5" xfId="37146"/>
    <cellStyle name="Salida 2 3 2 3 3 5 2" xfId="37147"/>
    <cellStyle name="Salida 2 3 2 3 3 6" xfId="37148"/>
    <cellStyle name="Salida 2 3 2 3 3 6 2" xfId="37149"/>
    <cellStyle name="Salida 2 3 2 3 3 7" xfId="37150"/>
    <cellStyle name="Salida 2 3 2 3 3 7 2" xfId="37151"/>
    <cellStyle name="Salida 2 3 2 3 3 8" xfId="37152"/>
    <cellStyle name="Salida 2 3 2 3 3 8 2" xfId="37153"/>
    <cellStyle name="Salida 2 3 2 3 3 9" xfId="37154"/>
    <cellStyle name="Salida 2 3 2 3 3 9 2" xfId="37155"/>
    <cellStyle name="Salida 2 3 2 3 4" xfId="37156"/>
    <cellStyle name="Salida 2 3 2 3 4 2" xfId="37157"/>
    <cellStyle name="Salida 2 3 2 3 5" xfId="37158"/>
    <cellStyle name="Salida 2 3 2 3 5 2" xfId="37159"/>
    <cellStyle name="Salida 2 3 2 3 6" xfId="37160"/>
    <cellStyle name="Salida 2 3 2 3 6 2" xfId="37161"/>
    <cellStyle name="Salida 2 3 2 3 7" xfId="37162"/>
    <cellStyle name="Salida 2 3 2 3 7 2" xfId="37163"/>
    <cellStyle name="Salida 2 3 2 3 8" xfId="37164"/>
    <cellStyle name="Salida 2 3 2 3 8 2" xfId="37165"/>
    <cellStyle name="Salida 2 3 2 3 9" xfId="37166"/>
    <cellStyle name="Salida 2 3 2 3 9 2" xfId="37167"/>
    <cellStyle name="Salida 2 3 2 4" xfId="37168"/>
    <cellStyle name="Salida 2 3 2 4 10" xfId="37169"/>
    <cellStyle name="Salida 2 3 2 4 10 2" xfId="37170"/>
    <cellStyle name="Salida 2 3 2 4 11" xfId="37171"/>
    <cellStyle name="Salida 2 3 2 4 2" xfId="37172"/>
    <cellStyle name="Salida 2 3 2 4 2 2" xfId="37173"/>
    <cellStyle name="Salida 2 3 2 4 3" xfId="37174"/>
    <cellStyle name="Salida 2 3 2 4 3 2" xfId="37175"/>
    <cellStyle name="Salida 2 3 2 4 4" xfId="37176"/>
    <cellStyle name="Salida 2 3 2 4 4 2" xfId="37177"/>
    <cellStyle name="Salida 2 3 2 4 5" xfId="37178"/>
    <cellStyle name="Salida 2 3 2 4 5 2" xfId="37179"/>
    <cellStyle name="Salida 2 3 2 4 6" xfId="37180"/>
    <cellStyle name="Salida 2 3 2 4 6 2" xfId="37181"/>
    <cellStyle name="Salida 2 3 2 4 7" xfId="37182"/>
    <cellStyle name="Salida 2 3 2 4 7 2" xfId="37183"/>
    <cellStyle name="Salida 2 3 2 4 8" xfId="37184"/>
    <cellStyle name="Salida 2 3 2 4 8 2" xfId="37185"/>
    <cellStyle name="Salida 2 3 2 4 9" xfId="37186"/>
    <cellStyle name="Salida 2 3 2 4 9 2" xfId="37187"/>
    <cellStyle name="Salida 2 3 2 5" xfId="37188"/>
    <cellStyle name="Salida 2 3 2 5 10" xfId="37189"/>
    <cellStyle name="Salida 2 3 2 5 10 2" xfId="37190"/>
    <cellStyle name="Salida 2 3 2 5 11" xfId="37191"/>
    <cellStyle name="Salida 2 3 2 5 2" xfId="37192"/>
    <cellStyle name="Salida 2 3 2 5 2 2" xfId="37193"/>
    <cellStyle name="Salida 2 3 2 5 3" xfId="37194"/>
    <cellStyle name="Salida 2 3 2 5 3 2" xfId="37195"/>
    <cellStyle name="Salida 2 3 2 5 4" xfId="37196"/>
    <cellStyle name="Salida 2 3 2 5 4 2" xfId="37197"/>
    <cellStyle name="Salida 2 3 2 5 5" xfId="37198"/>
    <cellStyle name="Salida 2 3 2 5 5 2" xfId="37199"/>
    <cellStyle name="Salida 2 3 2 5 6" xfId="37200"/>
    <cellStyle name="Salida 2 3 2 5 6 2" xfId="37201"/>
    <cellStyle name="Salida 2 3 2 5 7" xfId="37202"/>
    <cellStyle name="Salida 2 3 2 5 7 2" xfId="37203"/>
    <cellStyle name="Salida 2 3 2 5 8" xfId="37204"/>
    <cellStyle name="Salida 2 3 2 5 8 2" xfId="37205"/>
    <cellStyle name="Salida 2 3 2 5 9" xfId="37206"/>
    <cellStyle name="Salida 2 3 2 5 9 2" xfId="37207"/>
    <cellStyle name="Salida 2 3 2 6" xfId="37208"/>
    <cellStyle name="Salida 2 3 2 6 2" xfId="37209"/>
    <cellStyle name="Salida 2 3 2 7" xfId="37210"/>
    <cellStyle name="Salida 2 3 2 7 2" xfId="37211"/>
    <cellStyle name="Salida 2 3 2 8" xfId="37212"/>
    <cellStyle name="Salida 2 3 2 8 2" xfId="37213"/>
    <cellStyle name="Salida 2 3 2 9" xfId="37214"/>
    <cellStyle name="Salida 2 3 2 9 2" xfId="37215"/>
    <cellStyle name="Salida 2 3 3" xfId="37216"/>
    <cellStyle name="Salida 2 3 3 10" xfId="37217"/>
    <cellStyle name="Salida 2 3 3 10 2" xfId="37218"/>
    <cellStyle name="Salida 2 3 3 11" xfId="37219"/>
    <cellStyle name="Salida 2 3 3 11 2" xfId="37220"/>
    <cellStyle name="Salida 2 3 3 12" xfId="37221"/>
    <cellStyle name="Salida 2 3 3 12 2" xfId="37222"/>
    <cellStyle name="Salida 2 3 3 13" xfId="37223"/>
    <cellStyle name="Salida 2 3 3 13 2" xfId="37224"/>
    <cellStyle name="Salida 2 3 3 14" xfId="37225"/>
    <cellStyle name="Salida 2 3 3 14 2" xfId="37226"/>
    <cellStyle name="Salida 2 3 3 15" xfId="37227"/>
    <cellStyle name="Salida 2 3 3 2" xfId="37228"/>
    <cellStyle name="Salida 2 3 3 2 10" xfId="37229"/>
    <cellStyle name="Salida 2 3 3 2 10 2" xfId="37230"/>
    <cellStyle name="Salida 2 3 3 2 11" xfId="37231"/>
    <cellStyle name="Salida 2 3 3 2 11 2" xfId="37232"/>
    <cellStyle name="Salida 2 3 3 2 12" xfId="37233"/>
    <cellStyle name="Salida 2 3 3 2 12 2" xfId="37234"/>
    <cellStyle name="Salida 2 3 3 2 13" xfId="37235"/>
    <cellStyle name="Salida 2 3 3 2 2" xfId="37236"/>
    <cellStyle name="Salida 2 3 3 2 2 10" xfId="37237"/>
    <cellStyle name="Salida 2 3 3 2 2 10 2" xfId="37238"/>
    <cellStyle name="Salida 2 3 3 2 2 11" xfId="37239"/>
    <cellStyle name="Salida 2 3 3 2 2 2" xfId="37240"/>
    <cellStyle name="Salida 2 3 3 2 2 2 2" xfId="37241"/>
    <cellStyle name="Salida 2 3 3 2 2 3" xfId="37242"/>
    <cellStyle name="Salida 2 3 3 2 2 3 2" xfId="37243"/>
    <cellStyle name="Salida 2 3 3 2 2 4" xfId="37244"/>
    <cellStyle name="Salida 2 3 3 2 2 4 2" xfId="37245"/>
    <cellStyle name="Salida 2 3 3 2 2 5" xfId="37246"/>
    <cellStyle name="Salida 2 3 3 2 2 5 2" xfId="37247"/>
    <cellStyle name="Salida 2 3 3 2 2 6" xfId="37248"/>
    <cellStyle name="Salida 2 3 3 2 2 6 2" xfId="37249"/>
    <cellStyle name="Salida 2 3 3 2 2 7" xfId="37250"/>
    <cellStyle name="Salida 2 3 3 2 2 7 2" xfId="37251"/>
    <cellStyle name="Salida 2 3 3 2 2 8" xfId="37252"/>
    <cellStyle name="Salida 2 3 3 2 2 8 2" xfId="37253"/>
    <cellStyle name="Salida 2 3 3 2 2 9" xfId="37254"/>
    <cellStyle name="Salida 2 3 3 2 2 9 2" xfId="37255"/>
    <cellStyle name="Salida 2 3 3 2 3" xfId="37256"/>
    <cellStyle name="Salida 2 3 3 2 3 10" xfId="37257"/>
    <cellStyle name="Salida 2 3 3 2 3 10 2" xfId="37258"/>
    <cellStyle name="Salida 2 3 3 2 3 11" xfId="37259"/>
    <cellStyle name="Salida 2 3 3 2 3 2" xfId="37260"/>
    <cellStyle name="Salida 2 3 3 2 3 2 2" xfId="37261"/>
    <cellStyle name="Salida 2 3 3 2 3 3" xfId="37262"/>
    <cellStyle name="Salida 2 3 3 2 3 3 2" xfId="37263"/>
    <cellStyle name="Salida 2 3 3 2 3 4" xfId="37264"/>
    <cellStyle name="Salida 2 3 3 2 3 4 2" xfId="37265"/>
    <cellStyle name="Salida 2 3 3 2 3 5" xfId="37266"/>
    <cellStyle name="Salida 2 3 3 2 3 5 2" xfId="37267"/>
    <cellStyle name="Salida 2 3 3 2 3 6" xfId="37268"/>
    <cellStyle name="Salida 2 3 3 2 3 6 2" xfId="37269"/>
    <cellStyle name="Salida 2 3 3 2 3 7" xfId="37270"/>
    <cellStyle name="Salida 2 3 3 2 3 7 2" xfId="37271"/>
    <cellStyle name="Salida 2 3 3 2 3 8" xfId="37272"/>
    <cellStyle name="Salida 2 3 3 2 3 8 2" xfId="37273"/>
    <cellStyle name="Salida 2 3 3 2 3 9" xfId="37274"/>
    <cellStyle name="Salida 2 3 3 2 3 9 2" xfId="37275"/>
    <cellStyle name="Salida 2 3 3 2 4" xfId="37276"/>
    <cellStyle name="Salida 2 3 3 2 4 2" xfId="37277"/>
    <cellStyle name="Salida 2 3 3 2 5" xfId="37278"/>
    <cellStyle name="Salida 2 3 3 2 5 2" xfId="37279"/>
    <cellStyle name="Salida 2 3 3 2 6" xfId="37280"/>
    <cellStyle name="Salida 2 3 3 2 6 2" xfId="37281"/>
    <cellStyle name="Salida 2 3 3 2 7" xfId="37282"/>
    <cellStyle name="Salida 2 3 3 2 7 2" xfId="37283"/>
    <cellStyle name="Salida 2 3 3 2 8" xfId="37284"/>
    <cellStyle name="Salida 2 3 3 2 8 2" xfId="37285"/>
    <cellStyle name="Salida 2 3 3 2 9" xfId="37286"/>
    <cellStyle name="Salida 2 3 3 2 9 2" xfId="37287"/>
    <cellStyle name="Salida 2 3 3 3" xfId="37288"/>
    <cellStyle name="Salida 2 3 3 3 10" xfId="37289"/>
    <cellStyle name="Salida 2 3 3 3 10 2" xfId="37290"/>
    <cellStyle name="Salida 2 3 3 3 11" xfId="37291"/>
    <cellStyle name="Salida 2 3 3 3 11 2" xfId="37292"/>
    <cellStyle name="Salida 2 3 3 3 12" xfId="37293"/>
    <cellStyle name="Salida 2 3 3 3 12 2" xfId="37294"/>
    <cellStyle name="Salida 2 3 3 3 13" xfId="37295"/>
    <cellStyle name="Salida 2 3 3 3 2" xfId="37296"/>
    <cellStyle name="Salida 2 3 3 3 2 10" xfId="37297"/>
    <cellStyle name="Salida 2 3 3 3 2 10 2" xfId="37298"/>
    <cellStyle name="Salida 2 3 3 3 2 11" xfId="37299"/>
    <cellStyle name="Salida 2 3 3 3 2 2" xfId="37300"/>
    <cellStyle name="Salida 2 3 3 3 2 2 2" xfId="37301"/>
    <cellStyle name="Salida 2 3 3 3 2 3" xfId="37302"/>
    <cellStyle name="Salida 2 3 3 3 2 3 2" xfId="37303"/>
    <cellStyle name="Salida 2 3 3 3 2 4" xfId="37304"/>
    <cellStyle name="Salida 2 3 3 3 2 4 2" xfId="37305"/>
    <cellStyle name="Salida 2 3 3 3 2 5" xfId="37306"/>
    <cellStyle name="Salida 2 3 3 3 2 5 2" xfId="37307"/>
    <cellStyle name="Salida 2 3 3 3 2 6" xfId="37308"/>
    <cellStyle name="Salida 2 3 3 3 2 6 2" xfId="37309"/>
    <cellStyle name="Salida 2 3 3 3 2 7" xfId="37310"/>
    <cellStyle name="Salida 2 3 3 3 2 7 2" xfId="37311"/>
    <cellStyle name="Salida 2 3 3 3 2 8" xfId="37312"/>
    <cellStyle name="Salida 2 3 3 3 2 8 2" xfId="37313"/>
    <cellStyle name="Salida 2 3 3 3 2 9" xfId="37314"/>
    <cellStyle name="Salida 2 3 3 3 2 9 2" xfId="37315"/>
    <cellStyle name="Salida 2 3 3 3 3" xfId="37316"/>
    <cellStyle name="Salida 2 3 3 3 3 10" xfId="37317"/>
    <cellStyle name="Salida 2 3 3 3 3 10 2" xfId="37318"/>
    <cellStyle name="Salida 2 3 3 3 3 11" xfId="37319"/>
    <cellStyle name="Salida 2 3 3 3 3 2" xfId="37320"/>
    <cellStyle name="Salida 2 3 3 3 3 2 2" xfId="37321"/>
    <cellStyle name="Salida 2 3 3 3 3 3" xfId="37322"/>
    <cellStyle name="Salida 2 3 3 3 3 3 2" xfId="37323"/>
    <cellStyle name="Salida 2 3 3 3 3 4" xfId="37324"/>
    <cellStyle name="Salida 2 3 3 3 3 4 2" xfId="37325"/>
    <cellStyle name="Salida 2 3 3 3 3 5" xfId="37326"/>
    <cellStyle name="Salida 2 3 3 3 3 5 2" xfId="37327"/>
    <cellStyle name="Salida 2 3 3 3 3 6" xfId="37328"/>
    <cellStyle name="Salida 2 3 3 3 3 6 2" xfId="37329"/>
    <cellStyle name="Salida 2 3 3 3 3 7" xfId="37330"/>
    <cellStyle name="Salida 2 3 3 3 3 7 2" xfId="37331"/>
    <cellStyle name="Salida 2 3 3 3 3 8" xfId="37332"/>
    <cellStyle name="Salida 2 3 3 3 3 8 2" xfId="37333"/>
    <cellStyle name="Salida 2 3 3 3 3 9" xfId="37334"/>
    <cellStyle name="Salida 2 3 3 3 3 9 2" xfId="37335"/>
    <cellStyle name="Salida 2 3 3 3 4" xfId="37336"/>
    <cellStyle name="Salida 2 3 3 3 4 2" xfId="37337"/>
    <cellStyle name="Salida 2 3 3 3 5" xfId="37338"/>
    <cellStyle name="Salida 2 3 3 3 5 2" xfId="37339"/>
    <cellStyle name="Salida 2 3 3 3 6" xfId="37340"/>
    <cellStyle name="Salida 2 3 3 3 6 2" xfId="37341"/>
    <cellStyle name="Salida 2 3 3 3 7" xfId="37342"/>
    <cellStyle name="Salida 2 3 3 3 7 2" xfId="37343"/>
    <cellStyle name="Salida 2 3 3 3 8" xfId="37344"/>
    <cellStyle name="Salida 2 3 3 3 8 2" xfId="37345"/>
    <cellStyle name="Salida 2 3 3 3 9" xfId="37346"/>
    <cellStyle name="Salida 2 3 3 3 9 2" xfId="37347"/>
    <cellStyle name="Salida 2 3 3 4" xfId="37348"/>
    <cellStyle name="Salida 2 3 3 4 10" xfId="37349"/>
    <cellStyle name="Salida 2 3 3 4 10 2" xfId="37350"/>
    <cellStyle name="Salida 2 3 3 4 11" xfId="37351"/>
    <cellStyle name="Salida 2 3 3 4 2" xfId="37352"/>
    <cellStyle name="Salida 2 3 3 4 2 2" xfId="37353"/>
    <cellStyle name="Salida 2 3 3 4 3" xfId="37354"/>
    <cellStyle name="Salida 2 3 3 4 3 2" xfId="37355"/>
    <cellStyle name="Salida 2 3 3 4 4" xfId="37356"/>
    <cellStyle name="Salida 2 3 3 4 4 2" xfId="37357"/>
    <cellStyle name="Salida 2 3 3 4 5" xfId="37358"/>
    <cellStyle name="Salida 2 3 3 4 5 2" xfId="37359"/>
    <cellStyle name="Salida 2 3 3 4 6" xfId="37360"/>
    <cellStyle name="Salida 2 3 3 4 6 2" xfId="37361"/>
    <cellStyle name="Salida 2 3 3 4 7" xfId="37362"/>
    <cellStyle name="Salida 2 3 3 4 7 2" xfId="37363"/>
    <cellStyle name="Salida 2 3 3 4 8" xfId="37364"/>
    <cellStyle name="Salida 2 3 3 4 8 2" xfId="37365"/>
    <cellStyle name="Salida 2 3 3 4 9" xfId="37366"/>
    <cellStyle name="Salida 2 3 3 4 9 2" xfId="37367"/>
    <cellStyle name="Salida 2 3 3 5" xfId="37368"/>
    <cellStyle name="Salida 2 3 3 5 10" xfId="37369"/>
    <cellStyle name="Salida 2 3 3 5 10 2" xfId="37370"/>
    <cellStyle name="Salida 2 3 3 5 11" xfId="37371"/>
    <cellStyle name="Salida 2 3 3 5 2" xfId="37372"/>
    <cellStyle name="Salida 2 3 3 5 2 2" xfId="37373"/>
    <cellStyle name="Salida 2 3 3 5 3" xfId="37374"/>
    <cellStyle name="Salida 2 3 3 5 3 2" xfId="37375"/>
    <cellStyle name="Salida 2 3 3 5 4" xfId="37376"/>
    <cellStyle name="Salida 2 3 3 5 4 2" xfId="37377"/>
    <cellStyle name="Salida 2 3 3 5 5" xfId="37378"/>
    <cellStyle name="Salida 2 3 3 5 5 2" xfId="37379"/>
    <cellStyle name="Salida 2 3 3 5 6" xfId="37380"/>
    <cellStyle name="Salida 2 3 3 5 6 2" xfId="37381"/>
    <cellStyle name="Salida 2 3 3 5 7" xfId="37382"/>
    <cellStyle name="Salida 2 3 3 5 7 2" xfId="37383"/>
    <cellStyle name="Salida 2 3 3 5 8" xfId="37384"/>
    <cellStyle name="Salida 2 3 3 5 8 2" xfId="37385"/>
    <cellStyle name="Salida 2 3 3 5 9" xfId="37386"/>
    <cellStyle name="Salida 2 3 3 5 9 2" xfId="37387"/>
    <cellStyle name="Salida 2 3 3 6" xfId="37388"/>
    <cellStyle name="Salida 2 3 3 6 2" xfId="37389"/>
    <cellStyle name="Salida 2 3 3 7" xfId="37390"/>
    <cellStyle name="Salida 2 3 3 7 2" xfId="37391"/>
    <cellStyle name="Salida 2 3 3 8" xfId="37392"/>
    <cellStyle name="Salida 2 3 3 8 2" xfId="37393"/>
    <cellStyle name="Salida 2 3 3 9" xfId="37394"/>
    <cellStyle name="Salida 2 3 3 9 2" xfId="37395"/>
    <cellStyle name="Salida 2 3 4" xfId="37396"/>
    <cellStyle name="Salida 2 3 4 10" xfId="37397"/>
    <cellStyle name="Salida 2 3 4 10 2" xfId="37398"/>
    <cellStyle name="Salida 2 3 4 11" xfId="37399"/>
    <cellStyle name="Salida 2 3 4 11 2" xfId="37400"/>
    <cellStyle name="Salida 2 3 4 12" xfId="37401"/>
    <cellStyle name="Salida 2 3 4 12 2" xfId="37402"/>
    <cellStyle name="Salida 2 3 4 13" xfId="37403"/>
    <cellStyle name="Salida 2 3 4 2" xfId="37404"/>
    <cellStyle name="Salida 2 3 4 2 10" xfId="37405"/>
    <cellStyle name="Salida 2 3 4 2 10 2" xfId="37406"/>
    <cellStyle name="Salida 2 3 4 2 11" xfId="37407"/>
    <cellStyle name="Salida 2 3 4 2 2" xfId="37408"/>
    <cellStyle name="Salida 2 3 4 2 2 2" xfId="37409"/>
    <cellStyle name="Salida 2 3 4 2 3" xfId="37410"/>
    <cellStyle name="Salida 2 3 4 2 3 2" xfId="37411"/>
    <cellStyle name="Salida 2 3 4 2 4" xfId="37412"/>
    <cellStyle name="Salida 2 3 4 2 4 2" xfId="37413"/>
    <cellStyle name="Salida 2 3 4 2 5" xfId="37414"/>
    <cellStyle name="Salida 2 3 4 2 5 2" xfId="37415"/>
    <cellStyle name="Salida 2 3 4 2 6" xfId="37416"/>
    <cellStyle name="Salida 2 3 4 2 6 2" xfId="37417"/>
    <cellStyle name="Salida 2 3 4 2 7" xfId="37418"/>
    <cellStyle name="Salida 2 3 4 2 7 2" xfId="37419"/>
    <cellStyle name="Salida 2 3 4 2 8" xfId="37420"/>
    <cellStyle name="Salida 2 3 4 2 8 2" xfId="37421"/>
    <cellStyle name="Salida 2 3 4 2 9" xfId="37422"/>
    <cellStyle name="Salida 2 3 4 2 9 2" xfId="37423"/>
    <cellStyle name="Salida 2 3 4 3" xfId="37424"/>
    <cellStyle name="Salida 2 3 4 3 10" xfId="37425"/>
    <cellStyle name="Salida 2 3 4 3 10 2" xfId="37426"/>
    <cellStyle name="Salida 2 3 4 3 11" xfId="37427"/>
    <cellStyle name="Salida 2 3 4 3 2" xfId="37428"/>
    <cellStyle name="Salida 2 3 4 3 2 2" xfId="37429"/>
    <cellStyle name="Salida 2 3 4 3 3" xfId="37430"/>
    <cellStyle name="Salida 2 3 4 3 3 2" xfId="37431"/>
    <cellStyle name="Salida 2 3 4 3 4" xfId="37432"/>
    <cellStyle name="Salida 2 3 4 3 4 2" xfId="37433"/>
    <cellStyle name="Salida 2 3 4 3 5" xfId="37434"/>
    <cellStyle name="Salida 2 3 4 3 5 2" xfId="37435"/>
    <cellStyle name="Salida 2 3 4 3 6" xfId="37436"/>
    <cellStyle name="Salida 2 3 4 3 6 2" xfId="37437"/>
    <cellStyle name="Salida 2 3 4 3 7" xfId="37438"/>
    <cellStyle name="Salida 2 3 4 3 7 2" xfId="37439"/>
    <cellStyle name="Salida 2 3 4 3 8" xfId="37440"/>
    <cellStyle name="Salida 2 3 4 3 8 2" xfId="37441"/>
    <cellStyle name="Salida 2 3 4 3 9" xfId="37442"/>
    <cellStyle name="Salida 2 3 4 3 9 2" xfId="37443"/>
    <cellStyle name="Salida 2 3 4 4" xfId="37444"/>
    <cellStyle name="Salida 2 3 4 4 2" xfId="37445"/>
    <cellStyle name="Salida 2 3 4 5" xfId="37446"/>
    <cellStyle name="Salida 2 3 4 5 2" xfId="37447"/>
    <cellStyle name="Salida 2 3 4 6" xfId="37448"/>
    <cellStyle name="Salida 2 3 4 6 2" xfId="37449"/>
    <cellStyle name="Salida 2 3 4 7" xfId="37450"/>
    <cellStyle name="Salida 2 3 4 7 2" xfId="37451"/>
    <cellStyle name="Salida 2 3 4 8" xfId="37452"/>
    <cellStyle name="Salida 2 3 4 8 2" xfId="37453"/>
    <cellStyle name="Salida 2 3 4 9" xfId="37454"/>
    <cellStyle name="Salida 2 3 4 9 2" xfId="37455"/>
    <cellStyle name="Salida 2 3 5" xfId="37456"/>
    <cellStyle name="Salida 2 3 5 10" xfId="37457"/>
    <cellStyle name="Salida 2 3 5 10 2" xfId="37458"/>
    <cellStyle name="Salida 2 3 5 11" xfId="37459"/>
    <cellStyle name="Salida 2 3 5 11 2" xfId="37460"/>
    <cellStyle name="Salida 2 3 5 12" xfId="37461"/>
    <cellStyle name="Salida 2 3 5 12 2" xfId="37462"/>
    <cellStyle name="Salida 2 3 5 13" xfId="37463"/>
    <cellStyle name="Salida 2 3 5 2" xfId="37464"/>
    <cellStyle name="Salida 2 3 5 2 10" xfId="37465"/>
    <cellStyle name="Salida 2 3 5 2 10 2" xfId="37466"/>
    <cellStyle name="Salida 2 3 5 2 11" xfId="37467"/>
    <cellStyle name="Salida 2 3 5 2 2" xfId="37468"/>
    <cellStyle name="Salida 2 3 5 2 2 2" xfId="37469"/>
    <cellStyle name="Salida 2 3 5 2 3" xfId="37470"/>
    <cellStyle name="Salida 2 3 5 2 3 2" xfId="37471"/>
    <cellStyle name="Salida 2 3 5 2 4" xfId="37472"/>
    <cellStyle name="Salida 2 3 5 2 4 2" xfId="37473"/>
    <cellStyle name="Salida 2 3 5 2 5" xfId="37474"/>
    <cellStyle name="Salida 2 3 5 2 5 2" xfId="37475"/>
    <cellStyle name="Salida 2 3 5 2 6" xfId="37476"/>
    <cellStyle name="Salida 2 3 5 2 6 2" xfId="37477"/>
    <cellStyle name="Salida 2 3 5 2 7" xfId="37478"/>
    <cellStyle name="Salida 2 3 5 2 7 2" xfId="37479"/>
    <cellStyle name="Salida 2 3 5 2 8" xfId="37480"/>
    <cellStyle name="Salida 2 3 5 2 8 2" xfId="37481"/>
    <cellStyle name="Salida 2 3 5 2 9" xfId="37482"/>
    <cellStyle name="Salida 2 3 5 2 9 2" xfId="37483"/>
    <cellStyle name="Salida 2 3 5 3" xfId="37484"/>
    <cellStyle name="Salida 2 3 5 3 10" xfId="37485"/>
    <cellStyle name="Salida 2 3 5 3 10 2" xfId="37486"/>
    <cellStyle name="Salida 2 3 5 3 11" xfId="37487"/>
    <cellStyle name="Salida 2 3 5 3 2" xfId="37488"/>
    <cellStyle name="Salida 2 3 5 3 2 2" xfId="37489"/>
    <cellStyle name="Salida 2 3 5 3 3" xfId="37490"/>
    <cellStyle name="Salida 2 3 5 3 3 2" xfId="37491"/>
    <cellStyle name="Salida 2 3 5 3 4" xfId="37492"/>
    <cellStyle name="Salida 2 3 5 3 4 2" xfId="37493"/>
    <cellStyle name="Salida 2 3 5 3 5" xfId="37494"/>
    <cellStyle name="Salida 2 3 5 3 5 2" xfId="37495"/>
    <cellStyle name="Salida 2 3 5 3 6" xfId="37496"/>
    <cellStyle name="Salida 2 3 5 3 6 2" xfId="37497"/>
    <cellStyle name="Salida 2 3 5 3 7" xfId="37498"/>
    <cellStyle name="Salida 2 3 5 3 7 2" xfId="37499"/>
    <cellStyle name="Salida 2 3 5 3 8" xfId="37500"/>
    <cellStyle name="Salida 2 3 5 3 8 2" xfId="37501"/>
    <cellStyle name="Salida 2 3 5 3 9" xfId="37502"/>
    <cellStyle name="Salida 2 3 5 3 9 2" xfId="37503"/>
    <cellStyle name="Salida 2 3 5 4" xfId="37504"/>
    <cellStyle name="Salida 2 3 5 4 2" xfId="37505"/>
    <cellStyle name="Salida 2 3 5 5" xfId="37506"/>
    <cellStyle name="Salida 2 3 5 5 2" xfId="37507"/>
    <cellStyle name="Salida 2 3 5 6" xfId="37508"/>
    <cellStyle name="Salida 2 3 5 6 2" xfId="37509"/>
    <cellStyle name="Salida 2 3 5 7" xfId="37510"/>
    <cellStyle name="Salida 2 3 5 7 2" xfId="37511"/>
    <cellStyle name="Salida 2 3 5 8" xfId="37512"/>
    <cellStyle name="Salida 2 3 5 8 2" xfId="37513"/>
    <cellStyle name="Salida 2 3 5 9" xfId="37514"/>
    <cellStyle name="Salida 2 3 5 9 2" xfId="37515"/>
    <cellStyle name="Salida 2 3 6" xfId="37516"/>
    <cellStyle name="Salida 2 3 6 2" xfId="37517"/>
    <cellStyle name="Salida 2 3 7" xfId="37518"/>
    <cellStyle name="Salida 2 3 7 2" xfId="37519"/>
    <cellStyle name="Salida 2 3 8" xfId="37520"/>
    <cellStyle name="Salida 2 3 8 2" xfId="37521"/>
    <cellStyle name="Salida 2 3 9" xfId="37522"/>
    <cellStyle name="Salida 2 3 9 2" xfId="37523"/>
    <cellStyle name="Salida 2 4" xfId="37524"/>
    <cellStyle name="Salida 2 4 10" xfId="37525"/>
    <cellStyle name="Salida 2 4 10 2" xfId="37526"/>
    <cellStyle name="Salida 2 4 11" xfId="37527"/>
    <cellStyle name="Salida 2 4 11 2" xfId="37528"/>
    <cellStyle name="Salida 2 4 12" xfId="37529"/>
    <cellStyle name="Salida 2 4 12 2" xfId="37530"/>
    <cellStyle name="Salida 2 4 13" xfId="37531"/>
    <cellStyle name="Salida 2 4 13 2" xfId="37532"/>
    <cellStyle name="Salida 2 4 14" xfId="37533"/>
    <cellStyle name="Salida 2 4 14 2" xfId="37534"/>
    <cellStyle name="Salida 2 4 15" xfId="37535"/>
    <cellStyle name="Salida 2 4 2" xfId="37536"/>
    <cellStyle name="Salida 2 4 2 10" xfId="37537"/>
    <cellStyle name="Salida 2 4 2 10 2" xfId="37538"/>
    <cellStyle name="Salida 2 4 2 11" xfId="37539"/>
    <cellStyle name="Salida 2 4 2 11 2" xfId="37540"/>
    <cellStyle name="Salida 2 4 2 12" xfId="37541"/>
    <cellStyle name="Salida 2 4 2 12 2" xfId="37542"/>
    <cellStyle name="Salida 2 4 2 13" xfId="37543"/>
    <cellStyle name="Salida 2 4 2 2" xfId="37544"/>
    <cellStyle name="Salida 2 4 2 2 10" xfId="37545"/>
    <cellStyle name="Salida 2 4 2 2 10 2" xfId="37546"/>
    <cellStyle name="Salida 2 4 2 2 11" xfId="37547"/>
    <cellStyle name="Salida 2 4 2 2 2" xfId="37548"/>
    <cellStyle name="Salida 2 4 2 2 2 2" xfId="37549"/>
    <cellStyle name="Salida 2 4 2 2 3" xfId="37550"/>
    <cellStyle name="Salida 2 4 2 2 3 2" xfId="37551"/>
    <cellStyle name="Salida 2 4 2 2 4" xfId="37552"/>
    <cellStyle name="Salida 2 4 2 2 4 2" xfId="37553"/>
    <cellStyle name="Salida 2 4 2 2 5" xfId="37554"/>
    <cellStyle name="Salida 2 4 2 2 5 2" xfId="37555"/>
    <cellStyle name="Salida 2 4 2 2 6" xfId="37556"/>
    <cellStyle name="Salida 2 4 2 2 6 2" xfId="37557"/>
    <cellStyle name="Salida 2 4 2 2 7" xfId="37558"/>
    <cellStyle name="Salida 2 4 2 2 7 2" xfId="37559"/>
    <cellStyle name="Salida 2 4 2 2 8" xfId="37560"/>
    <cellStyle name="Salida 2 4 2 2 8 2" xfId="37561"/>
    <cellStyle name="Salida 2 4 2 2 9" xfId="37562"/>
    <cellStyle name="Salida 2 4 2 2 9 2" xfId="37563"/>
    <cellStyle name="Salida 2 4 2 3" xfId="37564"/>
    <cellStyle name="Salida 2 4 2 3 10" xfId="37565"/>
    <cellStyle name="Salida 2 4 2 3 10 2" xfId="37566"/>
    <cellStyle name="Salida 2 4 2 3 11" xfId="37567"/>
    <cellStyle name="Salida 2 4 2 3 2" xfId="37568"/>
    <cellStyle name="Salida 2 4 2 3 2 2" xfId="37569"/>
    <cellStyle name="Salida 2 4 2 3 3" xfId="37570"/>
    <cellStyle name="Salida 2 4 2 3 3 2" xfId="37571"/>
    <cellStyle name="Salida 2 4 2 3 4" xfId="37572"/>
    <cellStyle name="Salida 2 4 2 3 4 2" xfId="37573"/>
    <cellStyle name="Salida 2 4 2 3 5" xfId="37574"/>
    <cellStyle name="Salida 2 4 2 3 5 2" xfId="37575"/>
    <cellStyle name="Salida 2 4 2 3 6" xfId="37576"/>
    <cellStyle name="Salida 2 4 2 3 6 2" xfId="37577"/>
    <cellStyle name="Salida 2 4 2 3 7" xfId="37578"/>
    <cellStyle name="Salida 2 4 2 3 7 2" xfId="37579"/>
    <cellStyle name="Salida 2 4 2 3 8" xfId="37580"/>
    <cellStyle name="Salida 2 4 2 3 8 2" xfId="37581"/>
    <cellStyle name="Salida 2 4 2 3 9" xfId="37582"/>
    <cellStyle name="Salida 2 4 2 3 9 2" xfId="37583"/>
    <cellStyle name="Salida 2 4 2 4" xfId="37584"/>
    <cellStyle name="Salida 2 4 2 4 2" xfId="37585"/>
    <cellStyle name="Salida 2 4 2 5" xfId="37586"/>
    <cellStyle name="Salida 2 4 2 5 2" xfId="37587"/>
    <cellStyle name="Salida 2 4 2 6" xfId="37588"/>
    <cellStyle name="Salida 2 4 2 6 2" xfId="37589"/>
    <cellStyle name="Salida 2 4 2 7" xfId="37590"/>
    <cellStyle name="Salida 2 4 2 7 2" xfId="37591"/>
    <cellStyle name="Salida 2 4 2 8" xfId="37592"/>
    <cellStyle name="Salida 2 4 2 8 2" xfId="37593"/>
    <cellStyle name="Salida 2 4 2 9" xfId="37594"/>
    <cellStyle name="Salida 2 4 2 9 2" xfId="37595"/>
    <cellStyle name="Salida 2 4 3" xfId="37596"/>
    <cellStyle name="Salida 2 4 3 10" xfId="37597"/>
    <cellStyle name="Salida 2 4 3 10 2" xfId="37598"/>
    <cellStyle name="Salida 2 4 3 11" xfId="37599"/>
    <cellStyle name="Salida 2 4 3 11 2" xfId="37600"/>
    <cellStyle name="Salida 2 4 3 12" xfId="37601"/>
    <cellStyle name="Salida 2 4 3 12 2" xfId="37602"/>
    <cellStyle name="Salida 2 4 3 13" xfId="37603"/>
    <cellStyle name="Salida 2 4 3 2" xfId="37604"/>
    <cellStyle name="Salida 2 4 3 2 10" xfId="37605"/>
    <cellStyle name="Salida 2 4 3 2 10 2" xfId="37606"/>
    <cellStyle name="Salida 2 4 3 2 11" xfId="37607"/>
    <cellStyle name="Salida 2 4 3 2 2" xfId="37608"/>
    <cellStyle name="Salida 2 4 3 2 2 2" xfId="37609"/>
    <cellStyle name="Salida 2 4 3 2 3" xfId="37610"/>
    <cellStyle name="Salida 2 4 3 2 3 2" xfId="37611"/>
    <cellStyle name="Salida 2 4 3 2 4" xfId="37612"/>
    <cellStyle name="Salida 2 4 3 2 4 2" xfId="37613"/>
    <cellStyle name="Salida 2 4 3 2 5" xfId="37614"/>
    <cellStyle name="Salida 2 4 3 2 5 2" xfId="37615"/>
    <cellStyle name="Salida 2 4 3 2 6" xfId="37616"/>
    <cellStyle name="Salida 2 4 3 2 6 2" xfId="37617"/>
    <cellStyle name="Salida 2 4 3 2 7" xfId="37618"/>
    <cellStyle name="Salida 2 4 3 2 7 2" xfId="37619"/>
    <cellStyle name="Salida 2 4 3 2 8" xfId="37620"/>
    <cellStyle name="Salida 2 4 3 2 8 2" xfId="37621"/>
    <cellStyle name="Salida 2 4 3 2 9" xfId="37622"/>
    <cellStyle name="Salida 2 4 3 2 9 2" xfId="37623"/>
    <cellStyle name="Salida 2 4 3 3" xfId="37624"/>
    <cellStyle name="Salida 2 4 3 3 10" xfId="37625"/>
    <cellStyle name="Salida 2 4 3 3 10 2" xfId="37626"/>
    <cellStyle name="Salida 2 4 3 3 11" xfId="37627"/>
    <cellStyle name="Salida 2 4 3 3 2" xfId="37628"/>
    <cellStyle name="Salida 2 4 3 3 2 2" xfId="37629"/>
    <cellStyle name="Salida 2 4 3 3 3" xfId="37630"/>
    <cellStyle name="Salida 2 4 3 3 3 2" xfId="37631"/>
    <cellStyle name="Salida 2 4 3 3 4" xfId="37632"/>
    <cellStyle name="Salida 2 4 3 3 4 2" xfId="37633"/>
    <cellStyle name="Salida 2 4 3 3 5" xfId="37634"/>
    <cellStyle name="Salida 2 4 3 3 5 2" xfId="37635"/>
    <cellStyle name="Salida 2 4 3 3 6" xfId="37636"/>
    <cellStyle name="Salida 2 4 3 3 6 2" xfId="37637"/>
    <cellStyle name="Salida 2 4 3 3 7" xfId="37638"/>
    <cellStyle name="Salida 2 4 3 3 7 2" xfId="37639"/>
    <cellStyle name="Salida 2 4 3 3 8" xfId="37640"/>
    <cellStyle name="Salida 2 4 3 3 8 2" xfId="37641"/>
    <cellStyle name="Salida 2 4 3 3 9" xfId="37642"/>
    <cellStyle name="Salida 2 4 3 3 9 2" xfId="37643"/>
    <cellStyle name="Salida 2 4 3 4" xfId="37644"/>
    <cellStyle name="Salida 2 4 3 4 2" xfId="37645"/>
    <cellStyle name="Salida 2 4 3 5" xfId="37646"/>
    <cellStyle name="Salida 2 4 3 5 2" xfId="37647"/>
    <cellStyle name="Salida 2 4 3 6" xfId="37648"/>
    <cellStyle name="Salida 2 4 3 6 2" xfId="37649"/>
    <cellStyle name="Salida 2 4 3 7" xfId="37650"/>
    <cellStyle name="Salida 2 4 3 7 2" xfId="37651"/>
    <cellStyle name="Salida 2 4 3 8" xfId="37652"/>
    <cellStyle name="Salida 2 4 3 8 2" xfId="37653"/>
    <cellStyle name="Salida 2 4 3 9" xfId="37654"/>
    <cellStyle name="Salida 2 4 3 9 2" xfId="37655"/>
    <cellStyle name="Salida 2 4 4" xfId="37656"/>
    <cellStyle name="Salida 2 4 4 10" xfId="37657"/>
    <cellStyle name="Salida 2 4 4 10 2" xfId="37658"/>
    <cellStyle name="Salida 2 4 4 11" xfId="37659"/>
    <cellStyle name="Salida 2 4 4 2" xfId="37660"/>
    <cellStyle name="Salida 2 4 4 2 2" xfId="37661"/>
    <cellStyle name="Salida 2 4 4 3" xfId="37662"/>
    <cellStyle name="Salida 2 4 4 3 2" xfId="37663"/>
    <cellStyle name="Salida 2 4 4 4" xfId="37664"/>
    <cellStyle name="Salida 2 4 4 4 2" xfId="37665"/>
    <cellStyle name="Salida 2 4 4 5" xfId="37666"/>
    <cellStyle name="Salida 2 4 4 5 2" xfId="37667"/>
    <cellStyle name="Salida 2 4 4 6" xfId="37668"/>
    <cellStyle name="Salida 2 4 4 6 2" xfId="37669"/>
    <cellStyle name="Salida 2 4 4 7" xfId="37670"/>
    <cellStyle name="Salida 2 4 4 7 2" xfId="37671"/>
    <cellStyle name="Salida 2 4 4 8" xfId="37672"/>
    <cellStyle name="Salida 2 4 4 8 2" xfId="37673"/>
    <cellStyle name="Salida 2 4 4 9" xfId="37674"/>
    <cellStyle name="Salida 2 4 4 9 2" xfId="37675"/>
    <cellStyle name="Salida 2 4 5" xfId="37676"/>
    <cellStyle name="Salida 2 4 5 10" xfId="37677"/>
    <cellStyle name="Salida 2 4 5 10 2" xfId="37678"/>
    <cellStyle name="Salida 2 4 5 11" xfId="37679"/>
    <cellStyle name="Salida 2 4 5 2" xfId="37680"/>
    <cellStyle name="Salida 2 4 5 2 2" xfId="37681"/>
    <cellStyle name="Salida 2 4 5 3" xfId="37682"/>
    <cellStyle name="Salida 2 4 5 3 2" xfId="37683"/>
    <cellStyle name="Salida 2 4 5 4" xfId="37684"/>
    <cellStyle name="Salida 2 4 5 4 2" xfId="37685"/>
    <cellStyle name="Salida 2 4 5 5" xfId="37686"/>
    <cellStyle name="Salida 2 4 5 5 2" xfId="37687"/>
    <cellStyle name="Salida 2 4 5 6" xfId="37688"/>
    <cellStyle name="Salida 2 4 5 6 2" xfId="37689"/>
    <cellStyle name="Salida 2 4 5 7" xfId="37690"/>
    <cellStyle name="Salida 2 4 5 7 2" xfId="37691"/>
    <cellStyle name="Salida 2 4 5 8" xfId="37692"/>
    <cellStyle name="Salida 2 4 5 8 2" xfId="37693"/>
    <cellStyle name="Salida 2 4 5 9" xfId="37694"/>
    <cellStyle name="Salida 2 4 5 9 2" xfId="37695"/>
    <cellStyle name="Salida 2 4 6" xfId="37696"/>
    <cellStyle name="Salida 2 4 6 2" xfId="37697"/>
    <cellStyle name="Salida 2 4 7" xfId="37698"/>
    <cellStyle name="Salida 2 4 7 2" xfId="37699"/>
    <cellStyle name="Salida 2 4 8" xfId="37700"/>
    <cellStyle name="Salida 2 4 8 2" xfId="37701"/>
    <cellStyle name="Salida 2 4 9" xfId="37702"/>
    <cellStyle name="Salida 2 4 9 2" xfId="37703"/>
    <cellStyle name="Salida 2 5" xfId="37704"/>
    <cellStyle name="Salida 2 5 10" xfId="37705"/>
    <cellStyle name="Salida 2 5 10 2" xfId="37706"/>
    <cellStyle name="Salida 2 5 11" xfId="37707"/>
    <cellStyle name="Salida 2 5 11 2" xfId="37708"/>
    <cellStyle name="Salida 2 5 12" xfId="37709"/>
    <cellStyle name="Salida 2 5 12 2" xfId="37710"/>
    <cellStyle name="Salida 2 5 13" xfId="37711"/>
    <cellStyle name="Salida 2 5 13 2" xfId="37712"/>
    <cellStyle name="Salida 2 5 14" xfId="37713"/>
    <cellStyle name="Salida 2 5 14 2" xfId="37714"/>
    <cellStyle name="Salida 2 5 15" xfId="37715"/>
    <cellStyle name="Salida 2 5 2" xfId="37716"/>
    <cellStyle name="Salida 2 5 2 10" xfId="37717"/>
    <cellStyle name="Salida 2 5 2 10 2" xfId="37718"/>
    <cellStyle name="Salida 2 5 2 11" xfId="37719"/>
    <cellStyle name="Salida 2 5 2 11 2" xfId="37720"/>
    <cellStyle name="Salida 2 5 2 12" xfId="37721"/>
    <cellStyle name="Salida 2 5 2 12 2" xfId="37722"/>
    <cellStyle name="Salida 2 5 2 13" xfId="37723"/>
    <cellStyle name="Salida 2 5 2 2" xfId="37724"/>
    <cellStyle name="Salida 2 5 2 2 10" xfId="37725"/>
    <cellStyle name="Salida 2 5 2 2 10 2" xfId="37726"/>
    <cellStyle name="Salida 2 5 2 2 11" xfId="37727"/>
    <cellStyle name="Salida 2 5 2 2 2" xfId="37728"/>
    <cellStyle name="Salida 2 5 2 2 2 2" xfId="37729"/>
    <cellStyle name="Salida 2 5 2 2 3" xfId="37730"/>
    <cellStyle name="Salida 2 5 2 2 3 2" xfId="37731"/>
    <cellStyle name="Salida 2 5 2 2 4" xfId="37732"/>
    <cellStyle name="Salida 2 5 2 2 4 2" xfId="37733"/>
    <cellStyle name="Salida 2 5 2 2 5" xfId="37734"/>
    <cellStyle name="Salida 2 5 2 2 5 2" xfId="37735"/>
    <cellStyle name="Salida 2 5 2 2 6" xfId="37736"/>
    <cellStyle name="Salida 2 5 2 2 6 2" xfId="37737"/>
    <cellStyle name="Salida 2 5 2 2 7" xfId="37738"/>
    <cellStyle name="Salida 2 5 2 2 7 2" xfId="37739"/>
    <cellStyle name="Salida 2 5 2 2 8" xfId="37740"/>
    <cellStyle name="Salida 2 5 2 2 8 2" xfId="37741"/>
    <cellStyle name="Salida 2 5 2 2 9" xfId="37742"/>
    <cellStyle name="Salida 2 5 2 2 9 2" xfId="37743"/>
    <cellStyle name="Salida 2 5 2 3" xfId="37744"/>
    <cellStyle name="Salida 2 5 2 3 10" xfId="37745"/>
    <cellStyle name="Salida 2 5 2 3 10 2" xfId="37746"/>
    <cellStyle name="Salida 2 5 2 3 11" xfId="37747"/>
    <cellStyle name="Salida 2 5 2 3 2" xfId="37748"/>
    <cellStyle name="Salida 2 5 2 3 2 2" xfId="37749"/>
    <cellStyle name="Salida 2 5 2 3 3" xfId="37750"/>
    <cellStyle name="Salida 2 5 2 3 3 2" xfId="37751"/>
    <cellStyle name="Salida 2 5 2 3 4" xfId="37752"/>
    <cellStyle name="Salida 2 5 2 3 4 2" xfId="37753"/>
    <cellStyle name="Salida 2 5 2 3 5" xfId="37754"/>
    <cellStyle name="Salida 2 5 2 3 5 2" xfId="37755"/>
    <cellStyle name="Salida 2 5 2 3 6" xfId="37756"/>
    <cellStyle name="Salida 2 5 2 3 6 2" xfId="37757"/>
    <cellStyle name="Salida 2 5 2 3 7" xfId="37758"/>
    <cellStyle name="Salida 2 5 2 3 7 2" xfId="37759"/>
    <cellStyle name="Salida 2 5 2 3 8" xfId="37760"/>
    <cellStyle name="Salida 2 5 2 3 8 2" xfId="37761"/>
    <cellStyle name="Salida 2 5 2 3 9" xfId="37762"/>
    <cellStyle name="Salida 2 5 2 3 9 2" xfId="37763"/>
    <cellStyle name="Salida 2 5 2 4" xfId="37764"/>
    <cellStyle name="Salida 2 5 2 4 2" xfId="37765"/>
    <cellStyle name="Salida 2 5 2 5" xfId="37766"/>
    <cellStyle name="Salida 2 5 2 5 2" xfId="37767"/>
    <cellStyle name="Salida 2 5 2 6" xfId="37768"/>
    <cellStyle name="Salida 2 5 2 6 2" xfId="37769"/>
    <cellStyle name="Salida 2 5 2 7" xfId="37770"/>
    <cellStyle name="Salida 2 5 2 7 2" xfId="37771"/>
    <cellStyle name="Salida 2 5 2 8" xfId="37772"/>
    <cellStyle name="Salida 2 5 2 8 2" xfId="37773"/>
    <cellStyle name="Salida 2 5 2 9" xfId="37774"/>
    <cellStyle name="Salida 2 5 2 9 2" xfId="37775"/>
    <cellStyle name="Salida 2 5 3" xfId="37776"/>
    <cellStyle name="Salida 2 5 3 10" xfId="37777"/>
    <cellStyle name="Salida 2 5 3 10 2" xfId="37778"/>
    <cellStyle name="Salida 2 5 3 11" xfId="37779"/>
    <cellStyle name="Salida 2 5 3 11 2" xfId="37780"/>
    <cellStyle name="Salida 2 5 3 12" xfId="37781"/>
    <cellStyle name="Salida 2 5 3 12 2" xfId="37782"/>
    <cellStyle name="Salida 2 5 3 13" xfId="37783"/>
    <cellStyle name="Salida 2 5 3 2" xfId="37784"/>
    <cellStyle name="Salida 2 5 3 2 10" xfId="37785"/>
    <cellStyle name="Salida 2 5 3 2 10 2" xfId="37786"/>
    <cellStyle name="Salida 2 5 3 2 11" xfId="37787"/>
    <cellStyle name="Salida 2 5 3 2 2" xfId="37788"/>
    <cellStyle name="Salida 2 5 3 2 2 2" xfId="37789"/>
    <cellStyle name="Salida 2 5 3 2 3" xfId="37790"/>
    <cellStyle name="Salida 2 5 3 2 3 2" xfId="37791"/>
    <cellStyle name="Salida 2 5 3 2 4" xfId="37792"/>
    <cellStyle name="Salida 2 5 3 2 4 2" xfId="37793"/>
    <cellStyle name="Salida 2 5 3 2 5" xfId="37794"/>
    <cellStyle name="Salida 2 5 3 2 5 2" xfId="37795"/>
    <cellStyle name="Salida 2 5 3 2 6" xfId="37796"/>
    <cellStyle name="Salida 2 5 3 2 6 2" xfId="37797"/>
    <cellStyle name="Salida 2 5 3 2 7" xfId="37798"/>
    <cellStyle name="Salida 2 5 3 2 7 2" xfId="37799"/>
    <cellStyle name="Salida 2 5 3 2 8" xfId="37800"/>
    <cellStyle name="Salida 2 5 3 2 8 2" xfId="37801"/>
    <cellStyle name="Salida 2 5 3 2 9" xfId="37802"/>
    <cellStyle name="Salida 2 5 3 2 9 2" xfId="37803"/>
    <cellStyle name="Salida 2 5 3 3" xfId="37804"/>
    <cellStyle name="Salida 2 5 3 3 10" xfId="37805"/>
    <cellStyle name="Salida 2 5 3 3 10 2" xfId="37806"/>
    <cellStyle name="Salida 2 5 3 3 11" xfId="37807"/>
    <cellStyle name="Salida 2 5 3 3 2" xfId="37808"/>
    <cellStyle name="Salida 2 5 3 3 2 2" xfId="37809"/>
    <cellStyle name="Salida 2 5 3 3 3" xfId="37810"/>
    <cellStyle name="Salida 2 5 3 3 3 2" xfId="37811"/>
    <cellStyle name="Salida 2 5 3 3 4" xfId="37812"/>
    <cellStyle name="Salida 2 5 3 3 4 2" xfId="37813"/>
    <cellStyle name="Salida 2 5 3 3 5" xfId="37814"/>
    <cellStyle name="Salida 2 5 3 3 5 2" xfId="37815"/>
    <cellStyle name="Salida 2 5 3 3 6" xfId="37816"/>
    <cellStyle name="Salida 2 5 3 3 6 2" xfId="37817"/>
    <cellStyle name="Salida 2 5 3 3 7" xfId="37818"/>
    <cellStyle name="Salida 2 5 3 3 7 2" xfId="37819"/>
    <cellStyle name="Salida 2 5 3 3 8" xfId="37820"/>
    <cellStyle name="Salida 2 5 3 3 8 2" xfId="37821"/>
    <cellStyle name="Salida 2 5 3 3 9" xfId="37822"/>
    <cellStyle name="Salida 2 5 3 3 9 2" xfId="37823"/>
    <cellStyle name="Salida 2 5 3 4" xfId="37824"/>
    <cellStyle name="Salida 2 5 3 4 2" xfId="37825"/>
    <cellStyle name="Salida 2 5 3 5" xfId="37826"/>
    <cellStyle name="Salida 2 5 3 5 2" xfId="37827"/>
    <cellStyle name="Salida 2 5 3 6" xfId="37828"/>
    <cellStyle name="Salida 2 5 3 6 2" xfId="37829"/>
    <cellStyle name="Salida 2 5 3 7" xfId="37830"/>
    <cellStyle name="Salida 2 5 3 7 2" xfId="37831"/>
    <cellStyle name="Salida 2 5 3 8" xfId="37832"/>
    <cellStyle name="Salida 2 5 3 8 2" xfId="37833"/>
    <cellStyle name="Salida 2 5 3 9" xfId="37834"/>
    <cellStyle name="Salida 2 5 3 9 2" xfId="37835"/>
    <cellStyle name="Salida 2 5 4" xfId="37836"/>
    <cellStyle name="Salida 2 5 4 10" xfId="37837"/>
    <cellStyle name="Salida 2 5 4 10 2" xfId="37838"/>
    <cellStyle name="Salida 2 5 4 11" xfId="37839"/>
    <cellStyle name="Salida 2 5 4 2" xfId="37840"/>
    <cellStyle name="Salida 2 5 4 2 2" xfId="37841"/>
    <cellStyle name="Salida 2 5 4 3" xfId="37842"/>
    <cellStyle name="Salida 2 5 4 3 2" xfId="37843"/>
    <cellStyle name="Salida 2 5 4 4" xfId="37844"/>
    <cellStyle name="Salida 2 5 4 4 2" xfId="37845"/>
    <cellStyle name="Salida 2 5 4 5" xfId="37846"/>
    <cellStyle name="Salida 2 5 4 5 2" xfId="37847"/>
    <cellStyle name="Salida 2 5 4 6" xfId="37848"/>
    <cellStyle name="Salida 2 5 4 6 2" xfId="37849"/>
    <cellStyle name="Salida 2 5 4 7" xfId="37850"/>
    <cellStyle name="Salida 2 5 4 7 2" xfId="37851"/>
    <cellStyle name="Salida 2 5 4 8" xfId="37852"/>
    <cellStyle name="Salida 2 5 4 8 2" xfId="37853"/>
    <cellStyle name="Salida 2 5 4 9" xfId="37854"/>
    <cellStyle name="Salida 2 5 4 9 2" xfId="37855"/>
    <cellStyle name="Salida 2 5 5" xfId="37856"/>
    <cellStyle name="Salida 2 5 5 10" xfId="37857"/>
    <cellStyle name="Salida 2 5 5 10 2" xfId="37858"/>
    <cellStyle name="Salida 2 5 5 11" xfId="37859"/>
    <cellStyle name="Salida 2 5 5 2" xfId="37860"/>
    <cellStyle name="Salida 2 5 5 2 2" xfId="37861"/>
    <cellStyle name="Salida 2 5 5 3" xfId="37862"/>
    <cellStyle name="Salida 2 5 5 3 2" xfId="37863"/>
    <cellStyle name="Salida 2 5 5 4" xfId="37864"/>
    <cellStyle name="Salida 2 5 5 4 2" xfId="37865"/>
    <cellStyle name="Salida 2 5 5 5" xfId="37866"/>
    <cellStyle name="Salida 2 5 5 5 2" xfId="37867"/>
    <cellStyle name="Salida 2 5 5 6" xfId="37868"/>
    <cellStyle name="Salida 2 5 5 6 2" xfId="37869"/>
    <cellStyle name="Salida 2 5 5 7" xfId="37870"/>
    <cellStyle name="Salida 2 5 5 7 2" xfId="37871"/>
    <cellStyle name="Salida 2 5 5 8" xfId="37872"/>
    <cellStyle name="Salida 2 5 5 8 2" xfId="37873"/>
    <cellStyle name="Salida 2 5 5 9" xfId="37874"/>
    <cellStyle name="Salida 2 5 5 9 2" xfId="37875"/>
    <cellStyle name="Salida 2 5 6" xfId="37876"/>
    <cellStyle name="Salida 2 5 6 2" xfId="37877"/>
    <cellStyle name="Salida 2 5 7" xfId="37878"/>
    <cellStyle name="Salida 2 5 7 2" xfId="37879"/>
    <cellStyle name="Salida 2 5 8" xfId="37880"/>
    <cellStyle name="Salida 2 5 8 2" xfId="37881"/>
    <cellStyle name="Salida 2 5 9" xfId="37882"/>
    <cellStyle name="Salida 2 5 9 2" xfId="37883"/>
    <cellStyle name="Salida 2 6" xfId="37884"/>
    <cellStyle name="Salida 2 6 10" xfId="37885"/>
    <cellStyle name="Salida 2 6 10 2" xfId="37886"/>
    <cellStyle name="Salida 2 6 11" xfId="37887"/>
    <cellStyle name="Salida 2 6 11 2" xfId="37888"/>
    <cellStyle name="Salida 2 6 12" xfId="37889"/>
    <cellStyle name="Salida 2 6 12 2" xfId="37890"/>
    <cellStyle name="Salida 2 6 13" xfId="37891"/>
    <cellStyle name="Salida 2 6 13 2" xfId="37892"/>
    <cellStyle name="Salida 2 6 14" xfId="37893"/>
    <cellStyle name="Salida 2 6 14 2" xfId="37894"/>
    <cellStyle name="Salida 2 6 15" xfId="37895"/>
    <cellStyle name="Salida 2 6 2" xfId="37896"/>
    <cellStyle name="Salida 2 6 2 10" xfId="37897"/>
    <cellStyle name="Salida 2 6 2 10 2" xfId="37898"/>
    <cellStyle name="Salida 2 6 2 11" xfId="37899"/>
    <cellStyle name="Salida 2 6 2 11 2" xfId="37900"/>
    <cellStyle name="Salida 2 6 2 12" xfId="37901"/>
    <cellStyle name="Salida 2 6 2 12 2" xfId="37902"/>
    <cellStyle name="Salida 2 6 2 13" xfId="37903"/>
    <cellStyle name="Salida 2 6 2 2" xfId="37904"/>
    <cellStyle name="Salida 2 6 2 2 10" xfId="37905"/>
    <cellStyle name="Salida 2 6 2 2 10 2" xfId="37906"/>
    <cellStyle name="Salida 2 6 2 2 11" xfId="37907"/>
    <cellStyle name="Salida 2 6 2 2 2" xfId="37908"/>
    <cellStyle name="Salida 2 6 2 2 2 2" xfId="37909"/>
    <cellStyle name="Salida 2 6 2 2 3" xfId="37910"/>
    <cellStyle name="Salida 2 6 2 2 3 2" xfId="37911"/>
    <cellStyle name="Salida 2 6 2 2 4" xfId="37912"/>
    <cellStyle name="Salida 2 6 2 2 4 2" xfId="37913"/>
    <cellStyle name="Salida 2 6 2 2 5" xfId="37914"/>
    <cellStyle name="Salida 2 6 2 2 5 2" xfId="37915"/>
    <cellStyle name="Salida 2 6 2 2 6" xfId="37916"/>
    <cellStyle name="Salida 2 6 2 2 6 2" xfId="37917"/>
    <cellStyle name="Salida 2 6 2 2 7" xfId="37918"/>
    <cellStyle name="Salida 2 6 2 2 7 2" xfId="37919"/>
    <cellStyle name="Salida 2 6 2 2 8" xfId="37920"/>
    <cellStyle name="Salida 2 6 2 2 8 2" xfId="37921"/>
    <cellStyle name="Salida 2 6 2 2 9" xfId="37922"/>
    <cellStyle name="Salida 2 6 2 2 9 2" xfId="37923"/>
    <cellStyle name="Salida 2 6 2 3" xfId="37924"/>
    <cellStyle name="Salida 2 6 2 3 10" xfId="37925"/>
    <cellStyle name="Salida 2 6 2 3 10 2" xfId="37926"/>
    <cellStyle name="Salida 2 6 2 3 11" xfId="37927"/>
    <cellStyle name="Salida 2 6 2 3 2" xfId="37928"/>
    <cellStyle name="Salida 2 6 2 3 2 2" xfId="37929"/>
    <cellStyle name="Salida 2 6 2 3 3" xfId="37930"/>
    <cellStyle name="Salida 2 6 2 3 3 2" xfId="37931"/>
    <cellStyle name="Salida 2 6 2 3 4" xfId="37932"/>
    <cellStyle name="Salida 2 6 2 3 4 2" xfId="37933"/>
    <cellStyle name="Salida 2 6 2 3 5" xfId="37934"/>
    <cellStyle name="Salida 2 6 2 3 5 2" xfId="37935"/>
    <cellStyle name="Salida 2 6 2 3 6" xfId="37936"/>
    <cellStyle name="Salida 2 6 2 3 6 2" xfId="37937"/>
    <cellStyle name="Salida 2 6 2 3 7" xfId="37938"/>
    <cellStyle name="Salida 2 6 2 3 7 2" xfId="37939"/>
    <cellStyle name="Salida 2 6 2 3 8" xfId="37940"/>
    <cellStyle name="Salida 2 6 2 3 8 2" xfId="37941"/>
    <cellStyle name="Salida 2 6 2 3 9" xfId="37942"/>
    <cellStyle name="Salida 2 6 2 3 9 2" xfId="37943"/>
    <cellStyle name="Salida 2 6 2 4" xfId="37944"/>
    <cellStyle name="Salida 2 6 2 4 2" xfId="37945"/>
    <cellStyle name="Salida 2 6 2 5" xfId="37946"/>
    <cellStyle name="Salida 2 6 2 5 2" xfId="37947"/>
    <cellStyle name="Salida 2 6 2 6" xfId="37948"/>
    <cellStyle name="Salida 2 6 2 6 2" xfId="37949"/>
    <cellStyle name="Salida 2 6 2 7" xfId="37950"/>
    <cellStyle name="Salida 2 6 2 7 2" xfId="37951"/>
    <cellStyle name="Salida 2 6 2 8" xfId="37952"/>
    <cellStyle name="Salida 2 6 2 8 2" xfId="37953"/>
    <cellStyle name="Salida 2 6 2 9" xfId="37954"/>
    <cellStyle name="Salida 2 6 2 9 2" xfId="37955"/>
    <cellStyle name="Salida 2 6 3" xfId="37956"/>
    <cellStyle name="Salida 2 6 3 10" xfId="37957"/>
    <cellStyle name="Salida 2 6 3 10 2" xfId="37958"/>
    <cellStyle name="Salida 2 6 3 11" xfId="37959"/>
    <cellStyle name="Salida 2 6 3 11 2" xfId="37960"/>
    <cellStyle name="Salida 2 6 3 12" xfId="37961"/>
    <cellStyle name="Salida 2 6 3 12 2" xfId="37962"/>
    <cellStyle name="Salida 2 6 3 13" xfId="37963"/>
    <cellStyle name="Salida 2 6 3 2" xfId="37964"/>
    <cellStyle name="Salida 2 6 3 2 10" xfId="37965"/>
    <cellStyle name="Salida 2 6 3 2 10 2" xfId="37966"/>
    <cellStyle name="Salida 2 6 3 2 11" xfId="37967"/>
    <cellStyle name="Salida 2 6 3 2 2" xfId="37968"/>
    <cellStyle name="Salida 2 6 3 2 2 2" xfId="37969"/>
    <cellStyle name="Salida 2 6 3 2 3" xfId="37970"/>
    <cellStyle name="Salida 2 6 3 2 3 2" xfId="37971"/>
    <cellStyle name="Salida 2 6 3 2 4" xfId="37972"/>
    <cellStyle name="Salida 2 6 3 2 4 2" xfId="37973"/>
    <cellStyle name="Salida 2 6 3 2 5" xfId="37974"/>
    <cellStyle name="Salida 2 6 3 2 5 2" xfId="37975"/>
    <cellStyle name="Salida 2 6 3 2 6" xfId="37976"/>
    <cellStyle name="Salida 2 6 3 2 6 2" xfId="37977"/>
    <cellStyle name="Salida 2 6 3 2 7" xfId="37978"/>
    <cellStyle name="Salida 2 6 3 2 7 2" xfId="37979"/>
    <cellStyle name="Salida 2 6 3 2 8" xfId="37980"/>
    <cellStyle name="Salida 2 6 3 2 8 2" xfId="37981"/>
    <cellStyle name="Salida 2 6 3 2 9" xfId="37982"/>
    <cellStyle name="Salida 2 6 3 2 9 2" xfId="37983"/>
    <cellStyle name="Salida 2 6 3 3" xfId="37984"/>
    <cellStyle name="Salida 2 6 3 3 10" xfId="37985"/>
    <cellStyle name="Salida 2 6 3 3 10 2" xfId="37986"/>
    <cellStyle name="Salida 2 6 3 3 11" xfId="37987"/>
    <cellStyle name="Salida 2 6 3 3 2" xfId="37988"/>
    <cellStyle name="Salida 2 6 3 3 2 2" xfId="37989"/>
    <cellStyle name="Salida 2 6 3 3 3" xfId="37990"/>
    <cellStyle name="Salida 2 6 3 3 3 2" xfId="37991"/>
    <cellStyle name="Salida 2 6 3 3 4" xfId="37992"/>
    <cellStyle name="Salida 2 6 3 3 4 2" xfId="37993"/>
    <cellStyle name="Salida 2 6 3 3 5" xfId="37994"/>
    <cellStyle name="Salida 2 6 3 3 5 2" xfId="37995"/>
    <cellStyle name="Salida 2 6 3 3 6" xfId="37996"/>
    <cellStyle name="Salida 2 6 3 3 6 2" xfId="37997"/>
    <cellStyle name="Salida 2 6 3 3 7" xfId="37998"/>
    <cellStyle name="Salida 2 6 3 3 7 2" xfId="37999"/>
    <cellStyle name="Salida 2 6 3 3 8" xfId="38000"/>
    <cellStyle name="Salida 2 6 3 3 8 2" xfId="38001"/>
    <cellStyle name="Salida 2 6 3 3 9" xfId="38002"/>
    <cellStyle name="Salida 2 6 3 3 9 2" xfId="38003"/>
    <cellStyle name="Salida 2 6 3 4" xfId="38004"/>
    <cellStyle name="Salida 2 6 3 4 2" xfId="38005"/>
    <cellStyle name="Salida 2 6 3 5" xfId="38006"/>
    <cellStyle name="Salida 2 6 3 5 2" xfId="38007"/>
    <cellStyle name="Salida 2 6 3 6" xfId="38008"/>
    <cellStyle name="Salida 2 6 3 6 2" xfId="38009"/>
    <cellStyle name="Salida 2 6 3 7" xfId="38010"/>
    <cellStyle name="Salida 2 6 3 7 2" xfId="38011"/>
    <cellStyle name="Salida 2 6 3 8" xfId="38012"/>
    <cellStyle name="Salida 2 6 3 8 2" xfId="38013"/>
    <cellStyle name="Salida 2 6 3 9" xfId="38014"/>
    <cellStyle name="Salida 2 6 3 9 2" xfId="38015"/>
    <cellStyle name="Salida 2 6 4" xfId="38016"/>
    <cellStyle name="Salida 2 6 4 10" xfId="38017"/>
    <cellStyle name="Salida 2 6 4 10 2" xfId="38018"/>
    <cellStyle name="Salida 2 6 4 11" xfId="38019"/>
    <cellStyle name="Salida 2 6 4 2" xfId="38020"/>
    <cellStyle name="Salida 2 6 4 2 2" xfId="38021"/>
    <cellStyle name="Salida 2 6 4 3" xfId="38022"/>
    <cellStyle name="Salida 2 6 4 3 2" xfId="38023"/>
    <cellStyle name="Salida 2 6 4 4" xfId="38024"/>
    <cellStyle name="Salida 2 6 4 4 2" xfId="38025"/>
    <cellStyle name="Salida 2 6 4 5" xfId="38026"/>
    <cellStyle name="Salida 2 6 4 5 2" xfId="38027"/>
    <cellStyle name="Salida 2 6 4 6" xfId="38028"/>
    <cellStyle name="Salida 2 6 4 6 2" xfId="38029"/>
    <cellStyle name="Salida 2 6 4 7" xfId="38030"/>
    <cellStyle name="Salida 2 6 4 7 2" xfId="38031"/>
    <cellStyle name="Salida 2 6 4 8" xfId="38032"/>
    <cellStyle name="Salida 2 6 4 8 2" xfId="38033"/>
    <cellStyle name="Salida 2 6 4 9" xfId="38034"/>
    <cellStyle name="Salida 2 6 4 9 2" xfId="38035"/>
    <cellStyle name="Salida 2 6 5" xfId="38036"/>
    <cellStyle name="Salida 2 6 5 10" xfId="38037"/>
    <cellStyle name="Salida 2 6 5 10 2" xfId="38038"/>
    <cellStyle name="Salida 2 6 5 11" xfId="38039"/>
    <cellStyle name="Salida 2 6 5 2" xfId="38040"/>
    <cellStyle name="Salida 2 6 5 2 2" xfId="38041"/>
    <cellStyle name="Salida 2 6 5 3" xfId="38042"/>
    <cellStyle name="Salida 2 6 5 3 2" xfId="38043"/>
    <cellStyle name="Salida 2 6 5 4" xfId="38044"/>
    <cellStyle name="Salida 2 6 5 4 2" xfId="38045"/>
    <cellStyle name="Salida 2 6 5 5" xfId="38046"/>
    <cellStyle name="Salida 2 6 5 5 2" xfId="38047"/>
    <cellStyle name="Salida 2 6 5 6" xfId="38048"/>
    <cellStyle name="Salida 2 6 5 6 2" xfId="38049"/>
    <cellStyle name="Salida 2 6 5 7" xfId="38050"/>
    <cellStyle name="Salida 2 6 5 7 2" xfId="38051"/>
    <cellStyle name="Salida 2 6 5 8" xfId="38052"/>
    <cellStyle name="Salida 2 6 5 8 2" xfId="38053"/>
    <cellStyle name="Salida 2 6 5 9" xfId="38054"/>
    <cellStyle name="Salida 2 6 5 9 2" xfId="38055"/>
    <cellStyle name="Salida 2 6 6" xfId="38056"/>
    <cellStyle name="Salida 2 6 6 2" xfId="38057"/>
    <cellStyle name="Salida 2 6 7" xfId="38058"/>
    <cellStyle name="Salida 2 6 7 2" xfId="38059"/>
    <cellStyle name="Salida 2 6 8" xfId="38060"/>
    <cellStyle name="Salida 2 6 8 2" xfId="38061"/>
    <cellStyle name="Salida 2 6 9" xfId="38062"/>
    <cellStyle name="Salida 2 6 9 2" xfId="38063"/>
    <cellStyle name="Salida 2 7" xfId="38064"/>
    <cellStyle name="Salida 2 7 10" xfId="38065"/>
    <cellStyle name="Salida 2 7 10 2" xfId="38066"/>
    <cellStyle name="Salida 2 7 11" xfId="38067"/>
    <cellStyle name="Salida 2 7 11 2" xfId="38068"/>
    <cellStyle name="Salida 2 7 12" xfId="38069"/>
    <cellStyle name="Salida 2 7 12 2" xfId="38070"/>
    <cellStyle name="Salida 2 7 13" xfId="38071"/>
    <cellStyle name="Salida 2 7 2" xfId="38072"/>
    <cellStyle name="Salida 2 7 2 10" xfId="38073"/>
    <cellStyle name="Salida 2 7 2 10 2" xfId="38074"/>
    <cellStyle name="Salida 2 7 2 11" xfId="38075"/>
    <cellStyle name="Salida 2 7 2 2" xfId="38076"/>
    <cellStyle name="Salida 2 7 2 2 2" xfId="38077"/>
    <cellStyle name="Salida 2 7 2 3" xfId="38078"/>
    <cellStyle name="Salida 2 7 2 3 2" xfId="38079"/>
    <cellStyle name="Salida 2 7 2 4" xfId="38080"/>
    <cellStyle name="Salida 2 7 2 4 2" xfId="38081"/>
    <cellStyle name="Salida 2 7 2 5" xfId="38082"/>
    <cellStyle name="Salida 2 7 2 5 2" xfId="38083"/>
    <cellStyle name="Salida 2 7 2 6" xfId="38084"/>
    <cellStyle name="Salida 2 7 2 6 2" xfId="38085"/>
    <cellStyle name="Salida 2 7 2 7" xfId="38086"/>
    <cellStyle name="Salida 2 7 2 7 2" xfId="38087"/>
    <cellStyle name="Salida 2 7 2 8" xfId="38088"/>
    <cellStyle name="Salida 2 7 2 8 2" xfId="38089"/>
    <cellStyle name="Salida 2 7 2 9" xfId="38090"/>
    <cellStyle name="Salida 2 7 2 9 2" xfId="38091"/>
    <cellStyle name="Salida 2 7 3" xfId="38092"/>
    <cellStyle name="Salida 2 7 3 10" xfId="38093"/>
    <cellStyle name="Salida 2 7 3 10 2" xfId="38094"/>
    <cellStyle name="Salida 2 7 3 11" xfId="38095"/>
    <cellStyle name="Salida 2 7 3 2" xfId="38096"/>
    <cellStyle name="Salida 2 7 3 2 2" xfId="38097"/>
    <cellStyle name="Salida 2 7 3 3" xfId="38098"/>
    <cellStyle name="Salida 2 7 3 3 2" xfId="38099"/>
    <cellStyle name="Salida 2 7 3 4" xfId="38100"/>
    <cellStyle name="Salida 2 7 3 4 2" xfId="38101"/>
    <cellStyle name="Salida 2 7 3 5" xfId="38102"/>
    <cellStyle name="Salida 2 7 3 5 2" xfId="38103"/>
    <cellStyle name="Salida 2 7 3 6" xfId="38104"/>
    <cellStyle name="Salida 2 7 3 6 2" xfId="38105"/>
    <cellStyle name="Salida 2 7 3 7" xfId="38106"/>
    <cellStyle name="Salida 2 7 3 7 2" xfId="38107"/>
    <cellStyle name="Salida 2 7 3 8" xfId="38108"/>
    <cellStyle name="Salida 2 7 3 8 2" xfId="38109"/>
    <cellStyle name="Salida 2 7 3 9" xfId="38110"/>
    <cellStyle name="Salida 2 7 3 9 2" xfId="38111"/>
    <cellStyle name="Salida 2 7 4" xfId="38112"/>
    <cellStyle name="Salida 2 7 4 2" xfId="38113"/>
    <cellStyle name="Salida 2 7 5" xfId="38114"/>
    <cellStyle name="Salida 2 7 5 2" xfId="38115"/>
    <cellStyle name="Salida 2 7 6" xfId="38116"/>
    <cellStyle name="Salida 2 7 6 2" xfId="38117"/>
    <cellStyle name="Salida 2 7 7" xfId="38118"/>
    <cellStyle name="Salida 2 7 7 2" xfId="38119"/>
    <cellStyle name="Salida 2 7 8" xfId="38120"/>
    <cellStyle name="Salida 2 7 8 2" xfId="38121"/>
    <cellStyle name="Salida 2 7 9" xfId="38122"/>
    <cellStyle name="Salida 2 7 9 2" xfId="38123"/>
    <cellStyle name="Salida 2 8" xfId="38124"/>
    <cellStyle name="Salida 2 8 10" xfId="38125"/>
    <cellStyle name="Salida 2 8 10 2" xfId="38126"/>
    <cellStyle name="Salida 2 8 11" xfId="38127"/>
    <cellStyle name="Salida 2 8 11 2" xfId="38128"/>
    <cellStyle name="Salida 2 8 12" xfId="38129"/>
    <cellStyle name="Salida 2 8 12 2" xfId="38130"/>
    <cellStyle name="Salida 2 8 13" xfId="38131"/>
    <cellStyle name="Salida 2 8 2" xfId="38132"/>
    <cellStyle name="Salida 2 8 2 10" xfId="38133"/>
    <cellStyle name="Salida 2 8 2 10 2" xfId="38134"/>
    <cellStyle name="Salida 2 8 2 11" xfId="38135"/>
    <cellStyle name="Salida 2 8 2 2" xfId="38136"/>
    <cellStyle name="Salida 2 8 2 2 2" xfId="38137"/>
    <cellStyle name="Salida 2 8 2 3" xfId="38138"/>
    <cellStyle name="Salida 2 8 2 3 2" xfId="38139"/>
    <cellStyle name="Salida 2 8 2 4" xfId="38140"/>
    <cellStyle name="Salida 2 8 2 4 2" xfId="38141"/>
    <cellStyle name="Salida 2 8 2 5" xfId="38142"/>
    <cellStyle name="Salida 2 8 2 5 2" xfId="38143"/>
    <cellStyle name="Salida 2 8 2 6" xfId="38144"/>
    <cellStyle name="Salida 2 8 2 6 2" xfId="38145"/>
    <cellStyle name="Salida 2 8 2 7" xfId="38146"/>
    <cellStyle name="Salida 2 8 2 7 2" xfId="38147"/>
    <cellStyle name="Salida 2 8 2 8" xfId="38148"/>
    <cellStyle name="Salida 2 8 2 8 2" xfId="38149"/>
    <cellStyle name="Salida 2 8 2 9" xfId="38150"/>
    <cellStyle name="Salida 2 8 2 9 2" xfId="38151"/>
    <cellStyle name="Salida 2 8 3" xfId="38152"/>
    <cellStyle name="Salida 2 8 3 10" xfId="38153"/>
    <cellStyle name="Salida 2 8 3 10 2" xfId="38154"/>
    <cellStyle name="Salida 2 8 3 11" xfId="38155"/>
    <cellStyle name="Salida 2 8 3 2" xfId="38156"/>
    <cellStyle name="Salida 2 8 3 2 2" xfId="38157"/>
    <cellStyle name="Salida 2 8 3 3" xfId="38158"/>
    <cellStyle name="Salida 2 8 3 3 2" xfId="38159"/>
    <cellStyle name="Salida 2 8 3 4" xfId="38160"/>
    <cellStyle name="Salida 2 8 3 4 2" xfId="38161"/>
    <cellStyle name="Salida 2 8 3 5" xfId="38162"/>
    <cellStyle name="Salida 2 8 3 5 2" xfId="38163"/>
    <cellStyle name="Salida 2 8 3 6" xfId="38164"/>
    <cellStyle name="Salida 2 8 3 6 2" xfId="38165"/>
    <cellStyle name="Salida 2 8 3 7" xfId="38166"/>
    <cellStyle name="Salida 2 8 3 7 2" xfId="38167"/>
    <cellStyle name="Salida 2 8 3 8" xfId="38168"/>
    <cellStyle name="Salida 2 8 3 8 2" xfId="38169"/>
    <cellStyle name="Salida 2 8 3 9" xfId="38170"/>
    <cellStyle name="Salida 2 8 3 9 2" xfId="38171"/>
    <cellStyle name="Salida 2 8 4" xfId="38172"/>
    <cellStyle name="Salida 2 8 4 2" xfId="38173"/>
    <cellStyle name="Salida 2 8 5" xfId="38174"/>
    <cellStyle name="Salida 2 8 5 2" xfId="38175"/>
    <cellStyle name="Salida 2 8 6" xfId="38176"/>
    <cellStyle name="Salida 2 8 6 2" xfId="38177"/>
    <cellStyle name="Salida 2 8 7" xfId="38178"/>
    <cellStyle name="Salida 2 8 7 2" xfId="38179"/>
    <cellStyle name="Salida 2 8 8" xfId="38180"/>
    <cellStyle name="Salida 2 8 8 2" xfId="38181"/>
    <cellStyle name="Salida 2 8 9" xfId="38182"/>
    <cellStyle name="Salida 2 8 9 2" xfId="38183"/>
    <cellStyle name="Salida 2 9" xfId="38184"/>
    <cellStyle name="Salida 2 9 2" xfId="38185"/>
    <cellStyle name="Salida 3" xfId="1163"/>
    <cellStyle name="Salida 3 10" xfId="38186"/>
    <cellStyle name="Salida 3 10 2" xfId="38187"/>
    <cellStyle name="Salida 3 11" xfId="38188"/>
    <cellStyle name="Salida 3 11 2" xfId="38189"/>
    <cellStyle name="Salida 3 12" xfId="38190"/>
    <cellStyle name="Salida 3 12 2" xfId="38191"/>
    <cellStyle name="Salida 3 13" xfId="38192"/>
    <cellStyle name="Salida 3 13 2" xfId="38193"/>
    <cellStyle name="Salida 3 14" xfId="38194"/>
    <cellStyle name="Salida 3 14 2" xfId="38195"/>
    <cellStyle name="Salida 3 15" xfId="38196"/>
    <cellStyle name="Salida 3 16" xfId="38197"/>
    <cellStyle name="Salida 3 17" xfId="38198"/>
    <cellStyle name="Salida 3 2" xfId="38199"/>
    <cellStyle name="Salida 3 2 10" xfId="38200"/>
    <cellStyle name="Salida 3 2 10 2" xfId="38201"/>
    <cellStyle name="Salida 3 2 11" xfId="38202"/>
    <cellStyle name="Salida 3 2 11 2" xfId="38203"/>
    <cellStyle name="Salida 3 2 12" xfId="38204"/>
    <cellStyle name="Salida 3 2 12 2" xfId="38205"/>
    <cellStyle name="Salida 3 2 13" xfId="38206"/>
    <cellStyle name="Salida 3 2 13 2" xfId="38207"/>
    <cellStyle name="Salida 3 2 14" xfId="38208"/>
    <cellStyle name="Salida 3 2 14 2" xfId="38209"/>
    <cellStyle name="Salida 3 2 15" xfId="38210"/>
    <cellStyle name="Salida 3 2 2" xfId="38211"/>
    <cellStyle name="Salida 3 2 2 10" xfId="38212"/>
    <cellStyle name="Salida 3 2 2 10 2" xfId="38213"/>
    <cellStyle name="Salida 3 2 2 11" xfId="38214"/>
    <cellStyle name="Salida 3 2 2 11 2" xfId="38215"/>
    <cellStyle name="Salida 3 2 2 12" xfId="38216"/>
    <cellStyle name="Salida 3 2 2 12 2" xfId="38217"/>
    <cellStyle name="Salida 3 2 2 13" xfId="38218"/>
    <cellStyle name="Salida 3 2 2 2" xfId="38219"/>
    <cellStyle name="Salida 3 2 2 2 10" xfId="38220"/>
    <cellStyle name="Salida 3 2 2 2 10 2" xfId="38221"/>
    <cellStyle name="Salida 3 2 2 2 11" xfId="38222"/>
    <cellStyle name="Salida 3 2 2 2 2" xfId="38223"/>
    <cellStyle name="Salida 3 2 2 2 2 2" xfId="38224"/>
    <cellStyle name="Salida 3 2 2 2 3" xfId="38225"/>
    <cellStyle name="Salida 3 2 2 2 3 2" xfId="38226"/>
    <cellStyle name="Salida 3 2 2 2 4" xfId="38227"/>
    <cellStyle name="Salida 3 2 2 2 4 2" xfId="38228"/>
    <cellStyle name="Salida 3 2 2 2 5" xfId="38229"/>
    <cellStyle name="Salida 3 2 2 2 5 2" xfId="38230"/>
    <cellStyle name="Salida 3 2 2 2 6" xfId="38231"/>
    <cellStyle name="Salida 3 2 2 2 6 2" xfId="38232"/>
    <cellStyle name="Salida 3 2 2 2 7" xfId="38233"/>
    <cellStyle name="Salida 3 2 2 2 7 2" xfId="38234"/>
    <cellStyle name="Salida 3 2 2 2 8" xfId="38235"/>
    <cellStyle name="Salida 3 2 2 2 8 2" xfId="38236"/>
    <cellStyle name="Salida 3 2 2 2 9" xfId="38237"/>
    <cellStyle name="Salida 3 2 2 2 9 2" xfId="38238"/>
    <cellStyle name="Salida 3 2 2 3" xfId="38239"/>
    <cellStyle name="Salida 3 2 2 3 10" xfId="38240"/>
    <cellStyle name="Salida 3 2 2 3 10 2" xfId="38241"/>
    <cellStyle name="Salida 3 2 2 3 11" xfId="38242"/>
    <cellStyle name="Salida 3 2 2 3 2" xfId="38243"/>
    <cellStyle name="Salida 3 2 2 3 2 2" xfId="38244"/>
    <cellStyle name="Salida 3 2 2 3 3" xfId="38245"/>
    <cellStyle name="Salida 3 2 2 3 3 2" xfId="38246"/>
    <cellStyle name="Salida 3 2 2 3 4" xfId="38247"/>
    <cellStyle name="Salida 3 2 2 3 4 2" xfId="38248"/>
    <cellStyle name="Salida 3 2 2 3 5" xfId="38249"/>
    <cellStyle name="Salida 3 2 2 3 5 2" xfId="38250"/>
    <cellStyle name="Salida 3 2 2 3 6" xfId="38251"/>
    <cellStyle name="Salida 3 2 2 3 6 2" xfId="38252"/>
    <cellStyle name="Salida 3 2 2 3 7" xfId="38253"/>
    <cellStyle name="Salida 3 2 2 3 7 2" xfId="38254"/>
    <cellStyle name="Salida 3 2 2 3 8" xfId="38255"/>
    <cellStyle name="Salida 3 2 2 3 8 2" xfId="38256"/>
    <cellStyle name="Salida 3 2 2 3 9" xfId="38257"/>
    <cellStyle name="Salida 3 2 2 3 9 2" xfId="38258"/>
    <cellStyle name="Salida 3 2 2 4" xfId="38259"/>
    <cellStyle name="Salida 3 2 2 4 2" xfId="38260"/>
    <cellStyle name="Salida 3 2 2 5" xfId="38261"/>
    <cellStyle name="Salida 3 2 2 5 2" xfId="38262"/>
    <cellStyle name="Salida 3 2 2 6" xfId="38263"/>
    <cellStyle name="Salida 3 2 2 6 2" xfId="38264"/>
    <cellStyle name="Salida 3 2 2 7" xfId="38265"/>
    <cellStyle name="Salida 3 2 2 7 2" xfId="38266"/>
    <cellStyle name="Salida 3 2 2 8" xfId="38267"/>
    <cellStyle name="Salida 3 2 2 8 2" xfId="38268"/>
    <cellStyle name="Salida 3 2 2 9" xfId="38269"/>
    <cellStyle name="Salida 3 2 2 9 2" xfId="38270"/>
    <cellStyle name="Salida 3 2 3" xfId="38271"/>
    <cellStyle name="Salida 3 2 3 10" xfId="38272"/>
    <cellStyle name="Salida 3 2 3 10 2" xfId="38273"/>
    <cellStyle name="Salida 3 2 3 11" xfId="38274"/>
    <cellStyle name="Salida 3 2 3 11 2" xfId="38275"/>
    <cellStyle name="Salida 3 2 3 12" xfId="38276"/>
    <cellStyle name="Salida 3 2 3 12 2" xfId="38277"/>
    <cellStyle name="Salida 3 2 3 13" xfId="38278"/>
    <cellStyle name="Salida 3 2 3 2" xfId="38279"/>
    <cellStyle name="Salida 3 2 3 2 10" xfId="38280"/>
    <cellStyle name="Salida 3 2 3 2 10 2" xfId="38281"/>
    <cellStyle name="Salida 3 2 3 2 11" xfId="38282"/>
    <cellStyle name="Salida 3 2 3 2 2" xfId="38283"/>
    <cellStyle name="Salida 3 2 3 2 2 2" xfId="38284"/>
    <cellStyle name="Salida 3 2 3 2 3" xfId="38285"/>
    <cellStyle name="Salida 3 2 3 2 3 2" xfId="38286"/>
    <cellStyle name="Salida 3 2 3 2 4" xfId="38287"/>
    <cellStyle name="Salida 3 2 3 2 4 2" xfId="38288"/>
    <cellStyle name="Salida 3 2 3 2 5" xfId="38289"/>
    <cellStyle name="Salida 3 2 3 2 5 2" xfId="38290"/>
    <cellStyle name="Salida 3 2 3 2 6" xfId="38291"/>
    <cellStyle name="Salida 3 2 3 2 6 2" xfId="38292"/>
    <cellStyle name="Salida 3 2 3 2 7" xfId="38293"/>
    <cellStyle name="Salida 3 2 3 2 7 2" xfId="38294"/>
    <cellStyle name="Salida 3 2 3 2 8" xfId="38295"/>
    <cellStyle name="Salida 3 2 3 2 8 2" xfId="38296"/>
    <cellStyle name="Salida 3 2 3 2 9" xfId="38297"/>
    <cellStyle name="Salida 3 2 3 2 9 2" xfId="38298"/>
    <cellStyle name="Salida 3 2 3 3" xfId="38299"/>
    <cellStyle name="Salida 3 2 3 3 10" xfId="38300"/>
    <cellStyle name="Salida 3 2 3 3 10 2" xfId="38301"/>
    <cellStyle name="Salida 3 2 3 3 11" xfId="38302"/>
    <cellStyle name="Salida 3 2 3 3 2" xfId="38303"/>
    <cellStyle name="Salida 3 2 3 3 2 2" xfId="38304"/>
    <cellStyle name="Salida 3 2 3 3 3" xfId="38305"/>
    <cellStyle name="Salida 3 2 3 3 3 2" xfId="38306"/>
    <cellStyle name="Salida 3 2 3 3 4" xfId="38307"/>
    <cellStyle name="Salida 3 2 3 3 4 2" xfId="38308"/>
    <cellStyle name="Salida 3 2 3 3 5" xfId="38309"/>
    <cellStyle name="Salida 3 2 3 3 5 2" xfId="38310"/>
    <cellStyle name="Salida 3 2 3 3 6" xfId="38311"/>
    <cellStyle name="Salida 3 2 3 3 6 2" xfId="38312"/>
    <cellStyle name="Salida 3 2 3 3 7" xfId="38313"/>
    <cellStyle name="Salida 3 2 3 3 7 2" xfId="38314"/>
    <cellStyle name="Salida 3 2 3 3 8" xfId="38315"/>
    <cellStyle name="Salida 3 2 3 3 8 2" xfId="38316"/>
    <cellStyle name="Salida 3 2 3 3 9" xfId="38317"/>
    <cellStyle name="Salida 3 2 3 3 9 2" xfId="38318"/>
    <cellStyle name="Salida 3 2 3 4" xfId="38319"/>
    <cellStyle name="Salida 3 2 3 4 2" xfId="38320"/>
    <cellStyle name="Salida 3 2 3 5" xfId="38321"/>
    <cellStyle name="Salida 3 2 3 5 2" xfId="38322"/>
    <cellStyle name="Salida 3 2 3 6" xfId="38323"/>
    <cellStyle name="Salida 3 2 3 6 2" xfId="38324"/>
    <cellStyle name="Salida 3 2 3 7" xfId="38325"/>
    <cellStyle name="Salida 3 2 3 7 2" xfId="38326"/>
    <cellStyle name="Salida 3 2 3 8" xfId="38327"/>
    <cellStyle name="Salida 3 2 3 8 2" xfId="38328"/>
    <cellStyle name="Salida 3 2 3 9" xfId="38329"/>
    <cellStyle name="Salida 3 2 3 9 2" xfId="38330"/>
    <cellStyle name="Salida 3 2 4" xfId="38331"/>
    <cellStyle name="Salida 3 2 4 10" xfId="38332"/>
    <cellStyle name="Salida 3 2 4 10 2" xfId="38333"/>
    <cellStyle name="Salida 3 2 4 11" xfId="38334"/>
    <cellStyle name="Salida 3 2 4 2" xfId="38335"/>
    <cellStyle name="Salida 3 2 4 2 2" xfId="38336"/>
    <cellStyle name="Salida 3 2 4 3" xfId="38337"/>
    <cellStyle name="Salida 3 2 4 3 2" xfId="38338"/>
    <cellStyle name="Salida 3 2 4 4" xfId="38339"/>
    <cellStyle name="Salida 3 2 4 4 2" xfId="38340"/>
    <cellStyle name="Salida 3 2 4 5" xfId="38341"/>
    <cellStyle name="Salida 3 2 4 5 2" xfId="38342"/>
    <cellStyle name="Salida 3 2 4 6" xfId="38343"/>
    <cellStyle name="Salida 3 2 4 6 2" xfId="38344"/>
    <cellStyle name="Salida 3 2 4 7" xfId="38345"/>
    <cellStyle name="Salida 3 2 4 7 2" xfId="38346"/>
    <cellStyle name="Salida 3 2 4 8" xfId="38347"/>
    <cellStyle name="Salida 3 2 4 8 2" xfId="38348"/>
    <cellStyle name="Salida 3 2 4 9" xfId="38349"/>
    <cellStyle name="Salida 3 2 4 9 2" xfId="38350"/>
    <cellStyle name="Salida 3 2 5" xfId="38351"/>
    <cellStyle name="Salida 3 2 5 10" xfId="38352"/>
    <cellStyle name="Salida 3 2 5 10 2" xfId="38353"/>
    <cellStyle name="Salida 3 2 5 11" xfId="38354"/>
    <cellStyle name="Salida 3 2 5 2" xfId="38355"/>
    <cellStyle name="Salida 3 2 5 2 2" xfId="38356"/>
    <cellStyle name="Salida 3 2 5 3" xfId="38357"/>
    <cellStyle name="Salida 3 2 5 3 2" xfId="38358"/>
    <cellStyle name="Salida 3 2 5 4" xfId="38359"/>
    <cellStyle name="Salida 3 2 5 4 2" xfId="38360"/>
    <cellStyle name="Salida 3 2 5 5" xfId="38361"/>
    <cellStyle name="Salida 3 2 5 5 2" xfId="38362"/>
    <cellStyle name="Salida 3 2 5 6" xfId="38363"/>
    <cellStyle name="Salida 3 2 5 6 2" xfId="38364"/>
    <cellStyle name="Salida 3 2 5 7" xfId="38365"/>
    <cellStyle name="Salida 3 2 5 7 2" xfId="38366"/>
    <cellStyle name="Salida 3 2 5 8" xfId="38367"/>
    <cellStyle name="Salida 3 2 5 8 2" xfId="38368"/>
    <cellStyle name="Salida 3 2 5 9" xfId="38369"/>
    <cellStyle name="Salida 3 2 5 9 2" xfId="38370"/>
    <cellStyle name="Salida 3 2 6" xfId="38371"/>
    <cellStyle name="Salida 3 2 6 2" xfId="38372"/>
    <cellStyle name="Salida 3 2 7" xfId="38373"/>
    <cellStyle name="Salida 3 2 7 2" xfId="38374"/>
    <cellStyle name="Salida 3 2 8" xfId="38375"/>
    <cellStyle name="Salida 3 2 8 2" xfId="38376"/>
    <cellStyle name="Salida 3 2 9" xfId="38377"/>
    <cellStyle name="Salida 3 2 9 2" xfId="38378"/>
    <cellStyle name="Salida 3 3" xfId="38379"/>
    <cellStyle name="Salida 3 3 10" xfId="38380"/>
    <cellStyle name="Salida 3 3 10 2" xfId="38381"/>
    <cellStyle name="Salida 3 3 11" xfId="38382"/>
    <cellStyle name="Salida 3 3 11 2" xfId="38383"/>
    <cellStyle name="Salida 3 3 12" xfId="38384"/>
    <cellStyle name="Salida 3 3 12 2" xfId="38385"/>
    <cellStyle name="Salida 3 3 13" xfId="38386"/>
    <cellStyle name="Salida 3 3 13 2" xfId="38387"/>
    <cellStyle name="Salida 3 3 14" xfId="38388"/>
    <cellStyle name="Salida 3 3 14 2" xfId="38389"/>
    <cellStyle name="Salida 3 3 15" xfId="38390"/>
    <cellStyle name="Salida 3 3 2" xfId="38391"/>
    <cellStyle name="Salida 3 3 2 10" xfId="38392"/>
    <cellStyle name="Salida 3 3 2 10 2" xfId="38393"/>
    <cellStyle name="Salida 3 3 2 11" xfId="38394"/>
    <cellStyle name="Salida 3 3 2 11 2" xfId="38395"/>
    <cellStyle name="Salida 3 3 2 12" xfId="38396"/>
    <cellStyle name="Salida 3 3 2 12 2" xfId="38397"/>
    <cellStyle name="Salida 3 3 2 13" xfId="38398"/>
    <cellStyle name="Salida 3 3 2 2" xfId="38399"/>
    <cellStyle name="Salida 3 3 2 2 10" xfId="38400"/>
    <cellStyle name="Salida 3 3 2 2 10 2" xfId="38401"/>
    <cellStyle name="Salida 3 3 2 2 11" xfId="38402"/>
    <cellStyle name="Salida 3 3 2 2 2" xfId="38403"/>
    <cellStyle name="Salida 3 3 2 2 2 2" xfId="38404"/>
    <cellStyle name="Salida 3 3 2 2 3" xfId="38405"/>
    <cellStyle name="Salida 3 3 2 2 3 2" xfId="38406"/>
    <cellStyle name="Salida 3 3 2 2 4" xfId="38407"/>
    <cellStyle name="Salida 3 3 2 2 4 2" xfId="38408"/>
    <cellStyle name="Salida 3 3 2 2 5" xfId="38409"/>
    <cellStyle name="Salida 3 3 2 2 5 2" xfId="38410"/>
    <cellStyle name="Salida 3 3 2 2 6" xfId="38411"/>
    <cellStyle name="Salida 3 3 2 2 6 2" xfId="38412"/>
    <cellStyle name="Salida 3 3 2 2 7" xfId="38413"/>
    <cellStyle name="Salida 3 3 2 2 7 2" xfId="38414"/>
    <cellStyle name="Salida 3 3 2 2 8" xfId="38415"/>
    <cellStyle name="Salida 3 3 2 2 8 2" xfId="38416"/>
    <cellStyle name="Salida 3 3 2 2 9" xfId="38417"/>
    <cellStyle name="Salida 3 3 2 2 9 2" xfId="38418"/>
    <cellStyle name="Salida 3 3 2 3" xfId="38419"/>
    <cellStyle name="Salida 3 3 2 3 10" xfId="38420"/>
    <cellStyle name="Salida 3 3 2 3 10 2" xfId="38421"/>
    <cellStyle name="Salida 3 3 2 3 11" xfId="38422"/>
    <cellStyle name="Salida 3 3 2 3 2" xfId="38423"/>
    <cellStyle name="Salida 3 3 2 3 2 2" xfId="38424"/>
    <cellStyle name="Salida 3 3 2 3 3" xfId="38425"/>
    <cellStyle name="Salida 3 3 2 3 3 2" xfId="38426"/>
    <cellStyle name="Salida 3 3 2 3 4" xfId="38427"/>
    <cellStyle name="Salida 3 3 2 3 4 2" xfId="38428"/>
    <cellStyle name="Salida 3 3 2 3 5" xfId="38429"/>
    <cellStyle name="Salida 3 3 2 3 5 2" xfId="38430"/>
    <cellStyle name="Salida 3 3 2 3 6" xfId="38431"/>
    <cellStyle name="Salida 3 3 2 3 6 2" xfId="38432"/>
    <cellStyle name="Salida 3 3 2 3 7" xfId="38433"/>
    <cellStyle name="Salida 3 3 2 3 7 2" xfId="38434"/>
    <cellStyle name="Salida 3 3 2 3 8" xfId="38435"/>
    <cellStyle name="Salida 3 3 2 3 8 2" xfId="38436"/>
    <cellStyle name="Salida 3 3 2 3 9" xfId="38437"/>
    <cellStyle name="Salida 3 3 2 3 9 2" xfId="38438"/>
    <cellStyle name="Salida 3 3 2 4" xfId="38439"/>
    <cellStyle name="Salida 3 3 2 4 2" xfId="38440"/>
    <cellStyle name="Salida 3 3 2 5" xfId="38441"/>
    <cellStyle name="Salida 3 3 2 5 2" xfId="38442"/>
    <cellStyle name="Salida 3 3 2 6" xfId="38443"/>
    <cellStyle name="Salida 3 3 2 6 2" xfId="38444"/>
    <cellStyle name="Salida 3 3 2 7" xfId="38445"/>
    <cellStyle name="Salida 3 3 2 7 2" xfId="38446"/>
    <cellStyle name="Salida 3 3 2 8" xfId="38447"/>
    <cellStyle name="Salida 3 3 2 8 2" xfId="38448"/>
    <cellStyle name="Salida 3 3 2 9" xfId="38449"/>
    <cellStyle name="Salida 3 3 2 9 2" xfId="38450"/>
    <cellStyle name="Salida 3 3 3" xfId="38451"/>
    <cellStyle name="Salida 3 3 3 10" xfId="38452"/>
    <cellStyle name="Salida 3 3 3 10 2" xfId="38453"/>
    <cellStyle name="Salida 3 3 3 11" xfId="38454"/>
    <cellStyle name="Salida 3 3 3 11 2" xfId="38455"/>
    <cellStyle name="Salida 3 3 3 12" xfId="38456"/>
    <cellStyle name="Salida 3 3 3 12 2" xfId="38457"/>
    <cellStyle name="Salida 3 3 3 13" xfId="38458"/>
    <cellStyle name="Salida 3 3 3 2" xfId="38459"/>
    <cellStyle name="Salida 3 3 3 2 10" xfId="38460"/>
    <cellStyle name="Salida 3 3 3 2 10 2" xfId="38461"/>
    <cellStyle name="Salida 3 3 3 2 11" xfId="38462"/>
    <cellStyle name="Salida 3 3 3 2 2" xfId="38463"/>
    <cellStyle name="Salida 3 3 3 2 2 2" xfId="38464"/>
    <cellStyle name="Salida 3 3 3 2 3" xfId="38465"/>
    <cellStyle name="Salida 3 3 3 2 3 2" xfId="38466"/>
    <cellStyle name="Salida 3 3 3 2 4" xfId="38467"/>
    <cellStyle name="Salida 3 3 3 2 4 2" xfId="38468"/>
    <cellStyle name="Salida 3 3 3 2 5" xfId="38469"/>
    <cellStyle name="Salida 3 3 3 2 5 2" xfId="38470"/>
    <cellStyle name="Salida 3 3 3 2 6" xfId="38471"/>
    <cellStyle name="Salida 3 3 3 2 6 2" xfId="38472"/>
    <cellStyle name="Salida 3 3 3 2 7" xfId="38473"/>
    <cellStyle name="Salida 3 3 3 2 7 2" xfId="38474"/>
    <cellStyle name="Salida 3 3 3 2 8" xfId="38475"/>
    <cellStyle name="Salida 3 3 3 2 8 2" xfId="38476"/>
    <cellStyle name="Salida 3 3 3 2 9" xfId="38477"/>
    <cellStyle name="Salida 3 3 3 2 9 2" xfId="38478"/>
    <cellStyle name="Salida 3 3 3 3" xfId="38479"/>
    <cellStyle name="Salida 3 3 3 3 10" xfId="38480"/>
    <cellStyle name="Salida 3 3 3 3 10 2" xfId="38481"/>
    <cellStyle name="Salida 3 3 3 3 11" xfId="38482"/>
    <cellStyle name="Salida 3 3 3 3 2" xfId="38483"/>
    <cellStyle name="Salida 3 3 3 3 2 2" xfId="38484"/>
    <cellStyle name="Salida 3 3 3 3 3" xfId="38485"/>
    <cellStyle name="Salida 3 3 3 3 3 2" xfId="38486"/>
    <cellStyle name="Salida 3 3 3 3 4" xfId="38487"/>
    <cellStyle name="Salida 3 3 3 3 4 2" xfId="38488"/>
    <cellStyle name="Salida 3 3 3 3 5" xfId="38489"/>
    <cellStyle name="Salida 3 3 3 3 5 2" xfId="38490"/>
    <cellStyle name="Salida 3 3 3 3 6" xfId="38491"/>
    <cellStyle name="Salida 3 3 3 3 6 2" xfId="38492"/>
    <cellStyle name="Salida 3 3 3 3 7" xfId="38493"/>
    <cellStyle name="Salida 3 3 3 3 7 2" xfId="38494"/>
    <cellStyle name="Salida 3 3 3 3 8" xfId="38495"/>
    <cellStyle name="Salida 3 3 3 3 8 2" xfId="38496"/>
    <cellStyle name="Salida 3 3 3 3 9" xfId="38497"/>
    <cellStyle name="Salida 3 3 3 3 9 2" xfId="38498"/>
    <cellStyle name="Salida 3 3 3 4" xfId="38499"/>
    <cellStyle name="Salida 3 3 3 4 2" xfId="38500"/>
    <cellStyle name="Salida 3 3 3 5" xfId="38501"/>
    <cellStyle name="Salida 3 3 3 5 2" xfId="38502"/>
    <cellStyle name="Salida 3 3 3 6" xfId="38503"/>
    <cellStyle name="Salida 3 3 3 6 2" xfId="38504"/>
    <cellStyle name="Salida 3 3 3 7" xfId="38505"/>
    <cellStyle name="Salida 3 3 3 7 2" xfId="38506"/>
    <cellStyle name="Salida 3 3 3 8" xfId="38507"/>
    <cellStyle name="Salida 3 3 3 8 2" xfId="38508"/>
    <cellStyle name="Salida 3 3 3 9" xfId="38509"/>
    <cellStyle name="Salida 3 3 3 9 2" xfId="38510"/>
    <cellStyle name="Salida 3 3 4" xfId="38511"/>
    <cellStyle name="Salida 3 3 4 10" xfId="38512"/>
    <cellStyle name="Salida 3 3 4 10 2" xfId="38513"/>
    <cellStyle name="Salida 3 3 4 11" xfId="38514"/>
    <cellStyle name="Salida 3 3 4 2" xfId="38515"/>
    <cellStyle name="Salida 3 3 4 2 2" xfId="38516"/>
    <cellStyle name="Salida 3 3 4 3" xfId="38517"/>
    <cellStyle name="Salida 3 3 4 3 2" xfId="38518"/>
    <cellStyle name="Salida 3 3 4 4" xfId="38519"/>
    <cellStyle name="Salida 3 3 4 4 2" xfId="38520"/>
    <cellStyle name="Salida 3 3 4 5" xfId="38521"/>
    <cellStyle name="Salida 3 3 4 5 2" xfId="38522"/>
    <cellStyle name="Salida 3 3 4 6" xfId="38523"/>
    <cellStyle name="Salida 3 3 4 6 2" xfId="38524"/>
    <cellStyle name="Salida 3 3 4 7" xfId="38525"/>
    <cellStyle name="Salida 3 3 4 7 2" xfId="38526"/>
    <cellStyle name="Salida 3 3 4 8" xfId="38527"/>
    <cellStyle name="Salida 3 3 4 8 2" xfId="38528"/>
    <cellStyle name="Salida 3 3 4 9" xfId="38529"/>
    <cellStyle name="Salida 3 3 4 9 2" xfId="38530"/>
    <cellStyle name="Salida 3 3 5" xfId="38531"/>
    <cellStyle name="Salida 3 3 5 10" xfId="38532"/>
    <cellStyle name="Salida 3 3 5 10 2" xfId="38533"/>
    <cellStyle name="Salida 3 3 5 11" xfId="38534"/>
    <cellStyle name="Salida 3 3 5 2" xfId="38535"/>
    <cellStyle name="Salida 3 3 5 2 2" xfId="38536"/>
    <cellStyle name="Salida 3 3 5 3" xfId="38537"/>
    <cellStyle name="Salida 3 3 5 3 2" xfId="38538"/>
    <cellStyle name="Salida 3 3 5 4" xfId="38539"/>
    <cellStyle name="Salida 3 3 5 4 2" xfId="38540"/>
    <cellStyle name="Salida 3 3 5 5" xfId="38541"/>
    <cellStyle name="Salida 3 3 5 5 2" xfId="38542"/>
    <cellStyle name="Salida 3 3 5 6" xfId="38543"/>
    <cellStyle name="Salida 3 3 5 6 2" xfId="38544"/>
    <cellStyle name="Salida 3 3 5 7" xfId="38545"/>
    <cellStyle name="Salida 3 3 5 7 2" xfId="38546"/>
    <cellStyle name="Salida 3 3 5 8" xfId="38547"/>
    <cellStyle name="Salida 3 3 5 8 2" xfId="38548"/>
    <cellStyle name="Salida 3 3 5 9" xfId="38549"/>
    <cellStyle name="Salida 3 3 5 9 2" xfId="38550"/>
    <cellStyle name="Salida 3 3 6" xfId="38551"/>
    <cellStyle name="Salida 3 3 6 2" xfId="38552"/>
    <cellStyle name="Salida 3 3 7" xfId="38553"/>
    <cellStyle name="Salida 3 3 7 2" xfId="38554"/>
    <cellStyle name="Salida 3 3 8" xfId="38555"/>
    <cellStyle name="Salida 3 3 8 2" xfId="38556"/>
    <cellStyle name="Salida 3 3 9" xfId="38557"/>
    <cellStyle name="Salida 3 3 9 2" xfId="38558"/>
    <cellStyle name="Salida 3 4" xfId="38559"/>
    <cellStyle name="Salida 3 4 10" xfId="38560"/>
    <cellStyle name="Salida 3 4 10 2" xfId="38561"/>
    <cellStyle name="Salida 3 4 11" xfId="38562"/>
    <cellStyle name="Salida 3 4 11 2" xfId="38563"/>
    <cellStyle name="Salida 3 4 12" xfId="38564"/>
    <cellStyle name="Salida 3 4 12 2" xfId="38565"/>
    <cellStyle name="Salida 3 4 13" xfId="38566"/>
    <cellStyle name="Salida 3 4 2" xfId="38567"/>
    <cellStyle name="Salida 3 4 2 10" xfId="38568"/>
    <cellStyle name="Salida 3 4 2 10 2" xfId="38569"/>
    <cellStyle name="Salida 3 4 2 11" xfId="38570"/>
    <cellStyle name="Salida 3 4 2 2" xfId="38571"/>
    <cellStyle name="Salida 3 4 2 2 2" xfId="38572"/>
    <cellStyle name="Salida 3 4 2 3" xfId="38573"/>
    <cellStyle name="Salida 3 4 2 3 2" xfId="38574"/>
    <cellStyle name="Salida 3 4 2 4" xfId="38575"/>
    <cellStyle name="Salida 3 4 2 4 2" xfId="38576"/>
    <cellStyle name="Salida 3 4 2 5" xfId="38577"/>
    <cellStyle name="Salida 3 4 2 5 2" xfId="38578"/>
    <cellStyle name="Salida 3 4 2 6" xfId="38579"/>
    <cellStyle name="Salida 3 4 2 6 2" xfId="38580"/>
    <cellStyle name="Salida 3 4 2 7" xfId="38581"/>
    <cellStyle name="Salida 3 4 2 7 2" xfId="38582"/>
    <cellStyle name="Salida 3 4 2 8" xfId="38583"/>
    <cellStyle name="Salida 3 4 2 8 2" xfId="38584"/>
    <cellStyle name="Salida 3 4 2 9" xfId="38585"/>
    <cellStyle name="Salida 3 4 2 9 2" xfId="38586"/>
    <cellStyle name="Salida 3 4 3" xfId="38587"/>
    <cellStyle name="Salida 3 4 3 10" xfId="38588"/>
    <cellStyle name="Salida 3 4 3 10 2" xfId="38589"/>
    <cellStyle name="Salida 3 4 3 11" xfId="38590"/>
    <cellStyle name="Salida 3 4 3 2" xfId="38591"/>
    <cellStyle name="Salida 3 4 3 2 2" xfId="38592"/>
    <cellStyle name="Salida 3 4 3 3" xfId="38593"/>
    <cellStyle name="Salida 3 4 3 3 2" xfId="38594"/>
    <cellStyle name="Salida 3 4 3 4" xfId="38595"/>
    <cellStyle name="Salida 3 4 3 4 2" xfId="38596"/>
    <cellStyle name="Salida 3 4 3 5" xfId="38597"/>
    <cellStyle name="Salida 3 4 3 5 2" xfId="38598"/>
    <cellStyle name="Salida 3 4 3 6" xfId="38599"/>
    <cellStyle name="Salida 3 4 3 6 2" xfId="38600"/>
    <cellStyle name="Salida 3 4 3 7" xfId="38601"/>
    <cellStyle name="Salida 3 4 3 7 2" xfId="38602"/>
    <cellStyle name="Salida 3 4 3 8" xfId="38603"/>
    <cellStyle name="Salida 3 4 3 8 2" xfId="38604"/>
    <cellStyle name="Salida 3 4 3 9" xfId="38605"/>
    <cellStyle name="Salida 3 4 3 9 2" xfId="38606"/>
    <cellStyle name="Salida 3 4 4" xfId="38607"/>
    <cellStyle name="Salida 3 4 4 2" xfId="38608"/>
    <cellStyle name="Salida 3 4 5" xfId="38609"/>
    <cellStyle name="Salida 3 4 5 2" xfId="38610"/>
    <cellStyle name="Salida 3 4 6" xfId="38611"/>
    <cellStyle name="Salida 3 4 6 2" xfId="38612"/>
    <cellStyle name="Salida 3 4 7" xfId="38613"/>
    <cellStyle name="Salida 3 4 7 2" xfId="38614"/>
    <cellStyle name="Salida 3 4 8" xfId="38615"/>
    <cellStyle name="Salida 3 4 8 2" xfId="38616"/>
    <cellStyle name="Salida 3 4 9" xfId="38617"/>
    <cellStyle name="Salida 3 4 9 2" xfId="38618"/>
    <cellStyle name="Salida 3 5" xfId="38619"/>
    <cellStyle name="Salida 3 5 10" xfId="38620"/>
    <cellStyle name="Salida 3 5 10 2" xfId="38621"/>
    <cellStyle name="Salida 3 5 11" xfId="38622"/>
    <cellStyle name="Salida 3 5 11 2" xfId="38623"/>
    <cellStyle name="Salida 3 5 12" xfId="38624"/>
    <cellStyle name="Salida 3 5 12 2" xfId="38625"/>
    <cellStyle name="Salida 3 5 13" xfId="38626"/>
    <cellStyle name="Salida 3 5 2" xfId="38627"/>
    <cellStyle name="Salida 3 5 2 10" xfId="38628"/>
    <cellStyle name="Salida 3 5 2 10 2" xfId="38629"/>
    <cellStyle name="Salida 3 5 2 11" xfId="38630"/>
    <cellStyle name="Salida 3 5 2 2" xfId="38631"/>
    <cellStyle name="Salida 3 5 2 2 2" xfId="38632"/>
    <cellStyle name="Salida 3 5 2 3" xfId="38633"/>
    <cellStyle name="Salida 3 5 2 3 2" xfId="38634"/>
    <cellStyle name="Salida 3 5 2 4" xfId="38635"/>
    <cellStyle name="Salida 3 5 2 4 2" xfId="38636"/>
    <cellStyle name="Salida 3 5 2 5" xfId="38637"/>
    <cellStyle name="Salida 3 5 2 5 2" xfId="38638"/>
    <cellStyle name="Salida 3 5 2 6" xfId="38639"/>
    <cellStyle name="Salida 3 5 2 6 2" xfId="38640"/>
    <cellStyle name="Salida 3 5 2 7" xfId="38641"/>
    <cellStyle name="Salida 3 5 2 7 2" xfId="38642"/>
    <cellStyle name="Salida 3 5 2 8" xfId="38643"/>
    <cellStyle name="Salida 3 5 2 8 2" xfId="38644"/>
    <cellStyle name="Salida 3 5 2 9" xfId="38645"/>
    <cellStyle name="Salida 3 5 2 9 2" xfId="38646"/>
    <cellStyle name="Salida 3 5 3" xfId="38647"/>
    <cellStyle name="Salida 3 5 3 10" xfId="38648"/>
    <cellStyle name="Salida 3 5 3 10 2" xfId="38649"/>
    <cellStyle name="Salida 3 5 3 11" xfId="38650"/>
    <cellStyle name="Salida 3 5 3 2" xfId="38651"/>
    <cellStyle name="Salida 3 5 3 2 2" xfId="38652"/>
    <cellStyle name="Salida 3 5 3 3" xfId="38653"/>
    <cellStyle name="Salida 3 5 3 3 2" xfId="38654"/>
    <cellStyle name="Salida 3 5 3 4" xfId="38655"/>
    <cellStyle name="Salida 3 5 3 4 2" xfId="38656"/>
    <cellStyle name="Salida 3 5 3 5" xfId="38657"/>
    <cellStyle name="Salida 3 5 3 5 2" xfId="38658"/>
    <cellStyle name="Salida 3 5 3 6" xfId="38659"/>
    <cellStyle name="Salida 3 5 3 6 2" xfId="38660"/>
    <cellStyle name="Salida 3 5 3 7" xfId="38661"/>
    <cellStyle name="Salida 3 5 3 7 2" xfId="38662"/>
    <cellStyle name="Salida 3 5 3 8" xfId="38663"/>
    <cellStyle name="Salida 3 5 3 8 2" xfId="38664"/>
    <cellStyle name="Salida 3 5 3 9" xfId="38665"/>
    <cellStyle name="Salida 3 5 3 9 2" xfId="38666"/>
    <cellStyle name="Salida 3 5 4" xfId="38667"/>
    <cellStyle name="Salida 3 5 4 2" xfId="38668"/>
    <cellStyle name="Salida 3 5 5" xfId="38669"/>
    <cellStyle name="Salida 3 5 5 2" xfId="38670"/>
    <cellStyle name="Salida 3 5 6" xfId="38671"/>
    <cellStyle name="Salida 3 5 6 2" xfId="38672"/>
    <cellStyle name="Salida 3 5 7" xfId="38673"/>
    <cellStyle name="Salida 3 5 7 2" xfId="38674"/>
    <cellStyle name="Salida 3 5 8" xfId="38675"/>
    <cellStyle name="Salida 3 5 8 2" xfId="38676"/>
    <cellStyle name="Salida 3 5 9" xfId="38677"/>
    <cellStyle name="Salida 3 5 9 2" xfId="38678"/>
    <cellStyle name="Salida 3 6" xfId="38679"/>
    <cellStyle name="Salida 3 6 2" xfId="38680"/>
    <cellStyle name="Salida 3 7" xfId="38681"/>
    <cellStyle name="Salida 3 7 2" xfId="38682"/>
    <cellStyle name="Salida 3 8" xfId="38683"/>
    <cellStyle name="Salida 3 8 2" xfId="38684"/>
    <cellStyle name="Salida 3 9" xfId="38685"/>
    <cellStyle name="Salida 3 9 2" xfId="38686"/>
    <cellStyle name="Salida 4" xfId="38687"/>
    <cellStyle name="Salida 4 10" xfId="38688"/>
    <cellStyle name="Salida 4 10 2" xfId="38689"/>
    <cellStyle name="Salida 4 11" xfId="38690"/>
    <cellStyle name="Salida 4 11 2" xfId="38691"/>
    <cellStyle name="Salida 4 12" xfId="38692"/>
    <cellStyle name="Salida 4 12 2" xfId="38693"/>
    <cellStyle name="Salida 4 13" xfId="38694"/>
    <cellStyle name="Salida 4 13 2" xfId="38695"/>
    <cellStyle name="Salida 4 14" xfId="38696"/>
    <cellStyle name="Salida 4 14 2" xfId="38697"/>
    <cellStyle name="Salida 4 15" xfId="38698"/>
    <cellStyle name="Salida 4 15 2" xfId="38699"/>
    <cellStyle name="Salida 4 16" xfId="38700"/>
    <cellStyle name="Salida 4 17" xfId="38701"/>
    <cellStyle name="Salida 4 18" xfId="38702"/>
    <cellStyle name="Salida 4 2" xfId="38703"/>
    <cellStyle name="Salida 4 2 10" xfId="38704"/>
    <cellStyle name="Salida 4 2 10 2" xfId="38705"/>
    <cellStyle name="Salida 4 2 11" xfId="38706"/>
    <cellStyle name="Salida 4 2 11 2" xfId="38707"/>
    <cellStyle name="Salida 4 2 12" xfId="38708"/>
    <cellStyle name="Salida 4 2 12 2" xfId="38709"/>
    <cellStyle name="Salida 4 2 13" xfId="38710"/>
    <cellStyle name="Salida 4 2 13 2" xfId="38711"/>
    <cellStyle name="Salida 4 2 14" xfId="38712"/>
    <cellStyle name="Salida 4 2 14 2" xfId="38713"/>
    <cellStyle name="Salida 4 2 15" xfId="38714"/>
    <cellStyle name="Salida 4 2 2" xfId="38715"/>
    <cellStyle name="Salida 4 2 2 10" xfId="38716"/>
    <cellStyle name="Salida 4 2 2 10 2" xfId="38717"/>
    <cellStyle name="Salida 4 2 2 11" xfId="38718"/>
    <cellStyle name="Salida 4 2 2 11 2" xfId="38719"/>
    <cellStyle name="Salida 4 2 2 12" xfId="38720"/>
    <cellStyle name="Salida 4 2 2 12 2" xfId="38721"/>
    <cellStyle name="Salida 4 2 2 13" xfId="38722"/>
    <cellStyle name="Salida 4 2 2 2" xfId="38723"/>
    <cellStyle name="Salida 4 2 2 2 10" xfId="38724"/>
    <cellStyle name="Salida 4 2 2 2 10 2" xfId="38725"/>
    <cellStyle name="Salida 4 2 2 2 11" xfId="38726"/>
    <cellStyle name="Salida 4 2 2 2 2" xfId="38727"/>
    <cellStyle name="Salida 4 2 2 2 2 2" xfId="38728"/>
    <cellStyle name="Salida 4 2 2 2 3" xfId="38729"/>
    <cellStyle name="Salida 4 2 2 2 3 2" xfId="38730"/>
    <cellStyle name="Salida 4 2 2 2 4" xfId="38731"/>
    <cellStyle name="Salida 4 2 2 2 4 2" xfId="38732"/>
    <cellStyle name="Salida 4 2 2 2 5" xfId="38733"/>
    <cellStyle name="Salida 4 2 2 2 5 2" xfId="38734"/>
    <cellStyle name="Salida 4 2 2 2 6" xfId="38735"/>
    <cellStyle name="Salida 4 2 2 2 6 2" xfId="38736"/>
    <cellStyle name="Salida 4 2 2 2 7" xfId="38737"/>
    <cellStyle name="Salida 4 2 2 2 7 2" xfId="38738"/>
    <cellStyle name="Salida 4 2 2 2 8" xfId="38739"/>
    <cellStyle name="Salida 4 2 2 2 8 2" xfId="38740"/>
    <cellStyle name="Salida 4 2 2 2 9" xfId="38741"/>
    <cellStyle name="Salida 4 2 2 2 9 2" xfId="38742"/>
    <cellStyle name="Salida 4 2 2 3" xfId="38743"/>
    <cellStyle name="Salida 4 2 2 3 10" xfId="38744"/>
    <cellStyle name="Salida 4 2 2 3 10 2" xfId="38745"/>
    <cellStyle name="Salida 4 2 2 3 11" xfId="38746"/>
    <cellStyle name="Salida 4 2 2 3 2" xfId="38747"/>
    <cellStyle name="Salida 4 2 2 3 2 2" xfId="38748"/>
    <cellStyle name="Salida 4 2 2 3 3" xfId="38749"/>
    <cellStyle name="Salida 4 2 2 3 3 2" xfId="38750"/>
    <cellStyle name="Salida 4 2 2 3 4" xfId="38751"/>
    <cellStyle name="Salida 4 2 2 3 4 2" xfId="38752"/>
    <cellStyle name="Salida 4 2 2 3 5" xfId="38753"/>
    <cellStyle name="Salida 4 2 2 3 5 2" xfId="38754"/>
    <cellStyle name="Salida 4 2 2 3 6" xfId="38755"/>
    <cellStyle name="Salida 4 2 2 3 6 2" xfId="38756"/>
    <cellStyle name="Salida 4 2 2 3 7" xfId="38757"/>
    <cellStyle name="Salida 4 2 2 3 7 2" xfId="38758"/>
    <cellStyle name="Salida 4 2 2 3 8" xfId="38759"/>
    <cellStyle name="Salida 4 2 2 3 8 2" xfId="38760"/>
    <cellStyle name="Salida 4 2 2 3 9" xfId="38761"/>
    <cellStyle name="Salida 4 2 2 3 9 2" xfId="38762"/>
    <cellStyle name="Salida 4 2 2 4" xfId="38763"/>
    <cellStyle name="Salida 4 2 2 4 2" xfId="38764"/>
    <cellStyle name="Salida 4 2 2 5" xfId="38765"/>
    <cellStyle name="Salida 4 2 2 5 2" xfId="38766"/>
    <cellStyle name="Salida 4 2 2 6" xfId="38767"/>
    <cellStyle name="Salida 4 2 2 6 2" xfId="38768"/>
    <cellStyle name="Salida 4 2 2 7" xfId="38769"/>
    <cellStyle name="Salida 4 2 2 7 2" xfId="38770"/>
    <cellStyle name="Salida 4 2 2 8" xfId="38771"/>
    <cellStyle name="Salida 4 2 2 8 2" xfId="38772"/>
    <cellStyle name="Salida 4 2 2 9" xfId="38773"/>
    <cellStyle name="Salida 4 2 2 9 2" xfId="38774"/>
    <cellStyle name="Salida 4 2 3" xfId="38775"/>
    <cellStyle name="Salida 4 2 3 10" xfId="38776"/>
    <cellStyle name="Salida 4 2 3 10 2" xfId="38777"/>
    <cellStyle name="Salida 4 2 3 11" xfId="38778"/>
    <cellStyle name="Salida 4 2 3 11 2" xfId="38779"/>
    <cellStyle name="Salida 4 2 3 12" xfId="38780"/>
    <cellStyle name="Salida 4 2 3 12 2" xfId="38781"/>
    <cellStyle name="Salida 4 2 3 13" xfId="38782"/>
    <cellStyle name="Salida 4 2 3 2" xfId="38783"/>
    <cellStyle name="Salida 4 2 3 2 10" xfId="38784"/>
    <cellStyle name="Salida 4 2 3 2 10 2" xfId="38785"/>
    <cellStyle name="Salida 4 2 3 2 11" xfId="38786"/>
    <cellStyle name="Salida 4 2 3 2 2" xfId="38787"/>
    <cellStyle name="Salida 4 2 3 2 2 2" xfId="38788"/>
    <cellStyle name="Salida 4 2 3 2 3" xfId="38789"/>
    <cellStyle name="Salida 4 2 3 2 3 2" xfId="38790"/>
    <cellStyle name="Salida 4 2 3 2 4" xfId="38791"/>
    <cellStyle name="Salida 4 2 3 2 4 2" xfId="38792"/>
    <cellStyle name="Salida 4 2 3 2 5" xfId="38793"/>
    <cellStyle name="Salida 4 2 3 2 5 2" xfId="38794"/>
    <cellStyle name="Salida 4 2 3 2 6" xfId="38795"/>
    <cellStyle name="Salida 4 2 3 2 6 2" xfId="38796"/>
    <cellStyle name="Salida 4 2 3 2 7" xfId="38797"/>
    <cellStyle name="Salida 4 2 3 2 7 2" xfId="38798"/>
    <cellStyle name="Salida 4 2 3 2 8" xfId="38799"/>
    <cellStyle name="Salida 4 2 3 2 8 2" xfId="38800"/>
    <cellStyle name="Salida 4 2 3 2 9" xfId="38801"/>
    <cellStyle name="Salida 4 2 3 2 9 2" xfId="38802"/>
    <cellStyle name="Salida 4 2 3 3" xfId="38803"/>
    <cellStyle name="Salida 4 2 3 3 10" xfId="38804"/>
    <cellStyle name="Salida 4 2 3 3 10 2" xfId="38805"/>
    <cellStyle name="Salida 4 2 3 3 11" xfId="38806"/>
    <cellStyle name="Salida 4 2 3 3 2" xfId="38807"/>
    <cellStyle name="Salida 4 2 3 3 2 2" xfId="38808"/>
    <cellStyle name="Salida 4 2 3 3 3" xfId="38809"/>
    <cellStyle name="Salida 4 2 3 3 3 2" xfId="38810"/>
    <cellStyle name="Salida 4 2 3 3 4" xfId="38811"/>
    <cellStyle name="Salida 4 2 3 3 4 2" xfId="38812"/>
    <cellStyle name="Salida 4 2 3 3 5" xfId="38813"/>
    <cellStyle name="Salida 4 2 3 3 5 2" xfId="38814"/>
    <cellStyle name="Salida 4 2 3 3 6" xfId="38815"/>
    <cellStyle name="Salida 4 2 3 3 6 2" xfId="38816"/>
    <cellStyle name="Salida 4 2 3 3 7" xfId="38817"/>
    <cellStyle name="Salida 4 2 3 3 7 2" xfId="38818"/>
    <cellStyle name="Salida 4 2 3 3 8" xfId="38819"/>
    <cellStyle name="Salida 4 2 3 3 8 2" xfId="38820"/>
    <cellStyle name="Salida 4 2 3 3 9" xfId="38821"/>
    <cellStyle name="Salida 4 2 3 3 9 2" xfId="38822"/>
    <cellStyle name="Salida 4 2 3 4" xfId="38823"/>
    <cellStyle name="Salida 4 2 3 4 2" xfId="38824"/>
    <cellStyle name="Salida 4 2 3 5" xfId="38825"/>
    <cellStyle name="Salida 4 2 3 5 2" xfId="38826"/>
    <cellStyle name="Salida 4 2 3 6" xfId="38827"/>
    <cellStyle name="Salida 4 2 3 6 2" xfId="38828"/>
    <cellStyle name="Salida 4 2 3 7" xfId="38829"/>
    <cellStyle name="Salida 4 2 3 7 2" xfId="38830"/>
    <cellStyle name="Salida 4 2 3 8" xfId="38831"/>
    <cellStyle name="Salida 4 2 3 8 2" xfId="38832"/>
    <cellStyle name="Salida 4 2 3 9" xfId="38833"/>
    <cellStyle name="Salida 4 2 3 9 2" xfId="38834"/>
    <cellStyle name="Salida 4 2 4" xfId="38835"/>
    <cellStyle name="Salida 4 2 4 10" xfId="38836"/>
    <cellStyle name="Salida 4 2 4 10 2" xfId="38837"/>
    <cellStyle name="Salida 4 2 4 11" xfId="38838"/>
    <cellStyle name="Salida 4 2 4 2" xfId="38839"/>
    <cellStyle name="Salida 4 2 4 2 2" xfId="38840"/>
    <cellStyle name="Salida 4 2 4 3" xfId="38841"/>
    <cellStyle name="Salida 4 2 4 3 2" xfId="38842"/>
    <cellStyle name="Salida 4 2 4 4" xfId="38843"/>
    <cellStyle name="Salida 4 2 4 4 2" xfId="38844"/>
    <cellStyle name="Salida 4 2 4 5" xfId="38845"/>
    <cellStyle name="Salida 4 2 4 5 2" xfId="38846"/>
    <cellStyle name="Salida 4 2 4 6" xfId="38847"/>
    <cellStyle name="Salida 4 2 4 6 2" xfId="38848"/>
    <cellStyle name="Salida 4 2 4 7" xfId="38849"/>
    <cellStyle name="Salida 4 2 4 7 2" xfId="38850"/>
    <cellStyle name="Salida 4 2 4 8" xfId="38851"/>
    <cellStyle name="Salida 4 2 4 8 2" xfId="38852"/>
    <cellStyle name="Salida 4 2 4 9" xfId="38853"/>
    <cellStyle name="Salida 4 2 4 9 2" xfId="38854"/>
    <cellStyle name="Salida 4 2 5" xfId="38855"/>
    <cellStyle name="Salida 4 2 5 10" xfId="38856"/>
    <cellStyle name="Salida 4 2 5 10 2" xfId="38857"/>
    <cellStyle name="Salida 4 2 5 11" xfId="38858"/>
    <cellStyle name="Salida 4 2 5 2" xfId="38859"/>
    <cellStyle name="Salida 4 2 5 2 2" xfId="38860"/>
    <cellStyle name="Salida 4 2 5 3" xfId="38861"/>
    <cellStyle name="Salida 4 2 5 3 2" xfId="38862"/>
    <cellStyle name="Salida 4 2 5 4" xfId="38863"/>
    <cellStyle name="Salida 4 2 5 4 2" xfId="38864"/>
    <cellStyle name="Salida 4 2 5 5" xfId="38865"/>
    <cellStyle name="Salida 4 2 5 5 2" xfId="38866"/>
    <cellStyle name="Salida 4 2 5 6" xfId="38867"/>
    <cellStyle name="Salida 4 2 5 6 2" xfId="38868"/>
    <cellStyle name="Salida 4 2 5 7" xfId="38869"/>
    <cellStyle name="Salida 4 2 5 7 2" xfId="38870"/>
    <cellStyle name="Salida 4 2 5 8" xfId="38871"/>
    <cellStyle name="Salida 4 2 5 8 2" xfId="38872"/>
    <cellStyle name="Salida 4 2 5 9" xfId="38873"/>
    <cellStyle name="Salida 4 2 5 9 2" xfId="38874"/>
    <cellStyle name="Salida 4 2 6" xfId="38875"/>
    <cellStyle name="Salida 4 2 6 2" xfId="38876"/>
    <cellStyle name="Salida 4 2 7" xfId="38877"/>
    <cellStyle name="Salida 4 2 7 2" xfId="38878"/>
    <cellStyle name="Salida 4 2 8" xfId="38879"/>
    <cellStyle name="Salida 4 2 8 2" xfId="38880"/>
    <cellStyle name="Salida 4 2 9" xfId="38881"/>
    <cellStyle name="Salida 4 2 9 2" xfId="38882"/>
    <cellStyle name="Salida 4 3" xfId="38883"/>
    <cellStyle name="Salida 4 3 10" xfId="38884"/>
    <cellStyle name="Salida 4 3 10 2" xfId="38885"/>
    <cellStyle name="Salida 4 3 11" xfId="38886"/>
    <cellStyle name="Salida 4 3 11 2" xfId="38887"/>
    <cellStyle name="Salida 4 3 12" xfId="38888"/>
    <cellStyle name="Salida 4 3 12 2" xfId="38889"/>
    <cellStyle name="Salida 4 3 13" xfId="38890"/>
    <cellStyle name="Salida 4 3 2" xfId="38891"/>
    <cellStyle name="Salida 4 3 2 10" xfId="38892"/>
    <cellStyle name="Salida 4 3 2 10 2" xfId="38893"/>
    <cellStyle name="Salida 4 3 2 11" xfId="38894"/>
    <cellStyle name="Salida 4 3 2 2" xfId="38895"/>
    <cellStyle name="Salida 4 3 2 2 2" xfId="38896"/>
    <cellStyle name="Salida 4 3 2 3" xfId="38897"/>
    <cellStyle name="Salida 4 3 2 3 2" xfId="38898"/>
    <cellStyle name="Salida 4 3 2 4" xfId="38899"/>
    <cellStyle name="Salida 4 3 2 4 2" xfId="38900"/>
    <cellStyle name="Salida 4 3 2 5" xfId="38901"/>
    <cellStyle name="Salida 4 3 2 5 2" xfId="38902"/>
    <cellStyle name="Salida 4 3 2 6" xfId="38903"/>
    <cellStyle name="Salida 4 3 2 6 2" xfId="38904"/>
    <cellStyle name="Salida 4 3 2 7" xfId="38905"/>
    <cellStyle name="Salida 4 3 2 7 2" xfId="38906"/>
    <cellStyle name="Salida 4 3 2 8" xfId="38907"/>
    <cellStyle name="Salida 4 3 2 8 2" xfId="38908"/>
    <cellStyle name="Salida 4 3 2 9" xfId="38909"/>
    <cellStyle name="Salida 4 3 2 9 2" xfId="38910"/>
    <cellStyle name="Salida 4 3 3" xfId="38911"/>
    <cellStyle name="Salida 4 3 3 10" xfId="38912"/>
    <cellStyle name="Salida 4 3 3 10 2" xfId="38913"/>
    <cellStyle name="Salida 4 3 3 11" xfId="38914"/>
    <cellStyle name="Salida 4 3 3 2" xfId="38915"/>
    <cellStyle name="Salida 4 3 3 2 2" xfId="38916"/>
    <cellStyle name="Salida 4 3 3 3" xfId="38917"/>
    <cellStyle name="Salida 4 3 3 3 2" xfId="38918"/>
    <cellStyle name="Salida 4 3 3 4" xfId="38919"/>
    <cellStyle name="Salida 4 3 3 4 2" xfId="38920"/>
    <cellStyle name="Salida 4 3 3 5" xfId="38921"/>
    <cellStyle name="Salida 4 3 3 5 2" xfId="38922"/>
    <cellStyle name="Salida 4 3 3 6" xfId="38923"/>
    <cellStyle name="Salida 4 3 3 6 2" xfId="38924"/>
    <cellStyle name="Salida 4 3 3 7" xfId="38925"/>
    <cellStyle name="Salida 4 3 3 7 2" xfId="38926"/>
    <cellStyle name="Salida 4 3 3 8" xfId="38927"/>
    <cellStyle name="Salida 4 3 3 8 2" xfId="38928"/>
    <cellStyle name="Salida 4 3 3 9" xfId="38929"/>
    <cellStyle name="Salida 4 3 3 9 2" xfId="38930"/>
    <cellStyle name="Salida 4 3 4" xfId="38931"/>
    <cellStyle name="Salida 4 3 4 2" xfId="38932"/>
    <cellStyle name="Salida 4 3 5" xfId="38933"/>
    <cellStyle name="Salida 4 3 5 2" xfId="38934"/>
    <cellStyle name="Salida 4 3 6" xfId="38935"/>
    <cellStyle name="Salida 4 3 6 2" xfId="38936"/>
    <cellStyle name="Salida 4 3 7" xfId="38937"/>
    <cellStyle name="Salida 4 3 7 2" xfId="38938"/>
    <cellStyle name="Salida 4 3 8" xfId="38939"/>
    <cellStyle name="Salida 4 3 8 2" xfId="38940"/>
    <cellStyle name="Salida 4 3 9" xfId="38941"/>
    <cellStyle name="Salida 4 3 9 2" xfId="38942"/>
    <cellStyle name="Salida 4 4" xfId="38943"/>
    <cellStyle name="Salida 4 4 10" xfId="38944"/>
    <cellStyle name="Salida 4 4 10 2" xfId="38945"/>
    <cellStyle name="Salida 4 4 11" xfId="38946"/>
    <cellStyle name="Salida 4 4 11 2" xfId="38947"/>
    <cellStyle name="Salida 4 4 12" xfId="38948"/>
    <cellStyle name="Salida 4 4 12 2" xfId="38949"/>
    <cellStyle name="Salida 4 4 13" xfId="38950"/>
    <cellStyle name="Salida 4 4 2" xfId="38951"/>
    <cellStyle name="Salida 4 4 2 10" xfId="38952"/>
    <cellStyle name="Salida 4 4 2 10 2" xfId="38953"/>
    <cellStyle name="Salida 4 4 2 11" xfId="38954"/>
    <cellStyle name="Salida 4 4 2 2" xfId="38955"/>
    <cellStyle name="Salida 4 4 2 2 2" xfId="38956"/>
    <cellStyle name="Salida 4 4 2 3" xfId="38957"/>
    <cellStyle name="Salida 4 4 2 3 2" xfId="38958"/>
    <cellStyle name="Salida 4 4 2 4" xfId="38959"/>
    <cellStyle name="Salida 4 4 2 4 2" xfId="38960"/>
    <cellStyle name="Salida 4 4 2 5" xfId="38961"/>
    <cellStyle name="Salida 4 4 2 5 2" xfId="38962"/>
    <cellStyle name="Salida 4 4 2 6" xfId="38963"/>
    <cellStyle name="Salida 4 4 2 6 2" xfId="38964"/>
    <cellStyle name="Salida 4 4 2 7" xfId="38965"/>
    <cellStyle name="Salida 4 4 2 7 2" xfId="38966"/>
    <cellStyle name="Salida 4 4 2 8" xfId="38967"/>
    <cellStyle name="Salida 4 4 2 8 2" xfId="38968"/>
    <cellStyle name="Salida 4 4 2 9" xfId="38969"/>
    <cellStyle name="Salida 4 4 2 9 2" xfId="38970"/>
    <cellStyle name="Salida 4 4 3" xfId="38971"/>
    <cellStyle name="Salida 4 4 3 10" xfId="38972"/>
    <cellStyle name="Salida 4 4 3 10 2" xfId="38973"/>
    <cellStyle name="Salida 4 4 3 11" xfId="38974"/>
    <cellStyle name="Salida 4 4 3 2" xfId="38975"/>
    <cellStyle name="Salida 4 4 3 2 2" xfId="38976"/>
    <cellStyle name="Salida 4 4 3 3" xfId="38977"/>
    <cellStyle name="Salida 4 4 3 3 2" xfId="38978"/>
    <cellStyle name="Salida 4 4 3 4" xfId="38979"/>
    <cellStyle name="Salida 4 4 3 4 2" xfId="38980"/>
    <cellStyle name="Salida 4 4 3 5" xfId="38981"/>
    <cellStyle name="Salida 4 4 3 5 2" xfId="38982"/>
    <cellStyle name="Salida 4 4 3 6" xfId="38983"/>
    <cellStyle name="Salida 4 4 3 6 2" xfId="38984"/>
    <cellStyle name="Salida 4 4 3 7" xfId="38985"/>
    <cellStyle name="Salida 4 4 3 7 2" xfId="38986"/>
    <cellStyle name="Salida 4 4 3 8" xfId="38987"/>
    <cellStyle name="Salida 4 4 3 8 2" xfId="38988"/>
    <cellStyle name="Salida 4 4 3 9" xfId="38989"/>
    <cellStyle name="Salida 4 4 3 9 2" xfId="38990"/>
    <cellStyle name="Salida 4 4 4" xfId="38991"/>
    <cellStyle name="Salida 4 4 4 2" xfId="38992"/>
    <cellStyle name="Salida 4 4 5" xfId="38993"/>
    <cellStyle name="Salida 4 4 5 2" xfId="38994"/>
    <cellStyle name="Salida 4 4 6" xfId="38995"/>
    <cellStyle name="Salida 4 4 6 2" xfId="38996"/>
    <cellStyle name="Salida 4 4 7" xfId="38997"/>
    <cellStyle name="Salida 4 4 7 2" xfId="38998"/>
    <cellStyle name="Salida 4 4 8" xfId="38999"/>
    <cellStyle name="Salida 4 4 8 2" xfId="39000"/>
    <cellStyle name="Salida 4 4 9" xfId="39001"/>
    <cellStyle name="Salida 4 4 9 2" xfId="39002"/>
    <cellStyle name="Salida 4 5" xfId="39003"/>
    <cellStyle name="Salida 4 5 10" xfId="39004"/>
    <cellStyle name="Salida 4 5 10 2" xfId="39005"/>
    <cellStyle name="Salida 4 5 11" xfId="39006"/>
    <cellStyle name="Salida 4 5 2" xfId="39007"/>
    <cellStyle name="Salida 4 5 2 2" xfId="39008"/>
    <cellStyle name="Salida 4 5 3" xfId="39009"/>
    <cellStyle name="Salida 4 5 3 2" xfId="39010"/>
    <cellStyle name="Salida 4 5 4" xfId="39011"/>
    <cellStyle name="Salida 4 5 4 2" xfId="39012"/>
    <cellStyle name="Salida 4 5 5" xfId="39013"/>
    <cellStyle name="Salida 4 5 5 2" xfId="39014"/>
    <cellStyle name="Salida 4 5 6" xfId="39015"/>
    <cellStyle name="Salida 4 5 6 2" xfId="39016"/>
    <cellStyle name="Salida 4 5 7" xfId="39017"/>
    <cellStyle name="Salida 4 5 7 2" xfId="39018"/>
    <cellStyle name="Salida 4 5 8" xfId="39019"/>
    <cellStyle name="Salida 4 5 8 2" xfId="39020"/>
    <cellStyle name="Salida 4 5 9" xfId="39021"/>
    <cellStyle name="Salida 4 5 9 2" xfId="39022"/>
    <cellStyle name="Salida 4 6" xfId="39023"/>
    <cellStyle name="Salida 4 6 10" xfId="39024"/>
    <cellStyle name="Salida 4 6 10 2" xfId="39025"/>
    <cellStyle name="Salida 4 6 11" xfId="39026"/>
    <cellStyle name="Salida 4 6 2" xfId="39027"/>
    <cellStyle name="Salida 4 6 2 2" xfId="39028"/>
    <cellStyle name="Salida 4 6 3" xfId="39029"/>
    <cellStyle name="Salida 4 6 3 2" xfId="39030"/>
    <cellStyle name="Salida 4 6 4" xfId="39031"/>
    <cellStyle name="Salida 4 6 4 2" xfId="39032"/>
    <cellStyle name="Salida 4 6 5" xfId="39033"/>
    <cellStyle name="Salida 4 6 5 2" xfId="39034"/>
    <cellStyle name="Salida 4 6 6" xfId="39035"/>
    <cellStyle name="Salida 4 6 6 2" xfId="39036"/>
    <cellStyle name="Salida 4 6 7" xfId="39037"/>
    <cellStyle name="Salida 4 6 7 2" xfId="39038"/>
    <cellStyle name="Salida 4 6 8" xfId="39039"/>
    <cellStyle name="Salida 4 6 8 2" xfId="39040"/>
    <cellStyle name="Salida 4 6 9" xfId="39041"/>
    <cellStyle name="Salida 4 6 9 2" xfId="39042"/>
    <cellStyle name="Salida 4 7" xfId="39043"/>
    <cellStyle name="Salida 4 7 2" xfId="39044"/>
    <cellStyle name="Salida 4 8" xfId="39045"/>
    <cellStyle name="Salida 4 8 2" xfId="39046"/>
    <cellStyle name="Salida 4 9" xfId="39047"/>
    <cellStyle name="Salida 4 9 2" xfId="39048"/>
    <cellStyle name="Salida 5" xfId="39049"/>
    <cellStyle name="Salida 5 10" xfId="39050"/>
    <cellStyle name="Salida 5 10 2" xfId="39051"/>
    <cellStyle name="Salida 5 11" xfId="39052"/>
    <cellStyle name="Salida 5 11 2" xfId="39053"/>
    <cellStyle name="Salida 5 12" xfId="39054"/>
    <cellStyle name="Salida 5 12 2" xfId="39055"/>
    <cellStyle name="Salida 5 13" xfId="39056"/>
    <cellStyle name="Salida 5 2" xfId="39057"/>
    <cellStyle name="Salida 5 2 10" xfId="39058"/>
    <cellStyle name="Salida 5 2 10 2" xfId="39059"/>
    <cellStyle name="Salida 5 2 11" xfId="39060"/>
    <cellStyle name="Salida 5 2 2" xfId="39061"/>
    <cellStyle name="Salida 5 2 2 2" xfId="39062"/>
    <cellStyle name="Salida 5 2 3" xfId="39063"/>
    <cellStyle name="Salida 5 2 3 2" xfId="39064"/>
    <cellStyle name="Salida 5 2 4" xfId="39065"/>
    <cellStyle name="Salida 5 2 4 2" xfId="39066"/>
    <cellStyle name="Salida 5 2 5" xfId="39067"/>
    <cellStyle name="Salida 5 2 5 2" xfId="39068"/>
    <cellStyle name="Salida 5 2 6" xfId="39069"/>
    <cellStyle name="Salida 5 2 6 2" xfId="39070"/>
    <cellStyle name="Salida 5 2 7" xfId="39071"/>
    <cellStyle name="Salida 5 2 7 2" xfId="39072"/>
    <cellStyle name="Salida 5 2 8" xfId="39073"/>
    <cellStyle name="Salida 5 2 8 2" xfId="39074"/>
    <cellStyle name="Salida 5 2 9" xfId="39075"/>
    <cellStyle name="Salida 5 2 9 2" xfId="39076"/>
    <cellStyle name="Salida 5 3" xfId="39077"/>
    <cellStyle name="Salida 5 3 10" xfId="39078"/>
    <cellStyle name="Salida 5 3 10 2" xfId="39079"/>
    <cellStyle name="Salida 5 3 11" xfId="39080"/>
    <cellStyle name="Salida 5 3 2" xfId="39081"/>
    <cellStyle name="Salida 5 3 2 2" xfId="39082"/>
    <cellStyle name="Salida 5 3 3" xfId="39083"/>
    <cellStyle name="Salida 5 3 3 2" xfId="39084"/>
    <cellStyle name="Salida 5 3 4" xfId="39085"/>
    <cellStyle name="Salida 5 3 4 2" xfId="39086"/>
    <cellStyle name="Salida 5 3 5" xfId="39087"/>
    <cellStyle name="Salida 5 3 5 2" xfId="39088"/>
    <cellStyle name="Salida 5 3 6" xfId="39089"/>
    <cellStyle name="Salida 5 3 6 2" xfId="39090"/>
    <cellStyle name="Salida 5 3 7" xfId="39091"/>
    <cellStyle name="Salida 5 3 7 2" xfId="39092"/>
    <cellStyle name="Salida 5 3 8" xfId="39093"/>
    <cellStyle name="Salida 5 3 8 2" xfId="39094"/>
    <cellStyle name="Salida 5 3 9" xfId="39095"/>
    <cellStyle name="Salida 5 3 9 2" xfId="39096"/>
    <cellStyle name="Salida 5 4" xfId="39097"/>
    <cellStyle name="Salida 5 4 2" xfId="39098"/>
    <cellStyle name="Salida 5 5" xfId="39099"/>
    <cellStyle name="Salida 5 5 2" xfId="39100"/>
    <cellStyle name="Salida 5 6" xfId="39101"/>
    <cellStyle name="Salida 5 6 2" xfId="39102"/>
    <cellStyle name="Salida 5 7" xfId="39103"/>
    <cellStyle name="Salida 5 7 2" xfId="39104"/>
    <cellStyle name="Salida 5 8" xfId="39105"/>
    <cellStyle name="Salida 5 8 2" xfId="39106"/>
    <cellStyle name="Salida 5 9" xfId="39107"/>
    <cellStyle name="Salida 5 9 2" xfId="39108"/>
    <cellStyle name="Salida 6" xfId="39109"/>
    <cellStyle name="Salida 6 10" xfId="39110"/>
    <cellStyle name="Salida 6 10 2" xfId="39111"/>
    <cellStyle name="Salida 6 11" xfId="39112"/>
    <cellStyle name="Salida 6 11 2" xfId="39113"/>
    <cellStyle name="Salida 6 12" xfId="39114"/>
    <cellStyle name="Salida 6 12 2" xfId="39115"/>
    <cellStyle name="Salida 6 13" xfId="39116"/>
    <cellStyle name="Salida 6 2" xfId="39117"/>
    <cellStyle name="Salida 6 2 10" xfId="39118"/>
    <cellStyle name="Salida 6 2 10 2" xfId="39119"/>
    <cellStyle name="Salida 6 2 11" xfId="39120"/>
    <cellStyle name="Salida 6 2 2" xfId="39121"/>
    <cellStyle name="Salida 6 2 2 2" xfId="39122"/>
    <cellStyle name="Salida 6 2 3" xfId="39123"/>
    <cellStyle name="Salida 6 2 3 2" xfId="39124"/>
    <cellStyle name="Salida 6 2 4" xfId="39125"/>
    <cellStyle name="Salida 6 2 4 2" xfId="39126"/>
    <cellStyle name="Salida 6 2 5" xfId="39127"/>
    <cellStyle name="Salida 6 2 5 2" xfId="39128"/>
    <cellStyle name="Salida 6 2 6" xfId="39129"/>
    <cellStyle name="Salida 6 2 6 2" xfId="39130"/>
    <cellStyle name="Salida 6 2 7" xfId="39131"/>
    <cellStyle name="Salida 6 2 7 2" xfId="39132"/>
    <cellStyle name="Salida 6 2 8" xfId="39133"/>
    <cellStyle name="Salida 6 2 8 2" xfId="39134"/>
    <cellStyle name="Salida 6 2 9" xfId="39135"/>
    <cellStyle name="Salida 6 2 9 2" xfId="39136"/>
    <cellStyle name="Salida 6 3" xfId="39137"/>
    <cellStyle name="Salida 6 3 10" xfId="39138"/>
    <cellStyle name="Salida 6 3 10 2" xfId="39139"/>
    <cellStyle name="Salida 6 3 11" xfId="39140"/>
    <cellStyle name="Salida 6 3 2" xfId="39141"/>
    <cellStyle name="Salida 6 3 2 2" xfId="39142"/>
    <cellStyle name="Salida 6 3 3" xfId="39143"/>
    <cellStyle name="Salida 6 3 3 2" xfId="39144"/>
    <cellStyle name="Salida 6 3 4" xfId="39145"/>
    <cellStyle name="Salida 6 3 4 2" xfId="39146"/>
    <cellStyle name="Salida 6 3 5" xfId="39147"/>
    <cellStyle name="Salida 6 3 5 2" xfId="39148"/>
    <cellStyle name="Salida 6 3 6" xfId="39149"/>
    <cellStyle name="Salida 6 3 6 2" xfId="39150"/>
    <cellStyle name="Salida 6 3 7" xfId="39151"/>
    <cellStyle name="Salida 6 3 7 2" xfId="39152"/>
    <cellStyle name="Salida 6 3 8" xfId="39153"/>
    <cellStyle name="Salida 6 3 8 2" xfId="39154"/>
    <cellStyle name="Salida 6 3 9" xfId="39155"/>
    <cellStyle name="Salida 6 3 9 2" xfId="39156"/>
    <cellStyle name="Salida 6 4" xfId="39157"/>
    <cellStyle name="Salida 6 4 2" xfId="39158"/>
    <cellStyle name="Salida 6 5" xfId="39159"/>
    <cellStyle name="Salida 6 5 2" xfId="39160"/>
    <cellStyle name="Salida 6 6" xfId="39161"/>
    <cellStyle name="Salida 6 6 2" xfId="39162"/>
    <cellStyle name="Salida 6 7" xfId="39163"/>
    <cellStyle name="Salida 6 7 2" xfId="39164"/>
    <cellStyle name="Salida 6 8" xfId="39165"/>
    <cellStyle name="Salida 6 8 2" xfId="39166"/>
    <cellStyle name="Salida 6 9" xfId="39167"/>
    <cellStyle name="Salida 6 9 2" xfId="39168"/>
    <cellStyle name="Salida 7" xfId="39169"/>
    <cellStyle name="Salida 7 10" xfId="39170"/>
    <cellStyle name="Salida 7 10 2" xfId="39171"/>
    <cellStyle name="Salida 7 11" xfId="39172"/>
    <cellStyle name="Salida 7 11 2" xfId="39173"/>
    <cellStyle name="Salida 7 12" xfId="39174"/>
    <cellStyle name="Salida 7 12 2" xfId="39175"/>
    <cellStyle name="Salida 7 13" xfId="39176"/>
    <cellStyle name="Salida 7 2" xfId="39177"/>
    <cellStyle name="Salida 7 2 10" xfId="39178"/>
    <cellStyle name="Salida 7 2 10 2" xfId="39179"/>
    <cellStyle name="Salida 7 2 11" xfId="39180"/>
    <cellStyle name="Salida 7 2 2" xfId="39181"/>
    <cellStyle name="Salida 7 2 2 2" xfId="39182"/>
    <cellStyle name="Salida 7 2 3" xfId="39183"/>
    <cellStyle name="Salida 7 2 3 2" xfId="39184"/>
    <cellStyle name="Salida 7 2 4" xfId="39185"/>
    <cellStyle name="Salida 7 2 4 2" xfId="39186"/>
    <cellStyle name="Salida 7 2 5" xfId="39187"/>
    <cellStyle name="Salida 7 2 5 2" xfId="39188"/>
    <cellStyle name="Salida 7 2 6" xfId="39189"/>
    <cellStyle name="Salida 7 2 6 2" xfId="39190"/>
    <cellStyle name="Salida 7 2 7" xfId="39191"/>
    <cellStyle name="Salida 7 2 7 2" xfId="39192"/>
    <cellStyle name="Salida 7 2 8" xfId="39193"/>
    <cellStyle name="Salida 7 2 8 2" xfId="39194"/>
    <cellStyle name="Salida 7 2 9" xfId="39195"/>
    <cellStyle name="Salida 7 2 9 2" xfId="39196"/>
    <cellStyle name="Salida 7 3" xfId="39197"/>
    <cellStyle name="Salida 7 3 10" xfId="39198"/>
    <cellStyle name="Salida 7 3 10 2" xfId="39199"/>
    <cellStyle name="Salida 7 3 11" xfId="39200"/>
    <cellStyle name="Salida 7 3 2" xfId="39201"/>
    <cellStyle name="Salida 7 3 2 2" xfId="39202"/>
    <cellStyle name="Salida 7 3 3" xfId="39203"/>
    <cellStyle name="Salida 7 3 3 2" xfId="39204"/>
    <cellStyle name="Salida 7 3 4" xfId="39205"/>
    <cellStyle name="Salida 7 3 4 2" xfId="39206"/>
    <cellStyle name="Salida 7 3 5" xfId="39207"/>
    <cellStyle name="Salida 7 3 5 2" xfId="39208"/>
    <cellStyle name="Salida 7 3 6" xfId="39209"/>
    <cellStyle name="Salida 7 3 6 2" xfId="39210"/>
    <cellStyle name="Salida 7 3 7" xfId="39211"/>
    <cellStyle name="Salida 7 3 7 2" xfId="39212"/>
    <cellStyle name="Salida 7 3 8" xfId="39213"/>
    <cellStyle name="Salida 7 3 8 2" xfId="39214"/>
    <cellStyle name="Salida 7 3 9" xfId="39215"/>
    <cellStyle name="Salida 7 3 9 2" xfId="39216"/>
    <cellStyle name="Salida 7 4" xfId="39217"/>
    <cellStyle name="Salida 7 4 2" xfId="39218"/>
    <cellStyle name="Salida 7 5" xfId="39219"/>
    <cellStyle name="Salida 7 5 2" xfId="39220"/>
    <cellStyle name="Salida 7 6" xfId="39221"/>
    <cellStyle name="Salida 7 6 2" xfId="39222"/>
    <cellStyle name="Salida 7 7" xfId="39223"/>
    <cellStyle name="Salida 7 7 2" xfId="39224"/>
    <cellStyle name="Salida 7 8" xfId="39225"/>
    <cellStyle name="Salida 7 8 2" xfId="39226"/>
    <cellStyle name="Salida 7 9" xfId="39227"/>
    <cellStyle name="Salida 7 9 2" xfId="39228"/>
    <cellStyle name="Salida 8" xfId="39229"/>
    <cellStyle name="Salida 9" xfId="1159"/>
    <cellStyle name="Texto de advertencia" xfId="906" builtinId="11" customBuiltin="1"/>
    <cellStyle name="Texto de advertencia 2" xfId="1165"/>
    <cellStyle name="Texto de advertencia 2 2" xfId="1166"/>
    <cellStyle name="Texto de advertencia 2 3" xfId="1167"/>
    <cellStyle name="Texto de advertencia 2 4" xfId="39230"/>
    <cellStyle name="Texto de advertencia 3" xfId="1168"/>
    <cellStyle name="Texto de advertencia 4" xfId="39231"/>
    <cellStyle name="Texto de advertencia 5" xfId="39232"/>
    <cellStyle name="Texto de advertencia 6" xfId="39233"/>
    <cellStyle name="Texto de advertencia 7" xfId="39234"/>
    <cellStyle name="Texto de advertencia 8" xfId="1164"/>
    <cellStyle name="Texto explicativo" xfId="908" builtinId="53" customBuiltin="1"/>
    <cellStyle name="Texto explicativo 2" xfId="1170"/>
    <cellStyle name="Texto explicativo 2 2" xfId="1171"/>
    <cellStyle name="Texto explicativo 2 3" xfId="1172"/>
    <cellStyle name="Texto explicativo 2 4" xfId="39235"/>
    <cellStyle name="Texto explicativo 3" xfId="1173"/>
    <cellStyle name="Texto explicativo 4" xfId="39236"/>
    <cellStyle name="Texto explicativo 5" xfId="39237"/>
    <cellStyle name="Texto explicativo 6" xfId="39238"/>
    <cellStyle name="Texto explicativo 7" xfId="39239"/>
    <cellStyle name="Texto explicativo 8" xfId="1169"/>
    <cellStyle name="Título" xfId="894" builtinId="15" customBuiltin="1"/>
    <cellStyle name="Título 1" xfId="895" builtinId="16" customBuiltin="1"/>
    <cellStyle name="Título 1 2" xfId="1176"/>
    <cellStyle name="Título 1 2 2" xfId="1177"/>
    <cellStyle name="Título 1 2 3" xfId="1178"/>
    <cellStyle name="Título 1 2 4" xfId="39240"/>
    <cellStyle name="Título 1 3" xfId="1179"/>
    <cellStyle name="Título 1 4" xfId="39241"/>
    <cellStyle name="Título 1 5" xfId="39242"/>
    <cellStyle name="Título 1 6" xfId="39243"/>
    <cellStyle name="Título 1 7" xfId="39244"/>
    <cellStyle name="Título 1 8" xfId="1175"/>
    <cellStyle name="Título 10" xfId="1174"/>
    <cellStyle name="Título 2" xfId="896" builtinId="17" customBuiltin="1"/>
    <cellStyle name="Título 2 2" xfId="1181"/>
    <cellStyle name="Título 2 2 2" xfId="1182"/>
    <cellStyle name="Título 2 2 3" xfId="1183"/>
    <cellStyle name="Título 2 2 4" xfId="39245"/>
    <cellStyle name="Título 2 3" xfId="1184"/>
    <cellStyle name="Título 2 4" xfId="39246"/>
    <cellStyle name="Título 2 5" xfId="39247"/>
    <cellStyle name="Título 2 6" xfId="39248"/>
    <cellStyle name="Título 2 7" xfId="39249"/>
    <cellStyle name="Título 2 8" xfId="1180"/>
    <cellStyle name="Título 3" xfId="897" builtinId="18" customBuiltin="1"/>
    <cellStyle name="Título 3 2" xfId="1186"/>
    <cellStyle name="Título 3 2 10" xfId="39250"/>
    <cellStyle name="Título 3 2 10 2" xfId="39251"/>
    <cellStyle name="Título 3 2 11" xfId="39252"/>
    <cellStyle name="Título 3 2 11 2" xfId="39253"/>
    <cellStyle name="Título 3 2 12" xfId="39254"/>
    <cellStyle name="Título 3 2 12 2" xfId="39255"/>
    <cellStyle name="Título 3 2 13" xfId="39256"/>
    <cellStyle name="Título 3 2 13 2" xfId="39257"/>
    <cellStyle name="Título 3 2 14" xfId="39258"/>
    <cellStyle name="Título 3 2 14 2" xfId="39259"/>
    <cellStyle name="Título 3 2 15" xfId="39260"/>
    <cellStyle name="Título 3 2 15 2" xfId="39261"/>
    <cellStyle name="Título 3 2 16" xfId="39262"/>
    <cellStyle name="Título 3 2 17" xfId="39263"/>
    <cellStyle name="Título 3 2 18" xfId="39264"/>
    <cellStyle name="Título 3 2 2" xfId="1187"/>
    <cellStyle name="Título 3 2 2 10" xfId="39265"/>
    <cellStyle name="Título 3 2 2 10 2" xfId="39266"/>
    <cellStyle name="Título 3 2 2 11" xfId="39267"/>
    <cellStyle name="Título 3 2 2 11 2" xfId="39268"/>
    <cellStyle name="Título 3 2 2 12" xfId="39269"/>
    <cellStyle name="Título 3 2 2 12 2" xfId="39270"/>
    <cellStyle name="Título 3 2 2 13" xfId="39271"/>
    <cellStyle name="Título 3 2 2 14" xfId="39272"/>
    <cellStyle name="Título 3 2 2 15" xfId="39273"/>
    <cellStyle name="Título 3 2 2 2" xfId="39274"/>
    <cellStyle name="Título 3 2 2 2 2" xfId="39275"/>
    <cellStyle name="Título 3 2 2 2 2 2" xfId="39276"/>
    <cellStyle name="Título 3 2 2 2 2 2 2" xfId="39277"/>
    <cellStyle name="Título 3 2 2 2 2 3" xfId="39278"/>
    <cellStyle name="Título 3 2 2 2 3" xfId="39279"/>
    <cellStyle name="Título 3 2 2 2 3 2" xfId="39280"/>
    <cellStyle name="Título 3 2 2 2 4" xfId="39281"/>
    <cellStyle name="Título 3 2 2 3" xfId="39282"/>
    <cellStyle name="Título 3 2 2 3 2" xfId="39283"/>
    <cellStyle name="Título 3 2 2 4" xfId="39284"/>
    <cellStyle name="Título 3 2 2 4 2" xfId="39285"/>
    <cellStyle name="Título 3 2 2 5" xfId="39286"/>
    <cellStyle name="Título 3 2 2 5 2" xfId="39287"/>
    <cellStyle name="Título 3 2 2 6" xfId="39288"/>
    <cellStyle name="Título 3 2 2 6 2" xfId="39289"/>
    <cellStyle name="Título 3 2 2 7" xfId="39290"/>
    <cellStyle name="Título 3 2 2 7 2" xfId="39291"/>
    <cellStyle name="Título 3 2 2 8" xfId="39292"/>
    <cellStyle name="Título 3 2 2 8 2" xfId="39293"/>
    <cellStyle name="Título 3 2 2 9" xfId="39294"/>
    <cellStyle name="Título 3 2 2 9 2" xfId="39295"/>
    <cellStyle name="Título 3 2 3" xfId="1188"/>
    <cellStyle name="Título 3 2 3 10" xfId="39296"/>
    <cellStyle name="Título 3 2 3 10 2" xfId="39297"/>
    <cellStyle name="Título 3 2 3 11" xfId="39298"/>
    <cellStyle name="Título 3 2 3 11 2" xfId="39299"/>
    <cellStyle name="Título 3 2 3 12" xfId="39300"/>
    <cellStyle name="Título 3 2 3 13" xfId="39301"/>
    <cellStyle name="Título 3 2 3 14" xfId="39302"/>
    <cellStyle name="Título 3 2 3 2" xfId="39303"/>
    <cellStyle name="Título 3 2 3 2 2" xfId="39304"/>
    <cellStyle name="Título 3 2 3 2 2 2" xfId="39305"/>
    <cellStyle name="Título 3 2 3 2 2 2 2" xfId="39306"/>
    <cellStyle name="Título 3 2 3 2 2 3" xfId="39307"/>
    <cellStyle name="Título 3 2 3 2 3" xfId="39308"/>
    <cellStyle name="Título 3 2 3 2 3 2" xfId="39309"/>
    <cellStyle name="Título 3 2 3 2 4" xfId="39310"/>
    <cellStyle name="Título 3 2 3 3" xfId="39311"/>
    <cellStyle name="Título 3 2 3 3 2" xfId="39312"/>
    <cellStyle name="Título 3 2 3 4" xfId="39313"/>
    <cellStyle name="Título 3 2 3 4 2" xfId="39314"/>
    <cellStyle name="Título 3 2 3 5" xfId="39315"/>
    <cellStyle name="Título 3 2 3 5 2" xfId="39316"/>
    <cellStyle name="Título 3 2 3 6" xfId="39317"/>
    <cellStyle name="Título 3 2 3 6 2" xfId="39318"/>
    <cellStyle name="Título 3 2 3 7" xfId="39319"/>
    <cellStyle name="Título 3 2 3 7 2" xfId="39320"/>
    <cellStyle name="Título 3 2 3 8" xfId="39321"/>
    <cellStyle name="Título 3 2 3 8 2" xfId="39322"/>
    <cellStyle name="Título 3 2 3 9" xfId="39323"/>
    <cellStyle name="Título 3 2 3 9 2" xfId="39324"/>
    <cellStyle name="Título 3 2 4" xfId="39325"/>
    <cellStyle name="Título 3 2 4 2" xfId="39326"/>
    <cellStyle name="Título 3 2 4 2 2" xfId="39327"/>
    <cellStyle name="Título 3 2 4 2 2 2" xfId="39328"/>
    <cellStyle name="Título 3 2 4 2 3" xfId="39329"/>
    <cellStyle name="Título 3 2 4 3" xfId="39330"/>
    <cellStyle name="Título 3 2 4 3 2" xfId="39331"/>
    <cellStyle name="Título 3 2 4 4" xfId="39332"/>
    <cellStyle name="Título 3 2 5" xfId="39333"/>
    <cellStyle name="Título 3 2 5 2" xfId="39334"/>
    <cellStyle name="Título 3 2 5 2 2" xfId="39335"/>
    <cellStyle name="Título 3 2 5 2 2 2" xfId="39336"/>
    <cellStyle name="Título 3 2 5 2 3" xfId="39337"/>
    <cellStyle name="Título 3 2 5 3" xfId="39338"/>
    <cellStyle name="Título 3 2 5 3 2" xfId="39339"/>
    <cellStyle name="Título 3 2 5 4" xfId="39340"/>
    <cellStyle name="Título 3 2 6" xfId="39341"/>
    <cellStyle name="Título 3 2 6 2" xfId="39342"/>
    <cellStyle name="Título 3 2 7" xfId="39343"/>
    <cellStyle name="Título 3 2 7 2" xfId="39344"/>
    <cellStyle name="Título 3 2 8" xfId="39345"/>
    <cellStyle name="Título 3 2 8 2" xfId="39346"/>
    <cellStyle name="Título 3 2 9" xfId="39347"/>
    <cellStyle name="Título 3 2 9 2" xfId="39348"/>
    <cellStyle name="Título 3 3" xfId="1189"/>
    <cellStyle name="Título 3 3 10" xfId="39349"/>
    <cellStyle name="Título 3 3 10 2" xfId="39350"/>
    <cellStyle name="Título 3 3 11" xfId="39351"/>
    <cellStyle name="Título 3 3 11 2" xfId="39352"/>
    <cellStyle name="Título 3 3 12" xfId="39353"/>
    <cellStyle name="Título 3 3 13" xfId="39354"/>
    <cellStyle name="Título 3 3 14" xfId="39355"/>
    <cellStyle name="Título 3 3 2" xfId="39356"/>
    <cellStyle name="Título 3 3 2 2" xfId="39357"/>
    <cellStyle name="Título 3 3 2 2 2" xfId="39358"/>
    <cellStyle name="Título 3 3 2 2 2 2" xfId="39359"/>
    <cellStyle name="Título 3 3 2 2 3" xfId="39360"/>
    <cellStyle name="Título 3 3 2 3" xfId="39361"/>
    <cellStyle name="Título 3 3 2 3 2" xfId="39362"/>
    <cellStyle name="Título 3 3 2 4" xfId="39363"/>
    <cellStyle name="Título 3 3 3" xfId="39364"/>
    <cellStyle name="Título 3 3 3 2" xfId="39365"/>
    <cellStyle name="Título 3 3 4" xfId="39366"/>
    <cellStyle name="Título 3 3 4 2" xfId="39367"/>
    <cellStyle name="Título 3 3 5" xfId="39368"/>
    <cellStyle name="Título 3 3 5 2" xfId="39369"/>
    <cellStyle name="Título 3 3 6" xfId="39370"/>
    <cellStyle name="Título 3 3 6 2" xfId="39371"/>
    <cellStyle name="Título 3 3 7" xfId="39372"/>
    <cellStyle name="Título 3 3 7 2" xfId="39373"/>
    <cellStyle name="Título 3 3 8" xfId="39374"/>
    <cellStyle name="Título 3 3 8 2" xfId="39375"/>
    <cellStyle name="Título 3 3 9" xfId="39376"/>
    <cellStyle name="Título 3 3 9 2" xfId="39377"/>
    <cellStyle name="Título 3 4" xfId="39378"/>
    <cellStyle name="Título 3 4 2" xfId="39379"/>
    <cellStyle name="Título 3 4 2 2" xfId="39380"/>
    <cellStyle name="Título 3 4 2 2 2" xfId="39381"/>
    <cellStyle name="Título 3 4 2 3" xfId="39382"/>
    <cellStyle name="Título 3 4 3" xfId="39383"/>
    <cellStyle name="Título 3 4 3 2" xfId="39384"/>
    <cellStyle name="Título 3 4 4" xfId="39385"/>
    <cellStyle name="Título 3 5" xfId="39386"/>
    <cellStyle name="Título 3 5 2" xfId="39387"/>
    <cellStyle name="Título 3 5 2 2" xfId="39388"/>
    <cellStyle name="Título 3 5 3" xfId="39389"/>
    <cellStyle name="Título 3 6" xfId="39390"/>
    <cellStyle name="Título 3 6 2" xfId="39391"/>
    <cellStyle name="Título 3 7" xfId="39392"/>
    <cellStyle name="Título 3 8" xfId="1185"/>
    <cellStyle name="Título 4" xfId="1190"/>
    <cellStyle name="Título 4 2" xfId="1191"/>
    <cellStyle name="Título 4 3" xfId="1192"/>
    <cellStyle name="Título 4 4" xfId="39393"/>
    <cellStyle name="Título 5" xfId="1193"/>
    <cellStyle name="Título 6" xfId="39394"/>
    <cellStyle name="Título 7" xfId="39395"/>
    <cellStyle name="Título 8" xfId="39396"/>
    <cellStyle name="Título 9" xfId="39397"/>
    <cellStyle name="Total" xfId="909" builtinId="25" customBuiltin="1"/>
    <cellStyle name="Total 2" xfId="1195"/>
    <cellStyle name="Total 2 10" xfId="39398"/>
    <cellStyle name="Total 2 10 2" xfId="39399"/>
    <cellStyle name="Total 2 11" xfId="39400"/>
    <cellStyle name="Total 2 11 2" xfId="39401"/>
    <cellStyle name="Total 2 12" xfId="39402"/>
    <cellStyle name="Total 2 12 2" xfId="39403"/>
    <cellStyle name="Total 2 13" xfId="39404"/>
    <cellStyle name="Total 2 13 2" xfId="39405"/>
    <cellStyle name="Total 2 14" xfId="39406"/>
    <cellStyle name="Total 2 14 2" xfId="39407"/>
    <cellStyle name="Total 2 15" xfId="39408"/>
    <cellStyle name="Total 2 15 2" xfId="39409"/>
    <cellStyle name="Total 2 16" xfId="39410"/>
    <cellStyle name="Total 2 16 2" xfId="39411"/>
    <cellStyle name="Total 2 17" xfId="39412"/>
    <cellStyle name="Total 2 17 2" xfId="39413"/>
    <cellStyle name="Total 2 18" xfId="39414"/>
    <cellStyle name="Total 2 18 2" xfId="39415"/>
    <cellStyle name="Total 2 19" xfId="39416"/>
    <cellStyle name="Total 2 2" xfId="1196"/>
    <cellStyle name="Total 2 2 10" xfId="39417"/>
    <cellStyle name="Total 2 2 10 2" xfId="39418"/>
    <cellStyle name="Total 2 2 11" xfId="39419"/>
    <cellStyle name="Total 2 2 11 2" xfId="39420"/>
    <cellStyle name="Total 2 2 12" xfId="39421"/>
    <cellStyle name="Total 2 2 12 2" xfId="39422"/>
    <cellStyle name="Total 2 2 13" xfId="39423"/>
    <cellStyle name="Total 2 2 13 2" xfId="39424"/>
    <cellStyle name="Total 2 2 14" xfId="39425"/>
    <cellStyle name="Total 2 2 14 2" xfId="39426"/>
    <cellStyle name="Total 2 2 15" xfId="39427"/>
    <cellStyle name="Total 2 2 15 2" xfId="39428"/>
    <cellStyle name="Total 2 2 16" xfId="39429"/>
    <cellStyle name="Total 2 2 17" xfId="39430"/>
    <cellStyle name="Total 2 2 18" xfId="39431"/>
    <cellStyle name="Total 2 2 2" xfId="39432"/>
    <cellStyle name="Total 2 2 2 10" xfId="39433"/>
    <cellStyle name="Total 2 2 2 10 2" xfId="39434"/>
    <cellStyle name="Total 2 2 2 11" xfId="39435"/>
    <cellStyle name="Total 2 2 2 11 2" xfId="39436"/>
    <cellStyle name="Total 2 2 2 12" xfId="39437"/>
    <cellStyle name="Total 2 2 2 12 2" xfId="39438"/>
    <cellStyle name="Total 2 2 2 13" xfId="39439"/>
    <cellStyle name="Total 2 2 2 13 2" xfId="39440"/>
    <cellStyle name="Total 2 2 2 14" xfId="39441"/>
    <cellStyle name="Total 2 2 2 14 2" xfId="39442"/>
    <cellStyle name="Total 2 2 2 15" xfId="39443"/>
    <cellStyle name="Total 2 2 2 2" xfId="39444"/>
    <cellStyle name="Total 2 2 2 2 10" xfId="39445"/>
    <cellStyle name="Total 2 2 2 2 10 2" xfId="39446"/>
    <cellStyle name="Total 2 2 2 2 11" xfId="39447"/>
    <cellStyle name="Total 2 2 2 2 11 2" xfId="39448"/>
    <cellStyle name="Total 2 2 2 2 12" xfId="39449"/>
    <cellStyle name="Total 2 2 2 2 12 2" xfId="39450"/>
    <cellStyle name="Total 2 2 2 2 13" xfId="39451"/>
    <cellStyle name="Total 2 2 2 2 2" xfId="39452"/>
    <cellStyle name="Total 2 2 2 2 2 10" xfId="39453"/>
    <cellStyle name="Total 2 2 2 2 2 10 2" xfId="39454"/>
    <cellStyle name="Total 2 2 2 2 2 11" xfId="39455"/>
    <cellStyle name="Total 2 2 2 2 2 2" xfId="39456"/>
    <cellStyle name="Total 2 2 2 2 2 2 2" xfId="39457"/>
    <cellStyle name="Total 2 2 2 2 2 3" xfId="39458"/>
    <cellStyle name="Total 2 2 2 2 2 3 2" xfId="39459"/>
    <cellStyle name="Total 2 2 2 2 2 4" xfId="39460"/>
    <cellStyle name="Total 2 2 2 2 2 4 2" xfId="39461"/>
    <cellStyle name="Total 2 2 2 2 2 5" xfId="39462"/>
    <cellStyle name="Total 2 2 2 2 2 5 2" xfId="39463"/>
    <cellStyle name="Total 2 2 2 2 2 6" xfId="39464"/>
    <cellStyle name="Total 2 2 2 2 2 6 2" xfId="39465"/>
    <cellStyle name="Total 2 2 2 2 2 7" xfId="39466"/>
    <cellStyle name="Total 2 2 2 2 2 7 2" xfId="39467"/>
    <cellStyle name="Total 2 2 2 2 2 8" xfId="39468"/>
    <cellStyle name="Total 2 2 2 2 2 8 2" xfId="39469"/>
    <cellStyle name="Total 2 2 2 2 2 9" xfId="39470"/>
    <cellStyle name="Total 2 2 2 2 2 9 2" xfId="39471"/>
    <cellStyle name="Total 2 2 2 2 3" xfId="39472"/>
    <cellStyle name="Total 2 2 2 2 3 10" xfId="39473"/>
    <cellStyle name="Total 2 2 2 2 3 10 2" xfId="39474"/>
    <cellStyle name="Total 2 2 2 2 3 11" xfId="39475"/>
    <cellStyle name="Total 2 2 2 2 3 2" xfId="39476"/>
    <cellStyle name="Total 2 2 2 2 3 2 2" xfId="39477"/>
    <cellStyle name="Total 2 2 2 2 3 3" xfId="39478"/>
    <cellStyle name="Total 2 2 2 2 3 3 2" xfId="39479"/>
    <cellStyle name="Total 2 2 2 2 3 4" xfId="39480"/>
    <cellStyle name="Total 2 2 2 2 3 4 2" xfId="39481"/>
    <cellStyle name="Total 2 2 2 2 3 5" xfId="39482"/>
    <cellStyle name="Total 2 2 2 2 3 5 2" xfId="39483"/>
    <cellStyle name="Total 2 2 2 2 3 6" xfId="39484"/>
    <cellStyle name="Total 2 2 2 2 3 6 2" xfId="39485"/>
    <cellStyle name="Total 2 2 2 2 3 7" xfId="39486"/>
    <cellStyle name="Total 2 2 2 2 3 7 2" xfId="39487"/>
    <cellStyle name="Total 2 2 2 2 3 8" xfId="39488"/>
    <cellStyle name="Total 2 2 2 2 3 8 2" xfId="39489"/>
    <cellStyle name="Total 2 2 2 2 3 9" xfId="39490"/>
    <cellStyle name="Total 2 2 2 2 3 9 2" xfId="39491"/>
    <cellStyle name="Total 2 2 2 2 4" xfId="39492"/>
    <cellStyle name="Total 2 2 2 2 4 2" xfId="39493"/>
    <cellStyle name="Total 2 2 2 2 5" xfId="39494"/>
    <cellStyle name="Total 2 2 2 2 5 2" xfId="39495"/>
    <cellStyle name="Total 2 2 2 2 6" xfId="39496"/>
    <cellStyle name="Total 2 2 2 2 6 2" xfId="39497"/>
    <cellStyle name="Total 2 2 2 2 7" xfId="39498"/>
    <cellStyle name="Total 2 2 2 2 7 2" xfId="39499"/>
    <cellStyle name="Total 2 2 2 2 8" xfId="39500"/>
    <cellStyle name="Total 2 2 2 2 8 2" xfId="39501"/>
    <cellStyle name="Total 2 2 2 2 9" xfId="39502"/>
    <cellStyle name="Total 2 2 2 2 9 2" xfId="39503"/>
    <cellStyle name="Total 2 2 2 3" xfId="39504"/>
    <cellStyle name="Total 2 2 2 3 10" xfId="39505"/>
    <cellStyle name="Total 2 2 2 3 10 2" xfId="39506"/>
    <cellStyle name="Total 2 2 2 3 11" xfId="39507"/>
    <cellStyle name="Total 2 2 2 3 11 2" xfId="39508"/>
    <cellStyle name="Total 2 2 2 3 12" xfId="39509"/>
    <cellStyle name="Total 2 2 2 3 12 2" xfId="39510"/>
    <cellStyle name="Total 2 2 2 3 13" xfId="39511"/>
    <cellStyle name="Total 2 2 2 3 2" xfId="39512"/>
    <cellStyle name="Total 2 2 2 3 2 10" xfId="39513"/>
    <cellStyle name="Total 2 2 2 3 2 10 2" xfId="39514"/>
    <cellStyle name="Total 2 2 2 3 2 11" xfId="39515"/>
    <cellStyle name="Total 2 2 2 3 2 2" xfId="39516"/>
    <cellStyle name="Total 2 2 2 3 2 2 2" xfId="39517"/>
    <cellStyle name="Total 2 2 2 3 2 3" xfId="39518"/>
    <cellStyle name="Total 2 2 2 3 2 3 2" xfId="39519"/>
    <cellStyle name="Total 2 2 2 3 2 4" xfId="39520"/>
    <cellStyle name="Total 2 2 2 3 2 4 2" xfId="39521"/>
    <cellStyle name="Total 2 2 2 3 2 5" xfId="39522"/>
    <cellStyle name="Total 2 2 2 3 2 5 2" xfId="39523"/>
    <cellStyle name="Total 2 2 2 3 2 6" xfId="39524"/>
    <cellStyle name="Total 2 2 2 3 2 6 2" xfId="39525"/>
    <cellStyle name="Total 2 2 2 3 2 7" xfId="39526"/>
    <cellStyle name="Total 2 2 2 3 2 7 2" xfId="39527"/>
    <cellStyle name="Total 2 2 2 3 2 8" xfId="39528"/>
    <cellStyle name="Total 2 2 2 3 2 8 2" xfId="39529"/>
    <cellStyle name="Total 2 2 2 3 2 9" xfId="39530"/>
    <cellStyle name="Total 2 2 2 3 2 9 2" xfId="39531"/>
    <cellStyle name="Total 2 2 2 3 3" xfId="39532"/>
    <cellStyle name="Total 2 2 2 3 3 10" xfId="39533"/>
    <cellStyle name="Total 2 2 2 3 3 10 2" xfId="39534"/>
    <cellStyle name="Total 2 2 2 3 3 11" xfId="39535"/>
    <cellStyle name="Total 2 2 2 3 3 2" xfId="39536"/>
    <cellStyle name="Total 2 2 2 3 3 2 2" xfId="39537"/>
    <cellStyle name="Total 2 2 2 3 3 3" xfId="39538"/>
    <cellStyle name="Total 2 2 2 3 3 3 2" xfId="39539"/>
    <cellStyle name="Total 2 2 2 3 3 4" xfId="39540"/>
    <cellStyle name="Total 2 2 2 3 3 4 2" xfId="39541"/>
    <cellStyle name="Total 2 2 2 3 3 5" xfId="39542"/>
    <cellStyle name="Total 2 2 2 3 3 5 2" xfId="39543"/>
    <cellStyle name="Total 2 2 2 3 3 6" xfId="39544"/>
    <cellStyle name="Total 2 2 2 3 3 6 2" xfId="39545"/>
    <cellStyle name="Total 2 2 2 3 3 7" xfId="39546"/>
    <cellStyle name="Total 2 2 2 3 3 7 2" xfId="39547"/>
    <cellStyle name="Total 2 2 2 3 3 8" xfId="39548"/>
    <cellStyle name="Total 2 2 2 3 3 8 2" xfId="39549"/>
    <cellStyle name="Total 2 2 2 3 3 9" xfId="39550"/>
    <cellStyle name="Total 2 2 2 3 3 9 2" xfId="39551"/>
    <cellStyle name="Total 2 2 2 3 4" xfId="39552"/>
    <cellStyle name="Total 2 2 2 3 4 2" xfId="39553"/>
    <cellStyle name="Total 2 2 2 3 5" xfId="39554"/>
    <cellStyle name="Total 2 2 2 3 5 2" xfId="39555"/>
    <cellStyle name="Total 2 2 2 3 6" xfId="39556"/>
    <cellStyle name="Total 2 2 2 3 6 2" xfId="39557"/>
    <cellStyle name="Total 2 2 2 3 7" xfId="39558"/>
    <cellStyle name="Total 2 2 2 3 7 2" xfId="39559"/>
    <cellStyle name="Total 2 2 2 3 8" xfId="39560"/>
    <cellStyle name="Total 2 2 2 3 8 2" xfId="39561"/>
    <cellStyle name="Total 2 2 2 3 9" xfId="39562"/>
    <cellStyle name="Total 2 2 2 3 9 2" xfId="39563"/>
    <cellStyle name="Total 2 2 2 4" xfId="39564"/>
    <cellStyle name="Total 2 2 2 4 10" xfId="39565"/>
    <cellStyle name="Total 2 2 2 4 10 2" xfId="39566"/>
    <cellStyle name="Total 2 2 2 4 11" xfId="39567"/>
    <cellStyle name="Total 2 2 2 4 2" xfId="39568"/>
    <cellStyle name="Total 2 2 2 4 2 2" xfId="39569"/>
    <cellStyle name="Total 2 2 2 4 3" xfId="39570"/>
    <cellStyle name="Total 2 2 2 4 3 2" xfId="39571"/>
    <cellStyle name="Total 2 2 2 4 4" xfId="39572"/>
    <cellStyle name="Total 2 2 2 4 4 2" xfId="39573"/>
    <cellStyle name="Total 2 2 2 4 5" xfId="39574"/>
    <cellStyle name="Total 2 2 2 4 5 2" xfId="39575"/>
    <cellStyle name="Total 2 2 2 4 6" xfId="39576"/>
    <cellStyle name="Total 2 2 2 4 6 2" xfId="39577"/>
    <cellStyle name="Total 2 2 2 4 7" xfId="39578"/>
    <cellStyle name="Total 2 2 2 4 7 2" xfId="39579"/>
    <cellStyle name="Total 2 2 2 4 8" xfId="39580"/>
    <cellStyle name="Total 2 2 2 4 8 2" xfId="39581"/>
    <cellStyle name="Total 2 2 2 4 9" xfId="39582"/>
    <cellStyle name="Total 2 2 2 4 9 2" xfId="39583"/>
    <cellStyle name="Total 2 2 2 5" xfId="39584"/>
    <cellStyle name="Total 2 2 2 5 10" xfId="39585"/>
    <cellStyle name="Total 2 2 2 5 10 2" xfId="39586"/>
    <cellStyle name="Total 2 2 2 5 11" xfId="39587"/>
    <cellStyle name="Total 2 2 2 5 2" xfId="39588"/>
    <cellStyle name="Total 2 2 2 5 2 2" xfId="39589"/>
    <cellStyle name="Total 2 2 2 5 3" xfId="39590"/>
    <cellStyle name="Total 2 2 2 5 3 2" xfId="39591"/>
    <cellStyle name="Total 2 2 2 5 4" xfId="39592"/>
    <cellStyle name="Total 2 2 2 5 4 2" xfId="39593"/>
    <cellStyle name="Total 2 2 2 5 5" xfId="39594"/>
    <cellStyle name="Total 2 2 2 5 5 2" xfId="39595"/>
    <cellStyle name="Total 2 2 2 5 6" xfId="39596"/>
    <cellStyle name="Total 2 2 2 5 6 2" xfId="39597"/>
    <cellStyle name="Total 2 2 2 5 7" xfId="39598"/>
    <cellStyle name="Total 2 2 2 5 7 2" xfId="39599"/>
    <cellStyle name="Total 2 2 2 5 8" xfId="39600"/>
    <cellStyle name="Total 2 2 2 5 8 2" xfId="39601"/>
    <cellStyle name="Total 2 2 2 5 9" xfId="39602"/>
    <cellStyle name="Total 2 2 2 5 9 2" xfId="39603"/>
    <cellStyle name="Total 2 2 2 6" xfId="39604"/>
    <cellStyle name="Total 2 2 2 6 2" xfId="39605"/>
    <cellStyle name="Total 2 2 2 7" xfId="39606"/>
    <cellStyle name="Total 2 2 2 7 2" xfId="39607"/>
    <cellStyle name="Total 2 2 2 8" xfId="39608"/>
    <cellStyle name="Total 2 2 2 8 2" xfId="39609"/>
    <cellStyle name="Total 2 2 2 9" xfId="39610"/>
    <cellStyle name="Total 2 2 2 9 2" xfId="39611"/>
    <cellStyle name="Total 2 2 3" xfId="39612"/>
    <cellStyle name="Total 2 2 3 10" xfId="39613"/>
    <cellStyle name="Total 2 2 3 10 2" xfId="39614"/>
    <cellStyle name="Total 2 2 3 11" xfId="39615"/>
    <cellStyle name="Total 2 2 3 11 2" xfId="39616"/>
    <cellStyle name="Total 2 2 3 12" xfId="39617"/>
    <cellStyle name="Total 2 2 3 12 2" xfId="39618"/>
    <cellStyle name="Total 2 2 3 13" xfId="39619"/>
    <cellStyle name="Total 2 2 3 13 2" xfId="39620"/>
    <cellStyle name="Total 2 2 3 14" xfId="39621"/>
    <cellStyle name="Total 2 2 3 14 2" xfId="39622"/>
    <cellStyle name="Total 2 2 3 15" xfId="39623"/>
    <cellStyle name="Total 2 2 3 2" xfId="39624"/>
    <cellStyle name="Total 2 2 3 2 10" xfId="39625"/>
    <cellStyle name="Total 2 2 3 2 10 2" xfId="39626"/>
    <cellStyle name="Total 2 2 3 2 11" xfId="39627"/>
    <cellStyle name="Total 2 2 3 2 11 2" xfId="39628"/>
    <cellStyle name="Total 2 2 3 2 12" xfId="39629"/>
    <cellStyle name="Total 2 2 3 2 12 2" xfId="39630"/>
    <cellStyle name="Total 2 2 3 2 13" xfId="39631"/>
    <cellStyle name="Total 2 2 3 2 2" xfId="39632"/>
    <cellStyle name="Total 2 2 3 2 2 10" xfId="39633"/>
    <cellStyle name="Total 2 2 3 2 2 10 2" xfId="39634"/>
    <cellStyle name="Total 2 2 3 2 2 11" xfId="39635"/>
    <cellStyle name="Total 2 2 3 2 2 2" xfId="39636"/>
    <cellStyle name="Total 2 2 3 2 2 2 2" xfId="39637"/>
    <cellStyle name="Total 2 2 3 2 2 3" xfId="39638"/>
    <cellStyle name="Total 2 2 3 2 2 3 2" xfId="39639"/>
    <cellStyle name="Total 2 2 3 2 2 4" xfId="39640"/>
    <cellStyle name="Total 2 2 3 2 2 4 2" xfId="39641"/>
    <cellStyle name="Total 2 2 3 2 2 5" xfId="39642"/>
    <cellStyle name="Total 2 2 3 2 2 5 2" xfId="39643"/>
    <cellStyle name="Total 2 2 3 2 2 6" xfId="39644"/>
    <cellStyle name="Total 2 2 3 2 2 6 2" xfId="39645"/>
    <cellStyle name="Total 2 2 3 2 2 7" xfId="39646"/>
    <cellStyle name="Total 2 2 3 2 2 7 2" xfId="39647"/>
    <cellStyle name="Total 2 2 3 2 2 8" xfId="39648"/>
    <cellStyle name="Total 2 2 3 2 2 8 2" xfId="39649"/>
    <cellStyle name="Total 2 2 3 2 2 9" xfId="39650"/>
    <cellStyle name="Total 2 2 3 2 2 9 2" xfId="39651"/>
    <cellStyle name="Total 2 2 3 2 3" xfId="39652"/>
    <cellStyle name="Total 2 2 3 2 3 10" xfId="39653"/>
    <cellStyle name="Total 2 2 3 2 3 10 2" xfId="39654"/>
    <cellStyle name="Total 2 2 3 2 3 11" xfId="39655"/>
    <cellStyle name="Total 2 2 3 2 3 2" xfId="39656"/>
    <cellStyle name="Total 2 2 3 2 3 2 2" xfId="39657"/>
    <cellStyle name="Total 2 2 3 2 3 3" xfId="39658"/>
    <cellStyle name="Total 2 2 3 2 3 3 2" xfId="39659"/>
    <cellStyle name="Total 2 2 3 2 3 4" xfId="39660"/>
    <cellStyle name="Total 2 2 3 2 3 4 2" xfId="39661"/>
    <cellStyle name="Total 2 2 3 2 3 5" xfId="39662"/>
    <cellStyle name="Total 2 2 3 2 3 5 2" xfId="39663"/>
    <cellStyle name="Total 2 2 3 2 3 6" xfId="39664"/>
    <cellStyle name="Total 2 2 3 2 3 6 2" xfId="39665"/>
    <cellStyle name="Total 2 2 3 2 3 7" xfId="39666"/>
    <cellStyle name="Total 2 2 3 2 3 7 2" xfId="39667"/>
    <cellStyle name="Total 2 2 3 2 3 8" xfId="39668"/>
    <cellStyle name="Total 2 2 3 2 3 8 2" xfId="39669"/>
    <cellStyle name="Total 2 2 3 2 3 9" xfId="39670"/>
    <cellStyle name="Total 2 2 3 2 3 9 2" xfId="39671"/>
    <cellStyle name="Total 2 2 3 2 4" xfId="39672"/>
    <cellStyle name="Total 2 2 3 2 4 2" xfId="39673"/>
    <cellStyle name="Total 2 2 3 2 5" xfId="39674"/>
    <cellStyle name="Total 2 2 3 2 5 2" xfId="39675"/>
    <cellStyle name="Total 2 2 3 2 6" xfId="39676"/>
    <cellStyle name="Total 2 2 3 2 6 2" xfId="39677"/>
    <cellStyle name="Total 2 2 3 2 7" xfId="39678"/>
    <cellStyle name="Total 2 2 3 2 7 2" xfId="39679"/>
    <cellStyle name="Total 2 2 3 2 8" xfId="39680"/>
    <cellStyle name="Total 2 2 3 2 8 2" xfId="39681"/>
    <cellStyle name="Total 2 2 3 2 9" xfId="39682"/>
    <cellStyle name="Total 2 2 3 2 9 2" xfId="39683"/>
    <cellStyle name="Total 2 2 3 3" xfId="39684"/>
    <cellStyle name="Total 2 2 3 3 10" xfId="39685"/>
    <cellStyle name="Total 2 2 3 3 10 2" xfId="39686"/>
    <cellStyle name="Total 2 2 3 3 11" xfId="39687"/>
    <cellStyle name="Total 2 2 3 3 11 2" xfId="39688"/>
    <cellStyle name="Total 2 2 3 3 12" xfId="39689"/>
    <cellStyle name="Total 2 2 3 3 12 2" xfId="39690"/>
    <cellStyle name="Total 2 2 3 3 13" xfId="39691"/>
    <cellStyle name="Total 2 2 3 3 2" xfId="39692"/>
    <cellStyle name="Total 2 2 3 3 2 10" xfId="39693"/>
    <cellStyle name="Total 2 2 3 3 2 10 2" xfId="39694"/>
    <cellStyle name="Total 2 2 3 3 2 11" xfId="39695"/>
    <cellStyle name="Total 2 2 3 3 2 2" xfId="39696"/>
    <cellStyle name="Total 2 2 3 3 2 2 2" xfId="39697"/>
    <cellStyle name="Total 2 2 3 3 2 3" xfId="39698"/>
    <cellStyle name="Total 2 2 3 3 2 3 2" xfId="39699"/>
    <cellStyle name="Total 2 2 3 3 2 4" xfId="39700"/>
    <cellStyle name="Total 2 2 3 3 2 4 2" xfId="39701"/>
    <cellStyle name="Total 2 2 3 3 2 5" xfId="39702"/>
    <cellStyle name="Total 2 2 3 3 2 5 2" xfId="39703"/>
    <cellStyle name="Total 2 2 3 3 2 6" xfId="39704"/>
    <cellStyle name="Total 2 2 3 3 2 6 2" xfId="39705"/>
    <cellStyle name="Total 2 2 3 3 2 7" xfId="39706"/>
    <cellStyle name="Total 2 2 3 3 2 7 2" xfId="39707"/>
    <cellStyle name="Total 2 2 3 3 2 8" xfId="39708"/>
    <cellStyle name="Total 2 2 3 3 2 8 2" xfId="39709"/>
    <cellStyle name="Total 2 2 3 3 2 9" xfId="39710"/>
    <cellStyle name="Total 2 2 3 3 2 9 2" xfId="39711"/>
    <cellStyle name="Total 2 2 3 3 3" xfId="39712"/>
    <cellStyle name="Total 2 2 3 3 3 10" xfId="39713"/>
    <cellStyle name="Total 2 2 3 3 3 10 2" xfId="39714"/>
    <cellStyle name="Total 2 2 3 3 3 11" xfId="39715"/>
    <cellStyle name="Total 2 2 3 3 3 2" xfId="39716"/>
    <cellStyle name="Total 2 2 3 3 3 2 2" xfId="39717"/>
    <cellStyle name="Total 2 2 3 3 3 3" xfId="39718"/>
    <cellStyle name="Total 2 2 3 3 3 3 2" xfId="39719"/>
    <cellStyle name="Total 2 2 3 3 3 4" xfId="39720"/>
    <cellStyle name="Total 2 2 3 3 3 4 2" xfId="39721"/>
    <cellStyle name="Total 2 2 3 3 3 5" xfId="39722"/>
    <cellStyle name="Total 2 2 3 3 3 5 2" xfId="39723"/>
    <cellStyle name="Total 2 2 3 3 3 6" xfId="39724"/>
    <cellStyle name="Total 2 2 3 3 3 6 2" xfId="39725"/>
    <cellStyle name="Total 2 2 3 3 3 7" xfId="39726"/>
    <cellStyle name="Total 2 2 3 3 3 7 2" xfId="39727"/>
    <cellStyle name="Total 2 2 3 3 3 8" xfId="39728"/>
    <cellStyle name="Total 2 2 3 3 3 8 2" xfId="39729"/>
    <cellStyle name="Total 2 2 3 3 3 9" xfId="39730"/>
    <cellStyle name="Total 2 2 3 3 3 9 2" xfId="39731"/>
    <cellStyle name="Total 2 2 3 3 4" xfId="39732"/>
    <cellStyle name="Total 2 2 3 3 4 2" xfId="39733"/>
    <cellStyle name="Total 2 2 3 3 5" xfId="39734"/>
    <cellStyle name="Total 2 2 3 3 5 2" xfId="39735"/>
    <cellStyle name="Total 2 2 3 3 6" xfId="39736"/>
    <cellStyle name="Total 2 2 3 3 6 2" xfId="39737"/>
    <cellStyle name="Total 2 2 3 3 7" xfId="39738"/>
    <cellStyle name="Total 2 2 3 3 7 2" xfId="39739"/>
    <cellStyle name="Total 2 2 3 3 8" xfId="39740"/>
    <cellStyle name="Total 2 2 3 3 8 2" xfId="39741"/>
    <cellStyle name="Total 2 2 3 3 9" xfId="39742"/>
    <cellStyle name="Total 2 2 3 3 9 2" xfId="39743"/>
    <cellStyle name="Total 2 2 3 4" xfId="39744"/>
    <cellStyle name="Total 2 2 3 4 10" xfId="39745"/>
    <cellStyle name="Total 2 2 3 4 10 2" xfId="39746"/>
    <cellStyle name="Total 2 2 3 4 11" xfId="39747"/>
    <cellStyle name="Total 2 2 3 4 2" xfId="39748"/>
    <cellStyle name="Total 2 2 3 4 2 2" xfId="39749"/>
    <cellStyle name="Total 2 2 3 4 3" xfId="39750"/>
    <cellStyle name="Total 2 2 3 4 3 2" xfId="39751"/>
    <cellStyle name="Total 2 2 3 4 4" xfId="39752"/>
    <cellStyle name="Total 2 2 3 4 4 2" xfId="39753"/>
    <cellStyle name="Total 2 2 3 4 5" xfId="39754"/>
    <cellStyle name="Total 2 2 3 4 5 2" xfId="39755"/>
    <cellStyle name="Total 2 2 3 4 6" xfId="39756"/>
    <cellStyle name="Total 2 2 3 4 6 2" xfId="39757"/>
    <cellStyle name="Total 2 2 3 4 7" xfId="39758"/>
    <cellStyle name="Total 2 2 3 4 7 2" xfId="39759"/>
    <cellStyle name="Total 2 2 3 4 8" xfId="39760"/>
    <cellStyle name="Total 2 2 3 4 8 2" xfId="39761"/>
    <cellStyle name="Total 2 2 3 4 9" xfId="39762"/>
    <cellStyle name="Total 2 2 3 4 9 2" xfId="39763"/>
    <cellStyle name="Total 2 2 3 5" xfId="39764"/>
    <cellStyle name="Total 2 2 3 5 10" xfId="39765"/>
    <cellStyle name="Total 2 2 3 5 10 2" xfId="39766"/>
    <cellStyle name="Total 2 2 3 5 11" xfId="39767"/>
    <cellStyle name="Total 2 2 3 5 2" xfId="39768"/>
    <cellStyle name="Total 2 2 3 5 2 2" xfId="39769"/>
    <cellStyle name="Total 2 2 3 5 3" xfId="39770"/>
    <cellStyle name="Total 2 2 3 5 3 2" xfId="39771"/>
    <cellStyle name="Total 2 2 3 5 4" xfId="39772"/>
    <cellStyle name="Total 2 2 3 5 4 2" xfId="39773"/>
    <cellStyle name="Total 2 2 3 5 5" xfId="39774"/>
    <cellStyle name="Total 2 2 3 5 5 2" xfId="39775"/>
    <cellStyle name="Total 2 2 3 5 6" xfId="39776"/>
    <cellStyle name="Total 2 2 3 5 6 2" xfId="39777"/>
    <cellStyle name="Total 2 2 3 5 7" xfId="39778"/>
    <cellStyle name="Total 2 2 3 5 7 2" xfId="39779"/>
    <cellStyle name="Total 2 2 3 5 8" xfId="39780"/>
    <cellStyle name="Total 2 2 3 5 8 2" xfId="39781"/>
    <cellStyle name="Total 2 2 3 5 9" xfId="39782"/>
    <cellStyle name="Total 2 2 3 5 9 2" xfId="39783"/>
    <cellStyle name="Total 2 2 3 6" xfId="39784"/>
    <cellStyle name="Total 2 2 3 6 2" xfId="39785"/>
    <cellStyle name="Total 2 2 3 7" xfId="39786"/>
    <cellStyle name="Total 2 2 3 7 2" xfId="39787"/>
    <cellStyle name="Total 2 2 3 8" xfId="39788"/>
    <cellStyle name="Total 2 2 3 8 2" xfId="39789"/>
    <cellStyle name="Total 2 2 3 9" xfId="39790"/>
    <cellStyle name="Total 2 2 3 9 2" xfId="39791"/>
    <cellStyle name="Total 2 2 4" xfId="39792"/>
    <cellStyle name="Total 2 2 4 10" xfId="39793"/>
    <cellStyle name="Total 2 2 4 10 2" xfId="39794"/>
    <cellStyle name="Total 2 2 4 11" xfId="39795"/>
    <cellStyle name="Total 2 2 4 11 2" xfId="39796"/>
    <cellStyle name="Total 2 2 4 12" xfId="39797"/>
    <cellStyle name="Total 2 2 4 12 2" xfId="39798"/>
    <cellStyle name="Total 2 2 4 13" xfId="39799"/>
    <cellStyle name="Total 2 2 4 2" xfId="39800"/>
    <cellStyle name="Total 2 2 4 2 10" xfId="39801"/>
    <cellStyle name="Total 2 2 4 2 10 2" xfId="39802"/>
    <cellStyle name="Total 2 2 4 2 11" xfId="39803"/>
    <cellStyle name="Total 2 2 4 2 2" xfId="39804"/>
    <cellStyle name="Total 2 2 4 2 2 2" xfId="39805"/>
    <cellStyle name="Total 2 2 4 2 3" xfId="39806"/>
    <cellStyle name="Total 2 2 4 2 3 2" xfId="39807"/>
    <cellStyle name="Total 2 2 4 2 4" xfId="39808"/>
    <cellStyle name="Total 2 2 4 2 4 2" xfId="39809"/>
    <cellStyle name="Total 2 2 4 2 5" xfId="39810"/>
    <cellStyle name="Total 2 2 4 2 5 2" xfId="39811"/>
    <cellStyle name="Total 2 2 4 2 6" xfId="39812"/>
    <cellStyle name="Total 2 2 4 2 6 2" xfId="39813"/>
    <cellStyle name="Total 2 2 4 2 7" xfId="39814"/>
    <cellStyle name="Total 2 2 4 2 7 2" xfId="39815"/>
    <cellStyle name="Total 2 2 4 2 8" xfId="39816"/>
    <cellStyle name="Total 2 2 4 2 8 2" xfId="39817"/>
    <cellStyle name="Total 2 2 4 2 9" xfId="39818"/>
    <cellStyle name="Total 2 2 4 2 9 2" xfId="39819"/>
    <cellStyle name="Total 2 2 4 3" xfId="39820"/>
    <cellStyle name="Total 2 2 4 3 10" xfId="39821"/>
    <cellStyle name="Total 2 2 4 3 10 2" xfId="39822"/>
    <cellStyle name="Total 2 2 4 3 11" xfId="39823"/>
    <cellStyle name="Total 2 2 4 3 2" xfId="39824"/>
    <cellStyle name="Total 2 2 4 3 2 2" xfId="39825"/>
    <cellStyle name="Total 2 2 4 3 3" xfId="39826"/>
    <cellStyle name="Total 2 2 4 3 3 2" xfId="39827"/>
    <cellStyle name="Total 2 2 4 3 4" xfId="39828"/>
    <cellStyle name="Total 2 2 4 3 4 2" xfId="39829"/>
    <cellStyle name="Total 2 2 4 3 5" xfId="39830"/>
    <cellStyle name="Total 2 2 4 3 5 2" xfId="39831"/>
    <cellStyle name="Total 2 2 4 3 6" xfId="39832"/>
    <cellStyle name="Total 2 2 4 3 6 2" xfId="39833"/>
    <cellStyle name="Total 2 2 4 3 7" xfId="39834"/>
    <cellStyle name="Total 2 2 4 3 7 2" xfId="39835"/>
    <cellStyle name="Total 2 2 4 3 8" xfId="39836"/>
    <cellStyle name="Total 2 2 4 3 8 2" xfId="39837"/>
    <cellStyle name="Total 2 2 4 3 9" xfId="39838"/>
    <cellStyle name="Total 2 2 4 3 9 2" xfId="39839"/>
    <cellStyle name="Total 2 2 4 4" xfId="39840"/>
    <cellStyle name="Total 2 2 4 4 2" xfId="39841"/>
    <cellStyle name="Total 2 2 4 5" xfId="39842"/>
    <cellStyle name="Total 2 2 4 5 2" xfId="39843"/>
    <cellStyle name="Total 2 2 4 6" xfId="39844"/>
    <cellStyle name="Total 2 2 4 6 2" xfId="39845"/>
    <cellStyle name="Total 2 2 4 7" xfId="39846"/>
    <cellStyle name="Total 2 2 4 7 2" xfId="39847"/>
    <cellStyle name="Total 2 2 4 8" xfId="39848"/>
    <cellStyle name="Total 2 2 4 8 2" xfId="39849"/>
    <cellStyle name="Total 2 2 4 9" xfId="39850"/>
    <cellStyle name="Total 2 2 4 9 2" xfId="39851"/>
    <cellStyle name="Total 2 2 5" xfId="39852"/>
    <cellStyle name="Total 2 2 5 10" xfId="39853"/>
    <cellStyle name="Total 2 2 5 10 2" xfId="39854"/>
    <cellStyle name="Total 2 2 5 11" xfId="39855"/>
    <cellStyle name="Total 2 2 5 11 2" xfId="39856"/>
    <cellStyle name="Total 2 2 5 12" xfId="39857"/>
    <cellStyle name="Total 2 2 5 12 2" xfId="39858"/>
    <cellStyle name="Total 2 2 5 13" xfId="39859"/>
    <cellStyle name="Total 2 2 5 2" xfId="39860"/>
    <cellStyle name="Total 2 2 5 2 10" xfId="39861"/>
    <cellStyle name="Total 2 2 5 2 10 2" xfId="39862"/>
    <cellStyle name="Total 2 2 5 2 11" xfId="39863"/>
    <cellStyle name="Total 2 2 5 2 2" xfId="39864"/>
    <cellStyle name="Total 2 2 5 2 2 2" xfId="39865"/>
    <cellStyle name="Total 2 2 5 2 3" xfId="39866"/>
    <cellStyle name="Total 2 2 5 2 3 2" xfId="39867"/>
    <cellStyle name="Total 2 2 5 2 4" xfId="39868"/>
    <cellStyle name="Total 2 2 5 2 4 2" xfId="39869"/>
    <cellStyle name="Total 2 2 5 2 5" xfId="39870"/>
    <cellStyle name="Total 2 2 5 2 5 2" xfId="39871"/>
    <cellStyle name="Total 2 2 5 2 6" xfId="39872"/>
    <cellStyle name="Total 2 2 5 2 6 2" xfId="39873"/>
    <cellStyle name="Total 2 2 5 2 7" xfId="39874"/>
    <cellStyle name="Total 2 2 5 2 7 2" xfId="39875"/>
    <cellStyle name="Total 2 2 5 2 8" xfId="39876"/>
    <cellStyle name="Total 2 2 5 2 8 2" xfId="39877"/>
    <cellStyle name="Total 2 2 5 2 9" xfId="39878"/>
    <cellStyle name="Total 2 2 5 2 9 2" xfId="39879"/>
    <cellStyle name="Total 2 2 5 3" xfId="39880"/>
    <cellStyle name="Total 2 2 5 3 10" xfId="39881"/>
    <cellStyle name="Total 2 2 5 3 10 2" xfId="39882"/>
    <cellStyle name="Total 2 2 5 3 11" xfId="39883"/>
    <cellStyle name="Total 2 2 5 3 2" xfId="39884"/>
    <cellStyle name="Total 2 2 5 3 2 2" xfId="39885"/>
    <cellStyle name="Total 2 2 5 3 3" xfId="39886"/>
    <cellStyle name="Total 2 2 5 3 3 2" xfId="39887"/>
    <cellStyle name="Total 2 2 5 3 4" xfId="39888"/>
    <cellStyle name="Total 2 2 5 3 4 2" xfId="39889"/>
    <cellStyle name="Total 2 2 5 3 5" xfId="39890"/>
    <cellStyle name="Total 2 2 5 3 5 2" xfId="39891"/>
    <cellStyle name="Total 2 2 5 3 6" xfId="39892"/>
    <cellStyle name="Total 2 2 5 3 6 2" xfId="39893"/>
    <cellStyle name="Total 2 2 5 3 7" xfId="39894"/>
    <cellStyle name="Total 2 2 5 3 7 2" xfId="39895"/>
    <cellStyle name="Total 2 2 5 3 8" xfId="39896"/>
    <cellStyle name="Total 2 2 5 3 8 2" xfId="39897"/>
    <cellStyle name="Total 2 2 5 3 9" xfId="39898"/>
    <cellStyle name="Total 2 2 5 3 9 2" xfId="39899"/>
    <cellStyle name="Total 2 2 5 4" xfId="39900"/>
    <cellStyle name="Total 2 2 5 4 2" xfId="39901"/>
    <cellStyle name="Total 2 2 5 5" xfId="39902"/>
    <cellStyle name="Total 2 2 5 5 2" xfId="39903"/>
    <cellStyle name="Total 2 2 5 6" xfId="39904"/>
    <cellStyle name="Total 2 2 5 6 2" xfId="39905"/>
    <cellStyle name="Total 2 2 5 7" xfId="39906"/>
    <cellStyle name="Total 2 2 5 7 2" xfId="39907"/>
    <cellStyle name="Total 2 2 5 8" xfId="39908"/>
    <cellStyle name="Total 2 2 5 8 2" xfId="39909"/>
    <cellStyle name="Total 2 2 5 9" xfId="39910"/>
    <cellStyle name="Total 2 2 5 9 2" xfId="39911"/>
    <cellStyle name="Total 2 2 6" xfId="39912"/>
    <cellStyle name="Total 2 2 6 2" xfId="39913"/>
    <cellStyle name="Total 2 2 7" xfId="39914"/>
    <cellStyle name="Total 2 2 7 2" xfId="39915"/>
    <cellStyle name="Total 2 2 8" xfId="39916"/>
    <cellStyle name="Total 2 2 8 2" xfId="39917"/>
    <cellStyle name="Total 2 2 9" xfId="39918"/>
    <cellStyle name="Total 2 2 9 2" xfId="39919"/>
    <cellStyle name="Total 2 20" xfId="39920"/>
    <cellStyle name="Total 2 21" xfId="39921"/>
    <cellStyle name="Total 2 3" xfId="1197"/>
    <cellStyle name="Total 2 3 10" xfId="39922"/>
    <cellStyle name="Total 2 3 10 2" xfId="39923"/>
    <cellStyle name="Total 2 3 11" xfId="39924"/>
    <cellStyle name="Total 2 3 11 2" xfId="39925"/>
    <cellStyle name="Total 2 3 12" xfId="39926"/>
    <cellStyle name="Total 2 3 12 2" xfId="39927"/>
    <cellStyle name="Total 2 3 13" xfId="39928"/>
    <cellStyle name="Total 2 3 13 2" xfId="39929"/>
    <cellStyle name="Total 2 3 14" xfId="39930"/>
    <cellStyle name="Total 2 3 14 2" xfId="39931"/>
    <cellStyle name="Total 2 3 15" xfId="39932"/>
    <cellStyle name="Total 2 3 16" xfId="39933"/>
    <cellStyle name="Total 2 3 17" xfId="39934"/>
    <cellStyle name="Total 2 3 2" xfId="39935"/>
    <cellStyle name="Total 2 3 2 10" xfId="39936"/>
    <cellStyle name="Total 2 3 2 10 2" xfId="39937"/>
    <cellStyle name="Total 2 3 2 11" xfId="39938"/>
    <cellStyle name="Total 2 3 2 11 2" xfId="39939"/>
    <cellStyle name="Total 2 3 2 12" xfId="39940"/>
    <cellStyle name="Total 2 3 2 12 2" xfId="39941"/>
    <cellStyle name="Total 2 3 2 13" xfId="39942"/>
    <cellStyle name="Total 2 3 2 13 2" xfId="39943"/>
    <cellStyle name="Total 2 3 2 14" xfId="39944"/>
    <cellStyle name="Total 2 3 2 14 2" xfId="39945"/>
    <cellStyle name="Total 2 3 2 15" xfId="39946"/>
    <cellStyle name="Total 2 3 2 2" xfId="39947"/>
    <cellStyle name="Total 2 3 2 2 10" xfId="39948"/>
    <cellStyle name="Total 2 3 2 2 10 2" xfId="39949"/>
    <cellStyle name="Total 2 3 2 2 11" xfId="39950"/>
    <cellStyle name="Total 2 3 2 2 11 2" xfId="39951"/>
    <cellStyle name="Total 2 3 2 2 12" xfId="39952"/>
    <cellStyle name="Total 2 3 2 2 12 2" xfId="39953"/>
    <cellStyle name="Total 2 3 2 2 13" xfId="39954"/>
    <cellStyle name="Total 2 3 2 2 2" xfId="39955"/>
    <cellStyle name="Total 2 3 2 2 2 10" xfId="39956"/>
    <cellStyle name="Total 2 3 2 2 2 10 2" xfId="39957"/>
    <cellStyle name="Total 2 3 2 2 2 11" xfId="39958"/>
    <cellStyle name="Total 2 3 2 2 2 2" xfId="39959"/>
    <cellStyle name="Total 2 3 2 2 2 2 2" xfId="39960"/>
    <cellStyle name="Total 2 3 2 2 2 3" xfId="39961"/>
    <cellStyle name="Total 2 3 2 2 2 3 2" xfId="39962"/>
    <cellStyle name="Total 2 3 2 2 2 4" xfId="39963"/>
    <cellStyle name="Total 2 3 2 2 2 4 2" xfId="39964"/>
    <cellStyle name="Total 2 3 2 2 2 5" xfId="39965"/>
    <cellStyle name="Total 2 3 2 2 2 5 2" xfId="39966"/>
    <cellStyle name="Total 2 3 2 2 2 6" xfId="39967"/>
    <cellStyle name="Total 2 3 2 2 2 6 2" xfId="39968"/>
    <cellStyle name="Total 2 3 2 2 2 7" xfId="39969"/>
    <cellStyle name="Total 2 3 2 2 2 7 2" xfId="39970"/>
    <cellStyle name="Total 2 3 2 2 2 8" xfId="39971"/>
    <cellStyle name="Total 2 3 2 2 2 8 2" xfId="39972"/>
    <cellStyle name="Total 2 3 2 2 2 9" xfId="39973"/>
    <cellStyle name="Total 2 3 2 2 2 9 2" xfId="39974"/>
    <cellStyle name="Total 2 3 2 2 3" xfId="39975"/>
    <cellStyle name="Total 2 3 2 2 3 10" xfId="39976"/>
    <cellStyle name="Total 2 3 2 2 3 10 2" xfId="39977"/>
    <cellStyle name="Total 2 3 2 2 3 11" xfId="39978"/>
    <cellStyle name="Total 2 3 2 2 3 2" xfId="39979"/>
    <cellStyle name="Total 2 3 2 2 3 2 2" xfId="39980"/>
    <cellStyle name="Total 2 3 2 2 3 3" xfId="39981"/>
    <cellStyle name="Total 2 3 2 2 3 3 2" xfId="39982"/>
    <cellStyle name="Total 2 3 2 2 3 4" xfId="39983"/>
    <cellStyle name="Total 2 3 2 2 3 4 2" xfId="39984"/>
    <cellStyle name="Total 2 3 2 2 3 5" xfId="39985"/>
    <cellStyle name="Total 2 3 2 2 3 5 2" xfId="39986"/>
    <cellStyle name="Total 2 3 2 2 3 6" xfId="39987"/>
    <cellStyle name="Total 2 3 2 2 3 6 2" xfId="39988"/>
    <cellStyle name="Total 2 3 2 2 3 7" xfId="39989"/>
    <cellStyle name="Total 2 3 2 2 3 7 2" xfId="39990"/>
    <cellStyle name="Total 2 3 2 2 3 8" xfId="39991"/>
    <cellStyle name="Total 2 3 2 2 3 8 2" xfId="39992"/>
    <cellStyle name="Total 2 3 2 2 3 9" xfId="39993"/>
    <cellStyle name="Total 2 3 2 2 3 9 2" xfId="39994"/>
    <cellStyle name="Total 2 3 2 2 4" xfId="39995"/>
    <cellStyle name="Total 2 3 2 2 4 2" xfId="39996"/>
    <cellStyle name="Total 2 3 2 2 5" xfId="39997"/>
    <cellStyle name="Total 2 3 2 2 5 2" xfId="39998"/>
    <cellStyle name="Total 2 3 2 2 6" xfId="39999"/>
    <cellStyle name="Total 2 3 2 2 6 2" xfId="40000"/>
    <cellStyle name="Total 2 3 2 2 7" xfId="40001"/>
    <cellStyle name="Total 2 3 2 2 7 2" xfId="40002"/>
    <cellStyle name="Total 2 3 2 2 8" xfId="40003"/>
    <cellStyle name="Total 2 3 2 2 8 2" xfId="40004"/>
    <cellStyle name="Total 2 3 2 2 9" xfId="40005"/>
    <cellStyle name="Total 2 3 2 2 9 2" xfId="40006"/>
    <cellStyle name="Total 2 3 2 3" xfId="40007"/>
    <cellStyle name="Total 2 3 2 3 10" xfId="40008"/>
    <cellStyle name="Total 2 3 2 3 10 2" xfId="40009"/>
    <cellStyle name="Total 2 3 2 3 11" xfId="40010"/>
    <cellStyle name="Total 2 3 2 3 11 2" xfId="40011"/>
    <cellStyle name="Total 2 3 2 3 12" xfId="40012"/>
    <cellStyle name="Total 2 3 2 3 12 2" xfId="40013"/>
    <cellStyle name="Total 2 3 2 3 13" xfId="40014"/>
    <cellStyle name="Total 2 3 2 3 2" xfId="40015"/>
    <cellStyle name="Total 2 3 2 3 2 10" xfId="40016"/>
    <cellStyle name="Total 2 3 2 3 2 10 2" xfId="40017"/>
    <cellStyle name="Total 2 3 2 3 2 11" xfId="40018"/>
    <cellStyle name="Total 2 3 2 3 2 2" xfId="40019"/>
    <cellStyle name="Total 2 3 2 3 2 2 2" xfId="40020"/>
    <cellStyle name="Total 2 3 2 3 2 3" xfId="40021"/>
    <cellStyle name="Total 2 3 2 3 2 3 2" xfId="40022"/>
    <cellStyle name="Total 2 3 2 3 2 4" xfId="40023"/>
    <cellStyle name="Total 2 3 2 3 2 4 2" xfId="40024"/>
    <cellStyle name="Total 2 3 2 3 2 5" xfId="40025"/>
    <cellStyle name="Total 2 3 2 3 2 5 2" xfId="40026"/>
    <cellStyle name="Total 2 3 2 3 2 6" xfId="40027"/>
    <cellStyle name="Total 2 3 2 3 2 6 2" xfId="40028"/>
    <cellStyle name="Total 2 3 2 3 2 7" xfId="40029"/>
    <cellStyle name="Total 2 3 2 3 2 7 2" xfId="40030"/>
    <cellStyle name="Total 2 3 2 3 2 8" xfId="40031"/>
    <cellStyle name="Total 2 3 2 3 2 8 2" xfId="40032"/>
    <cellStyle name="Total 2 3 2 3 2 9" xfId="40033"/>
    <cellStyle name="Total 2 3 2 3 2 9 2" xfId="40034"/>
    <cellStyle name="Total 2 3 2 3 3" xfId="40035"/>
    <cellStyle name="Total 2 3 2 3 3 10" xfId="40036"/>
    <cellStyle name="Total 2 3 2 3 3 10 2" xfId="40037"/>
    <cellStyle name="Total 2 3 2 3 3 11" xfId="40038"/>
    <cellStyle name="Total 2 3 2 3 3 2" xfId="40039"/>
    <cellStyle name="Total 2 3 2 3 3 2 2" xfId="40040"/>
    <cellStyle name="Total 2 3 2 3 3 3" xfId="40041"/>
    <cellStyle name="Total 2 3 2 3 3 3 2" xfId="40042"/>
    <cellStyle name="Total 2 3 2 3 3 4" xfId="40043"/>
    <cellStyle name="Total 2 3 2 3 3 4 2" xfId="40044"/>
    <cellStyle name="Total 2 3 2 3 3 5" xfId="40045"/>
    <cellStyle name="Total 2 3 2 3 3 5 2" xfId="40046"/>
    <cellStyle name="Total 2 3 2 3 3 6" xfId="40047"/>
    <cellStyle name="Total 2 3 2 3 3 6 2" xfId="40048"/>
    <cellStyle name="Total 2 3 2 3 3 7" xfId="40049"/>
    <cellStyle name="Total 2 3 2 3 3 7 2" xfId="40050"/>
    <cellStyle name="Total 2 3 2 3 3 8" xfId="40051"/>
    <cellStyle name="Total 2 3 2 3 3 8 2" xfId="40052"/>
    <cellStyle name="Total 2 3 2 3 3 9" xfId="40053"/>
    <cellStyle name="Total 2 3 2 3 3 9 2" xfId="40054"/>
    <cellStyle name="Total 2 3 2 3 4" xfId="40055"/>
    <cellStyle name="Total 2 3 2 3 4 2" xfId="40056"/>
    <cellStyle name="Total 2 3 2 3 5" xfId="40057"/>
    <cellStyle name="Total 2 3 2 3 5 2" xfId="40058"/>
    <cellStyle name="Total 2 3 2 3 6" xfId="40059"/>
    <cellStyle name="Total 2 3 2 3 6 2" xfId="40060"/>
    <cellStyle name="Total 2 3 2 3 7" xfId="40061"/>
    <cellStyle name="Total 2 3 2 3 7 2" xfId="40062"/>
    <cellStyle name="Total 2 3 2 3 8" xfId="40063"/>
    <cellStyle name="Total 2 3 2 3 8 2" xfId="40064"/>
    <cellStyle name="Total 2 3 2 3 9" xfId="40065"/>
    <cellStyle name="Total 2 3 2 3 9 2" xfId="40066"/>
    <cellStyle name="Total 2 3 2 4" xfId="40067"/>
    <cellStyle name="Total 2 3 2 4 10" xfId="40068"/>
    <cellStyle name="Total 2 3 2 4 10 2" xfId="40069"/>
    <cellStyle name="Total 2 3 2 4 11" xfId="40070"/>
    <cellStyle name="Total 2 3 2 4 2" xfId="40071"/>
    <cellStyle name="Total 2 3 2 4 2 2" xfId="40072"/>
    <cellStyle name="Total 2 3 2 4 3" xfId="40073"/>
    <cellStyle name="Total 2 3 2 4 3 2" xfId="40074"/>
    <cellStyle name="Total 2 3 2 4 4" xfId="40075"/>
    <cellStyle name="Total 2 3 2 4 4 2" xfId="40076"/>
    <cellStyle name="Total 2 3 2 4 5" xfId="40077"/>
    <cellStyle name="Total 2 3 2 4 5 2" xfId="40078"/>
    <cellStyle name="Total 2 3 2 4 6" xfId="40079"/>
    <cellStyle name="Total 2 3 2 4 6 2" xfId="40080"/>
    <cellStyle name="Total 2 3 2 4 7" xfId="40081"/>
    <cellStyle name="Total 2 3 2 4 7 2" xfId="40082"/>
    <cellStyle name="Total 2 3 2 4 8" xfId="40083"/>
    <cellStyle name="Total 2 3 2 4 8 2" xfId="40084"/>
    <cellStyle name="Total 2 3 2 4 9" xfId="40085"/>
    <cellStyle name="Total 2 3 2 4 9 2" xfId="40086"/>
    <cellStyle name="Total 2 3 2 5" xfId="40087"/>
    <cellStyle name="Total 2 3 2 5 10" xfId="40088"/>
    <cellStyle name="Total 2 3 2 5 10 2" xfId="40089"/>
    <cellStyle name="Total 2 3 2 5 11" xfId="40090"/>
    <cellStyle name="Total 2 3 2 5 2" xfId="40091"/>
    <cellStyle name="Total 2 3 2 5 2 2" xfId="40092"/>
    <cellStyle name="Total 2 3 2 5 3" xfId="40093"/>
    <cellStyle name="Total 2 3 2 5 3 2" xfId="40094"/>
    <cellStyle name="Total 2 3 2 5 4" xfId="40095"/>
    <cellStyle name="Total 2 3 2 5 4 2" xfId="40096"/>
    <cellStyle name="Total 2 3 2 5 5" xfId="40097"/>
    <cellStyle name="Total 2 3 2 5 5 2" xfId="40098"/>
    <cellStyle name="Total 2 3 2 5 6" xfId="40099"/>
    <cellStyle name="Total 2 3 2 5 6 2" xfId="40100"/>
    <cellStyle name="Total 2 3 2 5 7" xfId="40101"/>
    <cellStyle name="Total 2 3 2 5 7 2" xfId="40102"/>
    <cellStyle name="Total 2 3 2 5 8" xfId="40103"/>
    <cellStyle name="Total 2 3 2 5 8 2" xfId="40104"/>
    <cellStyle name="Total 2 3 2 5 9" xfId="40105"/>
    <cellStyle name="Total 2 3 2 5 9 2" xfId="40106"/>
    <cellStyle name="Total 2 3 2 6" xfId="40107"/>
    <cellStyle name="Total 2 3 2 6 2" xfId="40108"/>
    <cellStyle name="Total 2 3 2 7" xfId="40109"/>
    <cellStyle name="Total 2 3 2 7 2" xfId="40110"/>
    <cellStyle name="Total 2 3 2 8" xfId="40111"/>
    <cellStyle name="Total 2 3 2 8 2" xfId="40112"/>
    <cellStyle name="Total 2 3 2 9" xfId="40113"/>
    <cellStyle name="Total 2 3 2 9 2" xfId="40114"/>
    <cellStyle name="Total 2 3 3" xfId="40115"/>
    <cellStyle name="Total 2 3 3 10" xfId="40116"/>
    <cellStyle name="Total 2 3 3 10 2" xfId="40117"/>
    <cellStyle name="Total 2 3 3 11" xfId="40118"/>
    <cellStyle name="Total 2 3 3 11 2" xfId="40119"/>
    <cellStyle name="Total 2 3 3 12" xfId="40120"/>
    <cellStyle name="Total 2 3 3 12 2" xfId="40121"/>
    <cellStyle name="Total 2 3 3 13" xfId="40122"/>
    <cellStyle name="Total 2 3 3 13 2" xfId="40123"/>
    <cellStyle name="Total 2 3 3 14" xfId="40124"/>
    <cellStyle name="Total 2 3 3 14 2" xfId="40125"/>
    <cellStyle name="Total 2 3 3 15" xfId="40126"/>
    <cellStyle name="Total 2 3 3 2" xfId="40127"/>
    <cellStyle name="Total 2 3 3 2 10" xfId="40128"/>
    <cellStyle name="Total 2 3 3 2 10 2" xfId="40129"/>
    <cellStyle name="Total 2 3 3 2 11" xfId="40130"/>
    <cellStyle name="Total 2 3 3 2 11 2" xfId="40131"/>
    <cellStyle name="Total 2 3 3 2 12" xfId="40132"/>
    <cellStyle name="Total 2 3 3 2 12 2" xfId="40133"/>
    <cellStyle name="Total 2 3 3 2 13" xfId="40134"/>
    <cellStyle name="Total 2 3 3 2 2" xfId="40135"/>
    <cellStyle name="Total 2 3 3 2 2 10" xfId="40136"/>
    <cellStyle name="Total 2 3 3 2 2 10 2" xfId="40137"/>
    <cellStyle name="Total 2 3 3 2 2 11" xfId="40138"/>
    <cellStyle name="Total 2 3 3 2 2 2" xfId="40139"/>
    <cellStyle name="Total 2 3 3 2 2 2 2" xfId="40140"/>
    <cellStyle name="Total 2 3 3 2 2 3" xfId="40141"/>
    <cellStyle name="Total 2 3 3 2 2 3 2" xfId="40142"/>
    <cellStyle name="Total 2 3 3 2 2 4" xfId="40143"/>
    <cellStyle name="Total 2 3 3 2 2 4 2" xfId="40144"/>
    <cellStyle name="Total 2 3 3 2 2 5" xfId="40145"/>
    <cellStyle name="Total 2 3 3 2 2 5 2" xfId="40146"/>
    <cellStyle name="Total 2 3 3 2 2 6" xfId="40147"/>
    <cellStyle name="Total 2 3 3 2 2 6 2" xfId="40148"/>
    <cellStyle name="Total 2 3 3 2 2 7" xfId="40149"/>
    <cellStyle name="Total 2 3 3 2 2 7 2" xfId="40150"/>
    <cellStyle name="Total 2 3 3 2 2 8" xfId="40151"/>
    <cellStyle name="Total 2 3 3 2 2 8 2" xfId="40152"/>
    <cellStyle name="Total 2 3 3 2 2 9" xfId="40153"/>
    <cellStyle name="Total 2 3 3 2 2 9 2" xfId="40154"/>
    <cellStyle name="Total 2 3 3 2 3" xfId="40155"/>
    <cellStyle name="Total 2 3 3 2 3 10" xfId="40156"/>
    <cellStyle name="Total 2 3 3 2 3 10 2" xfId="40157"/>
    <cellStyle name="Total 2 3 3 2 3 11" xfId="40158"/>
    <cellStyle name="Total 2 3 3 2 3 2" xfId="40159"/>
    <cellStyle name="Total 2 3 3 2 3 2 2" xfId="40160"/>
    <cellStyle name="Total 2 3 3 2 3 3" xfId="40161"/>
    <cellStyle name="Total 2 3 3 2 3 3 2" xfId="40162"/>
    <cellStyle name="Total 2 3 3 2 3 4" xfId="40163"/>
    <cellStyle name="Total 2 3 3 2 3 4 2" xfId="40164"/>
    <cellStyle name="Total 2 3 3 2 3 5" xfId="40165"/>
    <cellStyle name="Total 2 3 3 2 3 5 2" xfId="40166"/>
    <cellStyle name="Total 2 3 3 2 3 6" xfId="40167"/>
    <cellStyle name="Total 2 3 3 2 3 6 2" xfId="40168"/>
    <cellStyle name="Total 2 3 3 2 3 7" xfId="40169"/>
    <cellStyle name="Total 2 3 3 2 3 7 2" xfId="40170"/>
    <cellStyle name="Total 2 3 3 2 3 8" xfId="40171"/>
    <cellStyle name="Total 2 3 3 2 3 8 2" xfId="40172"/>
    <cellStyle name="Total 2 3 3 2 3 9" xfId="40173"/>
    <cellStyle name="Total 2 3 3 2 3 9 2" xfId="40174"/>
    <cellStyle name="Total 2 3 3 2 4" xfId="40175"/>
    <cellStyle name="Total 2 3 3 2 4 2" xfId="40176"/>
    <cellStyle name="Total 2 3 3 2 5" xfId="40177"/>
    <cellStyle name="Total 2 3 3 2 5 2" xfId="40178"/>
    <cellStyle name="Total 2 3 3 2 6" xfId="40179"/>
    <cellStyle name="Total 2 3 3 2 6 2" xfId="40180"/>
    <cellStyle name="Total 2 3 3 2 7" xfId="40181"/>
    <cellStyle name="Total 2 3 3 2 7 2" xfId="40182"/>
    <cellStyle name="Total 2 3 3 2 8" xfId="40183"/>
    <cellStyle name="Total 2 3 3 2 8 2" xfId="40184"/>
    <cellStyle name="Total 2 3 3 2 9" xfId="40185"/>
    <cellStyle name="Total 2 3 3 2 9 2" xfId="40186"/>
    <cellStyle name="Total 2 3 3 3" xfId="40187"/>
    <cellStyle name="Total 2 3 3 3 10" xfId="40188"/>
    <cellStyle name="Total 2 3 3 3 10 2" xfId="40189"/>
    <cellStyle name="Total 2 3 3 3 11" xfId="40190"/>
    <cellStyle name="Total 2 3 3 3 11 2" xfId="40191"/>
    <cellStyle name="Total 2 3 3 3 12" xfId="40192"/>
    <cellStyle name="Total 2 3 3 3 12 2" xfId="40193"/>
    <cellStyle name="Total 2 3 3 3 13" xfId="40194"/>
    <cellStyle name="Total 2 3 3 3 2" xfId="40195"/>
    <cellStyle name="Total 2 3 3 3 2 10" xfId="40196"/>
    <cellStyle name="Total 2 3 3 3 2 10 2" xfId="40197"/>
    <cellStyle name="Total 2 3 3 3 2 11" xfId="40198"/>
    <cellStyle name="Total 2 3 3 3 2 2" xfId="40199"/>
    <cellStyle name="Total 2 3 3 3 2 2 2" xfId="40200"/>
    <cellStyle name="Total 2 3 3 3 2 3" xfId="40201"/>
    <cellStyle name="Total 2 3 3 3 2 3 2" xfId="40202"/>
    <cellStyle name="Total 2 3 3 3 2 4" xfId="40203"/>
    <cellStyle name="Total 2 3 3 3 2 4 2" xfId="40204"/>
    <cellStyle name="Total 2 3 3 3 2 5" xfId="40205"/>
    <cellStyle name="Total 2 3 3 3 2 5 2" xfId="40206"/>
    <cellStyle name="Total 2 3 3 3 2 6" xfId="40207"/>
    <cellStyle name="Total 2 3 3 3 2 6 2" xfId="40208"/>
    <cellStyle name="Total 2 3 3 3 2 7" xfId="40209"/>
    <cellStyle name="Total 2 3 3 3 2 7 2" xfId="40210"/>
    <cellStyle name="Total 2 3 3 3 2 8" xfId="40211"/>
    <cellStyle name="Total 2 3 3 3 2 8 2" xfId="40212"/>
    <cellStyle name="Total 2 3 3 3 2 9" xfId="40213"/>
    <cellStyle name="Total 2 3 3 3 2 9 2" xfId="40214"/>
    <cellStyle name="Total 2 3 3 3 3" xfId="40215"/>
    <cellStyle name="Total 2 3 3 3 3 10" xfId="40216"/>
    <cellStyle name="Total 2 3 3 3 3 10 2" xfId="40217"/>
    <cellStyle name="Total 2 3 3 3 3 11" xfId="40218"/>
    <cellStyle name="Total 2 3 3 3 3 2" xfId="40219"/>
    <cellStyle name="Total 2 3 3 3 3 2 2" xfId="40220"/>
    <cellStyle name="Total 2 3 3 3 3 3" xfId="40221"/>
    <cellStyle name="Total 2 3 3 3 3 3 2" xfId="40222"/>
    <cellStyle name="Total 2 3 3 3 3 4" xfId="40223"/>
    <cellStyle name="Total 2 3 3 3 3 4 2" xfId="40224"/>
    <cellStyle name="Total 2 3 3 3 3 5" xfId="40225"/>
    <cellStyle name="Total 2 3 3 3 3 5 2" xfId="40226"/>
    <cellStyle name="Total 2 3 3 3 3 6" xfId="40227"/>
    <cellStyle name="Total 2 3 3 3 3 6 2" xfId="40228"/>
    <cellStyle name="Total 2 3 3 3 3 7" xfId="40229"/>
    <cellStyle name="Total 2 3 3 3 3 7 2" xfId="40230"/>
    <cellStyle name="Total 2 3 3 3 3 8" xfId="40231"/>
    <cellStyle name="Total 2 3 3 3 3 8 2" xfId="40232"/>
    <cellStyle name="Total 2 3 3 3 3 9" xfId="40233"/>
    <cellStyle name="Total 2 3 3 3 3 9 2" xfId="40234"/>
    <cellStyle name="Total 2 3 3 3 4" xfId="40235"/>
    <cellStyle name="Total 2 3 3 3 4 2" xfId="40236"/>
    <cellStyle name="Total 2 3 3 3 5" xfId="40237"/>
    <cellStyle name="Total 2 3 3 3 5 2" xfId="40238"/>
    <cellStyle name="Total 2 3 3 3 6" xfId="40239"/>
    <cellStyle name="Total 2 3 3 3 6 2" xfId="40240"/>
    <cellStyle name="Total 2 3 3 3 7" xfId="40241"/>
    <cellStyle name="Total 2 3 3 3 7 2" xfId="40242"/>
    <cellStyle name="Total 2 3 3 3 8" xfId="40243"/>
    <cellStyle name="Total 2 3 3 3 8 2" xfId="40244"/>
    <cellStyle name="Total 2 3 3 3 9" xfId="40245"/>
    <cellStyle name="Total 2 3 3 3 9 2" xfId="40246"/>
    <cellStyle name="Total 2 3 3 4" xfId="40247"/>
    <cellStyle name="Total 2 3 3 4 10" xfId="40248"/>
    <cellStyle name="Total 2 3 3 4 10 2" xfId="40249"/>
    <cellStyle name="Total 2 3 3 4 11" xfId="40250"/>
    <cellStyle name="Total 2 3 3 4 2" xfId="40251"/>
    <cellStyle name="Total 2 3 3 4 2 2" xfId="40252"/>
    <cellStyle name="Total 2 3 3 4 3" xfId="40253"/>
    <cellStyle name="Total 2 3 3 4 3 2" xfId="40254"/>
    <cellStyle name="Total 2 3 3 4 4" xfId="40255"/>
    <cellStyle name="Total 2 3 3 4 4 2" xfId="40256"/>
    <cellStyle name="Total 2 3 3 4 5" xfId="40257"/>
    <cellStyle name="Total 2 3 3 4 5 2" xfId="40258"/>
    <cellStyle name="Total 2 3 3 4 6" xfId="40259"/>
    <cellStyle name="Total 2 3 3 4 6 2" xfId="40260"/>
    <cellStyle name="Total 2 3 3 4 7" xfId="40261"/>
    <cellStyle name="Total 2 3 3 4 7 2" xfId="40262"/>
    <cellStyle name="Total 2 3 3 4 8" xfId="40263"/>
    <cellStyle name="Total 2 3 3 4 8 2" xfId="40264"/>
    <cellStyle name="Total 2 3 3 4 9" xfId="40265"/>
    <cellStyle name="Total 2 3 3 4 9 2" xfId="40266"/>
    <cellStyle name="Total 2 3 3 5" xfId="40267"/>
    <cellStyle name="Total 2 3 3 5 10" xfId="40268"/>
    <cellStyle name="Total 2 3 3 5 10 2" xfId="40269"/>
    <cellStyle name="Total 2 3 3 5 11" xfId="40270"/>
    <cellStyle name="Total 2 3 3 5 2" xfId="40271"/>
    <cellStyle name="Total 2 3 3 5 2 2" xfId="40272"/>
    <cellStyle name="Total 2 3 3 5 3" xfId="40273"/>
    <cellStyle name="Total 2 3 3 5 3 2" xfId="40274"/>
    <cellStyle name="Total 2 3 3 5 4" xfId="40275"/>
    <cellStyle name="Total 2 3 3 5 4 2" xfId="40276"/>
    <cellStyle name="Total 2 3 3 5 5" xfId="40277"/>
    <cellStyle name="Total 2 3 3 5 5 2" xfId="40278"/>
    <cellStyle name="Total 2 3 3 5 6" xfId="40279"/>
    <cellStyle name="Total 2 3 3 5 6 2" xfId="40280"/>
    <cellStyle name="Total 2 3 3 5 7" xfId="40281"/>
    <cellStyle name="Total 2 3 3 5 7 2" xfId="40282"/>
    <cellStyle name="Total 2 3 3 5 8" xfId="40283"/>
    <cellStyle name="Total 2 3 3 5 8 2" xfId="40284"/>
    <cellStyle name="Total 2 3 3 5 9" xfId="40285"/>
    <cellStyle name="Total 2 3 3 5 9 2" xfId="40286"/>
    <cellStyle name="Total 2 3 3 6" xfId="40287"/>
    <cellStyle name="Total 2 3 3 6 2" xfId="40288"/>
    <cellStyle name="Total 2 3 3 7" xfId="40289"/>
    <cellStyle name="Total 2 3 3 7 2" xfId="40290"/>
    <cellStyle name="Total 2 3 3 8" xfId="40291"/>
    <cellStyle name="Total 2 3 3 8 2" xfId="40292"/>
    <cellStyle name="Total 2 3 3 9" xfId="40293"/>
    <cellStyle name="Total 2 3 3 9 2" xfId="40294"/>
    <cellStyle name="Total 2 3 4" xfId="40295"/>
    <cellStyle name="Total 2 3 4 10" xfId="40296"/>
    <cellStyle name="Total 2 3 4 10 2" xfId="40297"/>
    <cellStyle name="Total 2 3 4 11" xfId="40298"/>
    <cellStyle name="Total 2 3 4 11 2" xfId="40299"/>
    <cellStyle name="Total 2 3 4 12" xfId="40300"/>
    <cellStyle name="Total 2 3 4 12 2" xfId="40301"/>
    <cellStyle name="Total 2 3 4 13" xfId="40302"/>
    <cellStyle name="Total 2 3 4 2" xfId="40303"/>
    <cellStyle name="Total 2 3 4 2 10" xfId="40304"/>
    <cellStyle name="Total 2 3 4 2 10 2" xfId="40305"/>
    <cellStyle name="Total 2 3 4 2 11" xfId="40306"/>
    <cellStyle name="Total 2 3 4 2 2" xfId="40307"/>
    <cellStyle name="Total 2 3 4 2 2 2" xfId="40308"/>
    <cellStyle name="Total 2 3 4 2 3" xfId="40309"/>
    <cellStyle name="Total 2 3 4 2 3 2" xfId="40310"/>
    <cellStyle name="Total 2 3 4 2 4" xfId="40311"/>
    <cellStyle name="Total 2 3 4 2 4 2" xfId="40312"/>
    <cellStyle name="Total 2 3 4 2 5" xfId="40313"/>
    <cellStyle name="Total 2 3 4 2 5 2" xfId="40314"/>
    <cellStyle name="Total 2 3 4 2 6" xfId="40315"/>
    <cellStyle name="Total 2 3 4 2 6 2" xfId="40316"/>
    <cellStyle name="Total 2 3 4 2 7" xfId="40317"/>
    <cellStyle name="Total 2 3 4 2 7 2" xfId="40318"/>
    <cellStyle name="Total 2 3 4 2 8" xfId="40319"/>
    <cellStyle name="Total 2 3 4 2 8 2" xfId="40320"/>
    <cellStyle name="Total 2 3 4 2 9" xfId="40321"/>
    <cellStyle name="Total 2 3 4 2 9 2" xfId="40322"/>
    <cellStyle name="Total 2 3 4 3" xfId="40323"/>
    <cellStyle name="Total 2 3 4 3 10" xfId="40324"/>
    <cellStyle name="Total 2 3 4 3 10 2" xfId="40325"/>
    <cellStyle name="Total 2 3 4 3 11" xfId="40326"/>
    <cellStyle name="Total 2 3 4 3 2" xfId="40327"/>
    <cellStyle name="Total 2 3 4 3 2 2" xfId="40328"/>
    <cellStyle name="Total 2 3 4 3 3" xfId="40329"/>
    <cellStyle name="Total 2 3 4 3 3 2" xfId="40330"/>
    <cellStyle name="Total 2 3 4 3 4" xfId="40331"/>
    <cellStyle name="Total 2 3 4 3 4 2" xfId="40332"/>
    <cellStyle name="Total 2 3 4 3 5" xfId="40333"/>
    <cellStyle name="Total 2 3 4 3 5 2" xfId="40334"/>
    <cellStyle name="Total 2 3 4 3 6" xfId="40335"/>
    <cellStyle name="Total 2 3 4 3 6 2" xfId="40336"/>
    <cellStyle name="Total 2 3 4 3 7" xfId="40337"/>
    <cellStyle name="Total 2 3 4 3 7 2" xfId="40338"/>
    <cellStyle name="Total 2 3 4 3 8" xfId="40339"/>
    <cellStyle name="Total 2 3 4 3 8 2" xfId="40340"/>
    <cellStyle name="Total 2 3 4 3 9" xfId="40341"/>
    <cellStyle name="Total 2 3 4 3 9 2" xfId="40342"/>
    <cellStyle name="Total 2 3 4 4" xfId="40343"/>
    <cellStyle name="Total 2 3 4 4 2" xfId="40344"/>
    <cellStyle name="Total 2 3 4 5" xfId="40345"/>
    <cellStyle name="Total 2 3 4 5 2" xfId="40346"/>
    <cellStyle name="Total 2 3 4 6" xfId="40347"/>
    <cellStyle name="Total 2 3 4 6 2" xfId="40348"/>
    <cellStyle name="Total 2 3 4 7" xfId="40349"/>
    <cellStyle name="Total 2 3 4 7 2" xfId="40350"/>
    <cellStyle name="Total 2 3 4 8" xfId="40351"/>
    <cellStyle name="Total 2 3 4 8 2" xfId="40352"/>
    <cellStyle name="Total 2 3 4 9" xfId="40353"/>
    <cellStyle name="Total 2 3 4 9 2" xfId="40354"/>
    <cellStyle name="Total 2 3 5" xfId="40355"/>
    <cellStyle name="Total 2 3 5 10" xfId="40356"/>
    <cellStyle name="Total 2 3 5 10 2" xfId="40357"/>
    <cellStyle name="Total 2 3 5 11" xfId="40358"/>
    <cellStyle name="Total 2 3 5 11 2" xfId="40359"/>
    <cellStyle name="Total 2 3 5 12" xfId="40360"/>
    <cellStyle name="Total 2 3 5 12 2" xfId="40361"/>
    <cellStyle name="Total 2 3 5 13" xfId="40362"/>
    <cellStyle name="Total 2 3 5 2" xfId="40363"/>
    <cellStyle name="Total 2 3 5 2 10" xfId="40364"/>
    <cellStyle name="Total 2 3 5 2 10 2" xfId="40365"/>
    <cellStyle name="Total 2 3 5 2 11" xfId="40366"/>
    <cellStyle name="Total 2 3 5 2 2" xfId="40367"/>
    <cellStyle name="Total 2 3 5 2 2 2" xfId="40368"/>
    <cellStyle name="Total 2 3 5 2 3" xfId="40369"/>
    <cellStyle name="Total 2 3 5 2 3 2" xfId="40370"/>
    <cellStyle name="Total 2 3 5 2 4" xfId="40371"/>
    <cellStyle name="Total 2 3 5 2 4 2" xfId="40372"/>
    <cellStyle name="Total 2 3 5 2 5" xfId="40373"/>
    <cellStyle name="Total 2 3 5 2 5 2" xfId="40374"/>
    <cellStyle name="Total 2 3 5 2 6" xfId="40375"/>
    <cellStyle name="Total 2 3 5 2 6 2" xfId="40376"/>
    <cellStyle name="Total 2 3 5 2 7" xfId="40377"/>
    <cellStyle name="Total 2 3 5 2 7 2" xfId="40378"/>
    <cellStyle name="Total 2 3 5 2 8" xfId="40379"/>
    <cellStyle name="Total 2 3 5 2 8 2" xfId="40380"/>
    <cellStyle name="Total 2 3 5 2 9" xfId="40381"/>
    <cellStyle name="Total 2 3 5 2 9 2" xfId="40382"/>
    <cellStyle name="Total 2 3 5 3" xfId="40383"/>
    <cellStyle name="Total 2 3 5 3 10" xfId="40384"/>
    <cellStyle name="Total 2 3 5 3 10 2" xfId="40385"/>
    <cellStyle name="Total 2 3 5 3 11" xfId="40386"/>
    <cellStyle name="Total 2 3 5 3 2" xfId="40387"/>
    <cellStyle name="Total 2 3 5 3 2 2" xfId="40388"/>
    <cellStyle name="Total 2 3 5 3 3" xfId="40389"/>
    <cellStyle name="Total 2 3 5 3 3 2" xfId="40390"/>
    <cellStyle name="Total 2 3 5 3 4" xfId="40391"/>
    <cellStyle name="Total 2 3 5 3 4 2" xfId="40392"/>
    <cellStyle name="Total 2 3 5 3 5" xfId="40393"/>
    <cellStyle name="Total 2 3 5 3 5 2" xfId="40394"/>
    <cellStyle name="Total 2 3 5 3 6" xfId="40395"/>
    <cellStyle name="Total 2 3 5 3 6 2" xfId="40396"/>
    <cellStyle name="Total 2 3 5 3 7" xfId="40397"/>
    <cellStyle name="Total 2 3 5 3 7 2" xfId="40398"/>
    <cellStyle name="Total 2 3 5 3 8" xfId="40399"/>
    <cellStyle name="Total 2 3 5 3 8 2" xfId="40400"/>
    <cellStyle name="Total 2 3 5 3 9" xfId="40401"/>
    <cellStyle name="Total 2 3 5 3 9 2" xfId="40402"/>
    <cellStyle name="Total 2 3 5 4" xfId="40403"/>
    <cellStyle name="Total 2 3 5 4 2" xfId="40404"/>
    <cellStyle name="Total 2 3 5 5" xfId="40405"/>
    <cellStyle name="Total 2 3 5 5 2" xfId="40406"/>
    <cellStyle name="Total 2 3 5 6" xfId="40407"/>
    <cellStyle name="Total 2 3 5 6 2" xfId="40408"/>
    <cellStyle name="Total 2 3 5 7" xfId="40409"/>
    <cellStyle name="Total 2 3 5 7 2" xfId="40410"/>
    <cellStyle name="Total 2 3 5 8" xfId="40411"/>
    <cellStyle name="Total 2 3 5 8 2" xfId="40412"/>
    <cellStyle name="Total 2 3 5 9" xfId="40413"/>
    <cellStyle name="Total 2 3 5 9 2" xfId="40414"/>
    <cellStyle name="Total 2 3 6" xfId="40415"/>
    <cellStyle name="Total 2 3 6 2" xfId="40416"/>
    <cellStyle name="Total 2 3 7" xfId="40417"/>
    <cellStyle name="Total 2 3 7 2" xfId="40418"/>
    <cellStyle name="Total 2 3 8" xfId="40419"/>
    <cellStyle name="Total 2 3 8 2" xfId="40420"/>
    <cellStyle name="Total 2 3 9" xfId="40421"/>
    <cellStyle name="Total 2 3 9 2" xfId="40422"/>
    <cellStyle name="Total 2 4" xfId="40423"/>
    <cellStyle name="Total 2 4 10" xfId="40424"/>
    <cellStyle name="Total 2 4 10 2" xfId="40425"/>
    <cellStyle name="Total 2 4 11" xfId="40426"/>
    <cellStyle name="Total 2 4 11 2" xfId="40427"/>
    <cellStyle name="Total 2 4 12" xfId="40428"/>
    <cellStyle name="Total 2 4 12 2" xfId="40429"/>
    <cellStyle name="Total 2 4 13" xfId="40430"/>
    <cellStyle name="Total 2 4 13 2" xfId="40431"/>
    <cellStyle name="Total 2 4 14" xfId="40432"/>
    <cellStyle name="Total 2 4 14 2" xfId="40433"/>
    <cellStyle name="Total 2 4 15" xfId="40434"/>
    <cellStyle name="Total 2 4 2" xfId="40435"/>
    <cellStyle name="Total 2 4 2 10" xfId="40436"/>
    <cellStyle name="Total 2 4 2 10 2" xfId="40437"/>
    <cellStyle name="Total 2 4 2 11" xfId="40438"/>
    <cellStyle name="Total 2 4 2 11 2" xfId="40439"/>
    <cellStyle name="Total 2 4 2 12" xfId="40440"/>
    <cellStyle name="Total 2 4 2 12 2" xfId="40441"/>
    <cellStyle name="Total 2 4 2 13" xfId="40442"/>
    <cellStyle name="Total 2 4 2 2" xfId="40443"/>
    <cellStyle name="Total 2 4 2 2 10" xfId="40444"/>
    <cellStyle name="Total 2 4 2 2 10 2" xfId="40445"/>
    <cellStyle name="Total 2 4 2 2 11" xfId="40446"/>
    <cellStyle name="Total 2 4 2 2 2" xfId="40447"/>
    <cellStyle name="Total 2 4 2 2 2 2" xfId="40448"/>
    <cellStyle name="Total 2 4 2 2 3" xfId="40449"/>
    <cellStyle name="Total 2 4 2 2 3 2" xfId="40450"/>
    <cellStyle name="Total 2 4 2 2 4" xfId="40451"/>
    <cellStyle name="Total 2 4 2 2 4 2" xfId="40452"/>
    <cellStyle name="Total 2 4 2 2 5" xfId="40453"/>
    <cellStyle name="Total 2 4 2 2 5 2" xfId="40454"/>
    <cellStyle name="Total 2 4 2 2 6" xfId="40455"/>
    <cellStyle name="Total 2 4 2 2 6 2" xfId="40456"/>
    <cellStyle name="Total 2 4 2 2 7" xfId="40457"/>
    <cellStyle name="Total 2 4 2 2 7 2" xfId="40458"/>
    <cellStyle name="Total 2 4 2 2 8" xfId="40459"/>
    <cellStyle name="Total 2 4 2 2 8 2" xfId="40460"/>
    <cellStyle name="Total 2 4 2 2 9" xfId="40461"/>
    <cellStyle name="Total 2 4 2 2 9 2" xfId="40462"/>
    <cellStyle name="Total 2 4 2 3" xfId="40463"/>
    <cellStyle name="Total 2 4 2 3 10" xfId="40464"/>
    <cellStyle name="Total 2 4 2 3 10 2" xfId="40465"/>
    <cellStyle name="Total 2 4 2 3 11" xfId="40466"/>
    <cellStyle name="Total 2 4 2 3 2" xfId="40467"/>
    <cellStyle name="Total 2 4 2 3 2 2" xfId="40468"/>
    <cellStyle name="Total 2 4 2 3 3" xfId="40469"/>
    <cellStyle name="Total 2 4 2 3 3 2" xfId="40470"/>
    <cellStyle name="Total 2 4 2 3 4" xfId="40471"/>
    <cellStyle name="Total 2 4 2 3 4 2" xfId="40472"/>
    <cellStyle name="Total 2 4 2 3 5" xfId="40473"/>
    <cellStyle name="Total 2 4 2 3 5 2" xfId="40474"/>
    <cellStyle name="Total 2 4 2 3 6" xfId="40475"/>
    <cellStyle name="Total 2 4 2 3 6 2" xfId="40476"/>
    <cellStyle name="Total 2 4 2 3 7" xfId="40477"/>
    <cellStyle name="Total 2 4 2 3 7 2" xfId="40478"/>
    <cellStyle name="Total 2 4 2 3 8" xfId="40479"/>
    <cellStyle name="Total 2 4 2 3 8 2" xfId="40480"/>
    <cellStyle name="Total 2 4 2 3 9" xfId="40481"/>
    <cellStyle name="Total 2 4 2 3 9 2" xfId="40482"/>
    <cellStyle name="Total 2 4 2 4" xfId="40483"/>
    <cellStyle name="Total 2 4 2 4 2" xfId="40484"/>
    <cellStyle name="Total 2 4 2 5" xfId="40485"/>
    <cellStyle name="Total 2 4 2 5 2" xfId="40486"/>
    <cellStyle name="Total 2 4 2 6" xfId="40487"/>
    <cellStyle name="Total 2 4 2 6 2" xfId="40488"/>
    <cellStyle name="Total 2 4 2 7" xfId="40489"/>
    <cellStyle name="Total 2 4 2 7 2" xfId="40490"/>
    <cellStyle name="Total 2 4 2 8" xfId="40491"/>
    <cellStyle name="Total 2 4 2 8 2" xfId="40492"/>
    <cellStyle name="Total 2 4 2 9" xfId="40493"/>
    <cellStyle name="Total 2 4 2 9 2" xfId="40494"/>
    <cellStyle name="Total 2 4 3" xfId="40495"/>
    <cellStyle name="Total 2 4 3 10" xfId="40496"/>
    <cellStyle name="Total 2 4 3 10 2" xfId="40497"/>
    <cellStyle name="Total 2 4 3 11" xfId="40498"/>
    <cellStyle name="Total 2 4 3 11 2" xfId="40499"/>
    <cellStyle name="Total 2 4 3 12" xfId="40500"/>
    <cellStyle name="Total 2 4 3 12 2" xfId="40501"/>
    <cellStyle name="Total 2 4 3 13" xfId="40502"/>
    <cellStyle name="Total 2 4 3 2" xfId="40503"/>
    <cellStyle name="Total 2 4 3 2 10" xfId="40504"/>
    <cellStyle name="Total 2 4 3 2 10 2" xfId="40505"/>
    <cellStyle name="Total 2 4 3 2 11" xfId="40506"/>
    <cellStyle name="Total 2 4 3 2 2" xfId="40507"/>
    <cellStyle name="Total 2 4 3 2 2 2" xfId="40508"/>
    <cellStyle name="Total 2 4 3 2 3" xfId="40509"/>
    <cellStyle name="Total 2 4 3 2 3 2" xfId="40510"/>
    <cellStyle name="Total 2 4 3 2 4" xfId="40511"/>
    <cellStyle name="Total 2 4 3 2 4 2" xfId="40512"/>
    <cellStyle name="Total 2 4 3 2 5" xfId="40513"/>
    <cellStyle name="Total 2 4 3 2 5 2" xfId="40514"/>
    <cellStyle name="Total 2 4 3 2 6" xfId="40515"/>
    <cellStyle name="Total 2 4 3 2 6 2" xfId="40516"/>
    <cellStyle name="Total 2 4 3 2 7" xfId="40517"/>
    <cellStyle name="Total 2 4 3 2 7 2" xfId="40518"/>
    <cellStyle name="Total 2 4 3 2 8" xfId="40519"/>
    <cellStyle name="Total 2 4 3 2 8 2" xfId="40520"/>
    <cellStyle name="Total 2 4 3 2 9" xfId="40521"/>
    <cellStyle name="Total 2 4 3 2 9 2" xfId="40522"/>
    <cellStyle name="Total 2 4 3 3" xfId="40523"/>
    <cellStyle name="Total 2 4 3 3 10" xfId="40524"/>
    <cellStyle name="Total 2 4 3 3 10 2" xfId="40525"/>
    <cellStyle name="Total 2 4 3 3 11" xfId="40526"/>
    <cellStyle name="Total 2 4 3 3 2" xfId="40527"/>
    <cellStyle name="Total 2 4 3 3 2 2" xfId="40528"/>
    <cellStyle name="Total 2 4 3 3 3" xfId="40529"/>
    <cellStyle name="Total 2 4 3 3 3 2" xfId="40530"/>
    <cellStyle name="Total 2 4 3 3 4" xfId="40531"/>
    <cellStyle name="Total 2 4 3 3 4 2" xfId="40532"/>
    <cellStyle name="Total 2 4 3 3 5" xfId="40533"/>
    <cellStyle name="Total 2 4 3 3 5 2" xfId="40534"/>
    <cellStyle name="Total 2 4 3 3 6" xfId="40535"/>
    <cellStyle name="Total 2 4 3 3 6 2" xfId="40536"/>
    <cellStyle name="Total 2 4 3 3 7" xfId="40537"/>
    <cellStyle name="Total 2 4 3 3 7 2" xfId="40538"/>
    <cellStyle name="Total 2 4 3 3 8" xfId="40539"/>
    <cellStyle name="Total 2 4 3 3 8 2" xfId="40540"/>
    <cellStyle name="Total 2 4 3 3 9" xfId="40541"/>
    <cellStyle name="Total 2 4 3 3 9 2" xfId="40542"/>
    <cellStyle name="Total 2 4 3 4" xfId="40543"/>
    <cellStyle name="Total 2 4 3 4 2" xfId="40544"/>
    <cellStyle name="Total 2 4 3 5" xfId="40545"/>
    <cellStyle name="Total 2 4 3 5 2" xfId="40546"/>
    <cellStyle name="Total 2 4 3 6" xfId="40547"/>
    <cellStyle name="Total 2 4 3 6 2" xfId="40548"/>
    <cellStyle name="Total 2 4 3 7" xfId="40549"/>
    <cellStyle name="Total 2 4 3 7 2" xfId="40550"/>
    <cellStyle name="Total 2 4 3 8" xfId="40551"/>
    <cellStyle name="Total 2 4 3 8 2" xfId="40552"/>
    <cellStyle name="Total 2 4 3 9" xfId="40553"/>
    <cellStyle name="Total 2 4 3 9 2" xfId="40554"/>
    <cellStyle name="Total 2 4 4" xfId="40555"/>
    <cellStyle name="Total 2 4 4 10" xfId="40556"/>
    <cellStyle name="Total 2 4 4 10 2" xfId="40557"/>
    <cellStyle name="Total 2 4 4 11" xfId="40558"/>
    <cellStyle name="Total 2 4 4 2" xfId="40559"/>
    <cellStyle name="Total 2 4 4 2 2" xfId="40560"/>
    <cellStyle name="Total 2 4 4 3" xfId="40561"/>
    <cellStyle name="Total 2 4 4 3 2" xfId="40562"/>
    <cellStyle name="Total 2 4 4 4" xfId="40563"/>
    <cellStyle name="Total 2 4 4 4 2" xfId="40564"/>
    <cellStyle name="Total 2 4 4 5" xfId="40565"/>
    <cellStyle name="Total 2 4 4 5 2" xfId="40566"/>
    <cellStyle name="Total 2 4 4 6" xfId="40567"/>
    <cellStyle name="Total 2 4 4 6 2" xfId="40568"/>
    <cellStyle name="Total 2 4 4 7" xfId="40569"/>
    <cellStyle name="Total 2 4 4 7 2" xfId="40570"/>
    <cellStyle name="Total 2 4 4 8" xfId="40571"/>
    <cellStyle name="Total 2 4 4 8 2" xfId="40572"/>
    <cellStyle name="Total 2 4 4 9" xfId="40573"/>
    <cellStyle name="Total 2 4 4 9 2" xfId="40574"/>
    <cellStyle name="Total 2 4 5" xfId="40575"/>
    <cellStyle name="Total 2 4 5 10" xfId="40576"/>
    <cellStyle name="Total 2 4 5 10 2" xfId="40577"/>
    <cellStyle name="Total 2 4 5 11" xfId="40578"/>
    <cellStyle name="Total 2 4 5 2" xfId="40579"/>
    <cellStyle name="Total 2 4 5 2 2" xfId="40580"/>
    <cellStyle name="Total 2 4 5 3" xfId="40581"/>
    <cellStyle name="Total 2 4 5 3 2" xfId="40582"/>
    <cellStyle name="Total 2 4 5 4" xfId="40583"/>
    <cellStyle name="Total 2 4 5 4 2" xfId="40584"/>
    <cellStyle name="Total 2 4 5 5" xfId="40585"/>
    <cellStyle name="Total 2 4 5 5 2" xfId="40586"/>
    <cellStyle name="Total 2 4 5 6" xfId="40587"/>
    <cellStyle name="Total 2 4 5 6 2" xfId="40588"/>
    <cellStyle name="Total 2 4 5 7" xfId="40589"/>
    <cellStyle name="Total 2 4 5 7 2" xfId="40590"/>
    <cellStyle name="Total 2 4 5 8" xfId="40591"/>
    <cellStyle name="Total 2 4 5 8 2" xfId="40592"/>
    <cellStyle name="Total 2 4 5 9" xfId="40593"/>
    <cellStyle name="Total 2 4 5 9 2" xfId="40594"/>
    <cellStyle name="Total 2 4 6" xfId="40595"/>
    <cellStyle name="Total 2 4 6 2" xfId="40596"/>
    <cellStyle name="Total 2 4 7" xfId="40597"/>
    <cellStyle name="Total 2 4 7 2" xfId="40598"/>
    <cellStyle name="Total 2 4 8" xfId="40599"/>
    <cellStyle name="Total 2 4 8 2" xfId="40600"/>
    <cellStyle name="Total 2 4 9" xfId="40601"/>
    <cellStyle name="Total 2 4 9 2" xfId="40602"/>
    <cellStyle name="Total 2 5" xfId="40603"/>
    <cellStyle name="Total 2 5 10" xfId="40604"/>
    <cellStyle name="Total 2 5 10 2" xfId="40605"/>
    <cellStyle name="Total 2 5 11" xfId="40606"/>
    <cellStyle name="Total 2 5 11 2" xfId="40607"/>
    <cellStyle name="Total 2 5 12" xfId="40608"/>
    <cellStyle name="Total 2 5 12 2" xfId="40609"/>
    <cellStyle name="Total 2 5 13" xfId="40610"/>
    <cellStyle name="Total 2 5 13 2" xfId="40611"/>
    <cellStyle name="Total 2 5 14" xfId="40612"/>
    <cellStyle name="Total 2 5 14 2" xfId="40613"/>
    <cellStyle name="Total 2 5 15" xfId="40614"/>
    <cellStyle name="Total 2 5 2" xfId="40615"/>
    <cellStyle name="Total 2 5 2 10" xfId="40616"/>
    <cellStyle name="Total 2 5 2 10 2" xfId="40617"/>
    <cellStyle name="Total 2 5 2 11" xfId="40618"/>
    <cellStyle name="Total 2 5 2 11 2" xfId="40619"/>
    <cellStyle name="Total 2 5 2 12" xfId="40620"/>
    <cellStyle name="Total 2 5 2 12 2" xfId="40621"/>
    <cellStyle name="Total 2 5 2 13" xfId="40622"/>
    <cellStyle name="Total 2 5 2 2" xfId="40623"/>
    <cellStyle name="Total 2 5 2 2 10" xfId="40624"/>
    <cellStyle name="Total 2 5 2 2 10 2" xfId="40625"/>
    <cellStyle name="Total 2 5 2 2 11" xfId="40626"/>
    <cellStyle name="Total 2 5 2 2 2" xfId="40627"/>
    <cellStyle name="Total 2 5 2 2 2 2" xfId="40628"/>
    <cellStyle name="Total 2 5 2 2 3" xfId="40629"/>
    <cellStyle name="Total 2 5 2 2 3 2" xfId="40630"/>
    <cellStyle name="Total 2 5 2 2 4" xfId="40631"/>
    <cellStyle name="Total 2 5 2 2 4 2" xfId="40632"/>
    <cellStyle name="Total 2 5 2 2 5" xfId="40633"/>
    <cellStyle name="Total 2 5 2 2 5 2" xfId="40634"/>
    <cellStyle name="Total 2 5 2 2 6" xfId="40635"/>
    <cellStyle name="Total 2 5 2 2 6 2" xfId="40636"/>
    <cellStyle name="Total 2 5 2 2 7" xfId="40637"/>
    <cellStyle name="Total 2 5 2 2 7 2" xfId="40638"/>
    <cellStyle name="Total 2 5 2 2 8" xfId="40639"/>
    <cellStyle name="Total 2 5 2 2 8 2" xfId="40640"/>
    <cellStyle name="Total 2 5 2 2 9" xfId="40641"/>
    <cellStyle name="Total 2 5 2 2 9 2" xfId="40642"/>
    <cellStyle name="Total 2 5 2 3" xfId="40643"/>
    <cellStyle name="Total 2 5 2 3 10" xfId="40644"/>
    <cellStyle name="Total 2 5 2 3 10 2" xfId="40645"/>
    <cellStyle name="Total 2 5 2 3 11" xfId="40646"/>
    <cellStyle name="Total 2 5 2 3 2" xfId="40647"/>
    <cellStyle name="Total 2 5 2 3 2 2" xfId="40648"/>
    <cellStyle name="Total 2 5 2 3 3" xfId="40649"/>
    <cellStyle name="Total 2 5 2 3 3 2" xfId="40650"/>
    <cellStyle name="Total 2 5 2 3 4" xfId="40651"/>
    <cellStyle name="Total 2 5 2 3 4 2" xfId="40652"/>
    <cellStyle name="Total 2 5 2 3 5" xfId="40653"/>
    <cellStyle name="Total 2 5 2 3 5 2" xfId="40654"/>
    <cellStyle name="Total 2 5 2 3 6" xfId="40655"/>
    <cellStyle name="Total 2 5 2 3 6 2" xfId="40656"/>
    <cellStyle name="Total 2 5 2 3 7" xfId="40657"/>
    <cellStyle name="Total 2 5 2 3 7 2" xfId="40658"/>
    <cellStyle name="Total 2 5 2 3 8" xfId="40659"/>
    <cellStyle name="Total 2 5 2 3 8 2" xfId="40660"/>
    <cellStyle name="Total 2 5 2 3 9" xfId="40661"/>
    <cellStyle name="Total 2 5 2 3 9 2" xfId="40662"/>
    <cellStyle name="Total 2 5 2 4" xfId="40663"/>
    <cellStyle name="Total 2 5 2 4 2" xfId="40664"/>
    <cellStyle name="Total 2 5 2 5" xfId="40665"/>
    <cellStyle name="Total 2 5 2 5 2" xfId="40666"/>
    <cellStyle name="Total 2 5 2 6" xfId="40667"/>
    <cellStyle name="Total 2 5 2 6 2" xfId="40668"/>
    <cellStyle name="Total 2 5 2 7" xfId="40669"/>
    <cellStyle name="Total 2 5 2 7 2" xfId="40670"/>
    <cellStyle name="Total 2 5 2 8" xfId="40671"/>
    <cellStyle name="Total 2 5 2 8 2" xfId="40672"/>
    <cellStyle name="Total 2 5 2 9" xfId="40673"/>
    <cellStyle name="Total 2 5 2 9 2" xfId="40674"/>
    <cellStyle name="Total 2 5 3" xfId="40675"/>
    <cellStyle name="Total 2 5 3 10" xfId="40676"/>
    <cellStyle name="Total 2 5 3 10 2" xfId="40677"/>
    <cellStyle name="Total 2 5 3 11" xfId="40678"/>
    <cellStyle name="Total 2 5 3 11 2" xfId="40679"/>
    <cellStyle name="Total 2 5 3 12" xfId="40680"/>
    <cellStyle name="Total 2 5 3 12 2" xfId="40681"/>
    <cellStyle name="Total 2 5 3 13" xfId="40682"/>
    <cellStyle name="Total 2 5 3 2" xfId="40683"/>
    <cellStyle name="Total 2 5 3 2 10" xfId="40684"/>
    <cellStyle name="Total 2 5 3 2 10 2" xfId="40685"/>
    <cellStyle name="Total 2 5 3 2 11" xfId="40686"/>
    <cellStyle name="Total 2 5 3 2 2" xfId="40687"/>
    <cellStyle name="Total 2 5 3 2 2 2" xfId="40688"/>
    <cellStyle name="Total 2 5 3 2 3" xfId="40689"/>
    <cellStyle name="Total 2 5 3 2 3 2" xfId="40690"/>
    <cellStyle name="Total 2 5 3 2 4" xfId="40691"/>
    <cellStyle name="Total 2 5 3 2 4 2" xfId="40692"/>
    <cellStyle name="Total 2 5 3 2 5" xfId="40693"/>
    <cellStyle name="Total 2 5 3 2 5 2" xfId="40694"/>
    <cellStyle name="Total 2 5 3 2 6" xfId="40695"/>
    <cellStyle name="Total 2 5 3 2 6 2" xfId="40696"/>
    <cellStyle name="Total 2 5 3 2 7" xfId="40697"/>
    <cellStyle name="Total 2 5 3 2 7 2" xfId="40698"/>
    <cellStyle name="Total 2 5 3 2 8" xfId="40699"/>
    <cellStyle name="Total 2 5 3 2 8 2" xfId="40700"/>
    <cellStyle name="Total 2 5 3 2 9" xfId="40701"/>
    <cellStyle name="Total 2 5 3 2 9 2" xfId="40702"/>
    <cellStyle name="Total 2 5 3 3" xfId="40703"/>
    <cellStyle name="Total 2 5 3 3 10" xfId="40704"/>
    <cellStyle name="Total 2 5 3 3 10 2" xfId="40705"/>
    <cellStyle name="Total 2 5 3 3 11" xfId="40706"/>
    <cellStyle name="Total 2 5 3 3 2" xfId="40707"/>
    <cellStyle name="Total 2 5 3 3 2 2" xfId="40708"/>
    <cellStyle name="Total 2 5 3 3 3" xfId="40709"/>
    <cellStyle name="Total 2 5 3 3 3 2" xfId="40710"/>
    <cellStyle name="Total 2 5 3 3 4" xfId="40711"/>
    <cellStyle name="Total 2 5 3 3 4 2" xfId="40712"/>
    <cellStyle name="Total 2 5 3 3 5" xfId="40713"/>
    <cellStyle name="Total 2 5 3 3 5 2" xfId="40714"/>
    <cellStyle name="Total 2 5 3 3 6" xfId="40715"/>
    <cellStyle name="Total 2 5 3 3 6 2" xfId="40716"/>
    <cellStyle name="Total 2 5 3 3 7" xfId="40717"/>
    <cellStyle name="Total 2 5 3 3 7 2" xfId="40718"/>
    <cellStyle name="Total 2 5 3 3 8" xfId="40719"/>
    <cellStyle name="Total 2 5 3 3 8 2" xfId="40720"/>
    <cellStyle name="Total 2 5 3 3 9" xfId="40721"/>
    <cellStyle name="Total 2 5 3 3 9 2" xfId="40722"/>
    <cellStyle name="Total 2 5 3 4" xfId="40723"/>
    <cellStyle name="Total 2 5 3 4 2" xfId="40724"/>
    <cellStyle name="Total 2 5 3 5" xfId="40725"/>
    <cellStyle name="Total 2 5 3 5 2" xfId="40726"/>
    <cellStyle name="Total 2 5 3 6" xfId="40727"/>
    <cellStyle name="Total 2 5 3 6 2" xfId="40728"/>
    <cellStyle name="Total 2 5 3 7" xfId="40729"/>
    <cellStyle name="Total 2 5 3 7 2" xfId="40730"/>
    <cellStyle name="Total 2 5 3 8" xfId="40731"/>
    <cellStyle name="Total 2 5 3 8 2" xfId="40732"/>
    <cellStyle name="Total 2 5 3 9" xfId="40733"/>
    <cellStyle name="Total 2 5 3 9 2" xfId="40734"/>
    <cellStyle name="Total 2 5 4" xfId="40735"/>
    <cellStyle name="Total 2 5 4 10" xfId="40736"/>
    <cellStyle name="Total 2 5 4 10 2" xfId="40737"/>
    <cellStyle name="Total 2 5 4 11" xfId="40738"/>
    <cellStyle name="Total 2 5 4 2" xfId="40739"/>
    <cellStyle name="Total 2 5 4 2 2" xfId="40740"/>
    <cellStyle name="Total 2 5 4 3" xfId="40741"/>
    <cellStyle name="Total 2 5 4 3 2" xfId="40742"/>
    <cellStyle name="Total 2 5 4 4" xfId="40743"/>
    <cellStyle name="Total 2 5 4 4 2" xfId="40744"/>
    <cellStyle name="Total 2 5 4 5" xfId="40745"/>
    <cellStyle name="Total 2 5 4 5 2" xfId="40746"/>
    <cellStyle name="Total 2 5 4 6" xfId="40747"/>
    <cellStyle name="Total 2 5 4 6 2" xfId="40748"/>
    <cellStyle name="Total 2 5 4 7" xfId="40749"/>
    <cellStyle name="Total 2 5 4 7 2" xfId="40750"/>
    <cellStyle name="Total 2 5 4 8" xfId="40751"/>
    <cellStyle name="Total 2 5 4 8 2" xfId="40752"/>
    <cellStyle name="Total 2 5 4 9" xfId="40753"/>
    <cellStyle name="Total 2 5 4 9 2" xfId="40754"/>
    <cellStyle name="Total 2 5 5" xfId="40755"/>
    <cellStyle name="Total 2 5 5 10" xfId="40756"/>
    <cellStyle name="Total 2 5 5 10 2" xfId="40757"/>
    <cellStyle name="Total 2 5 5 11" xfId="40758"/>
    <cellStyle name="Total 2 5 5 2" xfId="40759"/>
    <cellStyle name="Total 2 5 5 2 2" xfId="40760"/>
    <cellStyle name="Total 2 5 5 3" xfId="40761"/>
    <cellStyle name="Total 2 5 5 3 2" xfId="40762"/>
    <cellStyle name="Total 2 5 5 4" xfId="40763"/>
    <cellStyle name="Total 2 5 5 4 2" xfId="40764"/>
    <cellStyle name="Total 2 5 5 5" xfId="40765"/>
    <cellStyle name="Total 2 5 5 5 2" xfId="40766"/>
    <cellStyle name="Total 2 5 5 6" xfId="40767"/>
    <cellStyle name="Total 2 5 5 6 2" xfId="40768"/>
    <cellStyle name="Total 2 5 5 7" xfId="40769"/>
    <cellStyle name="Total 2 5 5 7 2" xfId="40770"/>
    <cellStyle name="Total 2 5 5 8" xfId="40771"/>
    <cellStyle name="Total 2 5 5 8 2" xfId="40772"/>
    <cellStyle name="Total 2 5 5 9" xfId="40773"/>
    <cellStyle name="Total 2 5 5 9 2" xfId="40774"/>
    <cellStyle name="Total 2 5 6" xfId="40775"/>
    <cellStyle name="Total 2 5 6 2" xfId="40776"/>
    <cellStyle name="Total 2 5 7" xfId="40777"/>
    <cellStyle name="Total 2 5 7 2" xfId="40778"/>
    <cellStyle name="Total 2 5 8" xfId="40779"/>
    <cellStyle name="Total 2 5 8 2" xfId="40780"/>
    <cellStyle name="Total 2 5 9" xfId="40781"/>
    <cellStyle name="Total 2 5 9 2" xfId="40782"/>
    <cellStyle name="Total 2 6" xfId="40783"/>
    <cellStyle name="Total 2 6 10" xfId="40784"/>
    <cellStyle name="Total 2 6 10 2" xfId="40785"/>
    <cellStyle name="Total 2 6 11" xfId="40786"/>
    <cellStyle name="Total 2 6 11 2" xfId="40787"/>
    <cellStyle name="Total 2 6 12" xfId="40788"/>
    <cellStyle name="Total 2 6 12 2" xfId="40789"/>
    <cellStyle name="Total 2 6 13" xfId="40790"/>
    <cellStyle name="Total 2 6 13 2" xfId="40791"/>
    <cellStyle name="Total 2 6 14" xfId="40792"/>
    <cellStyle name="Total 2 6 14 2" xfId="40793"/>
    <cellStyle name="Total 2 6 15" xfId="40794"/>
    <cellStyle name="Total 2 6 2" xfId="40795"/>
    <cellStyle name="Total 2 6 2 10" xfId="40796"/>
    <cellStyle name="Total 2 6 2 10 2" xfId="40797"/>
    <cellStyle name="Total 2 6 2 11" xfId="40798"/>
    <cellStyle name="Total 2 6 2 11 2" xfId="40799"/>
    <cellStyle name="Total 2 6 2 12" xfId="40800"/>
    <cellStyle name="Total 2 6 2 12 2" xfId="40801"/>
    <cellStyle name="Total 2 6 2 13" xfId="40802"/>
    <cellStyle name="Total 2 6 2 2" xfId="40803"/>
    <cellStyle name="Total 2 6 2 2 10" xfId="40804"/>
    <cellStyle name="Total 2 6 2 2 10 2" xfId="40805"/>
    <cellStyle name="Total 2 6 2 2 11" xfId="40806"/>
    <cellStyle name="Total 2 6 2 2 2" xfId="40807"/>
    <cellStyle name="Total 2 6 2 2 2 2" xfId="40808"/>
    <cellStyle name="Total 2 6 2 2 3" xfId="40809"/>
    <cellStyle name="Total 2 6 2 2 3 2" xfId="40810"/>
    <cellStyle name="Total 2 6 2 2 4" xfId="40811"/>
    <cellStyle name="Total 2 6 2 2 4 2" xfId="40812"/>
    <cellStyle name="Total 2 6 2 2 5" xfId="40813"/>
    <cellStyle name="Total 2 6 2 2 5 2" xfId="40814"/>
    <cellStyle name="Total 2 6 2 2 6" xfId="40815"/>
    <cellStyle name="Total 2 6 2 2 6 2" xfId="40816"/>
    <cellStyle name="Total 2 6 2 2 7" xfId="40817"/>
    <cellStyle name="Total 2 6 2 2 7 2" xfId="40818"/>
    <cellStyle name="Total 2 6 2 2 8" xfId="40819"/>
    <cellStyle name="Total 2 6 2 2 8 2" xfId="40820"/>
    <cellStyle name="Total 2 6 2 2 9" xfId="40821"/>
    <cellStyle name="Total 2 6 2 2 9 2" xfId="40822"/>
    <cellStyle name="Total 2 6 2 3" xfId="40823"/>
    <cellStyle name="Total 2 6 2 3 10" xfId="40824"/>
    <cellStyle name="Total 2 6 2 3 10 2" xfId="40825"/>
    <cellStyle name="Total 2 6 2 3 11" xfId="40826"/>
    <cellStyle name="Total 2 6 2 3 2" xfId="40827"/>
    <cellStyle name="Total 2 6 2 3 2 2" xfId="40828"/>
    <cellStyle name="Total 2 6 2 3 3" xfId="40829"/>
    <cellStyle name="Total 2 6 2 3 3 2" xfId="40830"/>
    <cellStyle name="Total 2 6 2 3 4" xfId="40831"/>
    <cellStyle name="Total 2 6 2 3 4 2" xfId="40832"/>
    <cellStyle name="Total 2 6 2 3 5" xfId="40833"/>
    <cellStyle name="Total 2 6 2 3 5 2" xfId="40834"/>
    <cellStyle name="Total 2 6 2 3 6" xfId="40835"/>
    <cellStyle name="Total 2 6 2 3 6 2" xfId="40836"/>
    <cellStyle name="Total 2 6 2 3 7" xfId="40837"/>
    <cellStyle name="Total 2 6 2 3 7 2" xfId="40838"/>
    <cellStyle name="Total 2 6 2 3 8" xfId="40839"/>
    <cellStyle name="Total 2 6 2 3 8 2" xfId="40840"/>
    <cellStyle name="Total 2 6 2 3 9" xfId="40841"/>
    <cellStyle name="Total 2 6 2 3 9 2" xfId="40842"/>
    <cellStyle name="Total 2 6 2 4" xfId="40843"/>
    <cellStyle name="Total 2 6 2 4 2" xfId="40844"/>
    <cellStyle name="Total 2 6 2 5" xfId="40845"/>
    <cellStyle name="Total 2 6 2 5 2" xfId="40846"/>
    <cellStyle name="Total 2 6 2 6" xfId="40847"/>
    <cellStyle name="Total 2 6 2 6 2" xfId="40848"/>
    <cellStyle name="Total 2 6 2 7" xfId="40849"/>
    <cellStyle name="Total 2 6 2 7 2" xfId="40850"/>
    <cellStyle name="Total 2 6 2 8" xfId="40851"/>
    <cellStyle name="Total 2 6 2 8 2" xfId="40852"/>
    <cellStyle name="Total 2 6 2 9" xfId="40853"/>
    <cellStyle name="Total 2 6 2 9 2" xfId="40854"/>
    <cellStyle name="Total 2 6 3" xfId="40855"/>
    <cellStyle name="Total 2 6 3 10" xfId="40856"/>
    <cellStyle name="Total 2 6 3 10 2" xfId="40857"/>
    <cellStyle name="Total 2 6 3 11" xfId="40858"/>
    <cellStyle name="Total 2 6 3 11 2" xfId="40859"/>
    <cellStyle name="Total 2 6 3 12" xfId="40860"/>
    <cellStyle name="Total 2 6 3 12 2" xfId="40861"/>
    <cellStyle name="Total 2 6 3 13" xfId="40862"/>
    <cellStyle name="Total 2 6 3 2" xfId="40863"/>
    <cellStyle name="Total 2 6 3 2 10" xfId="40864"/>
    <cellStyle name="Total 2 6 3 2 10 2" xfId="40865"/>
    <cellStyle name="Total 2 6 3 2 11" xfId="40866"/>
    <cellStyle name="Total 2 6 3 2 2" xfId="40867"/>
    <cellStyle name="Total 2 6 3 2 2 2" xfId="40868"/>
    <cellStyle name="Total 2 6 3 2 3" xfId="40869"/>
    <cellStyle name="Total 2 6 3 2 3 2" xfId="40870"/>
    <cellStyle name="Total 2 6 3 2 4" xfId="40871"/>
    <cellStyle name="Total 2 6 3 2 4 2" xfId="40872"/>
    <cellStyle name="Total 2 6 3 2 5" xfId="40873"/>
    <cellStyle name="Total 2 6 3 2 5 2" xfId="40874"/>
    <cellStyle name="Total 2 6 3 2 6" xfId="40875"/>
    <cellStyle name="Total 2 6 3 2 6 2" xfId="40876"/>
    <cellStyle name="Total 2 6 3 2 7" xfId="40877"/>
    <cellStyle name="Total 2 6 3 2 7 2" xfId="40878"/>
    <cellStyle name="Total 2 6 3 2 8" xfId="40879"/>
    <cellStyle name="Total 2 6 3 2 8 2" xfId="40880"/>
    <cellStyle name="Total 2 6 3 2 9" xfId="40881"/>
    <cellStyle name="Total 2 6 3 2 9 2" xfId="40882"/>
    <cellStyle name="Total 2 6 3 3" xfId="40883"/>
    <cellStyle name="Total 2 6 3 3 10" xfId="40884"/>
    <cellStyle name="Total 2 6 3 3 10 2" xfId="40885"/>
    <cellStyle name="Total 2 6 3 3 11" xfId="40886"/>
    <cellStyle name="Total 2 6 3 3 2" xfId="40887"/>
    <cellStyle name="Total 2 6 3 3 2 2" xfId="40888"/>
    <cellStyle name="Total 2 6 3 3 3" xfId="40889"/>
    <cellStyle name="Total 2 6 3 3 3 2" xfId="40890"/>
    <cellStyle name="Total 2 6 3 3 4" xfId="40891"/>
    <cellStyle name="Total 2 6 3 3 4 2" xfId="40892"/>
    <cellStyle name="Total 2 6 3 3 5" xfId="40893"/>
    <cellStyle name="Total 2 6 3 3 5 2" xfId="40894"/>
    <cellStyle name="Total 2 6 3 3 6" xfId="40895"/>
    <cellStyle name="Total 2 6 3 3 6 2" xfId="40896"/>
    <cellStyle name="Total 2 6 3 3 7" xfId="40897"/>
    <cellStyle name="Total 2 6 3 3 7 2" xfId="40898"/>
    <cellStyle name="Total 2 6 3 3 8" xfId="40899"/>
    <cellStyle name="Total 2 6 3 3 8 2" xfId="40900"/>
    <cellStyle name="Total 2 6 3 3 9" xfId="40901"/>
    <cellStyle name="Total 2 6 3 3 9 2" xfId="40902"/>
    <cellStyle name="Total 2 6 3 4" xfId="40903"/>
    <cellStyle name="Total 2 6 3 4 2" xfId="40904"/>
    <cellStyle name="Total 2 6 3 5" xfId="40905"/>
    <cellStyle name="Total 2 6 3 5 2" xfId="40906"/>
    <cellStyle name="Total 2 6 3 6" xfId="40907"/>
    <cellStyle name="Total 2 6 3 6 2" xfId="40908"/>
    <cellStyle name="Total 2 6 3 7" xfId="40909"/>
    <cellStyle name="Total 2 6 3 7 2" xfId="40910"/>
    <cellStyle name="Total 2 6 3 8" xfId="40911"/>
    <cellStyle name="Total 2 6 3 8 2" xfId="40912"/>
    <cellStyle name="Total 2 6 3 9" xfId="40913"/>
    <cellStyle name="Total 2 6 3 9 2" xfId="40914"/>
    <cellStyle name="Total 2 6 4" xfId="40915"/>
    <cellStyle name="Total 2 6 4 10" xfId="40916"/>
    <cellStyle name="Total 2 6 4 10 2" xfId="40917"/>
    <cellStyle name="Total 2 6 4 11" xfId="40918"/>
    <cellStyle name="Total 2 6 4 2" xfId="40919"/>
    <cellStyle name="Total 2 6 4 2 2" xfId="40920"/>
    <cellStyle name="Total 2 6 4 3" xfId="40921"/>
    <cellStyle name="Total 2 6 4 3 2" xfId="40922"/>
    <cellStyle name="Total 2 6 4 4" xfId="40923"/>
    <cellStyle name="Total 2 6 4 4 2" xfId="40924"/>
    <cellStyle name="Total 2 6 4 5" xfId="40925"/>
    <cellStyle name="Total 2 6 4 5 2" xfId="40926"/>
    <cellStyle name="Total 2 6 4 6" xfId="40927"/>
    <cellStyle name="Total 2 6 4 6 2" xfId="40928"/>
    <cellStyle name="Total 2 6 4 7" xfId="40929"/>
    <cellStyle name="Total 2 6 4 7 2" xfId="40930"/>
    <cellStyle name="Total 2 6 4 8" xfId="40931"/>
    <cellStyle name="Total 2 6 4 8 2" xfId="40932"/>
    <cellStyle name="Total 2 6 4 9" xfId="40933"/>
    <cellStyle name="Total 2 6 4 9 2" xfId="40934"/>
    <cellStyle name="Total 2 6 5" xfId="40935"/>
    <cellStyle name="Total 2 6 5 10" xfId="40936"/>
    <cellStyle name="Total 2 6 5 10 2" xfId="40937"/>
    <cellStyle name="Total 2 6 5 11" xfId="40938"/>
    <cellStyle name="Total 2 6 5 2" xfId="40939"/>
    <cellStyle name="Total 2 6 5 2 2" xfId="40940"/>
    <cellStyle name="Total 2 6 5 3" xfId="40941"/>
    <cellStyle name="Total 2 6 5 3 2" xfId="40942"/>
    <cellStyle name="Total 2 6 5 4" xfId="40943"/>
    <cellStyle name="Total 2 6 5 4 2" xfId="40944"/>
    <cellStyle name="Total 2 6 5 5" xfId="40945"/>
    <cellStyle name="Total 2 6 5 5 2" xfId="40946"/>
    <cellStyle name="Total 2 6 5 6" xfId="40947"/>
    <cellStyle name="Total 2 6 5 6 2" xfId="40948"/>
    <cellStyle name="Total 2 6 5 7" xfId="40949"/>
    <cellStyle name="Total 2 6 5 7 2" xfId="40950"/>
    <cellStyle name="Total 2 6 5 8" xfId="40951"/>
    <cellStyle name="Total 2 6 5 8 2" xfId="40952"/>
    <cellStyle name="Total 2 6 5 9" xfId="40953"/>
    <cellStyle name="Total 2 6 5 9 2" xfId="40954"/>
    <cellStyle name="Total 2 6 6" xfId="40955"/>
    <cellStyle name="Total 2 6 6 2" xfId="40956"/>
    <cellStyle name="Total 2 6 7" xfId="40957"/>
    <cellStyle name="Total 2 6 7 2" xfId="40958"/>
    <cellStyle name="Total 2 6 8" xfId="40959"/>
    <cellStyle name="Total 2 6 8 2" xfId="40960"/>
    <cellStyle name="Total 2 6 9" xfId="40961"/>
    <cellStyle name="Total 2 6 9 2" xfId="40962"/>
    <cellStyle name="Total 2 7" xfId="40963"/>
    <cellStyle name="Total 2 7 10" xfId="40964"/>
    <cellStyle name="Total 2 7 10 2" xfId="40965"/>
    <cellStyle name="Total 2 7 11" xfId="40966"/>
    <cellStyle name="Total 2 7 11 2" xfId="40967"/>
    <cellStyle name="Total 2 7 12" xfId="40968"/>
    <cellStyle name="Total 2 7 12 2" xfId="40969"/>
    <cellStyle name="Total 2 7 13" xfId="40970"/>
    <cellStyle name="Total 2 7 2" xfId="40971"/>
    <cellStyle name="Total 2 7 2 10" xfId="40972"/>
    <cellStyle name="Total 2 7 2 10 2" xfId="40973"/>
    <cellStyle name="Total 2 7 2 11" xfId="40974"/>
    <cellStyle name="Total 2 7 2 2" xfId="40975"/>
    <cellStyle name="Total 2 7 2 2 2" xfId="40976"/>
    <cellStyle name="Total 2 7 2 3" xfId="40977"/>
    <cellStyle name="Total 2 7 2 3 2" xfId="40978"/>
    <cellStyle name="Total 2 7 2 4" xfId="40979"/>
    <cellStyle name="Total 2 7 2 4 2" xfId="40980"/>
    <cellStyle name="Total 2 7 2 5" xfId="40981"/>
    <cellStyle name="Total 2 7 2 5 2" xfId="40982"/>
    <cellStyle name="Total 2 7 2 6" xfId="40983"/>
    <cellStyle name="Total 2 7 2 6 2" xfId="40984"/>
    <cellStyle name="Total 2 7 2 7" xfId="40985"/>
    <cellStyle name="Total 2 7 2 7 2" xfId="40986"/>
    <cellStyle name="Total 2 7 2 8" xfId="40987"/>
    <cellStyle name="Total 2 7 2 8 2" xfId="40988"/>
    <cellStyle name="Total 2 7 2 9" xfId="40989"/>
    <cellStyle name="Total 2 7 2 9 2" xfId="40990"/>
    <cellStyle name="Total 2 7 3" xfId="40991"/>
    <cellStyle name="Total 2 7 3 10" xfId="40992"/>
    <cellStyle name="Total 2 7 3 10 2" xfId="40993"/>
    <cellStyle name="Total 2 7 3 11" xfId="40994"/>
    <cellStyle name="Total 2 7 3 2" xfId="40995"/>
    <cellStyle name="Total 2 7 3 2 2" xfId="40996"/>
    <cellStyle name="Total 2 7 3 3" xfId="40997"/>
    <cellStyle name="Total 2 7 3 3 2" xfId="40998"/>
    <cellStyle name="Total 2 7 3 4" xfId="40999"/>
    <cellStyle name="Total 2 7 3 4 2" xfId="41000"/>
    <cellStyle name="Total 2 7 3 5" xfId="41001"/>
    <cellStyle name="Total 2 7 3 5 2" xfId="41002"/>
    <cellStyle name="Total 2 7 3 6" xfId="41003"/>
    <cellStyle name="Total 2 7 3 6 2" xfId="41004"/>
    <cellStyle name="Total 2 7 3 7" xfId="41005"/>
    <cellStyle name="Total 2 7 3 7 2" xfId="41006"/>
    <cellStyle name="Total 2 7 3 8" xfId="41007"/>
    <cellStyle name="Total 2 7 3 8 2" xfId="41008"/>
    <cellStyle name="Total 2 7 3 9" xfId="41009"/>
    <cellStyle name="Total 2 7 3 9 2" xfId="41010"/>
    <cellStyle name="Total 2 7 4" xfId="41011"/>
    <cellStyle name="Total 2 7 4 2" xfId="41012"/>
    <cellStyle name="Total 2 7 5" xfId="41013"/>
    <cellStyle name="Total 2 7 5 2" xfId="41014"/>
    <cellStyle name="Total 2 7 6" xfId="41015"/>
    <cellStyle name="Total 2 7 6 2" xfId="41016"/>
    <cellStyle name="Total 2 7 7" xfId="41017"/>
    <cellStyle name="Total 2 7 7 2" xfId="41018"/>
    <cellStyle name="Total 2 7 8" xfId="41019"/>
    <cellStyle name="Total 2 7 8 2" xfId="41020"/>
    <cellStyle name="Total 2 7 9" xfId="41021"/>
    <cellStyle name="Total 2 7 9 2" xfId="41022"/>
    <cellStyle name="Total 2 8" xfId="41023"/>
    <cellStyle name="Total 2 8 10" xfId="41024"/>
    <cellStyle name="Total 2 8 10 2" xfId="41025"/>
    <cellStyle name="Total 2 8 11" xfId="41026"/>
    <cellStyle name="Total 2 8 11 2" xfId="41027"/>
    <cellStyle name="Total 2 8 12" xfId="41028"/>
    <cellStyle name="Total 2 8 12 2" xfId="41029"/>
    <cellStyle name="Total 2 8 13" xfId="41030"/>
    <cellStyle name="Total 2 8 2" xfId="41031"/>
    <cellStyle name="Total 2 8 2 10" xfId="41032"/>
    <cellStyle name="Total 2 8 2 10 2" xfId="41033"/>
    <cellStyle name="Total 2 8 2 11" xfId="41034"/>
    <cellStyle name="Total 2 8 2 2" xfId="41035"/>
    <cellStyle name="Total 2 8 2 2 2" xfId="41036"/>
    <cellStyle name="Total 2 8 2 3" xfId="41037"/>
    <cellStyle name="Total 2 8 2 3 2" xfId="41038"/>
    <cellStyle name="Total 2 8 2 4" xfId="41039"/>
    <cellStyle name="Total 2 8 2 4 2" xfId="41040"/>
    <cellStyle name="Total 2 8 2 5" xfId="41041"/>
    <cellStyle name="Total 2 8 2 5 2" xfId="41042"/>
    <cellStyle name="Total 2 8 2 6" xfId="41043"/>
    <cellStyle name="Total 2 8 2 6 2" xfId="41044"/>
    <cellStyle name="Total 2 8 2 7" xfId="41045"/>
    <cellStyle name="Total 2 8 2 7 2" xfId="41046"/>
    <cellStyle name="Total 2 8 2 8" xfId="41047"/>
    <cellStyle name="Total 2 8 2 8 2" xfId="41048"/>
    <cellStyle name="Total 2 8 2 9" xfId="41049"/>
    <cellStyle name="Total 2 8 2 9 2" xfId="41050"/>
    <cellStyle name="Total 2 8 3" xfId="41051"/>
    <cellStyle name="Total 2 8 3 10" xfId="41052"/>
    <cellStyle name="Total 2 8 3 10 2" xfId="41053"/>
    <cellStyle name="Total 2 8 3 11" xfId="41054"/>
    <cellStyle name="Total 2 8 3 2" xfId="41055"/>
    <cellStyle name="Total 2 8 3 2 2" xfId="41056"/>
    <cellStyle name="Total 2 8 3 3" xfId="41057"/>
    <cellStyle name="Total 2 8 3 3 2" xfId="41058"/>
    <cellStyle name="Total 2 8 3 4" xfId="41059"/>
    <cellStyle name="Total 2 8 3 4 2" xfId="41060"/>
    <cellStyle name="Total 2 8 3 5" xfId="41061"/>
    <cellStyle name="Total 2 8 3 5 2" xfId="41062"/>
    <cellStyle name="Total 2 8 3 6" xfId="41063"/>
    <cellStyle name="Total 2 8 3 6 2" xfId="41064"/>
    <cellStyle name="Total 2 8 3 7" xfId="41065"/>
    <cellStyle name="Total 2 8 3 7 2" xfId="41066"/>
    <cellStyle name="Total 2 8 3 8" xfId="41067"/>
    <cellStyle name="Total 2 8 3 8 2" xfId="41068"/>
    <cellStyle name="Total 2 8 3 9" xfId="41069"/>
    <cellStyle name="Total 2 8 3 9 2" xfId="41070"/>
    <cellStyle name="Total 2 8 4" xfId="41071"/>
    <cellStyle name="Total 2 8 4 2" xfId="41072"/>
    <cellStyle name="Total 2 8 5" xfId="41073"/>
    <cellStyle name="Total 2 8 5 2" xfId="41074"/>
    <cellStyle name="Total 2 8 6" xfId="41075"/>
    <cellStyle name="Total 2 8 6 2" xfId="41076"/>
    <cellStyle name="Total 2 8 7" xfId="41077"/>
    <cellStyle name="Total 2 8 7 2" xfId="41078"/>
    <cellStyle name="Total 2 8 8" xfId="41079"/>
    <cellStyle name="Total 2 8 8 2" xfId="41080"/>
    <cellStyle name="Total 2 8 9" xfId="41081"/>
    <cellStyle name="Total 2 8 9 2" xfId="41082"/>
    <cellStyle name="Total 2 9" xfId="41083"/>
    <cellStyle name="Total 2 9 2" xfId="41084"/>
    <cellStyle name="Total 3" xfId="1198"/>
    <cellStyle name="Total 3 10" xfId="41085"/>
    <cellStyle name="Total 3 10 2" xfId="41086"/>
    <cellStyle name="Total 3 11" xfId="41087"/>
    <cellStyle name="Total 3 11 2" xfId="41088"/>
    <cellStyle name="Total 3 12" xfId="41089"/>
    <cellStyle name="Total 3 12 2" xfId="41090"/>
    <cellStyle name="Total 3 13" xfId="41091"/>
    <cellStyle name="Total 3 13 2" xfId="41092"/>
    <cellStyle name="Total 3 14" xfId="41093"/>
    <cellStyle name="Total 3 14 2" xfId="41094"/>
    <cellStyle name="Total 3 15" xfId="41095"/>
    <cellStyle name="Total 3 16" xfId="41096"/>
    <cellStyle name="Total 3 17" xfId="41097"/>
    <cellStyle name="Total 3 2" xfId="41098"/>
    <cellStyle name="Total 3 2 10" xfId="41099"/>
    <cellStyle name="Total 3 2 10 2" xfId="41100"/>
    <cellStyle name="Total 3 2 11" xfId="41101"/>
    <cellStyle name="Total 3 2 11 2" xfId="41102"/>
    <cellStyle name="Total 3 2 12" xfId="41103"/>
    <cellStyle name="Total 3 2 12 2" xfId="41104"/>
    <cellStyle name="Total 3 2 13" xfId="41105"/>
    <cellStyle name="Total 3 2 13 2" xfId="41106"/>
    <cellStyle name="Total 3 2 14" xfId="41107"/>
    <cellStyle name="Total 3 2 14 2" xfId="41108"/>
    <cellStyle name="Total 3 2 15" xfId="41109"/>
    <cellStyle name="Total 3 2 2" xfId="41110"/>
    <cellStyle name="Total 3 2 2 10" xfId="41111"/>
    <cellStyle name="Total 3 2 2 10 2" xfId="41112"/>
    <cellStyle name="Total 3 2 2 11" xfId="41113"/>
    <cellStyle name="Total 3 2 2 11 2" xfId="41114"/>
    <cellStyle name="Total 3 2 2 12" xfId="41115"/>
    <cellStyle name="Total 3 2 2 12 2" xfId="41116"/>
    <cellStyle name="Total 3 2 2 13" xfId="41117"/>
    <cellStyle name="Total 3 2 2 2" xfId="41118"/>
    <cellStyle name="Total 3 2 2 2 10" xfId="41119"/>
    <cellStyle name="Total 3 2 2 2 10 2" xfId="41120"/>
    <cellStyle name="Total 3 2 2 2 11" xfId="41121"/>
    <cellStyle name="Total 3 2 2 2 2" xfId="41122"/>
    <cellStyle name="Total 3 2 2 2 2 2" xfId="41123"/>
    <cellStyle name="Total 3 2 2 2 3" xfId="41124"/>
    <cellStyle name="Total 3 2 2 2 3 2" xfId="41125"/>
    <cellStyle name="Total 3 2 2 2 4" xfId="41126"/>
    <cellStyle name="Total 3 2 2 2 4 2" xfId="41127"/>
    <cellStyle name="Total 3 2 2 2 5" xfId="41128"/>
    <cellStyle name="Total 3 2 2 2 5 2" xfId="41129"/>
    <cellStyle name="Total 3 2 2 2 6" xfId="41130"/>
    <cellStyle name="Total 3 2 2 2 6 2" xfId="41131"/>
    <cellStyle name="Total 3 2 2 2 7" xfId="41132"/>
    <cellStyle name="Total 3 2 2 2 7 2" xfId="41133"/>
    <cellStyle name="Total 3 2 2 2 8" xfId="41134"/>
    <cellStyle name="Total 3 2 2 2 8 2" xfId="41135"/>
    <cellStyle name="Total 3 2 2 2 9" xfId="41136"/>
    <cellStyle name="Total 3 2 2 2 9 2" xfId="41137"/>
    <cellStyle name="Total 3 2 2 3" xfId="41138"/>
    <cellStyle name="Total 3 2 2 3 10" xfId="41139"/>
    <cellStyle name="Total 3 2 2 3 10 2" xfId="41140"/>
    <cellStyle name="Total 3 2 2 3 11" xfId="41141"/>
    <cellStyle name="Total 3 2 2 3 2" xfId="41142"/>
    <cellStyle name="Total 3 2 2 3 2 2" xfId="41143"/>
    <cellStyle name="Total 3 2 2 3 3" xfId="41144"/>
    <cellStyle name="Total 3 2 2 3 3 2" xfId="41145"/>
    <cellStyle name="Total 3 2 2 3 4" xfId="41146"/>
    <cellStyle name="Total 3 2 2 3 4 2" xfId="41147"/>
    <cellStyle name="Total 3 2 2 3 5" xfId="41148"/>
    <cellStyle name="Total 3 2 2 3 5 2" xfId="41149"/>
    <cellStyle name="Total 3 2 2 3 6" xfId="41150"/>
    <cellStyle name="Total 3 2 2 3 6 2" xfId="41151"/>
    <cellStyle name="Total 3 2 2 3 7" xfId="41152"/>
    <cellStyle name="Total 3 2 2 3 7 2" xfId="41153"/>
    <cellStyle name="Total 3 2 2 3 8" xfId="41154"/>
    <cellStyle name="Total 3 2 2 3 8 2" xfId="41155"/>
    <cellStyle name="Total 3 2 2 3 9" xfId="41156"/>
    <cellStyle name="Total 3 2 2 3 9 2" xfId="41157"/>
    <cellStyle name="Total 3 2 2 4" xfId="41158"/>
    <cellStyle name="Total 3 2 2 4 2" xfId="41159"/>
    <cellStyle name="Total 3 2 2 5" xfId="41160"/>
    <cellStyle name="Total 3 2 2 5 2" xfId="41161"/>
    <cellStyle name="Total 3 2 2 6" xfId="41162"/>
    <cellStyle name="Total 3 2 2 6 2" xfId="41163"/>
    <cellStyle name="Total 3 2 2 7" xfId="41164"/>
    <cellStyle name="Total 3 2 2 7 2" xfId="41165"/>
    <cellStyle name="Total 3 2 2 8" xfId="41166"/>
    <cellStyle name="Total 3 2 2 8 2" xfId="41167"/>
    <cellStyle name="Total 3 2 2 9" xfId="41168"/>
    <cellStyle name="Total 3 2 2 9 2" xfId="41169"/>
    <cellStyle name="Total 3 2 3" xfId="41170"/>
    <cellStyle name="Total 3 2 3 10" xfId="41171"/>
    <cellStyle name="Total 3 2 3 10 2" xfId="41172"/>
    <cellStyle name="Total 3 2 3 11" xfId="41173"/>
    <cellStyle name="Total 3 2 3 11 2" xfId="41174"/>
    <cellStyle name="Total 3 2 3 12" xfId="41175"/>
    <cellStyle name="Total 3 2 3 12 2" xfId="41176"/>
    <cellStyle name="Total 3 2 3 13" xfId="41177"/>
    <cellStyle name="Total 3 2 3 2" xfId="41178"/>
    <cellStyle name="Total 3 2 3 2 10" xfId="41179"/>
    <cellStyle name="Total 3 2 3 2 10 2" xfId="41180"/>
    <cellStyle name="Total 3 2 3 2 11" xfId="41181"/>
    <cellStyle name="Total 3 2 3 2 2" xfId="41182"/>
    <cellStyle name="Total 3 2 3 2 2 2" xfId="41183"/>
    <cellStyle name="Total 3 2 3 2 3" xfId="41184"/>
    <cellStyle name="Total 3 2 3 2 3 2" xfId="41185"/>
    <cellStyle name="Total 3 2 3 2 4" xfId="41186"/>
    <cellStyle name="Total 3 2 3 2 4 2" xfId="41187"/>
    <cellStyle name="Total 3 2 3 2 5" xfId="41188"/>
    <cellStyle name="Total 3 2 3 2 5 2" xfId="41189"/>
    <cellStyle name="Total 3 2 3 2 6" xfId="41190"/>
    <cellStyle name="Total 3 2 3 2 6 2" xfId="41191"/>
    <cellStyle name="Total 3 2 3 2 7" xfId="41192"/>
    <cellStyle name="Total 3 2 3 2 7 2" xfId="41193"/>
    <cellStyle name="Total 3 2 3 2 8" xfId="41194"/>
    <cellStyle name="Total 3 2 3 2 8 2" xfId="41195"/>
    <cellStyle name="Total 3 2 3 2 9" xfId="41196"/>
    <cellStyle name="Total 3 2 3 2 9 2" xfId="41197"/>
    <cellStyle name="Total 3 2 3 3" xfId="41198"/>
    <cellStyle name="Total 3 2 3 3 10" xfId="41199"/>
    <cellStyle name="Total 3 2 3 3 10 2" xfId="41200"/>
    <cellStyle name="Total 3 2 3 3 11" xfId="41201"/>
    <cellStyle name="Total 3 2 3 3 2" xfId="41202"/>
    <cellStyle name="Total 3 2 3 3 2 2" xfId="41203"/>
    <cellStyle name="Total 3 2 3 3 3" xfId="41204"/>
    <cellStyle name="Total 3 2 3 3 3 2" xfId="41205"/>
    <cellStyle name="Total 3 2 3 3 4" xfId="41206"/>
    <cellStyle name="Total 3 2 3 3 4 2" xfId="41207"/>
    <cellStyle name="Total 3 2 3 3 5" xfId="41208"/>
    <cellStyle name="Total 3 2 3 3 5 2" xfId="41209"/>
    <cellStyle name="Total 3 2 3 3 6" xfId="41210"/>
    <cellStyle name="Total 3 2 3 3 6 2" xfId="41211"/>
    <cellStyle name="Total 3 2 3 3 7" xfId="41212"/>
    <cellStyle name="Total 3 2 3 3 7 2" xfId="41213"/>
    <cellStyle name="Total 3 2 3 3 8" xfId="41214"/>
    <cellStyle name="Total 3 2 3 3 8 2" xfId="41215"/>
    <cellStyle name="Total 3 2 3 3 9" xfId="41216"/>
    <cellStyle name="Total 3 2 3 3 9 2" xfId="41217"/>
    <cellStyle name="Total 3 2 3 4" xfId="41218"/>
    <cellStyle name="Total 3 2 3 4 2" xfId="41219"/>
    <cellStyle name="Total 3 2 3 5" xfId="41220"/>
    <cellStyle name="Total 3 2 3 5 2" xfId="41221"/>
    <cellStyle name="Total 3 2 3 6" xfId="41222"/>
    <cellStyle name="Total 3 2 3 6 2" xfId="41223"/>
    <cellStyle name="Total 3 2 3 7" xfId="41224"/>
    <cellStyle name="Total 3 2 3 7 2" xfId="41225"/>
    <cellStyle name="Total 3 2 3 8" xfId="41226"/>
    <cellStyle name="Total 3 2 3 8 2" xfId="41227"/>
    <cellStyle name="Total 3 2 3 9" xfId="41228"/>
    <cellStyle name="Total 3 2 3 9 2" xfId="41229"/>
    <cellStyle name="Total 3 2 4" xfId="41230"/>
    <cellStyle name="Total 3 2 4 10" xfId="41231"/>
    <cellStyle name="Total 3 2 4 10 2" xfId="41232"/>
    <cellStyle name="Total 3 2 4 11" xfId="41233"/>
    <cellStyle name="Total 3 2 4 2" xfId="41234"/>
    <cellStyle name="Total 3 2 4 2 2" xfId="41235"/>
    <cellStyle name="Total 3 2 4 3" xfId="41236"/>
    <cellStyle name="Total 3 2 4 3 2" xfId="41237"/>
    <cellStyle name="Total 3 2 4 4" xfId="41238"/>
    <cellStyle name="Total 3 2 4 4 2" xfId="41239"/>
    <cellStyle name="Total 3 2 4 5" xfId="41240"/>
    <cellStyle name="Total 3 2 4 5 2" xfId="41241"/>
    <cellStyle name="Total 3 2 4 6" xfId="41242"/>
    <cellStyle name="Total 3 2 4 6 2" xfId="41243"/>
    <cellStyle name="Total 3 2 4 7" xfId="41244"/>
    <cellStyle name="Total 3 2 4 7 2" xfId="41245"/>
    <cellStyle name="Total 3 2 4 8" xfId="41246"/>
    <cellStyle name="Total 3 2 4 8 2" xfId="41247"/>
    <cellStyle name="Total 3 2 4 9" xfId="41248"/>
    <cellStyle name="Total 3 2 4 9 2" xfId="41249"/>
    <cellStyle name="Total 3 2 5" xfId="41250"/>
    <cellStyle name="Total 3 2 5 10" xfId="41251"/>
    <cellStyle name="Total 3 2 5 10 2" xfId="41252"/>
    <cellStyle name="Total 3 2 5 11" xfId="41253"/>
    <cellStyle name="Total 3 2 5 2" xfId="41254"/>
    <cellStyle name="Total 3 2 5 2 2" xfId="41255"/>
    <cellStyle name="Total 3 2 5 3" xfId="41256"/>
    <cellStyle name="Total 3 2 5 3 2" xfId="41257"/>
    <cellStyle name="Total 3 2 5 4" xfId="41258"/>
    <cellStyle name="Total 3 2 5 4 2" xfId="41259"/>
    <cellStyle name="Total 3 2 5 5" xfId="41260"/>
    <cellStyle name="Total 3 2 5 5 2" xfId="41261"/>
    <cellStyle name="Total 3 2 5 6" xfId="41262"/>
    <cellStyle name="Total 3 2 5 6 2" xfId="41263"/>
    <cellStyle name="Total 3 2 5 7" xfId="41264"/>
    <cellStyle name="Total 3 2 5 7 2" xfId="41265"/>
    <cellStyle name="Total 3 2 5 8" xfId="41266"/>
    <cellStyle name="Total 3 2 5 8 2" xfId="41267"/>
    <cellStyle name="Total 3 2 5 9" xfId="41268"/>
    <cellStyle name="Total 3 2 5 9 2" xfId="41269"/>
    <cellStyle name="Total 3 2 6" xfId="41270"/>
    <cellStyle name="Total 3 2 6 2" xfId="41271"/>
    <cellStyle name="Total 3 2 7" xfId="41272"/>
    <cellStyle name="Total 3 2 7 2" xfId="41273"/>
    <cellStyle name="Total 3 2 8" xfId="41274"/>
    <cellStyle name="Total 3 2 8 2" xfId="41275"/>
    <cellStyle name="Total 3 2 9" xfId="41276"/>
    <cellStyle name="Total 3 2 9 2" xfId="41277"/>
    <cellStyle name="Total 3 3" xfId="41278"/>
    <cellStyle name="Total 3 3 10" xfId="41279"/>
    <cellStyle name="Total 3 3 10 2" xfId="41280"/>
    <cellStyle name="Total 3 3 11" xfId="41281"/>
    <cellStyle name="Total 3 3 11 2" xfId="41282"/>
    <cellStyle name="Total 3 3 12" xfId="41283"/>
    <cellStyle name="Total 3 3 12 2" xfId="41284"/>
    <cellStyle name="Total 3 3 13" xfId="41285"/>
    <cellStyle name="Total 3 3 13 2" xfId="41286"/>
    <cellStyle name="Total 3 3 14" xfId="41287"/>
    <cellStyle name="Total 3 3 14 2" xfId="41288"/>
    <cellStyle name="Total 3 3 15" xfId="41289"/>
    <cellStyle name="Total 3 3 2" xfId="41290"/>
    <cellStyle name="Total 3 3 2 10" xfId="41291"/>
    <cellStyle name="Total 3 3 2 10 2" xfId="41292"/>
    <cellStyle name="Total 3 3 2 11" xfId="41293"/>
    <cellStyle name="Total 3 3 2 11 2" xfId="41294"/>
    <cellStyle name="Total 3 3 2 12" xfId="41295"/>
    <cellStyle name="Total 3 3 2 12 2" xfId="41296"/>
    <cellStyle name="Total 3 3 2 13" xfId="41297"/>
    <cellStyle name="Total 3 3 2 2" xfId="41298"/>
    <cellStyle name="Total 3 3 2 2 10" xfId="41299"/>
    <cellStyle name="Total 3 3 2 2 10 2" xfId="41300"/>
    <cellStyle name="Total 3 3 2 2 11" xfId="41301"/>
    <cellStyle name="Total 3 3 2 2 2" xfId="41302"/>
    <cellStyle name="Total 3 3 2 2 2 2" xfId="41303"/>
    <cellStyle name="Total 3 3 2 2 3" xfId="41304"/>
    <cellStyle name="Total 3 3 2 2 3 2" xfId="41305"/>
    <cellStyle name="Total 3 3 2 2 4" xfId="41306"/>
    <cellStyle name="Total 3 3 2 2 4 2" xfId="41307"/>
    <cellStyle name="Total 3 3 2 2 5" xfId="41308"/>
    <cellStyle name="Total 3 3 2 2 5 2" xfId="41309"/>
    <cellStyle name="Total 3 3 2 2 6" xfId="41310"/>
    <cellStyle name="Total 3 3 2 2 6 2" xfId="41311"/>
    <cellStyle name="Total 3 3 2 2 7" xfId="41312"/>
    <cellStyle name="Total 3 3 2 2 7 2" xfId="41313"/>
    <cellStyle name="Total 3 3 2 2 8" xfId="41314"/>
    <cellStyle name="Total 3 3 2 2 8 2" xfId="41315"/>
    <cellStyle name="Total 3 3 2 2 9" xfId="41316"/>
    <cellStyle name="Total 3 3 2 2 9 2" xfId="41317"/>
    <cellStyle name="Total 3 3 2 3" xfId="41318"/>
    <cellStyle name="Total 3 3 2 3 10" xfId="41319"/>
    <cellStyle name="Total 3 3 2 3 10 2" xfId="41320"/>
    <cellStyle name="Total 3 3 2 3 11" xfId="41321"/>
    <cellStyle name="Total 3 3 2 3 2" xfId="41322"/>
    <cellStyle name="Total 3 3 2 3 2 2" xfId="41323"/>
    <cellStyle name="Total 3 3 2 3 3" xfId="41324"/>
    <cellStyle name="Total 3 3 2 3 3 2" xfId="41325"/>
    <cellStyle name="Total 3 3 2 3 4" xfId="41326"/>
    <cellStyle name="Total 3 3 2 3 4 2" xfId="41327"/>
    <cellStyle name="Total 3 3 2 3 5" xfId="41328"/>
    <cellStyle name="Total 3 3 2 3 5 2" xfId="41329"/>
    <cellStyle name="Total 3 3 2 3 6" xfId="41330"/>
    <cellStyle name="Total 3 3 2 3 6 2" xfId="41331"/>
    <cellStyle name="Total 3 3 2 3 7" xfId="41332"/>
    <cellStyle name="Total 3 3 2 3 7 2" xfId="41333"/>
    <cellStyle name="Total 3 3 2 3 8" xfId="41334"/>
    <cellStyle name="Total 3 3 2 3 8 2" xfId="41335"/>
    <cellStyle name="Total 3 3 2 3 9" xfId="41336"/>
    <cellStyle name="Total 3 3 2 3 9 2" xfId="41337"/>
    <cellStyle name="Total 3 3 2 4" xfId="41338"/>
    <cellStyle name="Total 3 3 2 4 2" xfId="41339"/>
    <cellStyle name="Total 3 3 2 5" xfId="41340"/>
    <cellStyle name="Total 3 3 2 5 2" xfId="41341"/>
    <cellStyle name="Total 3 3 2 6" xfId="41342"/>
    <cellStyle name="Total 3 3 2 6 2" xfId="41343"/>
    <cellStyle name="Total 3 3 2 7" xfId="41344"/>
    <cellStyle name="Total 3 3 2 7 2" xfId="41345"/>
    <cellStyle name="Total 3 3 2 8" xfId="41346"/>
    <cellStyle name="Total 3 3 2 8 2" xfId="41347"/>
    <cellStyle name="Total 3 3 2 9" xfId="41348"/>
    <cellStyle name="Total 3 3 2 9 2" xfId="41349"/>
    <cellStyle name="Total 3 3 3" xfId="41350"/>
    <cellStyle name="Total 3 3 3 10" xfId="41351"/>
    <cellStyle name="Total 3 3 3 10 2" xfId="41352"/>
    <cellStyle name="Total 3 3 3 11" xfId="41353"/>
    <cellStyle name="Total 3 3 3 11 2" xfId="41354"/>
    <cellStyle name="Total 3 3 3 12" xfId="41355"/>
    <cellStyle name="Total 3 3 3 12 2" xfId="41356"/>
    <cellStyle name="Total 3 3 3 13" xfId="41357"/>
    <cellStyle name="Total 3 3 3 2" xfId="41358"/>
    <cellStyle name="Total 3 3 3 2 10" xfId="41359"/>
    <cellStyle name="Total 3 3 3 2 10 2" xfId="41360"/>
    <cellStyle name="Total 3 3 3 2 11" xfId="41361"/>
    <cellStyle name="Total 3 3 3 2 2" xfId="41362"/>
    <cellStyle name="Total 3 3 3 2 2 2" xfId="41363"/>
    <cellStyle name="Total 3 3 3 2 3" xfId="41364"/>
    <cellStyle name="Total 3 3 3 2 3 2" xfId="41365"/>
    <cellStyle name="Total 3 3 3 2 4" xfId="41366"/>
    <cellStyle name="Total 3 3 3 2 4 2" xfId="41367"/>
    <cellStyle name="Total 3 3 3 2 5" xfId="41368"/>
    <cellStyle name="Total 3 3 3 2 5 2" xfId="41369"/>
    <cellStyle name="Total 3 3 3 2 6" xfId="41370"/>
    <cellStyle name="Total 3 3 3 2 6 2" xfId="41371"/>
    <cellStyle name="Total 3 3 3 2 7" xfId="41372"/>
    <cellStyle name="Total 3 3 3 2 7 2" xfId="41373"/>
    <cellStyle name="Total 3 3 3 2 8" xfId="41374"/>
    <cellStyle name="Total 3 3 3 2 8 2" xfId="41375"/>
    <cellStyle name="Total 3 3 3 2 9" xfId="41376"/>
    <cellStyle name="Total 3 3 3 2 9 2" xfId="41377"/>
    <cellStyle name="Total 3 3 3 3" xfId="41378"/>
    <cellStyle name="Total 3 3 3 3 10" xfId="41379"/>
    <cellStyle name="Total 3 3 3 3 10 2" xfId="41380"/>
    <cellStyle name="Total 3 3 3 3 11" xfId="41381"/>
    <cellStyle name="Total 3 3 3 3 2" xfId="41382"/>
    <cellStyle name="Total 3 3 3 3 2 2" xfId="41383"/>
    <cellStyle name="Total 3 3 3 3 3" xfId="41384"/>
    <cellStyle name="Total 3 3 3 3 3 2" xfId="41385"/>
    <cellStyle name="Total 3 3 3 3 4" xfId="41386"/>
    <cellStyle name="Total 3 3 3 3 4 2" xfId="41387"/>
    <cellStyle name="Total 3 3 3 3 5" xfId="41388"/>
    <cellStyle name="Total 3 3 3 3 5 2" xfId="41389"/>
    <cellStyle name="Total 3 3 3 3 6" xfId="41390"/>
    <cellStyle name="Total 3 3 3 3 6 2" xfId="41391"/>
    <cellStyle name="Total 3 3 3 3 7" xfId="41392"/>
    <cellStyle name="Total 3 3 3 3 7 2" xfId="41393"/>
    <cellStyle name="Total 3 3 3 3 8" xfId="41394"/>
    <cellStyle name="Total 3 3 3 3 8 2" xfId="41395"/>
    <cellStyle name="Total 3 3 3 3 9" xfId="41396"/>
    <cellStyle name="Total 3 3 3 3 9 2" xfId="41397"/>
    <cellStyle name="Total 3 3 3 4" xfId="41398"/>
    <cellStyle name="Total 3 3 3 4 2" xfId="41399"/>
    <cellStyle name="Total 3 3 3 5" xfId="41400"/>
    <cellStyle name="Total 3 3 3 5 2" xfId="41401"/>
    <cellStyle name="Total 3 3 3 6" xfId="41402"/>
    <cellStyle name="Total 3 3 3 6 2" xfId="41403"/>
    <cellStyle name="Total 3 3 3 7" xfId="41404"/>
    <cellStyle name="Total 3 3 3 7 2" xfId="41405"/>
    <cellStyle name="Total 3 3 3 8" xfId="41406"/>
    <cellStyle name="Total 3 3 3 8 2" xfId="41407"/>
    <cellStyle name="Total 3 3 3 9" xfId="41408"/>
    <cellStyle name="Total 3 3 3 9 2" xfId="41409"/>
    <cellStyle name="Total 3 3 4" xfId="41410"/>
    <cellStyle name="Total 3 3 4 10" xfId="41411"/>
    <cellStyle name="Total 3 3 4 10 2" xfId="41412"/>
    <cellStyle name="Total 3 3 4 11" xfId="41413"/>
    <cellStyle name="Total 3 3 4 2" xfId="41414"/>
    <cellStyle name="Total 3 3 4 2 2" xfId="41415"/>
    <cellStyle name="Total 3 3 4 3" xfId="41416"/>
    <cellStyle name="Total 3 3 4 3 2" xfId="41417"/>
    <cellStyle name="Total 3 3 4 4" xfId="41418"/>
    <cellStyle name="Total 3 3 4 4 2" xfId="41419"/>
    <cellStyle name="Total 3 3 4 5" xfId="41420"/>
    <cellStyle name="Total 3 3 4 5 2" xfId="41421"/>
    <cellStyle name="Total 3 3 4 6" xfId="41422"/>
    <cellStyle name="Total 3 3 4 6 2" xfId="41423"/>
    <cellStyle name="Total 3 3 4 7" xfId="41424"/>
    <cellStyle name="Total 3 3 4 7 2" xfId="41425"/>
    <cellStyle name="Total 3 3 4 8" xfId="41426"/>
    <cellStyle name="Total 3 3 4 8 2" xfId="41427"/>
    <cellStyle name="Total 3 3 4 9" xfId="41428"/>
    <cellStyle name="Total 3 3 4 9 2" xfId="41429"/>
    <cellStyle name="Total 3 3 5" xfId="41430"/>
    <cellStyle name="Total 3 3 5 10" xfId="41431"/>
    <cellStyle name="Total 3 3 5 10 2" xfId="41432"/>
    <cellStyle name="Total 3 3 5 11" xfId="41433"/>
    <cellStyle name="Total 3 3 5 2" xfId="41434"/>
    <cellStyle name="Total 3 3 5 2 2" xfId="41435"/>
    <cellStyle name="Total 3 3 5 3" xfId="41436"/>
    <cellStyle name="Total 3 3 5 3 2" xfId="41437"/>
    <cellStyle name="Total 3 3 5 4" xfId="41438"/>
    <cellStyle name="Total 3 3 5 4 2" xfId="41439"/>
    <cellStyle name="Total 3 3 5 5" xfId="41440"/>
    <cellStyle name="Total 3 3 5 5 2" xfId="41441"/>
    <cellStyle name="Total 3 3 5 6" xfId="41442"/>
    <cellStyle name="Total 3 3 5 6 2" xfId="41443"/>
    <cellStyle name="Total 3 3 5 7" xfId="41444"/>
    <cellStyle name="Total 3 3 5 7 2" xfId="41445"/>
    <cellStyle name="Total 3 3 5 8" xfId="41446"/>
    <cellStyle name="Total 3 3 5 8 2" xfId="41447"/>
    <cellStyle name="Total 3 3 5 9" xfId="41448"/>
    <cellStyle name="Total 3 3 5 9 2" xfId="41449"/>
    <cellStyle name="Total 3 3 6" xfId="41450"/>
    <cellStyle name="Total 3 3 6 2" xfId="41451"/>
    <cellStyle name="Total 3 3 7" xfId="41452"/>
    <cellStyle name="Total 3 3 7 2" xfId="41453"/>
    <cellStyle name="Total 3 3 8" xfId="41454"/>
    <cellStyle name="Total 3 3 8 2" xfId="41455"/>
    <cellStyle name="Total 3 3 9" xfId="41456"/>
    <cellStyle name="Total 3 3 9 2" xfId="41457"/>
    <cellStyle name="Total 3 4" xfId="41458"/>
    <cellStyle name="Total 3 4 10" xfId="41459"/>
    <cellStyle name="Total 3 4 10 2" xfId="41460"/>
    <cellStyle name="Total 3 4 11" xfId="41461"/>
    <cellStyle name="Total 3 4 11 2" xfId="41462"/>
    <cellStyle name="Total 3 4 12" xfId="41463"/>
    <cellStyle name="Total 3 4 12 2" xfId="41464"/>
    <cellStyle name="Total 3 4 13" xfId="41465"/>
    <cellStyle name="Total 3 4 2" xfId="41466"/>
    <cellStyle name="Total 3 4 2 10" xfId="41467"/>
    <cellStyle name="Total 3 4 2 10 2" xfId="41468"/>
    <cellStyle name="Total 3 4 2 11" xfId="41469"/>
    <cellStyle name="Total 3 4 2 2" xfId="41470"/>
    <cellStyle name="Total 3 4 2 2 2" xfId="41471"/>
    <cellStyle name="Total 3 4 2 3" xfId="41472"/>
    <cellStyle name="Total 3 4 2 3 2" xfId="41473"/>
    <cellStyle name="Total 3 4 2 4" xfId="41474"/>
    <cellStyle name="Total 3 4 2 4 2" xfId="41475"/>
    <cellStyle name="Total 3 4 2 5" xfId="41476"/>
    <cellStyle name="Total 3 4 2 5 2" xfId="41477"/>
    <cellStyle name="Total 3 4 2 6" xfId="41478"/>
    <cellStyle name="Total 3 4 2 6 2" xfId="41479"/>
    <cellStyle name="Total 3 4 2 7" xfId="41480"/>
    <cellStyle name="Total 3 4 2 7 2" xfId="41481"/>
    <cellStyle name="Total 3 4 2 8" xfId="41482"/>
    <cellStyle name="Total 3 4 2 8 2" xfId="41483"/>
    <cellStyle name="Total 3 4 2 9" xfId="41484"/>
    <cellStyle name="Total 3 4 2 9 2" xfId="41485"/>
    <cellStyle name="Total 3 4 3" xfId="41486"/>
    <cellStyle name="Total 3 4 3 10" xfId="41487"/>
    <cellStyle name="Total 3 4 3 10 2" xfId="41488"/>
    <cellStyle name="Total 3 4 3 11" xfId="41489"/>
    <cellStyle name="Total 3 4 3 2" xfId="41490"/>
    <cellStyle name="Total 3 4 3 2 2" xfId="41491"/>
    <cellStyle name="Total 3 4 3 3" xfId="41492"/>
    <cellStyle name="Total 3 4 3 3 2" xfId="41493"/>
    <cellStyle name="Total 3 4 3 4" xfId="41494"/>
    <cellStyle name="Total 3 4 3 4 2" xfId="41495"/>
    <cellStyle name="Total 3 4 3 5" xfId="41496"/>
    <cellStyle name="Total 3 4 3 5 2" xfId="41497"/>
    <cellStyle name="Total 3 4 3 6" xfId="41498"/>
    <cellStyle name="Total 3 4 3 6 2" xfId="41499"/>
    <cellStyle name="Total 3 4 3 7" xfId="41500"/>
    <cellStyle name="Total 3 4 3 7 2" xfId="41501"/>
    <cellStyle name="Total 3 4 3 8" xfId="41502"/>
    <cellStyle name="Total 3 4 3 8 2" xfId="41503"/>
    <cellStyle name="Total 3 4 3 9" xfId="41504"/>
    <cellStyle name="Total 3 4 3 9 2" xfId="41505"/>
    <cellStyle name="Total 3 4 4" xfId="41506"/>
    <cellStyle name="Total 3 4 4 2" xfId="41507"/>
    <cellStyle name="Total 3 4 5" xfId="41508"/>
    <cellStyle name="Total 3 4 5 2" xfId="41509"/>
    <cellStyle name="Total 3 4 6" xfId="41510"/>
    <cellStyle name="Total 3 4 6 2" xfId="41511"/>
    <cellStyle name="Total 3 4 7" xfId="41512"/>
    <cellStyle name="Total 3 4 7 2" xfId="41513"/>
    <cellStyle name="Total 3 4 8" xfId="41514"/>
    <cellStyle name="Total 3 4 8 2" xfId="41515"/>
    <cellStyle name="Total 3 4 9" xfId="41516"/>
    <cellStyle name="Total 3 4 9 2" xfId="41517"/>
    <cellStyle name="Total 3 5" xfId="41518"/>
    <cellStyle name="Total 3 5 10" xfId="41519"/>
    <cellStyle name="Total 3 5 10 2" xfId="41520"/>
    <cellStyle name="Total 3 5 11" xfId="41521"/>
    <cellStyle name="Total 3 5 11 2" xfId="41522"/>
    <cellStyle name="Total 3 5 12" xfId="41523"/>
    <cellStyle name="Total 3 5 12 2" xfId="41524"/>
    <cellStyle name="Total 3 5 13" xfId="41525"/>
    <cellStyle name="Total 3 5 2" xfId="41526"/>
    <cellStyle name="Total 3 5 2 10" xfId="41527"/>
    <cellStyle name="Total 3 5 2 10 2" xfId="41528"/>
    <cellStyle name="Total 3 5 2 11" xfId="41529"/>
    <cellStyle name="Total 3 5 2 2" xfId="41530"/>
    <cellStyle name="Total 3 5 2 2 2" xfId="41531"/>
    <cellStyle name="Total 3 5 2 3" xfId="41532"/>
    <cellStyle name="Total 3 5 2 3 2" xfId="41533"/>
    <cellStyle name="Total 3 5 2 4" xfId="41534"/>
    <cellStyle name="Total 3 5 2 4 2" xfId="41535"/>
    <cellStyle name="Total 3 5 2 5" xfId="41536"/>
    <cellStyle name="Total 3 5 2 5 2" xfId="41537"/>
    <cellStyle name="Total 3 5 2 6" xfId="41538"/>
    <cellStyle name="Total 3 5 2 6 2" xfId="41539"/>
    <cellStyle name="Total 3 5 2 7" xfId="41540"/>
    <cellStyle name="Total 3 5 2 7 2" xfId="41541"/>
    <cellStyle name="Total 3 5 2 8" xfId="41542"/>
    <cellStyle name="Total 3 5 2 8 2" xfId="41543"/>
    <cellStyle name="Total 3 5 2 9" xfId="41544"/>
    <cellStyle name="Total 3 5 2 9 2" xfId="41545"/>
    <cellStyle name="Total 3 5 3" xfId="41546"/>
    <cellStyle name="Total 3 5 3 10" xfId="41547"/>
    <cellStyle name="Total 3 5 3 10 2" xfId="41548"/>
    <cellStyle name="Total 3 5 3 11" xfId="41549"/>
    <cellStyle name="Total 3 5 3 2" xfId="41550"/>
    <cellStyle name="Total 3 5 3 2 2" xfId="41551"/>
    <cellStyle name="Total 3 5 3 3" xfId="41552"/>
    <cellStyle name="Total 3 5 3 3 2" xfId="41553"/>
    <cellStyle name="Total 3 5 3 4" xfId="41554"/>
    <cellStyle name="Total 3 5 3 4 2" xfId="41555"/>
    <cellStyle name="Total 3 5 3 5" xfId="41556"/>
    <cellStyle name="Total 3 5 3 5 2" xfId="41557"/>
    <cellStyle name="Total 3 5 3 6" xfId="41558"/>
    <cellStyle name="Total 3 5 3 6 2" xfId="41559"/>
    <cellStyle name="Total 3 5 3 7" xfId="41560"/>
    <cellStyle name="Total 3 5 3 7 2" xfId="41561"/>
    <cellStyle name="Total 3 5 3 8" xfId="41562"/>
    <cellStyle name="Total 3 5 3 8 2" xfId="41563"/>
    <cellStyle name="Total 3 5 3 9" xfId="41564"/>
    <cellStyle name="Total 3 5 3 9 2" xfId="41565"/>
    <cellStyle name="Total 3 5 4" xfId="41566"/>
    <cellStyle name="Total 3 5 4 2" xfId="41567"/>
    <cellStyle name="Total 3 5 5" xfId="41568"/>
    <cellStyle name="Total 3 5 5 2" xfId="41569"/>
    <cellStyle name="Total 3 5 6" xfId="41570"/>
    <cellStyle name="Total 3 5 6 2" xfId="41571"/>
    <cellStyle name="Total 3 5 7" xfId="41572"/>
    <cellStyle name="Total 3 5 7 2" xfId="41573"/>
    <cellStyle name="Total 3 5 8" xfId="41574"/>
    <cellStyle name="Total 3 5 8 2" xfId="41575"/>
    <cellStyle name="Total 3 5 9" xfId="41576"/>
    <cellStyle name="Total 3 5 9 2" xfId="41577"/>
    <cellStyle name="Total 3 6" xfId="41578"/>
    <cellStyle name="Total 3 6 2" xfId="41579"/>
    <cellStyle name="Total 3 7" xfId="41580"/>
    <cellStyle name="Total 3 7 2" xfId="41581"/>
    <cellStyle name="Total 3 8" xfId="41582"/>
    <cellStyle name="Total 3 8 2" xfId="41583"/>
    <cellStyle name="Total 3 9" xfId="41584"/>
    <cellStyle name="Total 3 9 2" xfId="41585"/>
    <cellStyle name="Total 4" xfId="41586"/>
    <cellStyle name="Total 4 10" xfId="41587"/>
    <cellStyle name="Total 4 10 2" xfId="41588"/>
    <cellStyle name="Total 4 11" xfId="41589"/>
    <cellStyle name="Total 4 11 2" xfId="41590"/>
    <cellStyle name="Total 4 12" xfId="41591"/>
    <cellStyle name="Total 4 12 2" xfId="41592"/>
    <cellStyle name="Total 4 13" xfId="41593"/>
    <cellStyle name="Total 4 13 2" xfId="41594"/>
    <cellStyle name="Total 4 14" xfId="41595"/>
    <cellStyle name="Total 4 14 2" xfId="41596"/>
    <cellStyle name="Total 4 15" xfId="41597"/>
    <cellStyle name="Total 4 15 2" xfId="41598"/>
    <cellStyle name="Total 4 16" xfId="41599"/>
    <cellStyle name="Total 4 17" xfId="41600"/>
    <cellStyle name="Total 4 18" xfId="41601"/>
    <cellStyle name="Total 4 2" xfId="41602"/>
    <cellStyle name="Total 4 2 10" xfId="41603"/>
    <cellStyle name="Total 4 2 10 2" xfId="41604"/>
    <cellStyle name="Total 4 2 11" xfId="41605"/>
    <cellStyle name="Total 4 2 11 2" xfId="41606"/>
    <cellStyle name="Total 4 2 12" xfId="41607"/>
    <cellStyle name="Total 4 2 12 2" xfId="41608"/>
    <cellStyle name="Total 4 2 13" xfId="41609"/>
    <cellStyle name="Total 4 2 13 2" xfId="41610"/>
    <cellStyle name="Total 4 2 14" xfId="41611"/>
    <cellStyle name="Total 4 2 14 2" xfId="41612"/>
    <cellStyle name="Total 4 2 15" xfId="41613"/>
    <cellStyle name="Total 4 2 2" xfId="41614"/>
    <cellStyle name="Total 4 2 2 10" xfId="41615"/>
    <cellStyle name="Total 4 2 2 10 2" xfId="41616"/>
    <cellStyle name="Total 4 2 2 11" xfId="41617"/>
    <cellStyle name="Total 4 2 2 11 2" xfId="41618"/>
    <cellStyle name="Total 4 2 2 12" xfId="41619"/>
    <cellStyle name="Total 4 2 2 12 2" xfId="41620"/>
    <cellStyle name="Total 4 2 2 13" xfId="41621"/>
    <cellStyle name="Total 4 2 2 2" xfId="41622"/>
    <cellStyle name="Total 4 2 2 2 10" xfId="41623"/>
    <cellStyle name="Total 4 2 2 2 10 2" xfId="41624"/>
    <cellStyle name="Total 4 2 2 2 11" xfId="41625"/>
    <cellStyle name="Total 4 2 2 2 2" xfId="41626"/>
    <cellStyle name="Total 4 2 2 2 2 2" xfId="41627"/>
    <cellStyle name="Total 4 2 2 2 3" xfId="41628"/>
    <cellStyle name="Total 4 2 2 2 3 2" xfId="41629"/>
    <cellStyle name="Total 4 2 2 2 4" xfId="41630"/>
    <cellStyle name="Total 4 2 2 2 4 2" xfId="41631"/>
    <cellStyle name="Total 4 2 2 2 5" xfId="41632"/>
    <cellStyle name="Total 4 2 2 2 5 2" xfId="41633"/>
    <cellStyle name="Total 4 2 2 2 6" xfId="41634"/>
    <cellStyle name="Total 4 2 2 2 6 2" xfId="41635"/>
    <cellStyle name="Total 4 2 2 2 7" xfId="41636"/>
    <cellStyle name="Total 4 2 2 2 7 2" xfId="41637"/>
    <cellStyle name="Total 4 2 2 2 8" xfId="41638"/>
    <cellStyle name="Total 4 2 2 2 8 2" xfId="41639"/>
    <cellStyle name="Total 4 2 2 2 9" xfId="41640"/>
    <cellStyle name="Total 4 2 2 2 9 2" xfId="41641"/>
    <cellStyle name="Total 4 2 2 3" xfId="41642"/>
    <cellStyle name="Total 4 2 2 3 10" xfId="41643"/>
    <cellStyle name="Total 4 2 2 3 10 2" xfId="41644"/>
    <cellStyle name="Total 4 2 2 3 11" xfId="41645"/>
    <cellStyle name="Total 4 2 2 3 2" xfId="41646"/>
    <cellStyle name="Total 4 2 2 3 2 2" xfId="41647"/>
    <cellStyle name="Total 4 2 2 3 3" xfId="41648"/>
    <cellStyle name="Total 4 2 2 3 3 2" xfId="41649"/>
    <cellStyle name="Total 4 2 2 3 4" xfId="41650"/>
    <cellStyle name="Total 4 2 2 3 4 2" xfId="41651"/>
    <cellStyle name="Total 4 2 2 3 5" xfId="41652"/>
    <cellStyle name="Total 4 2 2 3 5 2" xfId="41653"/>
    <cellStyle name="Total 4 2 2 3 6" xfId="41654"/>
    <cellStyle name="Total 4 2 2 3 6 2" xfId="41655"/>
    <cellStyle name="Total 4 2 2 3 7" xfId="41656"/>
    <cellStyle name="Total 4 2 2 3 7 2" xfId="41657"/>
    <cellStyle name="Total 4 2 2 3 8" xfId="41658"/>
    <cellStyle name="Total 4 2 2 3 8 2" xfId="41659"/>
    <cellStyle name="Total 4 2 2 3 9" xfId="41660"/>
    <cellStyle name="Total 4 2 2 3 9 2" xfId="41661"/>
    <cellStyle name="Total 4 2 2 4" xfId="41662"/>
    <cellStyle name="Total 4 2 2 4 2" xfId="41663"/>
    <cellStyle name="Total 4 2 2 5" xfId="41664"/>
    <cellStyle name="Total 4 2 2 5 2" xfId="41665"/>
    <cellStyle name="Total 4 2 2 6" xfId="41666"/>
    <cellStyle name="Total 4 2 2 6 2" xfId="41667"/>
    <cellStyle name="Total 4 2 2 7" xfId="41668"/>
    <cellStyle name="Total 4 2 2 7 2" xfId="41669"/>
    <cellStyle name="Total 4 2 2 8" xfId="41670"/>
    <cellStyle name="Total 4 2 2 8 2" xfId="41671"/>
    <cellStyle name="Total 4 2 2 9" xfId="41672"/>
    <cellStyle name="Total 4 2 2 9 2" xfId="41673"/>
    <cellStyle name="Total 4 2 3" xfId="41674"/>
    <cellStyle name="Total 4 2 3 10" xfId="41675"/>
    <cellStyle name="Total 4 2 3 10 2" xfId="41676"/>
    <cellStyle name="Total 4 2 3 11" xfId="41677"/>
    <cellStyle name="Total 4 2 3 11 2" xfId="41678"/>
    <cellStyle name="Total 4 2 3 12" xfId="41679"/>
    <cellStyle name="Total 4 2 3 12 2" xfId="41680"/>
    <cellStyle name="Total 4 2 3 13" xfId="41681"/>
    <cellStyle name="Total 4 2 3 2" xfId="41682"/>
    <cellStyle name="Total 4 2 3 2 10" xfId="41683"/>
    <cellStyle name="Total 4 2 3 2 10 2" xfId="41684"/>
    <cellStyle name="Total 4 2 3 2 11" xfId="41685"/>
    <cellStyle name="Total 4 2 3 2 2" xfId="41686"/>
    <cellStyle name="Total 4 2 3 2 2 2" xfId="41687"/>
    <cellStyle name="Total 4 2 3 2 3" xfId="41688"/>
    <cellStyle name="Total 4 2 3 2 3 2" xfId="41689"/>
    <cellStyle name="Total 4 2 3 2 4" xfId="41690"/>
    <cellStyle name="Total 4 2 3 2 4 2" xfId="41691"/>
    <cellStyle name="Total 4 2 3 2 5" xfId="41692"/>
    <cellStyle name="Total 4 2 3 2 5 2" xfId="41693"/>
    <cellStyle name="Total 4 2 3 2 6" xfId="41694"/>
    <cellStyle name="Total 4 2 3 2 6 2" xfId="41695"/>
    <cellStyle name="Total 4 2 3 2 7" xfId="41696"/>
    <cellStyle name="Total 4 2 3 2 7 2" xfId="41697"/>
    <cellStyle name="Total 4 2 3 2 8" xfId="41698"/>
    <cellStyle name="Total 4 2 3 2 8 2" xfId="41699"/>
    <cellStyle name="Total 4 2 3 2 9" xfId="41700"/>
    <cellStyle name="Total 4 2 3 2 9 2" xfId="41701"/>
    <cellStyle name="Total 4 2 3 3" xfId="41702"/>
    <cellStyle name="Total 4 2 3 3 10" xfId="41703"/>
    <cellStyle name="Total 4 2 3 3 10 2" xfId="41704"/>
    <cellStyle name="Total 4 2 3 3 11" xfId="41705"/>
    <cellStyle name="Total 4 2 3 3 2" xfId="41706"/>
    <cellStyle name="Total 4 2 3 3 2 2" xfId="41707"/>
    <cellStyle name="Total 4 2 3 3 3" xfId="41708"/>
    <cellStyle name="Total 4 2 3 3 3 2" xfId="41709"/>
    <cellStyle name="Total 4 2 3 3 4" xfId="41710"/>
    <cellStyle name="Total 4 2 3 3 4 2" xfId="41711"/>
    <cellStyle name="Total 4 2 3 3 5" xfId="41712"/>
    <cellStyle name="Total 4 2 3 3 5 2" xfId="41713"/>
    <cellStyle name="Total 4 2 3 3 6" xfId="41714"/>
    <cellStyle name="Total 4 2 3 3 6 2" xfId="41715"/>
    <cellStyle name="Total 4 2 3 3 7" xfId="41716"/>
    <cellStyle name="Total 4 2 3 3 7 2" xfId="41717"/>
    <cellStyle name="Total 4 2 3 3 8" xfId="41718"/>
    <cellStyle name="Total 4 2 3 3 8 2" xfId="41719"/>
    <cellStyle name="Total 4 2 3 3 9" xfId="41720"/>
    <cellStyle name="Total 4 2 3 3 9 2" xfId="41721"/>
    <cellStyle name="Total 4 2 3 4" xfId="41722"/>
    <cellStyle name="Total 4 2 3 4 2" xfId="41723"/>
    <cellStyle name="Total 4 2 3 5" xfId="41724"/>
    <cellStyle name="Total 4 2 3 5 2" xfId="41725"/>
    <cellStyle name="Total 4 2 3 6" xfId="41726"/>
    <cellStyle name="Total 4 2 3 6 2" xfId="41727"/>
    <cellStyle name="Total 4 2 3 7" xfId="41728"/>
    <cellStyle name="Total 4 2 3 7 2" xfId="41729"/>
    <cellStyle name="Total 4 2 3 8" xfId="41730"/>
    <cellStyle name="Total 4 2 3 8 2" xfId="41731"/>
    <cellStyle name="Total 4 2 3 9" xfId="41732"/>
    <cellStyle name="Total 4 2 3 9 2" xfId="41733"/>
    <cellStyle name="Total 4 2 4" xfId="41734"/>
    <cellStyle name="Total 4 2 4 10" xfId="41735"/>
    <cellStyle name="Total 4 2 4 10 2" xfId="41736"/>
    <cellStyle name="Total 4 2 4 11" xfId="41737"/>
    <cellStyle name="Total 4 2 4 2" xfId="41738"/>
    <cellStyle name="Total 4 2 4 2 2" xfId="41739"/>
    <cellStyle name="Total 4 2 4 3" xfId="41740"/>
    <cellStyle name="Total 4 2 4 3 2" xfId="41741"/>
    <cellStyle name="Total 4 2 4 4" xfId="41742"/>
    <cellStyle name="Total 4 2 4 4 2" xfId="41743"/>
    <cellStyle name="Total 4 2 4 5" xfId="41744"/>
    <cellStyle name="Total 4 2 4 5 2" xfId="41745"/>
    <cellStyle name="Total 4 2 4 6" xfId="41746"/>
    <cellStyle name="Total 4 2 4 6 2" xfId="41747"/>
    <cellStyle name="Total 4 2 4 7" xfId="41748"/>
    <cellStyle name="Total 4 2 4 7 2" xfId="41749"/>
    <cellStyle name="Total 4 2 4 8" xfId="41750"/>
    <cellStyle name="Total 4 2 4 8 2" xfId="41751"/>
    <cellStyle name="Total 4 2 4 9" xfId="41752"/>
    <cellStyle name="Total 4 2 4 9 2" xfId="41753"/>
    <cellStyle name="Total 4 2 5" xfId="41754"/>
    <cellStyle name="Total 4 2 5 10" xfId="41755"/>
    <cellStyle name="Total 4 2 5 10 2" xfId="41756"/>
    <cellStyle name="Total 4 2 5 11" xfId="41757"/>
    <cellStyle name="Total 4 2 5 2" xfId="41758"/>
    <cellStyle name="Total 4 2 5 2 2" xfId="41759"/>
    <cellStyle name="Total 4 2 5 3" xfId="41760"/>
    <cellStyle name="Total 4 2 5 3 2" xfId="41761"/>
    <cellStyle name="Total 4 2 5 4" xfId="41762"/>
    <cellStyle name="Total 4 2 5 4 2" xfId="41763"/>
    <cellStyle name="Total 4 2 5 5" xfId="41764"/>
    <cellStyle name="Total 4 2 5 5 2" xfId="41765"/>
    <cellStyle name="Total 4 2 5 6" xfId="41766"/>
    <cellStyle name="Total 4 2 5 6 2" xfId="41767"/>
    <cellStyle name="Total 4 2 5 7" xfId="41768"/>
    <cellStyle name="Total 4 2 5 7 2" xfId="41769"/>
    <cellStyle name="Total 4 2 5 8" xfId="41770"/>
    <cellStyle name="Total 4 2 5 8 2" xfId="41771"/>
    <cellStyle name="Total 4 2 5 9" xfId="41772"/>
    <cellStyle name="Total 4 2 5 9 2" xfId="41773"/>
    <cellStyle name="Total 4 2 6" xfId="41774"/>
    <cellStyle name="Total 4 2 6 2" xfId="41775"/>
    <cellStyle name="Total 4 2 7" xfId="41776"/>
    <cellStyle name="Total 4 2 7 2" xfId="41777"/>
    <cellStyle name="Total 4 2 8" xfId="41778"/>
    <cellStyle name="Total 4 2 8 2" xfId="41779"/>
    <cellStyle name="Total 4 2 9" xfId="41780"/>
    <cellStyle name="Total 4 2 9 2" xfId="41781"/>
    <cellStyle name="Total 4 3" xfId="41782"/>
    <cellStyle name="Total 4 3 10" xfId="41783"/>
    <cellStyle name="Total 4 3 10 2" xfId="41784"/>
    <cellStyle name="Total 4 3 11" xfId="41785"/>
    <cellStyle name="Total 4 3 11 2" xfId="41786"/>
    <cellStyle name="Total 4 3 12" xfId="41787"/>
    <cellStyle name="Total 4 3 12 2" xfId="41788"/>
    <cellStyle name="Total 4 3 13" xfId="41789"/>
    <cellStyle name="Total 4 3 2" xfId="41790"/>
    <cellStyle name="Total 4 3 2 10" xfId="41791"/>
    <cellStyle name="Total 4 3 2 10 2" xfId="41792"/>
    <cellStyle name="Total 4 3 2 11" xfId="41793"/>
    <cellStyle name="Total 4 3 2 2" xfId="41794"/>
    <cellStyle name="Total 4 3 2 2 2" xfId="41795"/>
    <cellStyle name="Total 4 3 2 3" xfId="41796"/>
    <cellStyle name="Total 4 3 2 3 2" xfId="41797"/>
    <cellStyle name="Total 4 3 2 4" xfId="41798"/>
    <cellStyle name="Total 4 3 2 4 2" xfId="41799"/>
    <cellStyle name="Total 4 3 2 5" xfId="41800"/>
    <cellStyle name="Total 4 3 2 5 2" xfId="41801"/>
    <cellStyle name="Total 4 3 2 6" xfId="41802"/>
    <cellStyle name="Total 4 3 2 6 2" xfId="41803"/>
    <cellStyle name="Total 4 3 2 7" xfId="41804"/>
    <cellStyle name="Total 4 3 2 7 2" xfId="41805"/>
    <cellStyle name="Total 4 3 2 8" xfId="41806"/>
    <cellStyle name="Total 4 3 2 8 2" xfId="41807"/>
    <cellStyle name="Total 4 3 2 9" xfId="41808"/>
    <cellStyle name="Total 4 3 2 9 2" xfId="41809"/>
    <cellStyle name="Total 4 3 3" xfId="41810"/>
    <cellStyle name="Total 4 3 3 10" xfId="41811"/>
    <cellStyle name="Total 4 3 3 10 2" xfId="41812"/>
    <cellStyle name="Total 4 3 3 11" xfId="41813"/>
    <cellStyle name="Total 4 3 3 2" xfId="41814"/>
    <cellStyle name="Total 4 3 3 2 2" xfId="41815"/>
    <cellStyle name="Total 4 3 3 3" xfId="41816"/>
    <cellStyle name="Total 4 3 3 3 2" xfId="41817"/>
    <cellStyle name="Total 4 3 3 4" xfId="41818"/>
    <cellStyle name="Total 4 3 3 4 2" xfId="41819"/>
    <cellStyle name="Total 4 3 3 5" xfId="41820"/>
    <cellStyle name="Total 4 3 3 5 2" xfId="41821"/>
    <cellStyle name="Total 4 3 3 6" xfId="41822"/>
    <cellStyle name="Total 4 3 3 6 2" xfId="41823"/>
    <cellStyle name="Total 4 3 3 7" xfId="41824"/>
    <cellStyle name="Total 4 3 3 7 2" xfId="41825"/>
    <cellStyle name="Total 4 3 3 8" xfId="41826"/>
    <cellStyle name="Total 4 3 3 8 2" xfId="41827"/>
    <cellStyle name="Total 4 3 3 9" xfId="41828"/>
    <cellStyle name="Total 4 3 3 9 2" xfId="41829"/>
    <cellStyle name="Total 4 3 4" xfId="41830"/>
    <cellStyle name="Total 4 3 4 2" xfId="41831"/>
    <cellStyle name="Total 4 3 5" xfId="41832"/>
    <cellStyle name="Total 4 3 5 2" xfId="41833"/>
    <cellStyle name="Total 4 3 6" xfId="41834"/>
    <cellStyle name="Total 4 3 6 2" xfId="41835"/>
    <cellStyle name="Total 4 3 7" xfId="41836"/>
    <cellStyle name="Total 4 3 7 2" xfId="41837"/>
    <cellStyle name="Total 4 3 8" xfId="41838"/>
    <cellStyle name="Total 4 3 8 2" xfId="41839"/>
    <cellStyle name="Total 4 3 9" xfId="41840"/>
    <cellStyle name="Total 4 3 9 2" xfId="41841"/>
    <cellStyle name="Total 4 4" xfId="41842"/>
    <cellStyle name="Total 4 4 10" xfId="41843"/>
    <cellStyle name="Total 4 4 10 2" xfId="41844"/>
    <cellStyle name="Total 4 4 11" xfId="41845"/>
    <cellStyle name="Total 4 4 11 2" xfId="41846"/>
    <cellStyle name="Total 4 4 12" xfId="41847"/>
    <cellStyle name="Total 4 4 12 2" xfId="41848"/>
    <cellStyle name="Total 4 4 13" xfId="41849"/>
    <cellStyle name="Total 4 4 2" xfId="41850"/>
    <cellStyle name="Total 4 4 2 10" xfId="41851"/>
    <cellStyle name="Total 4 4 2 10 2" xfId="41852"/>
    <cellStyle name="Total 4 4 2 11" xfId="41853"/>
    <cellStyle name="Total 4 4 2 2" xfId="41854"/>
    <cellStyle name="Total 4 4 2 2 2" xfId="41855"/>
    <cellStyle name="Total 4 4 2 3" xfId="41856"/>
    <cellStyle name="Total 4 4 2 3 2" xfId="41857"/>
    <cellStyle name="Total 4 4 2 4" xfId="41858"/>
    <cellStyle name="Total 4 4 2 4 2" xfId="41859"/>
    <cellStyle name="Total 4 4 2 5" xfId="41860"/>
    <cellStyle name="Total 4 4 2 5 2" xfId="41861"/>
    <cellStyle name="Total 4 4 2 6" xfId="41862"/>
    <cellStyle name="Total 4 4 2 6 2" xfId="41863"/>
    <cellStyle name="Total 4 4 2 7" xfId="41864"/>
    <cellStyle name="Total 4 4 2 7 2" xfId="41865"/>
    <cellStyle name="Total 4 4 2 8" xfId="41866"/>
    <cellStyle name="Total 4 4 2 8 2" xfId="41867"/>
    <cellStyle name="Total 4 4 2 9" xfId="41868"/>
    <cellStyle name="Total 4 4 2 9 2" xfId="41869"/>
    <cellStyle name="Total 4 4 3" xfId="41870"/>
    <cellStyle name="Total 4 4 3 10" xfId="41871"/>
    <cellStyle name="Total 4 4 3 10 2" xfId="41872"/>
    <cellStyle name="Total 4 4 3 11" xfId="41873"/>
    <cellStyle name="Total 4 4 3 2" xfId="41874"/>
    <cellStyle name="Total 4 4 3 2 2" xfId="41875"/>
    <cellStyle name="Total 4 4 3 3" xfId="41876"/>
    <cellStyle name="Total 4 4 3 3 2" xfId="41877"/>
    <cellStyle name="Total 4 4 3 4" xfId="41878"/>
    <cellStyle name="Total 4 4 3 4 2" xfId="41879"/>
    <cellStyle name="Total 4 4 3 5" xfId="41880"/>
    <cellStyle name="Total 4 4 3 5 2" xfId="41881"/>
    <cellStyle name="Total 4 4 3 6" xfId="41882"/>
    <cellStyle name="Total 4 4 3 6 2" xfId="41883"/>
    <cellStyle name="Total 4 4 3 7" xfId="41884"/>
    <cellStyle name="Total 4 4 3 7 2" xfId="41885"/>
    <cellStyle name="Total 4 4 3 8" xfId="41886"/>
    <cellStyle name="Total 4 4 3 8 2" xfId="41887"/>
    <cellStyle name="Total 4 4 3 9" xfId="41888"/>
    <cellStyle name="Total 4 4 3 9 2" xfId="41889"/>
    <cellStyle name="Total 4 4 4" xfId="41890"/>
    <cellStyle name="Total 4 4 4 2" xfId="41891"/>
    <cellStyle name="Total 4 4 5" xfId="41892"/>
    <cellStyle name="Total 4 4 5 2" xfId="41893"/>
    <cellStyle name="Total 4 4 6" xfId="41894"/>
    <cellStyle name="Total 4 4 6 2" xfId="41895"/>
    <cellStyle name="Total 4 4 7" xfId="41896"/>
    <cellStyle name="Total 4 4 7 2" xfId="41897"/>
    <cellStyle name="Total 4 4 8" xfId="41898"/>
    <cellStyle name="Total 4 4 8 2" xfId="41899"/>
    <cellStyle name="Total 4 4 9" xfId="41900"/>
    <cellStyle name="Total 4 4 9 2" xfId="41901"/>
    <cellStyle name="Total 4 5" xfId="41902"/>
    <cellStyle name="Total 4 5 10" xfId="41903"/>
    <cellStyle name="Total 4 5 10 2" xfId="41904"/>
    <cellStyle name="Total 4 5 11" xfId="41905"/>
    <cellStyle name="Total 4 5 2" xfId="41906"/>
    <cellStyle name="Total 4 5 2 2" xfId="41907"/>
    <cellStyle name="Total 4 5 3" xfId="41908"/>
    <cellStyle name="Total 4 5 3 2" xfId="41909"/>
    <cellStyle name="Total 4 5 4" xfId="41910"/>
    <cellStyle name="Total 4 5 4 2" xfId="41911"/>
    <cellStyle name="Total 4 5 5" xfId="41912"/>
    <cellStyle name="Total 4 5 5 2" xfId="41913"/>
    <cellStyle name="Total 4 5 6" xfId="41914"/>
    <cellStyle name="Total 4 5 6 2" xfId="41915"/>
    <cellStyle name="Total 4 5 7" xfId="41916"/>
    <cellStyle name="Total 4 5 7 2" xfId="41917"/>
    <cellStyle name="Total 4 5 8" xfId="41918"/>
    <cellStyle name="Total 4 5 8 2" xfId="41919"/>
    <cellStyle name="Total 4 5 9" xfId="41920"/>
    <cellStyle name="Total 4 5 9 2" xfId="41921"/>
    <cellStyle name="Total 4 6" xfId="41922"/>
    <cellStyle name="Total 4 6 10" xfId="41923"/>
    <cellStyle name="Total 4 6 10 2" xfId="41924"/>
    <cellStyle name="Total 4 6 11" xfId="41925"/>
    <cellStyle name="Total 4 6 2" xfId="41926"/>
    <cellStyle name="Total 4 6 2 2" xfId="41927"/>
    <cellStyle name="Total 4 6 3" xfId="41928"/>
    <cellStyle name="Total 4 6 3 2" xfId="41929"/>
    <cellStyle name="Total 4 6 4" xfId="41930"/>
    <cellStyle name="Total 4 6 4 2" xfId="41931"/>
    <cellStyle name="Total 4 6 5" xfId="41932"/>
    <cellStyle name="Total 4 6 5 2" xfId="41933"/>
    <cellStyle name="Total 4 6 6" xfId="41934"/>
    <cellStyle name="Total 4 6 6 2" xfId="41935"/>
    <cellStyle name="Total 4 6 7" xfId="41936"/>
    <cellStyle name="Total 4 6 7 2" xfId="41937"/>
    <cellStyle name="Total 4 6 8" xfId="41938"/>
    <cellStyle name="Total 4 6 8 2" xfId="41939"/>
    <cellStyle name="Total 4 6 9" xfId="41940"/>
    <cellStyle name="Total 4 6 9 2" xfId="41941"/>
    <cellStyle name="Total 4 7" xfId="41942"/>
    <cellStyle name="Total 4 7 2" xfId="41943"/>
    <cellStyle name="Total 4 8" xfId="41944"/>
    <cellStyle name="Total 4 8 2" xfId="41945"/>
    <cellStyle name="Total 4 9" xfId="41946"/>
    <cellStyle name="Total 4 9 2" xfId="41947"/>
    <cellStyle name="Total 5" xfId="41948"/>
    <cellStyle name="Total 5 10" xfId="41949"/>
    <cellStyle name="Total 5 10 2" xfId="41950"/>
    <cellStyle name="Total 5 11" xfId="41951"/>
    <cellStyle name="Total 5 11 2" xfId="41952"/>
    <cellStyle name="Total 5 12" xfId="41953"/>
    <cellStyle name="Total 5 12 2" xfId="41954"/>
    <cellStyle name="Total 5 13" xfId="41955"/>
    <cellStyle name="Total 5 2" xfId="41956"/>
    <cellStyle name="Total 5 2 10" xfId="41957"/>
    <cellStyle name="Total 5 2 10 2" xfId="41958"/>
    <cellStyle name="Total 5 2 11" xfId="41959"/>
    <cellStyle name="Total 5 2 2" xfId="41960"/>
    <cellStyle name="Total 5 2 2 2" xfId="41961"/>
    <cellStyle name="Total 5 2 3" xfId="41962"/>
    <cellStyle name="Total 5 2 3 2" xfId="41963"/>
    <cellStyle name="Total 5 2 4" xfId="41964"/>
    <cellStyle name="Total 5 2 4 2" xfId="41965"/>
    <cellStyle name="Total 5 2 5" xfId="41966"/>
    <cellStyle name="Total 5 2 5 2" xfId="41967"/>
    <cellStyle name="Total 5 2 6" xfId="41968"/>
    <cellStyle name="Total 5 2 6 2" xfId="41969"/>
    <cellStyle name="Total 5 2 7" xfId="41970"/>
    <cellStyle name="Total 5 2 7 2" xfId="41971"/>
    <cellStyle name="Total 5 2 8" xfId="41972"/>
    <cellStyle name="Total 5 2 8 2" xfId="41973"/>
    <cellStyle name="Total 5 2 9" xfId="41974"/>
    <cellStyle name="Total 5 2 9 2" xfId="41975"/>
    <cellStyle name="Total 5 3" xfId="41976"/>
    <cellStyle name="Total 5 3 10" xfId="41977"/>
    <cellStyle name="Total 5 3 10 2" xfId="41978"/>
    <cellStyle name="Total 5 3 11" xfId="41979"/>
    <cellStyle name="Total 5 3 2" xfId="41980"/>
    <cellStyle name="Total 5 3 2 2" xfId="41981"/>
    <cellStyle name="Total 5 3 3" xfId="41982"/>
    <cellStyle name="Total 5 3 3 2" xfId="41983"/>
    <cellStyle name="Total 5 3 4" xfId="41984"/>
    <cellStyle name="Total 5 3 4 2" xfId="41985"/>
    <cellStyle name="Total 5 3 5" xfId="41986"/>
    <cellStyle name="Total 5 3 5 2" xfId="41987"/>
    <cellStyle name="Total 5 3 6" xfId="41988"/>
    <cellStyle name="Total 5 3 6 2" xfId="41989"/>
    <cellStyle name="Total 5 3 7" xfId="41990"/>
    <cellStyle name="Total 5 3 7 2" xfId="41991"/>
    <cellStyle name="Total 5 3 8" xfId="41992"/>
    <cellStyle name="Total 5 3 8 2" xfId="41993"/>
    <cellStyle name="Total 5 3 9" xfId="41994"/>
    <cellStyle name="Total 5 3 9 2" xfId="41995"/>
    <cellStyle name="Total 5 4" xfId="41996"/>
    <cellStyle name="Total 5 4 2" xfId="41997"/>
    <cellStyle name="Total 5 5" xfId="41998"/>
    <cellStyle name="Total 5 5 2" xfId="41999"/>
    <cellStyle name="Total 5 6" xfId="42000"/>
    <cellStyle name="Total 5 6 2" xfId="42001"/>
    <cellStyle name="Total 5 7" xfId="42002"/>
    <cellStyle name="Total 5 7 2" xfId="42003"/>
    <cellStyle name="Total 5 8" xfId="42004"/>
    <cellStyle name="Total 5 8 2" xfId="42005"/>
    <cellStyle name="Total 5 9" xfId="42006"/>
    <cellStyle name="Total 5 9 2" xfId="42007"/>
    <cellStyle name="Total 6" xfId="42008"/>
    <cellStyle name="Total 6 10" xfId="42009"/>
    <cellStyle name="Total 6 10 2" xfId="42010"/>
    <cellStyle name="Total 6 11" xfId="42011"/>
    <cellStyle name="Total 6 11 2" xfId="42012"/>
    <cellStyle name="Total 6 12" xfId="42013"/>
    <cellStyle name="Total 6 12 2" xfId="42014"/>
    <cellStyle name="Total 6 13" xfId="42015"/>
    <cellStyle name="Total 6 2" xfId="42016"/>
    <cellStyle name="Total 6 2 10" xfId="42017"/>
    <cellStyle name="Total 6 2 10 2" xfId="42018"/>
    <cellStyle name="Total 6 2 11" xfId="42019"/>
    <cellStyle name="Total 6 2 2" xfId="42020"/>
    <cellStyle name="Total 6 2 2 2" xfId="42021"/>
    <cellStyle name="Total 6 2 3" xfId="42022"/>
    <cellStyle name="Total 6 2 3 2" xfId="42023"/>
    <cellStyle name="Total 6 2 4" xfId="42024"/>
    <cellStyle name="Total 6 2 4 2" xfId="42025"/>
    <cellStyle name="Total 6 2 5" xfId="42026"/>
    <cellStyle name="Total 6 2 5 2" xfId="42027"/>
    <cellStyle name="Total 6 2 6" xfId="42028"/>
    <cellStyle name="Total 6 2 6 2" xfId="42029"/>
    <cellStyle name="Total 6 2 7" xfId="42030"/>
    <cellStyle name="Total 6 2 7 2" xfId="42031"/>
    <cellStyle name="Total 6 2 8" xfId="42032"/>
    <cellStyle name="Total 6 2 8 2" xfId="42033"/>
    <cellStyle name="Total 6 2 9" xfId="42034"/>
    <cellStyle name="Total 6 2 9 2" xfId="42035"/>
    <cellStyle name="Total 6 3" xfId="42036"/>
    <cellStyle name="Total 6 3 10" xfId="42037"/>
    <cellStyle name="Total 6 3 10 2" xfId="42038"/>
    <cellStyle name="Total 6 3 11" xfId="42039"/>
    <cellStyle name="Total 6 3 2" xfId="42040"/>
    <cellStyle name="Total 6 3 2 2" xfId="42041"/>
    <cellStyle name="Total 6 3 3" xfId="42042"/>
    <cellStyle name="Total 6 3 3 2" xfId="42043"/>
    <cellStyle name="Total 6 3 4" xfId="42044"/>
    <cellStyle name="Total 6 3 4 2" xfId="42045"/>
    <cellStyle name="Total 6 3 5" xfId="42046"/>
    <cellStyle name="Total 6 3 5 2" xfId="42047"/>
    <cellStyle name="Total 6 3 6" xfId="42048"/>
    <cellStyle name="Total 6 3 6 2" xfId="42049"/>
    <cellStyle name="Total 6 3 7" xfId="42050"/>
    <cellStyle name="Total 6 3 7 2" xfId="42051"/>
    <cellStyle name="Total 6 3 8" xfId="42052"/>
    <cellStyle name="Total 6 3 8 2" xfId="42053"/>
    <cellStyle name="Total 6 3 9" xfId="42054"/>
    <cellStyle name="Total 6 3 9 2" xfId="42055"/>
    <cellStyle name="Total 6 4" xfId="42056"/>
    <cellStyle name="Total 6 4 2" xfId="42057"/>
    <cellStyle name="Total 6 5" xfId="42058"/>
    <cellStyle name="Total 6 5 2" xfId="42059"/>
    <cellStyle name="Total 6 6" xfId="42060"/>
    <cellStyle name="Total 6 6 2" xfId="42061"/>
    <cellStyle name="Total 6 7" xfId="42062"/>
    <cellStyle name="Total 6 7 2" xfId="42063"/>
    <cellStyle name="Total 6 8" xfId="42064"/>
    <cellStyle name="Total 6 8 2" xfId="42065"/>
    <cellStyle name="Total 6 9" xfId="42066"/>
    <cellStyle name="Total 6 9 2" xfId="42067"/>
    <cellStyle name="Total 7" xfId="42068"/>
    <cellStyle name="Total 7 10" xfId="42069"/>
    <cellStyle name="Total 7 10 2" xfId="42070"/>
    <cellStyle name="Total 7 11" xfId="42071"/>
    <cellStyle name="Total 7 11 2" xfId="42072"/>
    <cellStyle name="Total 7 12" xfId="42073"/>
    <cellStyle name="Total 7 12 2" xfId="42074"/>
    <cellStyle name="Total 7 13" xfId="42075"/>
    <cellStyle name="Total 7 2" xfId="42076"/>
    <cellStyle name="Total 7 2 10" xfId="42077"/>
    <cellStyle name="Total 7 2 10 2" xfId="42078"/>
    <cellStyle name="Total 7 2 11" xfId="42079"/>
    <cellStyle name="Total 7 2 2" xfId="42080"/>
    <cellStyle name="Total 7 2 2 2" xfId="42081"/>
    <cellStyle name="Total 7 2 3" xfId="42082"/>
    <cellStyle name="Total 7 2 3 2" xfId="42083"/>
    <cellStyle name="Total 7 2 4" xfId="42084"/>
    <cellStyle name="Total 7 2 4 2" xfId="42085"/>
    <cellStyle name="Total 7 2 5" xfId="42086"/>
    <cellStyle name="Total 7 2 5 2" xfId="42087"/>
    <cellStyle name="Total 7 2 6" xfId="42088"/>
    <cellStyle name="Total 7 2 6 2" xfId="42089"/>
    <cellStyle name="Total 7 2 7" xfId="42090"/>
    <cellStyle name="Total 7 2 7 2" xfId="42091"/>
    <cellStyle name="Total 7 2 8" xfId="42092"/>
    <cellStyle name="Total 7 2 8 2" xfId="42093"/>
    <cellStyle name="Total 7 2 9" xfId="42094"/>
    <cellStyle name="Total 7 2 9 2" xfId="42095"/>
    <cellStyle name="Total 7 3" xfId="42096"/>
    <cellStyle name="Total 7 3 10" xfId="42097"/>
    <cellStyle name="Total 7 3 10 2" xfId="42098"/>
    <cellStyle name="Total 7 3 11" xfId="42099"/>
    <cellStyle name="Total 7 3 2" xfId="42100"/>
    <cellStyle name="Total 7 3 2 2" xfId="42101"/>
    <cellStyle name="Total 7 3 3" xfId="42102"/>
    <cellStyle name="Total 7 3 3 2" xfId="42103"/>
    <cellStyle name="Total 7 3 4" xfId="42104"/>
    <cellStyle name="Total 7 3 4 2" xfId="42105"/>
    <cellStyle name="Total 7 3 5" xfId="42106"/>
    <cellStyle name="Total 7 3 5 2" xfId="42107"/>
    <cellStyle name="Total 7 3 6" xfId="42108"/>
    <cellStyle name="Total 7 3 6 2" xfId="42109"/>
    <cellStyle name="Total 7 3 7" xfId="42110"/>
    <cellStyle name="Total 7 3 7 2" xfId="42111"/>
    <cellStyle name="Total 7 3 8" xfId="42112"/>
    <cellStyle name="Total 7 3 8 2" xfId="42113"/>
    <cellStyle name="Total 7 3 9" xfId="42114"/>
    <cellStyle name="Total 7 3 9 2" xfId="42115"/>
    <cellStyle name="Total 7 4" xfId="42116"/>
    <cellStyle name="Total 7 4 2" xfId="42117"/>
    <cellStyle name="Total 7 5" xfId="42118"/>
    <cellStyle name="Total 7 5 2" xfId="42119"/>
    <cellStyle name="Total 7 6" xfId="42120"/>
    <cellStyle name="Total 7 6 2" xfId="42121"/>
    <cellStyle name="Total 7 7" xfId="42122"/>
    <cellStyle name="Total 7 7 2" xfId="42123"/>
    <cellStyle name="Total 7 8" xfId="42124"/>
    <cellStyle name="Total 7 8 2" xfId="42125"/>
    <cellStyle name="Total 7 9" xfId="42126"/>
    <cellStyle name="Total 7 9 2" xfId="42127"/>
    <cellStyle name="Total 8" xfId="42128"/>
    <cellStyle name="Total 9" xfId="1194"/>
  </cellStyles>
  <dxfs count="26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CCFFFF"/>
      <color rgb="FFFF3300"/>
      <color rgb="FF4DBF1F"/>
      <color rgb="FF0000CC"/>
      <color rgb="FFFF99FF"/>
      <color rgb="FFFF0066"/>
      <color rgb="FF99CCFF"/>
      <color rgb="FF6600CC"/>
      <color rgb="FFCC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288635</xdr:colOff>
      <xdr:row>1</xdr:row>
      <xdr:rowOff>19050</xdr:rowOff>
    </xdr:from>
    <xdr:to>
      <xdr:col>3</xdr:col>
      <xdr:colOff>358773</xdr:colOff>
      <xdr:row>3</xdr:row>
      <xdr:rowOff>90714</xdr:rowOff>
    </xdr:to>
    <xdr:pic>
      <xdr:nvPicPr>
        <xdr:cNvPr id="21136" name="2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0258" y="208725"/>
          <a:ext cx="1628775" cy="5334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554413</xdr:colOff>
      <xdr:row>32</xdr:row>
      <xdr:rowOff>145336</xdr:rowOff>
    </xdr:from>
    <xdr:to>
      <xdr:col>3</xdr:col>
      <xdr:colOff>62760</xdr:colOff>
      <xdr:row>36</xdr:row>
      <xdr:rowOff>38704</xdr:rowOff>
    </xdr:to>
    <xdr:pic>
      <xdr:nvPicPr>
        <xdr:cNvPr id="3" name="2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1781" y="9113318"/>
          <a:ext cx="1625014" cy="572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1034493</xdr:colOff>
      <xdr:row>1</xdr:row>
      <xdr:rowOff>210110</xdr:rowOff>
    </xdr:to>
    <xdr:pic>
      <xdr:nvPicPr>
        <xdr:cNvPr id="17297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03051" cy="4062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18455</xdr:colOff>
      <xdr:row>1</xdr:row>
      <xdr:rowOff>38768</xdr:rowOff>
    </xdr:from>
    <xdr:to>
      <xdr:col>1</xdr:col>
      <xdr:colOff>456539</xdr:colOff>
      <xdr:row>3</xdr:row>
      <xdr:rowOff>668</xdr:rowOff>
    </xdr:to>
    <xdr:pic>
      <xdr:nvPicPr>
        <xdr:cNvPr id="18261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455" y="231408"/>
          <a:ext cx="1609257" cy="550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915973</xdr:colOff>
      <xdr:row>1</xdr:row>
      <xdr:rowOff>347229</xdr:rowOff>
    </xdr:to>
    <xdr:pic>
      <xdr:nvPicPr>
        <xdr:cNvPr id="2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649398" cy="5377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42809</xdr:rowOff>
    </xdr:from>
    <xdr:to>
      <xdr:col>1</xdr:col>
      <xdr:colOff>250825</xdr:colOff>
      <xdr:row>2</xdr:row>
      <xdr:rowOff>252501</xdr:rowOff>
    </xdr:to>
    <xdr:pic>
      <xdr:nvPicPr>
        <xdr:cNvPr id="2" name="2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6152"/>
          <a:ext cx="957173" cy="509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182336</xdr:rowOff>
    </xdr:from>
    <xdr:to>
      <xdr:col>1</xdr:col>
      <xdr:colOff>1491307</xdr:colOff>
      <xdr:row>3</xdr:row>
      <xdr:rowOff>259162</xdr:rowOff>
    </xdr:to>
    <xdr:pic>
      <xdr:nvPicPr>
        <xdr:cNvPr id="20131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443" y="372836"/>
          <a:ext cx="1472257" cy="5666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339208</xdr:colOff>
      <xdr:row>50</xdr:row>
      <xdr:rowOff>163285</xdr:rowOff>
    </xdr:from>
    <xdr:to>
      <xdr:col>1</xdr:col>
      <xdr:colOff>1450172</xdr:colOff>
      <xdr:row>53</xdr:row>
      <xdr:rowOff>46263</xdr:rowOff>
    </xdr:to>
    <xdr:pic>
      <xdr:nvPicPr>
        <xdr:cNvPr id="4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208" y="9688285"/>
          <a:ext cx="1478357" cy="590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298326</xdr:colOff>
      <xdr:row>2</xdr:row>
      <xdr:rowOff>125676</xdr:rowOff>
    </xdr:to>
    <xdr:pic>
      <xdr:nvPicPr>
        <xdr:cNvPr id="3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6545" y="192640"/>
          <a:ext cx="1476375" cy="545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47623</xdr:colOff>
      <xdr:row>1</xdr:row>
      <xdr:rowOff>1</xdr:rowOff>
    </xdr:from>
    <xdr:to>
      <xdr:col>2</xdr:col>
      <xdr:colOff>269118</xdr:colOff>
      <xdr:row>3</xdr:row>
      <xdr:rowOff>19050</xdr:rowOff>
    </xdr:to>
    <xdr:pic>
      <xdr:nvPicPr>
        <xdr:cNvPr id="2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9623" y="228601"/>
          <a:ext cx="1428751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317501</xdr:colOff>
      <xdr:row>32</xdr:row>
      <xdr:rowOff>45356</xdr:rowOff>
    </xdr:from>
    <xdr:to>
      <xdr:col>18</xdr:col>
      <xdr:colOff>17236</xdr:colOff>
      <xdr:row>38</xdr:row>
      <xdr:rowOff>158751</xdr:rowOff>
    </xdr:to>
    <xdr:pic>
      <xdr:nvPicPr>
        <xdr:cNvPr id="286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248572" y="8194523"/>
          <a:ext cx="8408307" cy="1587501"/>
        </a:xfrm>
        <a:prstGeom prst="rect">
          <a:avLst/>
        </a:prstGeom>
        <a:solidFill>
          <a:srgbClr val="6600CC"/>
        </a:solidFill>
      </xdr:spPr>
    </xdr:pic>
    <xdr:clientData/>
  </xdr:twoCellAnchor>
  <xdr:twoCellAnchor editAs="oneCell">
    <xdr:from>
      <xdr:col>12</xdr:col>
      <xdr:colOff>7561</xdr:colOff>
      <xdr:row>42</xdr:row>
      <xdr:rowOff>189894</xdr:rowOff>
    </xdr:from>
    <xdr:to>
      <xdr:col>15</xdr:col>
      <xdr:colOff>1563311</xdr:colOff>
      <xdr:row>47</xdr:row>
      <xdr:rowOff>173869</xdr:rowOff>
    </xdr:to>
    <xdr:pic>
      <xdr:nvPicPr>
        <xdr:cNvPr id="2868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397621" y="10727870"/>
          <a:ext cx="6167059" cy="1117904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231774</xdr:rowOff>
    </xdr:from>
    <xdr:to>
      <xdr:col>2</xdr:col>
      <xdr:colOff>86073</xdr:colOff>
      <xdr:row>2</xdr:row>
      <xdr:rowOff>232833</xdr:rowOff>
    </xdr:to>
    <xdr:pic>
      <xdr:nvPicPr>
        <xdr:cNvPr id="2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6346" y="231774"/>
          <a:ext cx="1013557" cy="51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1</xdr:row>
      <xdr:rowOff>10553</xdr:rowOff>
    </xdr:from>
    <xdr:to>
      <xdr:col>1</xdr:col>
      <xdr:colOff>644945</xdr:colOff>
      <xdr:row>4</xdr:row>
      <xdr:rowOff>19861</xdr:rowOff>
    </xdr:to>
    <xdr:pic>
      <xdr:nvPicPr>
        <xdr:cNvPr id="2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06" y="210578"/>
          <a:ext cx="1353922" cy="609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9525</xdr:rowOff>
    </xdr:from>
    <xdr:to>
      <xdr:col>1</xdr:col>
      <xdr:colOff>1552575</xdr:colOff>
      <xdr:row>3</xdr:row>
      <xdr:rowOff>38100</xdr:rowOff>
    </xdr:to>
    <xdr:pic>
      <xdr:nvPicPr>
        <xdr:cNvPr id="2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925"/>
          <a:ext cx="147637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17</xdr:row>
      <xdr:rowOff>9525</xdr:rowOff>
    </xdr:from>
    <xdr:to>
      <xdr:col>1</xdr:col>
      <xdr:colOff>1833563</xdr:colOff>
      <xdr:row>19</xdr:row>
      <xdr:rowOff>4762</xdr:rowOff>
    </xdr:to>
    <xdr:pic>
      <xdr:nvPicPr>
        <xdr:cNvPr id="3" name="2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438775"/>
          <a:ext cx="1757363" cy="490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0</xdr:col>
      <xdr:colOff>1484192</xdr:colOff>
      <xdr:row>2</xdr:row>
      <xdr:rowOff>202407</xdr:rowOff>
    </xdr:to>
    <xdr:pic>
      <xdr:nvPicPr>
        <xdr:cNvPr id="2" name="1 Imagen" descr="LOGO_SNP_2012_sinfond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2400"/>
          <a:ext cx="1484192" cy="49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200.54.73.149:8084/SRP.RLTP.Web.Ciudadana/BuscadorLtpWeb/volver/volverEditarLtp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B1:AJ54"/>
  <sheetViews>
    <sheetView topLeftCell="A7" zoomScale="73" zoomScaleNormal="73" workbookViewId="0">
      <selection activeCell="K20" sqref="K20"/>
    </sheetView>
  </sheetViews>
  <sheetFormatPr baseColWidth="10" defaultColWidth="11.42578125" defaultRowHeight="15"/>
  <cols>
    <col min="1" max="1" width="3.85546875" style="61" customWidth="1"/>
    <col min="2" max="2" width="8" style="61" customWidth="1"/>
    <col min="3" max="3" width="22.28515625" style="61" customWidth="1"/>
    <col min="4" max="4" width="28.7109375" style="61" customWidth="1"/>
    <col min="5" max="5" width="15.28515625" style="61" customWidth="1"/>
    <col min="6" max="6" width="15.42578125" style="61" customWidth="1"/>
    <col min="7" max="7" width="15.5703125" style="61" bestFit="1" customWidth="1"/>
    <col min="8" max="8" width="15.85546875" style="61" customWidth="1"/>
    <col min="9" max="9" width="18.28515625" style="61" customWidth="1"/>
    <col min="10" max="11" width="13.85546875" style="61" customWidth="1"/>
    <col min="12" max="12" width="12.140625" style="61" customWidth="1"/>
    <col min="13" max="13" width="14.85546875" style="61" customWidth="1"/>
    <col min="14" max="14" width="13.85546875" style="61" customWidth="1"/>
    <col min="15" max="15" width="5" style="61" customWidth="1"/>
    <col min="16" max="16" width="11.42578125" style="22" customWidth="1"/>
    <col min="17" max="17" width="11.140625" style="22" customWidth="1"/>
    <col min="18" max="18" width="11.5703125" style="22" customWidth="1"/>
    <col min="19" max="20" width="12.42578125" style="22" customWidth="1"/>
    <col min="21" max="21" width="9" style="22" customWidth="1"/>
    <col min="22" max="28" width="11.42578125" style="22"/>
    <col min="29" max="36" width="11.42578125" style="260"/>
    <col min="37" max="16384" width="11.42578125" style="61"/>
  </cols>
  <sheetData>
    <row r="1" spans="2:21" ht="15.75" thickBot="1">
      <c r="B1" s="552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</row>
    <row r="2" spans="2:21" ht="18.75">
      <c r="C2" s="2186" t="s">
        <v>87</v>
      </c>
      <c r="D2" s="2187"/>
      <c r="E2" s="2187"/>
      <c r="F2" s="2187"/>
      <c r="G2" s="2187"/>
      <c r="H2" s="2187"/>
      <c r="I2" s="2187"/>
      <c r="J2" s="2187"/>
      <c r="K2" s="2187"/>
      <c r="L2" s="2187"/>
      <c r="M2" s="2187"/>
      <c r="N2" s="2188"/>
      <c r="O2" s="261"/>
    </row>
    <row r="3" spans="2:21" ht="18.75">
      <c r="C3" s="2183" t="s">
        <v>282</v>
      </c>
      <c r="D3" s="2184"/>
      <c r="E3" s="2184"/>
      <c r="F3" s="2184"/>
      <c r="G3" s="2184"/>
      <c r="H3" s="2184"/>
      <c r="I3" s="2184"/>
      <c r="J3" s="2184"/>
      <c r="K3" s="2184"/>
      <c r="L3" s="2184"/>
      <c r="M3" s="2184"/>
      <c r="N3" s="2185"/>
      <c r="O3" s="22"/>
    </row>
    <row r="4" spans="2:21" ht="19.5" thickBot="1">
      <c r="C4" s="2189" t="s">
        <v>754</v>
      </c>
      <c r="D4" s="2190"/>
      <c r="E4" s="2190"/>
      <c r="F4" s="2190"/>
      <c r="G4" s="2190"/>
      <c r="H4" s="2190"/>
      <c r="I4" s="2190"/>
      <c r="J4" s="2190"/>
      <c r="K4" s="2190"/>
      <c r="L4" s="2190"/>
      <c r="M4" s="2190"/>
      <c r="N4" s="2191"/>
      <c r="O4" s="22"/>
    </row>
    <row r="5" spans="2:21" ht="21" customHeight="1" thickBot="1">
      <c r="C5" s="280"/>
      <c r="D5" s="281"/>
      <c r="E5" s="390"/>
      <c r="F5" s="390"/>
      <c r="G5" s="390"/>
      <c r="H5" s="281"/>
      <c r="I5" s="281"/>
      <c r="J5" s="281"/>
      <c r="K5" s="281"/>
      <c r="L5" s="281"/>
      <c r="M5" s="281"/>
      <c r="N5" s="282"/>
      <c r="O5" s="62"/>
    </row>
    <row r="6" spans="2:21" ht="60.75" customHeight="1" thickBot="1">
      <c r="C6" s="68" t="s">
        <v>52</v>
      </c>
      <c r="D6" s="72" t="s">
        <v>53</v>
      </c>
      <c r="E6" s="438" t="s">
        <v>549</v>
      </c>
      <c r="F6" s="439" t="s">
        <v>550</v>
      </c>
      <c r="G6" s="454" t="s">
        <v>558</v>
      </c>
      <c r="H6" s="470" t="s">
        <v>559</v>
      </c>
      <c r="I6" s="458" t="s">
        <v>267</v>
      </c>
      <c r="J6" s="70" t="s">
        <v>269</v>
      </c>
      <c r="K6" s="69" t="s">
        <v>88</v>
      </c>
      <c r="L6" s="69" t="s">
        <v>89</v>
      </c>
      <c r="M6" s="71" t="s">
        <v>90</v>
      </c>
      <c r="N6" s="72" t="s">
        <v>163</v>
      </c>
      <c r="O6" s="22"/>
    </row>
    <row r="7" spans="2:21" ht="21.95" customHeight="1">
      <c r="B7" s="2192" t="s">
        <v>537</v>
      </c>
      <c r="C7" s="161" t="s">
        <v>91</v>
      </c>
      <c r="D7" s="167" t="s">
        <v>92</v>
      </c>
      <c r="E7" s="437" t="s">
        <v>540</v>
      </c>
      <c r="F7" s="446"/>
      <c r="G7" s="451">
        <v>636926</v>
      </c>
      <c r="H7" s="606">
        <f>SUM('Pelagicos LTP '!E6:E11)</f>
        <v>636926</v>
      </c>
      <c r="I7" s="459">
        <f>SUM('Pelagicos LTP '!F6:F11)</f>
        <v>-4530.9639999999999</v>
      </c>
      <c r="J7" s="151">
        <f>H7+I7</f>
        <v>632395.03599999996</v>
      </c>
      <c r="K7" s="152">
        <f>SUM('Pelagicos LTP '!H6:H11)</f>
        <v>152165.06300000023</v>
      </c>
      <c r="L7" s="156"/>
      <c r="M7" s="157">
        <f>J7-K7</f>
        <v>480229.97299999977</v>
      </c>
      <c r="N7" s="618">
        <f>K7/J7</f>
        <v>0.24061710534995445</v>
      </c>
      <c r="O7" s="59"/>
      <c r="P7" s="190"/>
      <c r="Q7" s="190"/>
      <c r="R7" s="190"/>
      <c r="S7" s="190"/>
      <c r="T7" s="190"/>
      <c r="U7" s="191"/>
    </row>
    <row r="8" spans="2:21" ht="21.95" customHeight="1">
      <c r="B8" s="2193"/>
      <c r="C8" s="162" t="s">
        <v>91</v>
      </c>
      <c r="D8" s="168" t="s">
        <v>93</v>
      </c>
      <c r="E8" s="437" t="s">
        <v>541</v>
      </c>
      <c r="F8" s="437" t="s">
        <v>551</v>
      </c>
      <c r="G8" s="450">
        <v>12789.999999999998</v>
      </c>
      <c r="H8" s="607">
        <f>SUM('Pelagicos LTP '!E14:E29)</f>
        <v>17265.000000000004</v>
      </c>
      <c r="I8" s="460">
        <f>SUM('Pelagicos LTP '!F14:F31)</f>
        <v>-12467.402</v>
      </c>
      <c r="J8" s="63">
        <f>H8+I8</f>
        <v>4797.5980000000036</v>
      </c>
      <c r="K8" s="64">
        <f>SUM('Pelagicos LTP '!H14:H31)</f>
        <v>0</v>
      </c>
      <c r="L8" s="158"/>
      <c r="M8" s="159">
        <f t="shared" ref="M8:M23" si="0">J8-K8</f>
        <v>4797.5980000000036</v>
      </c>
      <c r="N8" s="619">
        <f t="shared" ref="N8:N25" si="1">K8/J8</f>
        <v>0</v>
      </c>
      <c r="O8" s="59"/>
      <c r="P8" s="192"/>
      <c r="Q8" s="192"/>
      <c r="R8" s="192"/>
      <c r="S8" s="192"/>
      <c r="T8" s="192"/>
      <c r="U8" s="193"/>
    </row>
    <row r="9" spans="2:21" ht="21.95" customHeight="1" thickBot="1">
      <c r="B9" s="2193"/>
      <c r="C9" s="163" t="s">
        <v>91</v>
      </c>
      <c r="D9" s="169" t="s">
        <v>94</v>
      </c>
      <c r="E9" s="437" t="s">
        <v>542</v>
      </c>
      <c r="F9" s="442" t="s">
        <v>552</v>
      </c>
      <c r="G9" s="449">
        <v>7388</v>
      </c>
      <c r="H9" s="608">
        <f>SUM('Pelagicos LTP '!E34:E93)</f>
        <v>8573.997999999996</v>
      </c>
      <c r="I9" s="461">
        <f>SUM('Pelagicos LTP '!F34:F93)</f>
        <v>-2138.5530000000008</v>
      </c>
      <c r="J9" s="147">
        <f t="shared" ref="J9:J23" si="2">H9+I9</f>
        <v>6435.4449999999952</v>
      </c>
      <c r="K9" s="148">
        <f>SUM('Pelagicos LTP '!H34:H93)</f>
        <v>5288.2220000000016</v>
      </c>
      <c r="L9" s="160"/>
      <c r="M9" s="263">
        <f t="shared" si="0"/>
        <v>1147.2229999999936</v>
      </c>
      <c r="N9" s="620">
        <f t="shared" si="1"/>
        <v>0.82173369518347306</v>
      </c>
      <c r="O9" s="59"/>
      <c r="P9" s="192"/>
      <c r="Q9" s="192"/>
      <c r="R9" s="192"/>
      <c r="S9" s="192"/>
      <c r="T9" s="192"/>
      <c r="U9" s="193"/>
    </row>
    <row r="10" spans="2:21" ht="21.95" customHeight="1" thickBot="1">
      <c r="B10" s="2193"/>
      <c r="C10" s="153" t="s">
        <v>105</v>
      </c>
      <c r="D10" s="175" t="s">
        <v>106</v>
      </c>
      <c r="E10" s="10" t="s">
        <v>542</v>
      </c>
      <c r="F10" s="442" t="s">
        <v>552</v>
      </c>
      <c r="G10" s="452">
        <v>61191.024999999965</v>
      </c>
      <c r="H10" s="609">
        <f>SUM('Pelagicos LTP '!E99:E179)</f>
        <v>70750.021000000008</v>
      </c>
      <c r="I10" s="462">
        <f>SUM('Pelagicos LTP '!F99:F179)</f>
        <v>15645.431999999999</v>
      </c>
      <c r="J10" s="151">
        <f>H10+I10</f>
        <v>86395.453000000009</v>
      </c>
      <c r="K10" s="152">
        <f>SUM('Pelagicos LTP '!H99:H179)</f>
        <v>84377.543999999994</v>
      </c>
      <c r="L10" s="156"/>
      <c r="M10" s="157">
        <f>J10-K10</f>
        <v>2017.9090000000142</v>
      </c>
      <c r="N10" s="618">
        <f>K10/J10</f>
        <v>0.97664334256109508</v>
      </c>
      <c r="O10" s="59"/>
      <c r="P10" s="192"/>
      <c r="Q10" s="314" t="s">
        <v>469</v>
      </c>
      <c r="R10" s="313">
        <v>2236.3049999999998</v>
      </c>
      <c r="S10" s="192"/>
      <c r="T10" s="509"/>
      <c r="U10" s="193"/>
    </row>
    <row r="11" spans="2:21" ht="21.95" customHeight="1" thickBot="1">
      <c r="B11" s="2193"/>
      <c r="C11" s="153" t="s">
        <v>97</v>
      </c>
      <c r="D11" s="175" t="s">
        <v>98</v>
      </c>
      <c r="E11" s="10" t="s">
        <v>543</v>
      </c>
      <c r="F11" s="446" t="s">
        <v>553</v>
      </c>
      <c r="G11" s="448">
        <v>43245.004999999997</v>
      </c>
      <c r="H11" s="610">
        <f>SUM('Pelagicos LTP '!E183:E190)</f>
        <v>41430.004000000001</v>
      </c>
      <c r="I11" s="459">
        <f>SUM('Pelagicos LTP '!F183:F188)</f>
        <v>-15327.316999999999</v>
      </c>
      <c r="J11" s="151">
        <f t="shared" si="2"/>
        <v>26102.687000000002</v>
      </c>
      <c r="K11" s="152">
        <f>SUM('Pelagicos LTP '!H183:H188)</f>
        <v>24199.026999999998</v>
      </c>
      <c r="L11" s="156"/>
      <c r="M11" s="157">
        <f t="shared" si="0"/>
        <v>1903.6600000000035</v>
      </c>
      <c r="N11" s="618">
        <f t="shared" si="1"/>
        <v>0.92707034337116312</v>
      </c>
      <c r="O11" s="59"/>
      <c r="P11" s="190"/>
      <c r="Q11" s="190"/>
      <c r="R11" s="190"/>
      <c r="S11" s="190"/>
      <c r="T11" s="190"/>
      <c r="U11" s="191"/>
    </row>
    <row r="12" spans="2:21" ht="21.95" customHeight="1" thickBot="1">
      <c r="B12" s="2193"/>
      <c r="C12" s="154" t="s">
        <v>97</v>
      </c>
      <c r="D12" s="178" t="s">
        <v>93</v>
      </c>
      <c r="E12" s="10" t="s">
        <v>543</v>
      </c>
      <c r="F12" s="446" t="s">
        <v>553</v>
      </c>
      <c r="G12" s="447">
        <v>9138.9999999999982</v>
      </c>
      <c r="H12" s="611">
        <f>SUM('Pelagicos LTP '!E193:E220)</f>
        <v>8743.9989999999998</v>
      </c>
      <c r="I12" s="463">
        <f>SUM('Pelagicos LTP '!F193:F220)</f>
        <v>2490.8029999999999</v>
      </c>
      <c r="J12" s="63">
        <f t="shared" si="2"/>
        <v>11234.802</v>
      </c>
      <c r="K12" s="64">
        <f>SUM('Pelagicos LTP '!H193:H220)</f>
        <v>11038.450999999999</v>
      </c>
      <c r="L12" s="86">
        <f>400+145</f>
        <v>545</v>
      </c>
      <c r="M12" s="159">
        <f>J12-K12</f>
        <v>196.35100000000057</v>
      </c>
      <c r="N12" s="619">
        <f>K12/J12</f>
        <v>0.98252296747196788</v>
      </c>
      <c r="O12" s="59"/>
      <c r="P12" s="192"/>
      <c r="Q12" s="259" t="s">
        <v>426</v>
      </c>
      <c r="R12" s="259" t="s">
        <v>468</v>
      </c>
      <c r="S12" s="192"/>
      <c r="T12" s="192"/>
      <c r="U12" s="193"/>
    </row>
    <row r="13" spans="2:21" ht="21.95" customHeight="1" thickBot="1">
      <c r="B13" s="2193"/>
      <c r="C13" s="154" t="s">
        <v>97</v>
      </c>
      <c r="D13" s="178" t="s">
        <v>99</v>
      </c>
      <c r="E13" s="10" t="s">
        <v>543</v>
      </c>
      <c r="F13" s="446" t="s">
        <v>553</v>
      </c>
      <c r="G13" s="447">
        <v>195598.00099999999</v>
      </c>
      <c r="H13" s="611">
        <f>SUM('Pelagicos LTP '!E223:E288)</f>
        <v>187555.00800000003</v>
      </c>
      <c r="I13" s="463">
        <f>SUM('Pelagicos LTP '!F223:F288)</f>
        <v>14063.41699999999</v>
      </c>
      <c r="J13" s="63">
        <f t="shared" si="2"/>
        <v>201618.42500000002</v>
      </c>
      <c r="K13" s="64">
        <f>SUM('Pelagicos LTP '!H223:H288)</f>
        <v>200066.041</v>
      </c>
      <c r="L13" s="86">
        <f>467.273</f>
        <v>467.27300000000002</v>
      </c>
      <c r="M13" s="159">
        <f t="shared" si="0"/>
        <v>1552.38400000002</v>
      </c>
      <c r="N13" s="619">
        <f t="shared" si="1"/>
        <v>0.99230038623702166</v>
      </c>
      <c r="O13" s="59"/>
      <c r="P13" s="192"/>
      <c r="Q13" s="314" t="s">
        <v>216</v>
      </c>
      <c r="R13" s="313">
        <v>2191.7829999999999</v>
      </c>
      <c r="S13" s="192"/>
      <c r="T13" s="192"/>
      <c r="U13" s="193"/>
    </row>
    <row r="14" spans="2:21" ht="21.95" customHeight="1" thickBot="1">
      <c r="B14" s="2193"/>
      <c r="C14" s="155" t="s">
        <v>97</v>
      </c>
      <c r="D14" s="179" t="s">
        <v>100</v>
      </c>
      <c r="E14" s="10" t="s">
        <v>543</v>
      </c>
      <c r="F14" s="445" t="s">
        <v>553</v>
      </c>
      <c r="G14" s="455">
        <v>27421.995000000006</v>
      </c>
      <c r="H14" s="612">
        <f>SUM('Pelagicos LTP '!E291:E340)</f>
        <v>26117.997999999985</v>
      </c>
      <c r="I14" s="464">
        <f>SUM('Pelagicos LTP '!F291:F340)</f>
        <v>-2334.3460000000009</v>
      </c>
      <c r="J14" s="147">
        <f t="shared" si="2"/>
        <v>23783.651999999984</v>
      </c>
      <c r="K14" s="148">
        <f>SUM('Pelagicos LTP '!H291:H340)</f>
        <v>23260.739999999994</v>
      </c>
      <c r="L14" s="263">
        <v>2146.7829999999999</v>
      </c>
      <c r="M14" s="263">
        <f t="shared" si="0"/>
        <v>522.91199999998935</v>
      </c>
      <c r="N14" s="620">
        <f t="shared" si="1"/>
        <v>0.97801380544922245</v>
      </c>
      <c r="O14" s="59"/>
      <c r="P14" s="192"/>
      <c r="Q14" s="314" t="s">
        <v>219</v>
      </c>
      <c r="R14" s="313">
        <v>281.69799999999998</v>
      </c>
      <c r="S14" s="192"/>
      <c r="T14" s="192"/>
      <c r="U14" s="193"/>
    </row>
    <row r="15" spans="2:21" ht="21.95" customHeight="1">
      <c r="B15" s="2193"/>
      <c r="C15" s="154" t="s">
        <v>107</v>
      </c>
      <c r="D15" s="176" t="s">
        <v>92</v>
      </c>
      <c r="E15" s="437" t="s">
        <v>540</v>
      </c>
      <c r="F15" s="436"/>
      <c r="G15" s="451">
        <v>742</v>
      </c>
      <c r="H15" s="613">
        <f>SUM('Pelagicos LTP '!E343:E348)</f>
        <v>742</v>
      </c>
      <c r="I15" s="465">
        <f>SUM('Pelagicos LTP '!F343:F348)</f>
        <v>0</v>
      </c>
      <c r="J15" s="63">
        <f t="shared" ref="J15:J20" si="3">H15+I15</f>
        <v>742</v>
      </c>
      <c r="K15" s="64">
        <f>SUM('Pelagicos LTP '!H343:H348)</f>
        <v>0</v>
      </c>
      <c r="L15" s="158"/>
      <c r="M15" s="159">
        <f t="shared" ref="M15:M20" si="4">J15-K15</f>
        <v>742</v>
      </c>
      <c r="N15" s="619">
        <f t="shared" ref="N15:N20" si="5">K15/J15</f>
        <v>0</v>
      </c>
      <c r="O15" s="59"/>
      <c r="P15" s="192"/>
      <c r="Q15" s="314" t="s">
        <v>427</v>
      </c>
      <c r="R15" s="313">
        <v>4709.7860000000001</v>
      </c>
      <c r="S15" s="192"/>
      <c r="T15" s="192"/>
      <c r="U15" s="193"/>
    </row>
    <row r="16" spans="2:21" ht="21.95" customHeight="1" thickBot="1">
      <c r="B16" s="2194"/>
      <c r="C16" s="155" t="s">
        <v>107</v>
      </c>
      <c r="D16" s="177" t="s">
        <v>93</v>
      </c>
      <c r="E16" s="437" t="s">
        <v>541</v>
      </c>
      <c r="F16" s="441"/>
      <c r="G16" s="449">
        <v>875.00199999999995</v>
      </c>
      <c r="H16" s="614">
        <f>SUM('Pelagicos LTP '!E351:E368)</f>
        <v>875.00199999999995</v>
      </c>
      <c r="I16" s="466">
        <f>SUM('Pelagicos LTP '!F351:F368)</f>
        <v>-100</v>
      </c>
      <c r="J16" s="147">
        <f t="shared" si="3"/>
        <v>775.00199999999995</v>
      </c>
      <c r="K16" s="148">
        <f>SUM('Pelagicos LTP '!H351:H366)</f>
        <v>0</v>
      </c>
      <c r="L16" s="160"/>
      <c r="M16" s="263">
        <f t="shared" si="4"/>
        <v>775.00199999999995</v>
      </c>
      <c r="N16" s="620">
        <f t="shared" si="5"/>
        <v>0</v>
      </c>
      <c r="O16" s="59"/>
      <c r="P16" s="192"/>
      <c r="Q16" s="192"/>
      <c r="R16" s="192"/>
      <c r="S16" s="192"/>
      <c r="T16" s="192"/>
      <c r="U16" s="193"/>
    </row>
    <row r="17" spans="2:21" ht="21.95" customHeight="1">
      <c r="B17" s="2195" t="s">
        <v>538</v>
      </c>
      <c r="C17" s="149" t="s">
        <v>96</v>
      </c>
      <c r="D17" s="170" t="s">
        <v>374</v>
      </c>
      <c r="E17" s="412" t="s">
        <v>544</v>
      </c>
      <c r="F17" s="446"/>
      <c r="G17" s="457">
        <v>418.50099999999992</v>
      </c>
      <c r="H17" s="615">
        <f>SUM('Demersales LTP '!E7:E16)</f>
        <v>418.50099999999992</v>
      </c>
      <c r="I17" s="459">
        <f>SUM('Demersales LTP '!F7:F16)</f>
        <v>-33.432000000000002</v>
      </c>
      <c r="J17" s="151">
        <f t="shared" si="3"/>
        <v>385.0689999999999</v>
      </c>
      <c r="K17" s="152">
        <f>SUM('Demersales LTP '!H7:H16)</f>
        <v>371.50500000000005</v>
      </c>
      <c r="L17" s="156"/>
      <c r="M17" s="157">
        <f t="shared" si="4"/>
        <v>13.563999999999851</v>
      </c>
      <c r="N17" s="618">
        <f t="shared" si="5"/>
        <v>0.96477514419493682</v>
      </c>
      <c r="O17" s="59"/>
      <c r="P17" s="192"/>
      <c r="Q17" s="192"/>
      <c r="R17" s="192"/>
      <c r="S17" s="192"/>
      <c r="T17" s="192"/>
      <c r="U17" s="193"/>
    </row>
    <row r="18" spans="2:21" ht="21.95" customHeight="1" thickBot="1">
      <c r="B18" s="2196"/>
      <c r="C18" s="423" t="s">
        <v>96</v>
      </c>
      <c r="D18" s="424" t="s">
        <v>373</v>
      </c>
      <c r="E18" s="437" t="s">
        <v>544</v>
      </c>
      <c r="F18" s="441"/>
      <c r="G18" s="449">
        <v>238</v>
      </c>
      <c r="H18" s="616">
        <f>SUM('Demersales LTP '!E21:E30)</f>
        <v>238</v>
      </c>
      <c r="I18" s="467">
        <f>SUM('Demersales LTP '!F21:F30)</f>
        <v>0</v>
      </c>
      <c r="J18" s="426">
        <f t="shared" si="3"/>
        <v>238</v>
      </c>
      <c r="K18" s="425">
        <f>SUM('Demersales LTP '!H21:H30)</f>
        <v>226.94799999999998</v>
      </c>
      <c r="L18" s="427"/>
      <c r="M18" s="428">
        <f t="shared" si="4"/>
        <v>11.052000000000021</v>
      </c>
      <c r="N18" s="621">
        <f t="shared" si="5"/>
        <v>0.95356302521008396</v>
      </c>
      <c r="O18" s="59"/>
      <c r="P18" s="192"/>
      <c r="Q18" s="192"/>
      <c r="R18" s="192"/>
      <c r="S18" s="192"/>
      <c r="T18" s="192"/>
      <c r="U18" s="193"/>
    </row>
    <row r="19" spans="2:21" ht="21.95" customHeight="1" thickBot="1">
      <c r="B19" s="2196"/>
      <c r="C19" s="149" t="s">
        <v>79</v>
      </c>
      <c r="D19" s="170" t="s">
        <v>372</v>
      </c>
      <c r="E19" s="412" t="s">
        <v>544</v>
      </c>
      <c r="F19" s="446" t="s">
        <v>588</v>
      </c>
      <c r="G19" s="451">
        <v>3937.9609999999998</v>
      </c>
      <c r="H19" s="606">
        <f>SUM('Demersales LTP '!E33:E48)</f>
        <v>4313.0010000000002</v>
      </c>
      <c r="I19" s="462">
        <f>SUM('Demersales LTP '!F33:F48)</f>
        <v>3591.5810000000006</v>
      </c>
      <c r="J19" s="431">
        <f t="shared" si="3"/>
        <v>7904.5820000000003</v>
      </c>
      <c r="K19" s="432">
        <f>SUM('Demersales LTP '!H33:H48)</f>
        <v>7501.9670000000006</v>
      </c>
      <c r="L19" s="433"/>
      <c r="M19" s="434">
        <f t="shared" si="4"/>
        <v>402.61499999999978</v>
      </c>
      <c r="N19" s="618">
        <f t="shared" si="5"/>
        <v>0.94906561789099031</v>
      </c>
      <c r="O19" s="59"/>
      <c r="P19" s="192"/>
      <c r="Q19" s="192"/>
      <c r="R19" s="192"/>
      <c r="S19" s="192"/>
      <c r="T19" s="192"/>
      <c r="U19" s="193"/>
    </row>
    <row r="20" spans="2:21" ht="21.95" customHeight="1" thickBot="1">
      <c r="B20" s="2196"/>
      <c r="C20" s="171" t="s">
        <v>79</v>
      </c>
      <c r="D20" s="172" t="s">
        <v>371</v>
      </c>
      <c r="E20" s="404" t="s">
        <v>544</v>
      </c>
      <c r="F20" s="446" t="s">
        <v>588</v>
      </c>
      <c r="G20" s="453">
        <v>2518.0000000000005</v>
      </c>
      <c r="H20" s="613">
        <f>SUM('Demersales LTP '!E51:E60)</f>
        <v>2758.0009999999997</v>
      </c>
      <c r="I20" s="465">
        <f>SUM('Demersales LTP '!F51:F60)</f>
        <v>-14.01299999999992</v>
      </c>
      <c r="J20" s="413">
        <f t="shared" si="3"/>
        <v>2743.9879999999998</v>
      </c>
      <c r="K20" s="415">
        <f>SUM('Demersales LTP '!H51:H60)</f>
        <v>2427.7550000000001</v>
      </c>
      <c r="L20" s="158"/>
      <c r="M20" s="159">
        <f t="shared" si="4"/>
        <v>316.23299999999972</v>
      </c>
      <c r="N20" s="619">
        <f t="shared" si="5"/>
        <v>0.88475423361909755</v>
      </c>
      <c r="O20" s="59"/>
      <c r="P20" s="192"/>
      <c r="Q20" s="192"/>
      <c r="R20" s="192"/>
      <c r="S20" s="192"/>
      <c r="T20" s="192"/>
      <c r="U20" s="193"/>
    </row>
    <row r="21" spans="2:21" ht="21.95" customHeight="1" thickBot="1">
      <c r="B21" s="2196"/>
      <c r="C21" s="171" t="s">
        <v>104</v>
      </c>
      <c r="D21" s="172" t="s">
        <v>375</v>
      </c>
      <c r="E21" s="10" t="s">
        <v>544</v>
      </c>
      <c r="F21" s="445"/>
      <c r="G21" s="452">
        <v>11516</v>
      </c>
      <c r="H21" s="613">
        <f>SUM('Demersales LTP '!E63:E70)</f>
        <v>11516</v>
      </c>
      <c r="I21" s="465">
        <f>SUM('Demersales LTP '!F63:F70)</f>
        <v>0</v>
      </c>
      <c r="J21" s="413">
        <f>H21+I21</f>
        <v>11516</v>
      </c>
      <c r="K21" s="415">
        <f>SUM('Demersales LTP '!H63:H70)</f>
        <v>8270.9940000000006</v>
      </c>
      <c r="L21" s="158"/>
      <c r="M21" s="159">
        <f>J21-K21</f>
        <v>3245.0059999999994</v>
      </c>
      <c r="N21" s="619">
        <f>K21/J21</f>
        <v>0.71821761028134778</v>
      </c>
      <c r="O21" s="59"/>
      <c r="P21" s="192"/>
      <c r="Q21" s="192"/>
      <c r="R21" s="192"/>
      <c r="S21" s="192"/>
      <c r="T21" s="192"/>
      <c r="U21" s="194"/>
    </row>
    <row r="22" spans="2:21" ht="21.95" customHeight="1">
      <c r="B22" s="2196"/>
      <c r="C22" s="417" t="s">
        <v>78</v>
      </c>
      <c r="D22" s="418" t="s">
        <v>102</v>
      </c>
      <c r="E22" s="412" t="s">
        <v>545</v>
      </c>
      <c r="F22" s="446"/>
      <c r="G22" s="451">
        <v>24132.998000000007</v>
      </c>
      <c r="H22" s="617">
        <f>SUM('Demersales LTP '!E73:E120)</f>
        <v>24132.998000000007</v>
      </c>
      <c r="I22" s="468">
        <f>SUM('Demersales LTP '!F73:F120)</f>
        <v>-8138.4849999999979</v>
      </c>
      <c r="J22" s="419">
        <f t="shared" si="2"/>
        <v>15994.51300000001</v>
      </c>
      <c r="K22" s="420">
        <f>SUM('Demersales LTP '!H73:H116)</f>
        <v>9407.7919999999995</v>
      </c>
      <c r="L22" s="421"/>
      <c r="M22" s="422">
        <f t="shared" si="0"/>
        <v>6586.7210000000105</v>
      </c>
      <c r="N22" s="622">
        <f t="shared" si="1"/>
        <v>0.58818871196640954</v>
      </c>
      <c r="O22" s="59"/>
      <c r="P22" s="192"/>
      <c r="Q22" s="192"/>
      <c r="R22" s="192"/>
      <c r="S22" s="192"/>
      <c r="T22" s="192"/>
      <c r="U22" s="193"/>
    </row>
    <row r="23" spans="2:21" ht="21.95" customHeight="1" thickBot="1">
      <c r="B23" s="2196"/>
      <c r="C23" s="171" t="s">
        <v>78</v>
      </c>
      <c r="D23" s="172" t="s">
        <v>103</v>
      </c>
      <c r="E23" s="404" t="s">
        <v>545</v>
      </c>
      <c r="F23" s="444"/>
      <c r="G23" s="453">
        <v>16088</v>
      </c>
      <c r="H23" s="613">
        <f>SUM('Demersales LTP '!E125:E136)</f>
        <v>16087.422999999999</v>
      </c>
      <c r="I23" s="465">
        <f>SUM('Demersales LTP '!F125:F136)</f>
        <v>8138.0810000000001</v>
      </c>
      <c r="J23" s="413">
        <f t="shared" si="2"/>
        <v>24225.504000000001</v>
      </c>
      <c r="K23" s="415">
        <f>SUM('Demersales LTP '!H125:H134)</f>
        <v>18670.550999999999</v>
      </c>
      <c r="L23" s="158"/>
      <c r="M23" s="159">
        <f t="shared" si="0"/>
        <v>5554.9530000000013</v>
      </c>
      <c r="N23" s="619">
        <f t="shared" si="1"/>
        <v>0.77069814522744284</v>
      </c>
      <c r="O23" s="59"/>
      <c r="P23" s="192"/>
      <c r="Q23" s="192"/>
      <c r="R23" s="192"/>
      <c r="S23" s="192"/>
      <c r="T23" s="192"/>
      <c r="U23" s="193"/>
    </row>
    <row r="24" spans="2:21" ht="21.95" customHeight="1" thickBot="1">
      <c r="B24" s="2197"/>
      <c r="C24" s="150" t="s">
        <v>77</v>
      </c>
      <c r="D24" s="173" t="s">
        <v>101</v>
      </c>
      <c r="E24" s="145" t="s">
        <v>544</v>
      </c>
      <c r="F24" s="440"/>
      <c r="G24" s="456">
        <v>13541.999999999993</v>
      </c>
      <c r="H24" s="614">
        <f>SUM('Demersales LTP '!E141:E194)</f>
        <v>13541.999999999993</v>
      </c>
      <c r="I24" s="461">
        <f>SUM('Demersales LTP '!F141:F194)</f>
        <v>107.55371420000162</v>
      </c>
      <c r="J24" s="414">
        <f>H24+I24</f>
        <v>13649.553714199994</v>
      </c>
      <c r="K24" s="416">
        <f>SUM('Demersales LTP '!H141:H194)</f>
        <v>13445.022999999999</v>
      </c>
      <c r="L24" s="160"/>
      <c r="M24" s="263">
        <f>J24-K24</f>
        <v>204.53071419999469</v>
      </c>
      <c r="N24" s="620">
        <f>K24/J24</f>
        <v>0.98501557497904013</v>
      </c>
      <c r="O24" s="59"/>
      <c r="P24" s="192"/>
      <c r="Q24" s="192"/>
      <c r="R24" s="192"/>
      <c r="S24" s="192"/>
      <c r="T24" s="192"/>
      <c r="U24" s="193"/>
    </row>
    <row r="25" spans="2:21" ht="21.95" customHeight="1" thickBot="1">
      <c r="B25" s="2198" t="s">
        <v>539</v>
      </c>
      <c r="C25" s="429" t="s">
        <v>59</v>
      </c>
      <c r="D25" s="430" t="s">
        <v>95</v>
      </c>
      <c r="E25" s="412" t="s">
        <v>546</v>
      </c>
      <c r="F25" s="446"/>
      <c r="G25" s="451">
        <v>4405</v>
      </c>
      <c r="H25" s="451">
        <v>4405</v>
      </c>
      <c r="I25" s="469">
        <f>+'Crustaceos  LTP'!AV52</f>
        <v>287.23528040000008</v>
      </c>
      <c r="J25" s="1599">
        <f>H25+I25</f>
        <v>4692.2352804000002</v>
      </c>
      <c r="K25" s="420">
        <f>+'Crustaceos  LTP'!AX52</f>
        <v>3855.7170563999998</v>
      </c>
      <c r="L25" s="421"/>
      <c r="M25" s="422">
        <f>J25-K25</f>
        <v>836.51822400000037</v>
      </c>
      <c r="N25" s="622">
        <f t="shared" si="1"/>
        <v>0.8217228732126387</v>
      </c>
      <c r="O25" s="59"/>
      <c r="U25" s="195"/>
    </row>
    <row r="26" spans="2:21" ht="21.95" customHeight="1" thickBot="1">
      <c r="B26" s="2199"/>
      <c r="C26" s="164" t="s">
        <v>66</v>
      </c>
      <c r="D26" s="165" t="s">
        <v>86</v>
      </c>
      <c r="E26" s="412" t="s">
        <v>546</v>
      </c>
      <c r="F26" s="443"/>
      <c r="G26" s="450">
        <v>1482.0039999999999</v>
      </c>
      <c r="H26" s="450">
        <v>1482.0039999999999</v>
      </c>
      <c r="I26" s="460">
        <f>+'Crustaceos  LTP'!X82</f>
        <v>467.29999957999985</v>
      </c>
      <c r="J26" s="1599">
        <f t="shared" ref="J26:J27" si="6">H26+I26</f>
        <v>1949.3039995799998</v>
      </c>
      <c r="K26" s="64">
        <f>+'Crustaceos  LTP'!Z82</f>
        <v>1829.24</v>
      </c>
      <c r="L26" s="158"/>
      <c r="M26" s="159">
        <f>J26-K26</f>
        <v>120.06399957999975</v>
      </c>
      <c r="N26" s="619">
        <f>K26/J26</f>
        <v>0.93840673409285114</v>
      </c>
      <c r="O26" s="59"/>
    </row>
    <row r="27" spans="2:21" ht="21.95" customHeight="1" thickBot="1">
      <c r="B27" s="2200"/>
      <c r="C27" s="180" t="s">
        <v>67</v>
      </c>
      <c r="D27" s="166" t="s">
        <v>198</v>
      </c>
      <c r="E27" s="10" t="s">
        <v>546</v>
      </c>
      <c r="F27" s="444" t="s">
        <v>561</v>
      </c>
      <c r="G27" s="453">
        <v>91.004000000000019</v>
      </c>
      <c r="H27" s="614">
        <v>169</v>
      </c>
      <c r="I27" s="461">
        <f>+'Crustaceos  LTP'!X100</f>
        <v>129.99</v>
      </c>
      <c r="J27" s="1599">
        <f t="shared" si="6"/>
        <v>298.99</v>
      </c>
      <c r="K27" s="148">
        <f>+'Crustaceos  LTP'!Z100</f>
        <v>256.63</v>
      </c>
      <c r="L27" s="160"/>
      <c r="M27" s="263">
        <f>J27-K27</f>
        <v>42.360000000000014</v>
      </c>
      <c r="N27" s="620">
        <f>K27/J27</f>
        <v>0.85832302083681722</v>
      </c>
      <c r="O27" s="59"/>
    </row>
    <row r="28" spans="2:21" ht="21.95" customHeight="1">
      <c r="C28" s="19"/>
      <c r="D28" s="19"/>
      <c r="H28" s="19"/>
      <c r="I28" s="19"/>
      <c r="J28" s="19"/>
      <c r="K28" s="19"/>
      <c r="L28" s="19"/>
      <c r="M28" s="19"/>
      <c r="N28" s="19"/>
      <c r="O28" s="59"/>
    </row>
    <row r="29" spans="2:21" ht="13.5" customHeight="1">
      <c r="I29" s="61">
        <f>33.39-33.432</f>
        <v>-4.2000000000001592E-2</v>
      </c>
      <c r="O29" s="59"/>
    </row>
    <row r="30" spans="2:21" ht="16.5" customHeight="1">
      <c r="C30" s="59"/>
      <c r="D30" s="59"/>
      <c r="H30" s="65"/>
      <c r="I30" s="65"/>
      <c r="J30" s="65"/>
      <c r="K30" s="65"/>
      <c r="L30" s="66"/>
      <c r="M30" s="66"/>
      <c r="N30" s="66"/>
      <c r="O30" s="59"/>
    </row>
    <row r="31" spans="2:21" ht="33.75" customHeight="1">
      <c r="C31" s="2201" t="s">
        <v>145</v>
      </c>
      <c r="D31" s="2202"/>
      <c r="E31" s="2203"/>
      <c r="F31" s="2204"/>
      <c r="G31" s="2204"/>
      <c r="H31" s="2202"/>
      <c r="I31" s="2202"/>
      <c r="J31" s="2202"/>
      <c r="K31" s="2202"/>
      <c r="L31" s="2202"/>
      <c r="M31" s="2202"/>
      <c r="N31" s="2205"/>
      <c r="O31" s="59"/>
    </row>
    <row r="32" spans="2:21"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3:14" ht="15.75" thickBot="1">
      <c r="H33" s="67"/>
      <c r="I33" s="67"/>
      <c r="J33" s="67"/>
      <c r="K33" s="67"/>
    </row>
    <row r="34" spans="3:14" ht="18.75">
      <c r="C34" s="2206" t="s">
        <v>87</v>
      </c>
      <c r="D34" s="2207"/>
      <c r="E34" s="2207"/>
      <c r="F34" s="2207"/>
      <c r="G34" s="2207"/>
      <c r="H34" s="2207"/>
      <c r="I34" s="2207"/>
      <c r="J34" s="2207"/>
      <c r="K34" s="2207"/>
      <c r="L34" s="2207"/>
      <c r="M34" s="2207"/>
      <c r="N34" s="2208"/>
    </row>
    <row r="35" spans="3:14" ht="18.75" customHeight="1">
      <c r="C35" s="2183" t="s">
        <v>283</v>
      </c>
      <c r="D35" s="2184"/>
      <c r="E35" s="2184"/>
      <c r="F35" s="2184"/>
      <c r="G35" s="2184"/>
      <c r="H35" s="2184"/>
      <c r="I35" s="2184"/>
      <c r="J35" s="2184"/>
      <c r="K35" s="2184"/>
      <c r="L35" s="2184"/>
      <c r="M35" s="2184"/>
      <c r="N35" s="2185"/>
    </row>
    <row r="36" spans="3:14" ht="2.25" customHeight="1" thickBot="1">
      <c r="C36" s="333"/>
      <c r="D36" s="315"/>
      <c r="E36" s="435"/>
      <c r="F36" s="435"/>
      <c r="G36" s="435"/>
      <c r="H36" s="315"/>
      <c r="I36" s="315"/>
      <c r="J36" s="315"/>
      <c r="K36" s="315"/>
      <c r="L36" s="315"/>
      <c r="M36" s="315"/>
      <c r="N36" s="316"/>
    </row>
    <row r="37" spans="3:14" ht="15.75" thickBot="1">
      <c r="C37" s="28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282"/>
    </row>
    <row r="38" spans="3:14" ht="46.5" customHeight="1" thickBot="1">
      <c r="C38" s="495" t="s">
        <v>52</v>
      </c>
      <c r="D38" s="496" t="s">
        <v>53</v>
      </c>
      <c r="E38" s="497" t="s">
        <v>549</v>
      </c>
      <c r="F38" s="497" t="s">
        <v>550</v>
      </c>
      <c r="G38" s="498" t="s">
        <v>266</v>
      </c>
      <c r="H38" s="498" t="s">
        <v>560</v>
      </c>
      <c r="I38" s="499" t="s">
        <v>268</v>
      </c>
      <c r="J38" s="500" t="s">
        <v>267</v>
      </c>
      <c r="K38" s="500" t="s">
        <v>269</v>
      </c>
      <c r="L38" s="501" t="s">
        <v>88</v>
      </c>
      <c r="M38" s="502" t="s">
        <v>90</v>
      </c>
      <c r="N38" s="496" t="s">
        <v>163</v>
      </c>
    </row>
    <row r="39" spans="3:14" ht="20.100000000000001" customHeight="1">
      <c r="C39" s="471" t="s">
        <v>555</v>
      </c>
      <c r="D39" s="472" t="s">
        <v>265</v>
      </c>
      <c r="E39" s="473" t="s">
        <v>547</v>
      </c>
      <c r="F39" s="474"/>
      <c r="G39" s="475">
        <v>1830</v>
      </c>
      <c r="H39" s="475">
        <f>+'Cuotas Licitadas  '!D13</f>
        <v>1830</v>
      </c>
      <c r="I39" s="476">
        <f>+'Cuotas Licitadas  '!E39</f>
        <v>1830.0000000000002</v>
      </c>
      <c r="J39" s="477">
        <f>'Cuotas Licitadas  '!F39</f>
        <v>818.08745866660001</v>
      </c>
      <c r="K39" s="477">
        <f>'Cuotas Licitadas  '!H39</f>
        <v>1830.0006679999999</v>
      </c>
      <c r="L39" s="478">
        <f>'Cuotas Licitadas  '!I39</f>
        <v>1785.373</v>
      </c>
      <c r="M39" s="477">
        <f>K39-L39</f>
        <v>44.627667999999858</v>
      </c>
      <c r="N39" s="479">
        <f>L39/K39</f>
        <v>0.97561330507667343</v>
      </c>
    </row>
    <row r="40" spans="3:14" ht="20.100000000000001" customHeight="1" thickBot="1">
      <c r="C40" s="480" t="s">
        <v>556</v>
      </c>
      <c r="D40" s="481" t="s">
        <v>265</v>
      </c>
      <c r="E40" s="482" t="s">
        <v>547</v>
      </c>
      <c r="F40" s="493" t="s">
        <v>554</v>
      </c>
      <c r="G40" s="483">
        <v>3130</v>
      </c>
      <c r="H40" s="494">
        <f>'Cuotas Licitadas  '!D50</f>
        <v>4618</v>
      </c>
      <c r="I40" s="484">
        <f>+'Cuotas Licitadas  '!E78</f>
        <v>4502.5501385399994</v>
      </c>
      <c r="J40" s="485">
        <f>+'Cuotas Licitadas  '!F78</f>
        <v>2104.03250514</v>
      </c>
      <c r="K40" s="485">
        <f>+'Cuotas Licitadas  '!H78</f>
        <v>4502.5501388799994</v>
      </c>
      <c r="L40" s="486">
        <f>+'Cuotas Licitadas  '!I78</f>
        <v>4428.6840000000002</v>
      </c>
      <c r="M40" s="485">
        <f>K40-L40</f>
        <v>73.866138879999198</v>
      </c>
      <c r="N40" s="487">
        <f>L40/K40</f>
        <v>0.98359459937110816</v>
      </c>
    </row>
    <row r="41" spans="3:14" ht="20.100000000000001" customHeight="1" thickBot="1">
      <c r="C41" s="488" t="s">
        <v>557</v>
      </c>
      <c r="D41" s="489" t="s">
        <v>270</v>
      </c>
      <c r="E41" s="490" t="s">
        <v>548</v>
      </c>
      <c r="F41" s="491"/>
      <c r="G41" s="492">
        <v>1636</v>
      </c>
      <c r="H41" s="492">
        <f>+'Cuotas Licitadas  '!E87</f>
        <v>1636</v>
      </c>
      <c r="I41" s="503">
        <f>+'Cuotas Licitadas  '!E116</f>
        <v>1635.9998887519998</v>
      </c>
      <c r="J41" s="504">
        <f>+'Cuotas Licitadas  '!F116</f>
        <v>89.594999999999999</v>
      </c>
      <c r="K41" s="505">
        <f>+'Cuotas Licitadas  '!H116</f>
        <v>1635.9998887519996</v>
      </c>
      <c r="L41" s="506">
        <f>+'Cuotas Licitadas  '!I116</f>
        <v>1615.0929999999998</v>
      </c>
      <c r="M41" s="505">
        <f>K41-L41</f>
        <v>20.906888751999759</v>
      </c>
      <c r="N41" s="507">
        <f>L41/K41</f>
        <v>0.98722072727770882</v>
      </c>
    </row>
    <row r="52" spans="10:11">
      <c r="J52" s="186"/>
    </row>
    <row r="53" spans="10:11">
      <c r="J53" s="188"/>
      <c r="K53" s="187"/>
    </row>
    <row r="54" spans="10:11">
      <c r="K54" s="189"/>
    </row>
  </sheetData>
  <mergeCells count="9">
    <mergeCell ref="C35:N35"/>
    <mergeCell ref="C2:N2"/>
    <mergeCell ref="C3:N3"/>
    <mergeCell ref="C4:N4"/>
    <mergeCell ref="B7:B16"/>
    <mergeCell ref="B17:B24"/>
    <mergeCell ref="B25:B27"/>
    <mergeCell ref="C31:N31"/>
    <mergeCell ref="C34:N34"/>
  </mergeCells>
  <conditionalFormatting sqref="N7:N27">
    <cfRule type="dataBar" priority="3">
      <dataBar>
        <cfvo type="min" val="0"/>
        <cfvo type="max" val="0"/>
        <color rgb="FFFF555A"/>
      </dataBar>
    </cfRule>
    <cfRule type="cellIs" dxfId="25" priority="12" operator="greaterThan">
      <formula>0.8</formula>
    </cfRule>
  </conditionalFormatting>
  <conditionalFormatting sqref="U7">
    <cfRule type="cellIs" dxfId="24" priority="8" operator="greaterThan">
      <formula>0.5</formula>
    </cfRule>
    <cfRule type="colorScale" priority="9">
      <colorScale>
        <cfvo type="percent" val="0"/>
        <cfvo type="percent" val="50"/>
        <color rgb="FFFFFF00"/>
        <color rgb="FFFFEF9C"/>
      </colorScale>
    </cfRule>
    <cfRule type="colorScale" priority="10">
      <colorScale>
        <cfvo type="percent" val="50"/>
        <cfvo type="percent" val="80"/>
        <color rgb="FFFFFF00"/>
        <color rgb="FFFFEF9C"/>
      </colorScale>
    </cfRule>
    <cfRule type="cellIs" dxfId="23" priority="11" operator="greaterThan">
      <formula>0.8</formula>
    </cfRule>
  </conditionalFormatting>
  <conditionalFormatting sqref="U11">
    <cfRule type="cellIs" dxfId="22" priority="4" operator="greaterThan">
      <formula>0.5</formula>
    </cfRule>
    <cfRule type="colorScale" priority="5">
      <colorScale>
        <cfvo type="percent" val="0"/>
        <cfvo type="percent" val="50"/>
        <color rgb="FFFFFF00"/>
        <color rgb="FFFFEF9C"/>
      </colorScale>
    </cfRule>
    <cfRule type="colorScale" priority="6">
      <colorScale>
        <cfvo type="percent" val="50"/>
        <cfvo type="percent" val="80"/>
        <color rgb="FFFFFF00"/>
        <color rgb="FFFFEF9C"/>
      </colorScale>
    </cfRule>
    <cfRule type="cellIs" dxfId="21" priority="7" operator="greaterThan">
      <formula>0.8</formula>
    </cfRule>
  </conditionalFormatting>
  <conditionalFormatting sqref="N39:N41">
    <cfRule type="dataBar" priority="2">
      <dataBar>
        <cfvo type="min" val="0"/>
        <cfvo type="max" val="0"/>
        <color rgb="FFFFB628"/>
      </dataBar>
    </cfRule>
  </conditionalFormatting>
  <conditionalFormatting sqref="H6:H24 H27">
    <cfRule type="dataBar" priority="1">
      <dataBar>
        <cfvo type="min" val="0"/>
        <cfvo type="max" val="0"/>
        <color rgb="FF63C384"/>
      </dataBar>
    </cfRule>
  </conditionalFormatting>
  <pageMargins left="0.51181102362204722" right="0.31496062992125984" top="0.74803149606299213" bottom="0.74803149606299213" header="0.31496062992125984" footer="0.31496062992125984"/>
  <pageSetup paperSize="122" scale="4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00FF"/>
  </sheetPr>
  <dimension ref="A1:PR1227"/>
  <sheetViews>
    <sheetView zoomScale="68" zoomScaleNormal="68" workbookViewId="0">
      <pane xSplit="2" ySplit="5" topLeftCell="C168" activePane="bottomRight" state="frozen"/>
      <selection activeCell="S102" sqref="S102"/>
      <selection pane="topRight" activeCell="S102" sqref="S102"/>
      <selection pane="bottomLeft" activeCell="S102" sqref="S102"/>
      <selection pane="bottomRight" activeCell="G150" sqref="G150"/>
    </sheetView>
  </sheetViews>
  <sheetFormatPr baseColWidth="10" defaultRowHeight="15"/>
  <cols>
    <col min="1" max="1" width="14.5703125" style="860" customWidth="1"/>
    <col min="2" max="2" width="26" style="860" customWidth="1"/>
    <col min="3" max="3" width="13.42578125" style="860" customWidth="1"/>
    <col min="4" max="4" width="12.28515625" style="860" customWidth="1"/>
    <col min="5" max="5" width="13" style="860" customWidth="1"/>
    <col min="6" max="6" width="13.42578125" style="860" customWidth="1"/>
    <col min="7" max="7" width="15.42578125" style="860" customWidth="1"/>
    <col min="8" max="8" width="16.140625" style="952" customWidth="1"/>
    <col min="9" max="9" width="15.5703125" style="860" customWidth="1"/>
    <col min="10" max="10" width="14.140625" style="860" customWidth="1"/>
    <col min="11" max="11" width="16.5703125" style="982" customWidth="1"/>
    <col min="12" max="13" width="14.42578125" style="860" customWidth="1"/>
    <col min="14" max="14" width="13.85546875" style="860" customWidth="1"/>
    <col min="15" max="15" width="13.28515625" style="863" customWidth="1"/>
    <col min="16" max="16" width="13.5703125" style="860" customWidth="1"/>
    <col min="17" max="434" width="11.42578125" style="859"/>
    <col min="435" max="16384" width="11.42578125" style="860"/>
  </cols>
  <sheetData>
    <row r="1" spans="1:16" ht="15" customHeight="1">
      <c r="A1" s="2433" t="s">
        <v>755</v>
      </c>
      <c r="B1" s="2433"/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</row>
    <row r="2" spans="1:16" ht="22.5" customHeight="1">
      <c r="A2" s="2433"/>
      <c r="B2" s="2433"/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</row>
    <row r="3" spans="1:16" ht="15" customHeight="1" thickBot="1">
      <c r="A3" s="859"/>
      <c r="B3" s="859"/>
      <c r="C3" s="859"/>
      <c r="D3" s="859"/>
      <c r="E3" s="859"/>
      <c r="F3" s="859"/>
      <c r="G3" s="859"/>
      <c r="H3" s="861"/>
      <c r="I3" s="859"/>
      <c r="J3" s="859"/>
      <c r="K3" s="862"/>
      <c r="L3" s="859"/>
      <c r="M3" s="859"/>
      <c r="N3" s="859"/>
      <c r="P3" s="859"/>
    </row>
    <row r="4" spans="1:16" ht="15.75" thickBot="1">
      <c r="A4" s="859"/>
      <c r="B4" s="864"/>
      <c r="C4" s="2330" t="s">
        <v>114</v>
      </c>
      <c r="D4" s="2331"/>
      <c r="E4" s="2330" t="s">
        <v>142</v>
      </c>
      <c r="F4" s="2330"/>
      <c r="G4" s="2331"/>
      <c r="H4" s="2337" t="s">
        <v>141</v>
      </c>
      <c r="I4" s="2337"/>
      <c r="J4" s="2338"/>
      <c r="K4" s="2332" t="s">
        <v>140</v>
      </c>
      <c r="L4" s="2333"/>
      <c r="M4" s="2333"/>
      <c r="N4" s="2333"/>
      <c r="O4" s="2333"/>
      <c r="P4" s="2334"/>
    </row>
    <row r="5" spans="1:16" ht="81.75" customHeight="1" thickBot="1">
      <c r="A5" s="865" t="s">
        <v>19</v>
      </c>
      <c r="B5" s="866" t="s">
        <v>121</v>
      </c>
      <c r="C5" s="1137" t="s">
        <v>112</v>
      </c>
      <c r="D5" s="1808" t="s">
        <v>113</v>
      </c>
      <c r="E5" s="1086" t="s">
        <v>742</v>
      </c>
      <c r="F5" s="1809" t="s">
        <v>116</v>
      </c>
      <c r="G5" s="1810" t="s">
        <v>117</v>
      </c>
      <c r="H5" s="1806" t="s">
        <v>664</v>
      </c>
      <c r="I5" s="1671" t="s">
        <v>3</v>
      </c>
      <c r="J5" s="1811" t="s">
        <v>4</v>
      </c>
      <c r="K5" s="867" t="s">
        <v>139</v>
      </c>
      <c r="L5" s="868" t="s">
        <v>116</v>
      </c>
      <c r="M5" s="869" t="s">
        <v>117</v>
      </c>
      <c r="N5" s="870" t="s">
        <v>575</v>
      </c>
      <c r="O5" s="871" t="s">
        <v>3</v>
      </c>
      <c r="P5" s="871" t="s">
        <v>4</v>
      </c>
    </row>
    <row r="6" spans="1:16" ht="16.5" customHeight="1">
      <c r="A6" s="2313" t="s">
        <v>1</v>
      </c>
      <c r="B6" s="2316" t="s">
        <v>212</v>
      </c>
      <c r="C6" s="872">
        <v>42005</v>
      </c>
      <c r="D6" s="1506">
        <v>42185</v>
      </c>
      <c r="E6" s="899">
        <v>3398.22</v>
      </c>
      <c r="F6" s="899"/>
      <c r="G6" s="873">
        <f>E6+F6</f>
        <v>3398.22</v>
      </c>
      <c r="H6" s="899"/>
      <c r="I6" s="875">
        <f t="shared" ref="I6:I11" si="0">G6-H6</f>
        <v>3398.22</v>
      </c>
      <c r="J6" s="876">
        <f t="shared" ref="J6:J11" si="1">H6/G6</f>
        <v>0</v>
      </c>
      <c r="K6" s="2244">
        <f>E6+E7</f>
        <v>4530.9650000000001</v>
      </c>
      <c r="L6" s="2234">
        <f>F6+F7</f>
        <v>-4530.9639999999999</v>
      </c>
      <c r="M6" s="2211">
        <f>K6+L6</f>
        <v>1.0000000002037268E-3</v>
      </c>
      <c r="N6" s="2234">
        <f>H6+H7</f>
        <v>0</v>
      </c>
      <c r="O6" s="2211">
        <f>M6-N6</f>
        <v>1.0000000002037268E-3</v>
      </c>
      <c r="P6" s="2335">
        <f>N6/M6</f>
        <v>0</v>
      </c>
    </row>
    <row r="7" spans="1:16" ht="14.25" customHeight="1">
      <c r="A7" s="2314"/>
      <c r="B7" s="2317"/>
      <c r="C7" s="877">
        <v>42186</v>
      </c>
      <c r="D7" s="1812">
        <v>42369</v>
      </c>
      <c r="E7" s="1616">
        <v>1132.7449999999999</v>
      </c>
      <c r="F7" s="1616">
        <f>-4530.964</f>
        <v>-4530.9639999999999</v>
      </c>
      <c r="G7" s="948">
        <f>E7+F7+I6</f>
        <v>9.9999999974897946E-4</v>
      </c>
      <c r="H7" s="892"/>
      <c r="I7" s="1750">
        <f t="shared" si="0"/>
        <v>9.9999999974897946E-4</v>
      </c>
      <c r="J7" s="910">
        <f t="shared" si="1"/>
        <v>0</v>
      </c>
      <c r="K7" s="2222"/>
      <c r="L7" s="2219"/>
      <c r="M7" s="2224"/>
      <c r="N7" s="2219"/>
      <c r="O7" s="2224"/>
      <c r="P7" s="2336"/>
    </row>
    <row r="8" spans="1:16" ht="15.75" customHeight="1">
      <c r="A8" s="2314"/>
      <c r="B8" s="2318" t="s">
        <v>213</v>
      </c>
      <c r="C8" s="1813">
        <v>42005</v>
      </c>
      <c r="D8" s="1814">
        <v>42185</v>
      </c>
      <c r="E8" s="1481">
        <v>94287.815000000002</v>
      </c>
      <c r="F8" s="1481"/>
      <c r="G8" s="1790">
        <f>+E8+F8</f>
        <v>94287.815000000002</v>
      </c>
      <c r="H8" s="1614">
        <v>16244.860000000004</v>
      </c>
      <c r="I8" s="1749">
        <f t="shared" si="0"/>
        <v>78042.955000000002</v>
      </c>
      <c r="J8" s="1815">
        <f t="shared" si="1"/>
        <v>0.17229013102064147</v>
      </c>
      <c r="K8" s="2221">
        <f t="shared" ref="K8" si="2">E8+E9</f>
        <v>125717.21799999999</v>
      </c>
      <c r="L8" s="2218">
        <f>F8+F9</f>
        <v>0</v>
      </c>
      <c r="M8" s="2223">
        <f t="shared" ref="M8" si="3">K8+L8</f>
        <v>125717.21799999999</v>
      </c>
      <c r="N8" s="2218">
        <f>H8+H9</f>
        <v>29997.803</v>
      </c>
      <c r="O8" s="2223">
        <f>M8-N8</f>
        <v>95719.414999999994</v>
      </c>
      <c r="P8" s="2339">
        <f>N8/M8</f>
        <v>0.23861332184426801</v>
      </c>
    </row>
    <row r="9" spans="1:16" ht="14.25" customHeight="1">
      <c r="A9" s="2314"/>
      <c r="B9" s="2319"/>
      <c r="C9" s="877">
        <v>42186</v>
      </c>
      <c r="D9" s="1812">
        <v>42369</v>
      </c>
      <c r="E9" s="1616">
        <v>31429.402999999998</v>
      </c>
      <c r="F9" s="1616"/>
      <c r="G9" s="948">
        <f>E9+F9+I8</f>
        <v>109472.35800000001</v>
      </c>
      <c r="H9" s="1807">
        <v>13752.942999999996</v>
      </c>
      <c r="I9" s="1750">
        <f t="shared" si="0"/>
        <v>95719.415000000008</v>
      </c>
      <c r="J9" s="910">
        <f t="shared" si="1"/>
        <v>0.12562936663883675</v>
      </c>
      <c r="K9" s="2222"/>
      <c r="L9" s="2219"/>
      <c r="M9" s="2224"/>
      <c r="N9" s="2219"/>
      <c r="O9" s="2224"/>
      <c r="P9" s="2336"/>
    </row>
    <row r="10" spans="1:16">
      <c r="A10" s="2314"/>
      <c r="B10" s="2320" t="s">
        <v>214</v>
      </c>
      <c r="C10" s="1813">
        <v>42005</v>
      </c>
      <c r="D10" s="1814">
        <v>42185</v>
      </c>
      <c r="E10" s="1481">
        <v>380007.96500000003</v>
      </c>
      <c r="F10" s="1481"/>
      <c r="G10" s="1790">
        <f>E10+F10</f>
        <v>380007.96500000003</v>
      </c>
      <c r="H10" s="1614">
        <v>89313.01700000024</v>
      </c>
      <c r="I10" s="1749">
        <f t="shared" si="0"/>
        <v>290694.9479999998</v>
      </c>
      <c r="J10" s="1816">
        <f t="shared" si="1"/>
        <v>0.23502932892472461</v>
      </c>
      <c r="K10" s="2340">
        <f t="shared" ref="K10" si="4">E10+E11</f>
        <v>506677.81700000004</v>
      </c>
      <c r="L10" s="2250">
        <f>F10+F11</f>
        <v>0</v>
      </c>
      <c r="M10" s="2250">
        <f t="shared" ref="M10" si="5">K10+L10</f>
        <v>506677.81700000004</v>
      </c>
      <c r="N10" s="2250">
        <f>H10+H11</f>
        <v>122167.26000000024</v>
      </c>
      <c r="O10" s="2250">
        <f>M10-N10</f>
        <v>384510.5569999998</v>
      </c>
      <c r="P10" s="2251">
        <f>N10/M10</f>
        <v>0.24111428584606898</v>
      </c>
    </row>
    <row r="11" spans="1:16" ht="15" customHeight="1" thickBot="1">
      <c r="A11" s="2315"/>
      <c r="B11" s="2321"/>
      <c r="C11" s="886">
        <v>42186</v>
      </c>
      <c r="D11" s="1507">
        <v>42369</v>
      </c>
      <c r="E11" s="888">
        <v>126669.852</v>
      </c>
      <c r="F11" s="888"/>
      <c r="G11" s="1799">
        <f>E11+F11+I10</f>
        <v>417364.79999999981</v>
      </c>
      <c r="H11" s="1615">
        <v>32854.242999999995</v>
      </c>
      <c r="I11" s="1751">
        <f t="shared" si="0"/>
        <v>384510.5569999998</v>
      </c>
      <c r="J11" s="1817">
        <f t="shared" si="1"/>
        <v>7.8718289132193253E-2</v>
      </c>
      <c r="K11" s="2341"/>
      <c r="L11" s="2342"/>
      <c r="M11" s="2342"/>
      <c r="N11" s="2342"/>
      <c r="O11" s="2342"/>
      <c r="P11" s="2343"/>
    </row>
    <row r="12" spans="1:16" ht="15.75" thickBot="1">
      <c r="A12" s="3"/>
      <c r="B12" s="1503"/>
      <c r="C12" s="890"/>
      <c r="D12" s="890"/>
      <c r="E12" s="891"/>
      <c r="F12" s="892"/>
      <c r="G12" s="891"/>
      <c r="H12" s="891"/>
      <c r="I12" s="891"/>
      <c r="J12" s="893"/>
      <c r="K12" s="1805">
        <f>SUM(K6:K11)</f>
        <v>636926</v>
      </c>
      <c r="L12" s="1606">
        <f t="shared" ref="L12:O12" si="6">SUM(L6:L11)</f>
        <v>-4530.9639999999999</v>
      </c>
      <c r="M12" s="1606">
        <f>SUM(M6:M11)</f>
        <v>632395.03600000008</v>
      </c>
      <c r="N12" s="1606">
        <f t="shared" si="6"/>
        <v>152165.06300000026</v>
      </c>
      <c r="O12" s="1606">
        <f t="shared" si="6"/>
        <v>480229.97299999977</v>
      </c>
      <c r="P12" s="1607">
        <f>+N12/M12</f>
        <v>0.24061710534995445</v>
      </c>
    </row>
    <row r="13" spans="1:16" ht="17.25" customHeight="1" thickBot="1">
      <c r="A13" s="894"/>
      <c r="B13" s="1504"/>
      <c r="C13" s="895"/>
      <c r="D13" s="895"/>
      <c r="E13" s="891"/>
      <c r="F13" s="892"/>
      <c r="G13" s="891"/>
      <c r="H13" s="891"/>
      <c r="I13" s="891"/>
      <c r="J13" s="893"/>
      <c r="K13" s="896"/>
      <c r="L13" s="1534"/>
      <c r="M13" s="1534"/>
      <c r="N13" s="1534"/>
      <c r="O13" s="1534"/>
      <c r="P13" s="897"/>
    </row>
    <row r="14" spans="1:16" ht="15" customHeight="1">
      <c r="A14" s="2305" t="s">
        <v>743</v>
      </c>
      <c r="B14" s="2295" t="s">
        <v>216</v>
      </c>
      <c r="C14" s="898">
        <v>42005</v>
      </c>
      <c r="D14" s="1752">
        <v>42308</v>
      </c>
      <c r="E14" s="875">
        <v>1080.547</v>
      </c>
      <c r="F14" s="899"/>
      <c r="G14" s="873">
        <f>E14+F14</f>
        <v>1080.547</v>
      </c>
      <c r="H14" s="899"/>
      <c r="I14" s="875">
        <f>G14-H14</f>
        <v>1080.547</v>
      </c>
      <c r="J14" s="876">
        <f>H14/G14</f>
        <v>0</v>
      </c>
      <c r="K14" s="2244">
        <f>E14+E15</f>
        <v>1137.4010000000001</v>
      </c>
      <c r="L14" s="2234">
        <f>F14+F15</f>
        <v>0</v>
      </c>
      <c r="M14" s="2235">
        <f t="shared" ref="M14:M16" si="7">K14+L14</f>
        <v>1137.4010000000001</v>
      </c>
      <c r="N14" s="2234">
        <f>H14+H15</f>
        <v>0</v>
      </c>
      <c r="O14" s="2211">
        <f>M14-N14</f>
        <v>1137.4010000000001</v>
      </c>
      <c r="P14" s="2360">
        <f>N14/M14</f>
        <v>0</v>
      </c>
    </row>
    <row r="15" spans="1:16" ht="15" customHeight="1">
      <c r="A15" s="2306"/>
      <c r="B15" s="2291"/>
      <c r="C15" s="900">
        <v>42309</v>
      </c>
      <c r="D15" s="1753">
        <v>42369</v>
      </c>
      <c r="E15" s="901">
        <v>56.853999999999999</v>
      </c>
      <c r="F15" s="892"/>
      <c r="G15" s="891">
        <f>E15+F15+I14</f>
        <v>1137.4010000000001</v>
      </c>
      <c r="H15" s="892"/>
      <c r="I15" s="901">
        <f t="shared" ref="I15:I27" si="8">G15-H15</f>
        <v>1137.4010000000001</v>
      </c>
      <c r="J15" s="893">
        <f t="shared" ref="J15:J27" si="9">H15/G15</f>
        <v>0</v>
      </c>
      <c r="K15" s="2222"/>
      <c r="L15" s="2230"/>
      <c r="M15" s="2328"/>
      <c r="N15" s="2217"/>
      <c r="O15" s="2224"/>
      <c r="P15" s="2227"/>
    </row>
    <row r="16" spans="1:16" ht="15" customHeight="1">
      <c r="A16" s="2306"/>
      <c r="B16" s="2291" t="s">
        <v>217</v>
      </c>
      <c r="C16" s="1754">
        <v>42005</v>
      </c>
      <c r="D16" s="1969">
        <v>42308</v>
      </c>
      <c r="E16" s="1621">
        <v>8055.8559999999998</v>
      </c>
      <c r="F16" s="1481">
        <f>-3554.512-2147.89</f>
        <v>-5702.402</v>
      </c>
      <c r="G16" s="1622">
        <f>E16+F16</f>
        <v>2353.4539999999997</v>
      </c>
      <c r="H16" s="1481"/>
      <c r="I16" s="1621">
        <f t="shared" si="8"/>
        <v>2353.4539999999997</v>
      </c>
      <c r="J16" s="1623">
        <f t="shared" si="9"/>
        <v>0</v>
      </c>
      <c r="K16" s="2221">
        <f t="shared" ref="K16" si="10">E16+E17</f>
        <v>8479.7189999999991</v>
      </c>
      <c r="L16" s="2228">
        <f>F16+F17</f>
        <v>-5702.402</v>
      </c>
      <c r="M16" s="2327">
        <f t="shared" si="7"/>
        <v>2777.3169999999991</v>
      </c>
      <c r="N16" s="2228">
        <f>H16+H17</f>
        <v>0</v>
      </c>
      <c r="O16" s="2223">
        <f t="shared" ref="O16" si="11">M16-N16</f>
        <v>2777.3169999999991</v>
      </c>
      <c r="P16" s="2226">
        <f t="shared" ref="P16" si="12">N16/M16</f>
        <v>0</v>
      </c>
    </row>
    <row r="17" spans="1:434" ht="15" customHeight="1">
      <c r="A17" s="2306"/>
      <c r="B17" s="2291"/>
      <c r="C17" s="900">
        <v>42309</v>
      </c>
      <c r="D17" s="1753">
        <v>42369</v>
      </c>
      <c r="E17" s="1750">
        <v>423.863</v>
      </c>
      <c r="F17" s="1616"/>
      <c r="G17" s="1948">
        <f>E17+F17+I16</f>
        <v>2777.3169999999996</v>
      </c>
      <c r="H17" s="1616"/>
      <c r="I17" s="1750">
        <f t="shared" si="8"/>
        <v>2777.3169999999996</v>
      </c>
      <c r="J17" s="1949">
        <f t="shared" si="9"/>
        <v>0</v>
      </c>
      <c r="K17" s="2222"/>
      <c r="L17" s="2230"/>
      <c r="M17" s="2328"/>
      <c r="N17" s="2230"/>
      <c r="O17" s="2224"/>
      <c r="P17" s="2227"/>
    </row>
    <row r="18" spans="1:434" ht="15" customHeight="1">
      <c r="A18" s="2306"/>
      <c r="B18" s="2291" t="s">
        <v>167</v>
      </c>
      <c r="C18" s="1754">
        <v>42005</v>
      </c>
      <c r="D18" s="1969">
        <v>42308</v>
      </c>
      <c r="E18" s="1621">
        <v>62.332000000000001</v>
      </c>
      <c r="F18" s="1481">
        <f>-2727.319+2727.319</f>
        <v>0</v>
      </c>
      <c r="G18" s="1622">
        <f>E18+F18</f>
        <v>62.332000000000001</v>
      </c>
      <c r="H18" s="1124"/>
      <c r="I18" s="1621">
        <f t="shared" si="8"/>
        <v>62.332000000000001</v>
      </c>
      <c r="J18" s="1623">
        <f t="shared" si="9"/>
        <v>0</v>
      </c>
      <c r="K18" s="2221">
        <f t="shared" ref="K18" si="13">E18+E19</f>
        <v>65.611999999999995</v>
      </c>
      <c r="L18" s="2228">
        <f>F18+F19</f>
        <v>0</v>
      </c>
      <c r="M18" s="2327">
        <f t="shared" ref="M18" si="14">K18+L18</f>
        <v>65.611999999999995</v>
      </c>
      <c r="N18" s="2228">
        <f>H18+H19</f>
        <v>0</v>
      </c>
      <c r="O18" s="2223">
        <f t="shared" ref="O18" si="15">M18-N18</f>
        <v>65.611999999999995</v>
      </c>
      <c r="P18" s="2339">
        <f>N18/M18</f>
        <v>0</v>
      </c>
    </row>
    <row r="19" spans="1:434" ht="15" customHeight="1">
      <c r="A19" s="2306"/>
      <c r="B19" s="2291"/>
      <c r="C19" s="900">
        <v>42309</v>
      </c>
      <c r="D19" s="1753">
        <v>42369</v>
      </c>
      <c r="E19" s="901">
        <v>3.28</v>
      </c>
      <c r="F19" s="892"/>
      <c r="G19" s="891">
        <f>E19+F19+I18</f>
        <v>65.611999999999995</v>
      </c>
      <c r="H19" s="892"/>
      <c r="I19" s="901">
        <f t="shared" si="8"/>
        <v>65.611999999999995</v>
      </c>
      <c r="J19" s="893">
        <f t="shared" si="9"/>
        <v>0</v>
      </c>
      <c r="K19" s="2222"/>
      <c r="L19" s="2230"/>
      <c r="M19" s="2328"/>
      <c r="N19" s="2217"/>
      <c r="O19" s="2224"/>
      <c r="P19" s="2336"/>
    </row>
    <row r="20" spans="1:434" ht="15" customHeight="1">
      <c r="A20" s="2306"/>
      <c r="B20" s="2291" t="s">
        <v>213</v>
      </c>
      <c r="C20" s="1754">
        <v>42005</v>
      </c>
      <c r="D20" s="1969">
        <v>42308</v>
      </c>
      <c r="E20" s="1621">
        <v>14.926</v>
      </c>
      <c r="F20" s="1481"/>
      <c r="G20" s="1622">
        <f>E20+F20</f>
        <v>14.926</v>
      </c>
      <c r="H20" s="1481"/>
      <c r="I20" s="1621">
        <f t="shared" si="8"/>
        <v>14.926</v>
      </c>
      <c r="J20" s="1623">
        <f t="shared" si="9"/>
        <v>0</v>
      </c>
      <c r="K20" s="2221">
        <f t="shared" ref="K20" si="16">E20+E21</f>
        <v>15.711</v>
      </c>
      <c r="L20" s="2228">
        <f>F20+F21</f>
        <v>0</v>
      </c>
      <c r="M20" s="2327">
        <f t="shared" ref="M20" si="17">K20+L20</f>
        <v>15.711</v>
      </c>
      <c r="N20" s="2228">
        <f>H20+H21</f>
        <v>0</v>
      </c>
      <c r="O20" s="2223">
        <f t="shared" ref="O20" si="18">M20-N20</f>
        <v>15.711</v>
      </c>
      <c r="P20" s="2226">
        <f t="shared" ref="P20" si="19">N20/M20</f>
        <v>0</v>
      </c>
    </row>
    <row r="21" spans="1:434" ht="15" customHeight="1">
      <c r="A21" s="2306"/>
      <c r="B21" s="2291"/>
      <c r="C21" s="900">
        <v>42309</v>
      </c>
      <c r="D21" s="1753">
        <v>42369</v>
      </c>
      <c r="E21" s="1750">
        <v>0.78500000000000003</v>
      </c>
      <c r="F21" s="1616"/>
      <c r="G21" s="1948">
        <f>E21+F21+I20</f>
        <v>15.711</v>
      </c>
      <c r="H21" s="1616"/>
      <c r="I21" s="1750">
        <f t="shared" si="8"/>
        <v>15.711</v>
      </c>
      <c r="J21" s="1949">
        <f t="shared" si="9"/>
        <v>0</v>
      </c>
      <c r="K21" s="2222"/>
      <c r="L21" s="2230"/>
      <c r="M21" s="2328"/>
      <c r="N21" s="2230"/>
      <c r="O21" s="2224"/>
      <c r="P21" s="2227"/>
    </row>
    <row r="22" spans="1:434" ht="15" customHeight="1">
      <c r="A22" s="2306"/>
      <c r="B22" s="2291" t="s">
        <v>218</v>
      </c>
      <c r="C22" s="1754">
        <v>42005</v>
      </c>
      <c r="D22" s="1969">
        <v>42308</v>
      </c>
      <c r="E22" s="1621">
        <v>187.40600000000001</v>
      </c>
      <c r="F22" s="1481">
        <v>-187.40299999999999</v>
      </c>
      <c r="G22" s="1622">
        <f>E22+F22</f>
        <v>3.0000000000143245E-3</v>
      </c>
      <c r="H22" s="1481"/>
      <c r="I22" s="1621">
        <f t="shared" si="8"/>
        <v>3.0000000000143245E-3</v>
      </c>
      <c r="J22" s="1623">
        <f t="shared" si="9"/>
        <v>0</v>
      </c>
      <c r="K22" s="2221">
        <f>E22+E23</f>
        <v>197.26600000000002</v>
      </c>
      <c r="L22" s="2228">
        <f>F22+F23</f>
        <v>-187.40299999999999</v>
      </c>
      <c r="M22" s="2327">
        <f t="shared" ref="M22" si="20">K22+L22</f>
        <v>9.863000000000028</v>
      </c>
      <c r="N22" s="2228">
        <f>H22+H23</f>
        <v>0</v>
      </c>
      <c r="O22" s="2223">
        <f>M22-N22</f>
        <v>9.863000000000028</v>
      </c>
      <c r="P22" s="2226">
        <f t="shared" ref="P22" si="21">N22/M22</f>
        <v>0</v>
      </c>
    </row>
    <row r="23" spans="1:434">
      <c r="A23" s="2306"/>
      <c r="B23" s="2291"/>
      <c r="C23" s="900">
        <v>42309</v>
      </c>
      <c r="D23" s="1753">
        <v>42369</v>
      </c>
      <c r="E23" s="901">
        <v>9.86</v>
      </c>
      <c r="F23" s="892"/>
      <c r="G23" s="891">
        <f>E23+F23+I22</f>
        <v>9.8630000000000138</v>
      </c>
      <c r="H23" s="892"/>
      <c r="I23" s="901">
        <f t="shared" si="8"/>
        <v>9.8630000000000138</v>
      </c>
      <c r="J23" s="893">
        <f>H23/G23</f>
        <v>0</v>
      </c>
      <c r="K23" s="2222"/>
      <c r="L23" s="2230"/>
      <c r="M23" s="2328"/>
      <c r="N23" s="2217"/>
      <c r="O23" s="2224"/>
      <c r="P23" s="2227"/>
    </row>
    <row r="24" spans="1:434">
      <c r="A24" s="2306"/>
      <c r="B24" s="2291" t="s">
        <v>215</v>
      </c>
      <c r="C24" s="1754">
        <v>42005</v>
      </c>
      <c r="D24" s="1969">
        <v>42308</v>
      </c>
      <c r="E24" s="1621">
        <v>6949.6040000000003</v>
      </c>
      <c r="F24" s="1481">
        <v>-6765</v>
      </c>
      <c r="G24" s="1622">
        <f>E24+F24</f>
        <v>184.60400000000027</v>
      </c>
      <c r="H24" s="1481"/>
      <c r="I24" s="1621">
        <f t="shared" si="8"/>
        <v>184.60400000000027</v>
      </c>
      <c r="J24" s="1623">
        <f t="shared" si="9"/>
        <v>0</v>
      </c>
      <c r="K24" s="2221">
        <f t="shared" ref="K24" si="22">E24+E25</f>
        <v>7315.2610000000004</v>
      </c>
      <c r="L24" s="2228">
        <f>F24+F25</f>
        <v>-6765</v>
      </c>
      <c r="M24" s="2327">
        <f t="shared" ref="M24" si="23">K24+L24</f>
        <v>550.26100000000042</v>
      </c>
      <c r="N24" s="2228">
        <f>H24+H25</f>
        <v>0</v>
      </c>
      <c r="O24" s="2223">
        <f t="shared" ref="O24" si="24">M24-N24</f>
        <v>550.26100000000042</v>
      </c>
      <c r="P24" s="2226">
        <f t="shared" ref="P24" si="25">N24/M24</f>
        <v>0</v>
      </c>
      <c r="Q24" s="1770"/>
    </row>
    <row r="25" spans="1:434">
      <c r="A25" s="2306"/>
      <c r="B25" s="2291"/>
      <c r="C25" s="900">
        <v>42309</v>
      </c>
      <c r="D25" s="1753">
        <v>42369</v>
      </c>
      <c r="E25" s="1750">
        <v>365.65699999999998</v>
      </c>
      <c r="F25" s="1616"/>
      <c r="G25" s="1948">
        <f>E25+F25+I24</f>
        <v>550.26100000000019</v>
      </c>
      <c r="H25" s="1616"/>
      <c r="I25" s="1750">
        <f t="shared" si="8"/>
        <v>550.26100000000019</v>
      </c>
      <c r="J25" s="1949">
        <f t="shared" si="9"/>
        <v>0</v>
      </c>
      <c r="K25" s="2222"/>
      <c r="L25" s="2230"/>
      <c r="M25" s="2328"/>
      <c r="N25" s="2230"/>
      <c r="O25" s="2224"/>
      <c r="P25" s="2227"/>
    </row>
    <row r="26" spans="1:434">
      <c r="A26" s="2306"/>
      <c r="B26" s="2291" t="s">
        <v>219</v>
      </c>
      <c r="C26" s="1754">
        <v>42005</v>
      </c>
      <c r="D26" s="1969">
        <v>42308</v>
      </c>
      <c r="E26" s="1621">
        <v>49.526000000000003</v>
      </c>
      <c r="F26" s="1481"/>
      <c r="G26" s="1622">
        <f>E26+F26</f>
        <v>49.526000000000003</v>
      </c>
      <c r="H26" s="1481"/>
      <c r="I26" s="1621">
        <f t="shared" si="8"/>
        <v>49.526000000000003</v>
      </c>
      <c r="J26" s="1623">
        <f t="shared" si="9"/>
        <v>0</v>
      </c>
      <c r="K26" s="2221">
        <f>E26+E27</f>
        <v>52.132000000000005</v>
      </c>
      <c r="L26" s="2228">
        <f>F26+F27</f>
        <v>0</v>
      </c>
      <c r="M26" s="2327">
        <f t="shared" ref="M26" si="26">K26+L26</f>
        <v>52.132000000000005</v>
      </c>
      <c r="N26" s="2228">
        <f>H26+H27</f>
        <v>0</v>
      </c>
      <c r="O26" s="2223">
        <f t="shared" ref="O26" si="27">M26-N26</f>
        <v>52.132000000000005</v>
      </c>
      <c r="P26" s="2226">
        <f t="shared" ref="P26" si="28">N26/M26</f>
        <v>0</v>
      </c>
    </row>
    <row r="27" spans="1:434">
      <c r="A27" s="2306"/>
      <c r="B27" s="2291"/>
      <c r="C27" s="900">
        <v>42309</v>
      </c>
      <c r="D27" s="1753">
        <v>42369</v>
      </c>
      <c r="E27" s="1750">
        <v>2.6059999999999999</v>
      </c>
      <c r="F27" s="1616"/>
      <c r="G27" s="1948">
        <f>E27+F27+I26</f>
        <v>52.132000000000005</v>
      </c>
      <c r="H27" s="1616"/>
      <c r="I27" s="1750">
        <f t="shared" si="8"/>
        <v>52.132000000000005</v>
      </c>
      <c r="J27" s="1949">
        <f t="shared" si="9"/>
        <v>0</v>
      </c>
      <c r="K27" s="2222"/>
      <c r="L27" s="2230"/>
      <c r="M27" s="2328"/>
      <c r="N27" s="2230"/>
      <c r="O27" s="2224"/>
      <c r="P27" s="2227"/>
    </row>
    <row r="28" spans="1:434">
      <c r="A28" s="2306"/>
      <c r="B28" s="2312" t="s">
        <v>227</v>
      </c>
      <c r="C28" s="903">
        <v>42005</v>
      </c>
      <c r="D28" s="1755">
        <v>42308</v>
      </c>
      <c r="E28" s="901">
        <v>1.8029999999999999</v>
      </c>
      <c r="F28" s="1481"/>
      <c r="G28" s="1622">
        <f>E28+F28</f>
        <v>1.8029999999999999</v>
      </c>
      <c r="H28" s="1481"/>
      <c r="I28" s="1621">
        <f>G28-H28</f>
        <v>1.8029999999999999</v>
      </c>
      <c r="J28" s="1623">
        <f>H28/G28</f>
        <v>0</v>
      </c>
      <c r="K28" s="2221">
        <f>E28+E29</f>
        <v>1.8979999999999999</v>
      </c>
      <c r="L28" s="2228">
        <f>F28+F29</f>
        <v>0</v>
      </c>
      <c r="M28" s="2327">
        <f t="shared" ref="M28" si="29">K28+L28</f>
        <v>1.8979999999999999</v>
      </c>
      <c r="N28" s="2228">
        <f>H28+H29</f>
        <v>0</v>
      </c>
      <c r="O28" s="2223">
        <f t="shared" ref="O28" si="30">M28-N28</f>
        <v>1.8979999999999999</v>
      </c>
      <c r="P28" s="2226">
        <f t="shared" ref="P28" si="31">N28/M28</f>
        <v>0</v>
      </c>
    </row>
    <row r="29" spans="1:434">
      <c r="A29" s="2306"/>
      <c r="B29" s="2312"/>
      <c r="C29" s="903">
        <v>42309</v>
      </c>
      <c r="D29" s="1755">
        <v>42369</v>
      </c>
      <c r="E29" s="901">
        <v>9.5000000000000001E-2</v>
      </c>
      <c r="F29" s="892"/>
      <c r="G29" s="1948">
        <f>E29+F29+I28</f>
        <v>1.8979999999999999</v>
      </c>
      <c r="H29" s="1616"/>
      <c r="I29" s="1750">
        <f>G29-H29</f>
        <v>1.8979999999999999</v>
      </c>
      <c r="J29" s="1949">
        <f>H29/G29</f>
        <v>0</v>
      </c>
      <c r="K29" s="2222"/>
      <c r="L29" s="2230"/>
      <c r="M29" s="2328"/>
      <c r="N29" s="2230"/>
      <c r="O29" s="2224"/>
      <c r="P29" s="2227"/>
    </row>
    <row r="30" spans="1:434">
      <c r="A30" s="2306"/>
      <c r="B30" s="2322" t="s">
        <v>220</v>
      </c>
      <c r="C30" s="1754">
        <v>42005</v>
      </c>
      <c r="D30" s="1969">
        <v>42308</v>
      </c>
      <c r="E30" s="1621">
        <v>0</v>
      </c>
      <c r="F30" s="1481">
        <v>187.40299999999999</v>
      </c>
      <c r="G30" s="891">
        <f>E30+F30</f>
        <v>187.40299999999999</v>
      </c>
      <c r="H30" s="892"/>
      <c r="I30" s="901">
        <f>G30-H30</f>
        <v>187.40299999999999</v>
      </c>
      <c r="J30" s="893">
        <f>H30/G30</f>
        <v>0</v>
      </c>
      <c r="K30" s="2225">
        <f>E30+E31</f>
        <v>0</v>
      </c>
      <c r="L30" s="2217">
        <f>F30+F31</f>
        <v>187.40299999999999</v>
      </c>
      <c r="M30" s="2288">
        <f t="shared" ref="M30" si="32">K30+L30</f>
        <v>187.40299999999999</v>
      </c>
      <c r="N30" s="2217">
        <f>H30+H31</f>
        <v>0</v>
      </c>
      <c r="O30" s="2232">
        <f t="shared" ref="O30" si="33">M30-N30</f>
        <v>187.40299999999999</v>
      </c>
      <c r="P30" s="2262">
        <f t="shared" ref="P30" si="34">N30/M30</f>
        <v>0</v>
      </c>
    </row>
    <row r="31" spans="1:434" s="905" customFormat="1" ht="15.75" thickBot="1">
      <c r="A31" s="2307"/>
      <c r="B31" s="2323"/>
      <c r="C31" s="939">
        <v>42309</v>
      </c>
      <c r="D31" s="1756">
        <v>42369</v>
      </c>
      <c r="E31" s="1921">
        <v>0</v>
      </c>
      <c r="F31" s="888">
        <v>0</v>
      </c>
      <c r="G31" s="1919">
        <f>E31+F31+I30</f>
        <v>187.40299999999999</v>
      </c>
      <c r="H31" s="888"/>
      <c r="I31" s="1921">
        <f>G31-H31</f>
        <v>187.40299999999999</v>
      </c>
      <c r="J31" s="1951">
        <f>H31/G31</f>
        <v>0</v>
      </c>
      <c r="K31" s="2326"/>
      <c r="L31" s="2346"/>
      <c r="M31" s="2347"/>
      <c r="N31" s="2346"/>
      <c r="O31" s="2229"/>
      <c r="P31" s="2344"/>
      <c r="Q31" s="894"/>
      <c r="R31" s="894"/>
      <c r="S31" s="894"/>
      <c r="T31" s="894"/>
      <c r="U31" s="894"/>
      <c r="V31" s="894"/>
      <c r="W31" s="894"/>
      <c r="X31" s="894"/>
      <c r="Y31" s="894"/>
      <c r="Z31" s="894"/>
      <c r="AA31" s="894"/>
      <c r="AB31" s="894"/>
      <c r="AC31" s="894"/>
      <c r="AD31" s="894"/>
      <c r="AE31" s="894"/>
      <c r="AF31" s="894"/>
      <c r="AG31" s="894"/>
      <c r="AH31" s="894"/>
      <c r="AI31" s="894"/>
      <c r="AJ31" s="894"/>
      <c r="AK31" s="894"/>
      <c r="AL31" s="894"/>
      <c r="AM31" s="894"/>
      <c r="AN31" s="894"/>
      <c r="AO31" s="894"/>
      <c r="AP31" s="894"/>
      <c r="AQ31" s="894"/>
      <c r="AR31" s="894"/>
      <c r="AS31" s="894"/>
      <c r="AT31" s="894"/>
      <c r="AU31" s="894"/>
      <c r="AV31" s="894"/>
      <c r="AW31" s="894"/>
      <c r="AX31" s="894"/>
      <c r="AY31" s="894"/>
      <c r="AZ31" s="894"/>
      <c r="BA31" s="894"/>
      <c r="BB31" s="894"/>
      <c r="BC31" s="894"/>
      <c r="BD31" s="894"/>
      <c r="BE31" s="894"/>
      <c r="BF31" s="894"/>
      <c r="BG31" s="894"/>
      <c r="BH31" s="894"/>
      <c r="BI31" s="894"/>
      <c r="BJ31" s="894"/>
      <c r="BK31" s="894"/>
      <c r="BL31" s="894"/>
      <c r="BM31" s="894"/>
      <c r="BN31" s="894"/>
      <c r="BO31" s="894"/>
      <c r="BP31" s="894"/>
      <c r="BQ31" s="894"/>
      <c r="BR31" s="894"/>
      <c r="BS31" s="894"/>
      <c r="BT31" s="894"/>
      <c r="BU31" s="894"/>
      <c r="BV31" s="894"/>
      <c r="BW31" s="894"/>
      <c r="BX31" s="894"/>
      <c r="BY31" s="894"/>
      <c r="BZ31" s="894"/>
      <c r="CA31" s="894"/>
      <c r="CB31" s="894"/>
      <c r="CC31" s="894"/>
      <c r="CD31" s="894"/>
      <c r="CE31" s="894"/>
      <c r="CF31" s="894"/>
      <c r="CG31" s="894"/>
      <c r="CH31" s="894"/>
      <c r="CI31" s="894"/>
      <c r="CJ31" s="894"/>
      <c r="CK31" s="894"/>
      <c r="CL31" s="894"/>
      <c r="CM31" s="894"/>
      <c r="CN31" s="894"/>
      <c r="CO31" s="894"/>
      <c r="CP31" s="894"/>
      <c r="CQ31" s="894"/>
      <c r="CR31" s="894"/>
      <c r="CS31" s="894"/>
      <c r="CT31" s="894"/>
      <c r="CU31" s="894"/>
      <c r="CV31" s="894"/>
      <c r="CW31" s="894"/>
      <c r="CX31" s="894"/>
      <c r="CY31" s="894"/>
      <c r="CZ31" s="894"/>
      <c r="DA31" s="894"/>
      <c r="DB31" s="894"/>
      <c r="DC31" s="894"/>
      <c r="DD31" s="894"/>
      <c r="DE31" s="894"/>
      <c r="DF31" s="894"/>
      <c r="DG31" s="894"/>
      <c r="DH31" s="894"/>
      <c r="DI31" s="894"/>
      <c r="DJ31" s="894"/>
      <c r="DK31" s="894"/>
      <c r="DL31" s="894"/>
      <c r="DM31" s="894"/>
      <c r="DN31" s="894"/>
      <c r="DO31" s="894"/>
      <c r="DP31" s="894"/>
      <c r="DQ31" s="894"/>
      <c r="DR31" s="894"/>
      <c r="DS31" s="894"/>
      <c r="DT31" s="894"/>
      <c r="DU31" s="894"/>
      <c r="DV31" s="894"/>
      <c r="DW31" s="894"/>
      <c r="DX31" s="894"/>
      <c r="DY31" s="894"/>
      <c r="DZ31" s="894"/>
      <c r="EA31" s="894"/>
      <c r="EB31" s="894"/>
      <c r="EC31" s="894"/>
      <c r="ED31" s="894"/>
      <c r="EE31" s="894"/>
      <c r="EF31" s="894"/>
      <c r="EG31" s="894"/>
      <c r="EH31" s="894"/>
      <c r="EI31" s="894"/>
      <c r="EJ31" s="894"/>
      <c r="EK31" s="894"/>
      <c r="EL31" s="894"/>
      <c r="EM31" s="894"/>
      <c r="EN31" s="894"/>
      <c r="EO31" s="894"/>
      <c r="EP31" s="894"/>
      <c r="EQ31" s="894"/>
      <c r="ER31" s="894"/>
      <c r="ES31" s="894"/>
      <c r="ET31" s="894"/>
      <c r="EU31" s="894"/>
      <c r="EV31" s="894"/>
      <c r="EW31" s="894"/>
      <c r="EX31" s="894"/>
      <c r="EY31" s="894"/>
      <c r="EZ31" s="894"/>
      <c r="FA31" s="894"/>
      <c r="FB31" s="894"/>
      <c r="FC31" s="894"/>
      <c r="FD31" s="894"/>
      <c r="FE31" s="894"/>
      <c r="FF31" s="894"/>
      <c r="FG31" s="894"/>
      <c r="FH31" s="894"/>
      <c r="FI31" s="894"/>
      <c r="FJ31" s="894"/>
      <c r="FK31" s="894"/>
      <c r="FL31" s="894"/>
      <c r="FM31" s="894"/>
      <c r="FN31" s="894"/>
      <c r="FO31" s="894"/>
      <c r="FP31" s="894"/>
      <c r="FQ31" s="894"/>
      <c r="FR31" s="894"/>
      <c r="FS31" s="894"/>
      <c r="FT31" s="894"/>
      <c r="FU31" s="894"/>
      <c r="FV31" s="894"/>
      <c r="FW31" s="894"/>
      <c r="FX31" s="894"/>
      <c r="FY31" s="894"/>
      <c r="FZ31" s="894"/>
      <c r="GA31" s="894"/>
      <c r="GB31" s="894"/>
      <c r="GC31" s="894"/>
      <c r="GD31" s="894"/>
      <c r="GE31" s="894"/>
      <c r="GF31" s="894"/>
      <c r="GG31" s="894"/>
      <c r="GH31" s="894"/>
      <c r="GI31" s="894"/>
      <c r="GJ31" s="894"/>
      <c r="GK31" s="894"/>
      <c r="GL31" s="894"/>
      <c r="GM31" s="894"/>
      <c r="GN31" s="894"/>
      <c r="GO31" s="894"/>
      <c r="GP31" s="894"/>
      <c r="GQ31" s="894"/>
      <c r="GR31" s="894"/>
      <c r="GS31" s="894"/>
      <c r="GT31" s="894"/>
      <c r="GU31" s="894"/>
      <c r="GV31" s="894"/>
      <c r="GW31" s="894"/>
      <c r="GX31" s="894"/>
      <c r="GY31" s="894"/>
      <c r="GZ31" s="894"/>
      <c r="HA31" s="894"/>
      <c r="HB31" s="894"/>
      <c r="HC31" s="894"/>
      <c r="HD31" s="894"/>
      <c r="HE31" s="894"/>
      <c r="HF31" s="894"/>
      <c r="HG31" s="894"/>
      <c r="HH31" s="894"/>
      <c r="HI31" s="894"/>
      <c r="HJ31" s="894"/>
      <c r="HK31" s="894"/>
      <c r="HL31" s="894"/>
      <c r="HM31" s="894"/>
      <c r="HN31" s="894"/>
      <c r="HO31" s="894"/>
      <c r="HP31" s="894"/>
      <c r="HQ31" s="894"/>
      <c r="HR31" s="894"/>
      <c r="HS31" s="894"/>
      <c r="HT31" s="894"/>
      <c r="HU31" s="894"/>
      <c r="HV31" s="894"/>
      <c r="HW31" s="894"/>
      <c r="HX31" s="894"/>
      <c r="HY31" s="894"/>
      <c r="HZ31" s="894"/>
      <c r="IA31" s="894"/>
      <c r="IB31" s="894"/>
      <c r="IC31" s="894"/>
      <c r="ID31" s="894"/>
      <c r="IE31" s="894"/>
      <c r="IF31" s="894"/>
      <c r="IG31" s="894"/>
      <c r="IH31" s="894"/>
      <c r="II31" s="894"/>
      <c r="IJ31" s="894"/>
      <c r="IK31" s="894"/>
      <c r="IL31" s="894"/>
      <c r="IM31" s="894"/>
      <c r="IN31" s="894"/>
      <c r="IO31" s="894"/>
      <c r="IP31" s="894"/>
      <c r="IQ31" s="894"/>
      <c r="IR31" s="894"/>
      <c r="IS31" s="894"/>
      <c r="IT31" s="894"/>
      <c r="IU31" s="894"/>
      <c r="IV31" s="894"/>
      <c r="IW31" s="894"/>
      <c r="IX31" s="894"/>
      <c r="IY31" s="894"/>
      <c r="IZ31" s="894"/>
      <c r="JA31" s="894"/>
      <c r="JB31" s="894"/>
      <c r="JC31" s="894"/>
      <c r="JD31" s="894"/>
      <c r="JE31" s="894"/>
      <c r="JF31" s="894"/>
      <c r="JG31" s="894"/>
      <c r="JH31" s="894"/>
      <c r="JI31" s="894"/>
      <c r="JJ31" s="894"/>
      <c r="JK31" s="894"/>
      <c r="JL31" s="894"/>
      <c r="JM31" s="894"/>
      <c r="JN31" s="894"/>
      <c r="JO31" s="894"/>
      <c r="JP31" s="894"/>
      <c r="JQ31" s="894"/>
      <c r="JR31" s="894"/>
      <c r="JS31" s="894"/>
      <c r="JT31" s="894"/>
      <c r="JU31" s="894"/>
      <c r="JV31" s="894"/>
      <c r="JW31" s="894"/>
      <c r="JX31" s="894"/>
      <c r="JY31" s="894"/>
      <c r="JZ31" s="894"/>
      <c r="KA31" s="894"/>
      <c r="KB31" s="894"/>
      <c r="KC31" s="894"/>
      <c r="KD31" s="894"/>
      <c r="KE31" s="894"/>
      <c r="KF31" s="894"/>
      <c r="KG31" s="894"/>
      <c r="KH31" s="894"/>
      <c r="KI31" s="894"/>
      <c r="KJ31" s="894"/>
      <c r="KK31" s="894"/>
      <c r="KL31" s="894"/>
      <c r="KM31" s="894"/>
      <c r="KN31" s="894"/>
      <c r="KO31" s="894"/>
      <c r="KP31" s="894"/>
      <c r="KQ31" s="894"/>
      <c r="KR31" s="894"/>
      <c r="KS31" s="894"/>
      <c r="KT31" s="894"/>
      <c r="KU31" s="894"/>
      <c r="KV31" s="894"/>
      <c r="KW31" s="894"/>
      <c r="KX31" s="894"/>
      <c r="KY31" s="894"/>
      <c r="KZ31" s="894"/>
      <c r="LA31" s="894"/>
      <c r="LB31" s="894"/>
      <c r="LC31" s="894"/>
      <c r="LD31" s="894"/>
      <c r="LE31" s="894"/>
      <c r="LF31" s="894"/>
      <c r="LG31" s="894"/>
      <c r="LH31" s="894"/>
      <c r="LI31" s="894"/>
      <c r="LJ31" s="894"/>
      <c r="LK31" s="894"/>
      <c r="LL31" s="894"/>
      <c r="LM31" s="894"/>
      <c r="LN31" s="894"/>
      <c r="LO31" s="894"/>
      <c r="LP31" s="894"/>
      <c r="LQ31" s="894"/>
      <c r="LR31" s="894"/>
      <c r="LS31" s="894"/>
      <c r="LT31" s="894"/>
      <c r="LU31" s="894"/>
      <c r="LV31" s="894"/>
      <c r="LW31" s="894"/>
      <c r="LX31" s="894"/>
      <c r="LY31" s="894"/>
      <c r="LZ31" s="894"/>
      <c r="MA31" s="894"/>
      <c r="MB31" s="894"/>
      <c r="MC31" s="894"/>
      <c r="MD31" s="894"/>
      <c r="ME31" s="894"/>
      <c r="MF31" s="894"/>
      <c r="MG31" s="894"/>
      <c r="MH31" s="894"/>
      <c r="MI31" s="894"/>
      <c r="MJ31" s="894"/>
      <c r="MK31" s="894"/>
      <c r="ML31" s="894"/>
      <c r="MM31" s="894"/>
      <c r="MN31" s="894"/>
      <c r="MO31" s="894"/>
      <c r="MP31" s="894"/>
      <c r="MQ31" s="894"/>
      <c r="MR31" s="894"/>
      <c r="MS31" s="894"/>
      <c r="MT31" s="894"/>
      <c r="MU31" s="894"/>
      <c r="MV31" s="894"/>
      <c r="MW31" s="894"/>
      <c r="MX31" s="894"/>
      <c r="MY31" s="894"/>
      <c r="MZ31" s="894"/>
      <c r="NA31" s="894"/>
      <c r="NB31" s="894"/>
      <c r="NC31" s="894"/>
      <c r="ND31" s="894"/>
      <c r="NE31" s="894"/>
      <c r="NF31" s="894"/>
      <c r="NG31" s="894"/>
      <c r="NH31" s="894"/>
      <c r="NI31" s="894"/>
      <c r="NJ31" s="894"/>
      <c r="NK31" s="894"/>
      <c r="NL31" s="894"/>
      <c r="NM31" s="894"/>
      <c r="NN31" s="894"/>
      <c r="NO31" s="894"/>
      <c r="NP31" s="894"/>
      <c r="NQ31" s="894"/>
      <c r="NR31" s="894"/>
      <c r="NS31" s="894"/>
      <c r="NT31" s="894"/>
      <c r="NU31" s="894"/>
      <c r="NV31" s="894"/>
      <c r="NW31" s="894"/>
      <c r="NX31" s="894"/>
      <c r="NY31" s="894"/>
      <c r="NZ31" s="894"/>
      <c r="OA31" s="894"/>
      <c r="OB31" s="894"/>
      <c r="OC31" s="894"/>
      <c r="OD31" s="894"/>
      <c r="OE31" s="894"/>
      <c r="OF31" s="894"/>
      <c r="OG31" s="894"/>
      <c r="OH31" s="894"/>
      <c r="OI31" s="894"/>
      <c r="OJ31" s="894"/>
      <c r="OK31" s="894"/>
      <c r="OL31" s="894"/>
      <c r="OM31" s="894"/>
      <c r="ON31" s="894"/>
      <c r="OO31" s="894"/>
      <c r="OP31" s="894"/>
      <c r="OQ31" s="894"/>
      <c r="OR31" s="894"/>
      <c r="OS31" s="894"/>
      <c r="OT31" s="894"/>
      <c r="OU31" s="894"/>
      <c r="OV31" s="894"/>
      <c r="OW31" s="894"/>
      <c r="OX31" s="894"/>
      <c r="OY31" s="894"/>
      <c r="OZ31" s="894"/>
      <c r="PA31" s="894"/>
      <c r="PB31" s="894"/>
      <c r="PC31" s="894"/>
      <c r="PD31" s="894"/>
      <c r="PE31" s="894"/>
      <c r="PF31" s="894"/>
      <c r="PG31" s="894"/>
      <c r="PH31" s="894"/>
      <c r="PI31" s="894"/>
      <c r="PJ31" s="894"/>
      <c r="PK31" s="894"/>
      <c r="PL31" s="894"/>
      <c r="PM31" s="894"/>
      <c r="PN31" s="894"/>
      <c r="PO31" s="894"/>
      <c r="PP31" s="894"/>
      <c r="PQ31" s="894"/>
      <c r="PR31" s="894"/>
    </row>
    <row r="32" spans="1:434" s="905" customFormat="1" ht="15.75" thickBot="1">
      <c r="A32" s="2"/>
      <c r="B32" s="1505"/>
      <c r="C32" s="890"/>
      <c r="D32" s="890"/>
      <c r="E32" s="891"/>
      <c r="F32" s="891"/>
      <c r="G32" s="891"/>
      <c r="H32" s="891"/>
      <c r="I32" s="891"/>
      <c r="J32" s="893"/>
      <c r="K32" s="1533">
        <f>SUM(K14:K29)</f>
        <v>17265</v>
      </c>
      <c r="L32" s="1606">
        <f>SUM(L14:L31)</f>
        <v>-12467.402</v>
      </c>
      <c r="M32" s="1606">
        <f>SUM(M14:M31)</f>
        <v>4797.597999999999</v>
      </c>
      <c r="N32" s="1606">
        <f>SUM(N14:N29)</f>
        <v>0</v>
      </c>
      <c r="O32" s="1606">
        <f>SUM(O14:O29)</f>
        <v>4610.1949999999988</v>
      </c>
      <c r="P32" s="1607">
        <f>+N32/M32</f>
        <v>0</v>
      </c>
      <c r="Q32" s="894"/>
      <c r="R32" s="894"/>
      <c r="S32" s="894"/>
      <c r="T32" s="894"/>
      <c r="U32" s="894"/>
      <c r="V32" s="894"/>
      <c r="W32" s="894"/>
      <c r="X32" s="894"/>
      <c r="Y32" s="894"/>
      <c r="Z32" s="894"/>
      <c r="AA32" s="894"/>
      <c r="AB32" s="894"/>
      <c r="AC32" s="894"/>
      <c r="AD32" s="894"/>
      <c r="AE32" s="894"/>
      <c r="AF32" s="894"/>
      <c r="AG32" s="894"/>
      <c r="AH32" s="894"/>
      <c r="AI32" s="894"/>
      <c r="AJ32" s="894"/>
      <c r="AK32" s="894"/>
      <c r="AL32" s="894"/>
      <c r="AM32" s="894"/>
      <c r="AN32" s="894"/>
      <c r="AO32" s="894"/>
      <c r="AP32" s="894"/>
      <c r="AQ32" s="894"/>
      <c r="AR32" s="894"/>
      <c r="AS32" s="894"/>
      <c r="AT32" s="894"/>
      <c r="AU32" s="894"/>
      <c r="AV32" s="894"/>
      <c r="AW32" s="894"/>
      <c r="AX32" s="894"/>
      <c r="AY32" s="894"/>
      <c r="AZ32" s="894"/>
      <c r="BA32" s="894"/>
      <c r="BB32" s="894"/>
      <c r="BC32" s="894"/>
      <c r="BD32" s="894"/>
      <c r="BE32" s="894"/>
      <c r="BF32" s="894"/>
      <c r="BG32" s="894"/>
      <c r="BH32" s="894"/>
      <c r="BI32" s="894"/>
      <c r="BJ32" s="894"/>
      <c r="BK32" s="894"/>
      <c r="BL32" s="894"/>
      <c r="BM32" s="894"/>
      <c r="BN32" s="894"/>
      <c r="BO32" s="894"/>
      <c r="BP32" s="894"/>
      <c r="BQ32" s="894"/>
      <c r="BR32" s="894"/>
      <c r="BS32" s="894"/>
      <c r="BT32" s="894"/>
      <c r="BU32" s="894"/>
      <c r="BV32" s="894"/>
      <c r="BW32" s="894"/>
      <c r="BX32" s="894"/>
      <c r="BY32" s="894"/>
      <c r="BZ32" s="894"/>
      <c r="CA32" s="894"/>
      <c r="CB32" s="894"/>
      <c r="CC32" s="894"/>
      <c r="CD32" s="894"/>
      <c r="CE32" s="894"/>
      <c r="CF32" s="894"/>
      <c r="CG32" s="894"/>
      <c r="CH32" s="894"/>
      <c r="CI32" s="894"/>
      <c r="CJ32" s="894"/>
      <c r="CK32" s="894"/>
      <c r="CL32" s="894"/>
      <c r="CM32" s="894"/>
      <c r="CN32" s="894"/>
      <c r="CO32" s="894"/>
      <c r="CP32" s="894"/>
      <c r="CQ32" s="894"/>
      <c r="CR32" s="894"/>
      <c r="CS32" s="894"/>
      <c r="CT32" s="894"/>
      <c r="CU32" s="894"/>
      <c r="CV32" s="894"/>
      <c r="CW32" s="894"/>
      <c r="CX32" s="894"/>
      <c r="CY32" s="894"/>
      <c r="CZ32" s="894"/>
      <c r="DA32" s="894"/>
      <c r="DB32" s="894"/>
      <c r="DC32" s="894"/>
      <c r="DD32" s="894"/>
      <c r="DE32" s="894"/>
      <c r="DF32" s="894"/>
      <c r="DG32" s="894"/>
      <c r="DH32" s="894"/>
      <c r="DI32" s="894"/>
      <c r="DJ32" s="894"/>
      <c r="DK32" s="894"/>
      <c r="DL32" s="894"/>
      <c r="DM32" s="894"/>
      <c r="DN32" s="894"/>
      <c r="DO32" s="894"/>
      <c r="DP32" s="894"/>
      <c r="DQ32" s="894"/>
      <c r="DR32" s="894"/>
      <c r="DS32" s="894"/>
      <c r="DT32" s="894"/>
      <c r="DU32" s="894"/>
      <c r="DV32" s="894"/>
      <c r="DW32" s="894"/>
      <c r="DX32" s="894"/>
      <c r="DY32" s="894"/>
      <c r="DZ32" s="894"/>
      <c r="EA32" s="894"/>
      <c r="EB32" s="894"/>
      <c r="EC32" s="894"/>
      <c r="ED32" s="894"/>
      <c r="EE32" s="894"/>
      <c r="EF32" s="894"/>
      <c r="EG32" s="894"/>
      <c r="EH32" s="894"/>
      <c r="EI32" s="894"/>
      <c r="EJ32" s="894"/>
      <c r="EK32" s="894"/>
      <c r="EL32" s="894"/>
      <c r="EM32" s="894"/>
      <c r="EN32" s="894"/>
      <c r="EO32" s="894"/>
      <c r="EP32" s="894"/>
      <c r="EQ32" s="894"/>
      <c r="ER32" s="894"/>
      <c r="ES32" s="894"/>
      <c r="ET32" s="894"/>
      <c r="EU32" s="894"/>
      <c r="EV32" s="894"/>
      <c r="EW32" s="894"/>
      <c r="EX32" s="894"/>
      <c r="EY32" s="894"/>
      <c r="EZ32" s="894"/>
      <c r="FA32" s="894"/>
      <c r="FB32" s="894"/>
      <c r="FC32" s="894"/>
      <c r="FD32" s="894"/>
      <c r="FE32" s="894"/>
      <c r="FF32" s="894"/>
      <c r="FG32" s="894"/>
      <c r="FH32" s="894"/>
      <c r="FI32" s="894"/>
      <c r="FJ32" s="894"/>
      <c r="FK32" s="894"/>
      <c r="FL32" s="894"/>
      <c r="FM32" s="894"/>
      <c r="FN32" s="894"/>
      <c r="FO32" s="894"/>
      <c r="FP32" s="894"/>
      <c r="FQ32" s="894"/>
      <c r="FR32" s="894"/>
      <c r="FS32" s="894"/>
      <c r="FT32" s="894"/>
      <c r="FU32" s="894"/>
      <c r="FV32" s="894"/>
      <c r="FW32" s="894"/>
      <c r="FX32" s="894"/>
      <c r="FY32" s="894"/>
      <c r="FZ32" s="894"/>
      <c r="GA32" s="894"/>
      <c r="GB32" s="894"/>
      <c r="GC32" s="894"/>
      <c r="GD32" s="894"/>
      <c r="GE32" s="894"/>
      <c r="GF32" s="894"/>
      <c r="GG32" s="894"/>
      <c r="GH32" s="894"/>
      <c r="GI32" s="894"/>
      <c r="GJ32" s="894"/>
      <c r="GK32" s="894"/>
      <c r="GL32" s="894"/>
      <c r="GM32" s="894"/>
      <c r="GN32" s="894"/>
      <c r="GO32" s="894"/>
      <c r="GP32" s="894"/>
      <c r="GQ32" s="894"/>
      <c r="GR32" s="894"/>
      <c r="GS32" s="894"/>
      <c r="GT32" s="894"/>
      <c r="GU32" s="894"/>
      <c r="GV32" s="894"/>
      <c r="GW32" s="894"/>
      <c r="GX32" s="894"/>
      <c r="GY32" s="894"/>
      <c r="GZ32" s="894"/>
      <c r="HA32" s="894"/>
      <c r="HB32" s="894"/>
      <c r="HC32" s="894"/>
      <c r="HD32" s="894"/>
      <c r="HE32" s="894"/>
      <c r="HF32" s="894"/>
      <c r="HG32" s="894"/>
      <c r="HH32" s="894"/>
      <c r="HI32" s="894"/>
      <c r="HJ32" s="894"/>
      <c r="HK32" s="894"/>
      <c r="HL32" s="894"/>
      <c r="HM32" s="894"/>
      <c r="HN32" s="894"/>
      <c r="HO32" s="894"/>
      <c r="HP32" s="894"/>
      <c r="HQ32" s="894"/>
      <c r="HR32" s="894"/>
      <c r="HS32" s="894"/>
      <c r="HT32" s="894"/>
      <c r="HU32" s="894"/>
      <c r="HV32" s="894"/>
      <c r="HW32" s="894"/>
      <c r="HX32" s="894"/>
      <c r="HY32" s="894"/>
      <c r="HZ32" s="894"/>
      <c r="IA32" s="894"/>
      <c r="IB32" s="894"/>
      <c r="IC32" s="894"/>
      <c r="ID32" s="894"/>
      <c r="IE32" s="894"/>
      <c r="IF32" s="894"/>
      <c r="IG32" s="894"/>
      <c r="IH32" s="894"/>
      <c r="II32" s="894"/>
      <c r="IJ32" s="894"/>
      <c r="IK32" s="894"/>
      <c r="IL32" s="894"/>
      <c r="IM32" s="894"/>
      <c r="IN32" s="894"/>
      <c r="IO32" s="894"/>
      <c r="IP32" s="894"/>
      <c r="IQ32" s="894"/>
      <c r="IR32" s="894"/>
      <c r="IS32" s="894"/>
      <c r="IT32" s="894"/>
      <c r="IU32" s="894"/>
      <c r="IV32" s="894"/>
      <c r="IW32" s="894"/>
      <c r="IX32" s="894"/>
      <c r="IY32" s="894"/>
      <c r="IZ32" s="894"/>
      <c r="JA32" s="894"/>
      <c r="JB32" s="894"/>
      <c r="JC32" s="894"/>
      <c r="JD32" s="894"/>
      <c r="JE32" s="894"/>
      <c r="JF32" s="894"/>
      <c r="JG32" s="894"/>
      <c r="JH32" s="894"/>
      <c r="JI32" s="894"/>
      <c r="JJ32" s="894"/>
      <c r="JK32" s="894"/>
      <c r="JL32" s="894"/>
      <c r="JM32" s="894"/>
      <c r="JN32" s="894"/>
      <c r="JO32" s="894"/>
      <c r="JP32" s="894"/>
      <c r="JQ32" s="894"/>
      <c r="JR32" s="894"/>
      <c r="JS32" s="894"/>
      <c r="JT32" s="894"/>
      <c r="JU32" s="894"/>
      <c r="JV32" s="894"/>
      <c r="JW32" s="894"/>
      <c r="JX32" s="894"/>
      <c r="JY32" s="894"/>
      <c r="JZ32" s="894"/>
      <c r="KA32" s="894"/>
      <c r="KB32" s="894"/>
      <c r="KC32" s="894"/>
      <c r="KD32" s="894"/>
      <c r="KE32" s="894"/>
      <c r="KF32" s="894"/>
      <c r="KG32" s="894"/>
      <c r="KH32" s="894"/>
      <c r="KI32" s="894"/>
      <c r="KJ32" s="894"/>
      <c r="KK32" s="894"/>
      <c r="KL32" s="894"/>
      <c r="KM32" s="894"/>
      <c r="KN32" s="894"/>
      <c r="KO32" s="894"/>
      <c r="KP32" s="894"/>
      <c r="KQ32" s="894"/>
      <c r="KR32" s="894"/>
      <c r="KS32" s="894"/>
      <c r="KT32" s="894"/>
      <c r="KU32" s="894"/>
      <c r="KV32" s="894"/>
      <c r="KW32" s="894"/>
      <c r="KX32" s="894"/>
      <c r="KY32" s="894"/>
      <c r="KZ32" s="894"/>
      <c r="LA32" s="894"/>
      <c r="LB32" s="894"/>
      <c r="LC32" s="894"/>
      <c r="LD32" s="894"/>
      <c r="LE32" s="894"/>
      <c r="LF32" s="894"/>
      <c r="LG32" s="894"/>
      <c r="LH32" s="894"/>
      <c r="LI32" s="894"/>
      <c r="LJ32" s="894"/>
      <c r="LK32" s="894"/>
      <c r="LL32" s="894"/>
      <c r="LM32" s="894"/>
      <c r="LN32" s="894"/>
      <c r="LO32" s="894"/>
      <c r="LP32" s="894"/>
      <c r="LQ32" s="894"/>
      <c r="LR32" s="894"/>
      <c r="LS32" s="894"/>
      <c r="LT32" s="894"/>
      <c r="LU32" s="894"/>
      <c r="LV32" s="894"/>
      <c r="LW32" s="894"/>
      <c r="LX32" s="894"/>
      <c r="LY32" s="894"/>
      <c r="LZ32" s="894"/>
      <c r="MA32" s="894"/>
      <c r="MB32" s="894"/>
      <c r="MC32" s="894"/>
      <c r="MD32" s="894"/>
      <c r="ME32" s="894"/>
      <c r="MF32" s="894"/>
      <c r="MG32" s="894"/>
      <c r="MH32" s="894"/>
      <c r="MI32" s="894"/>
      <c r="MJ32" s="894"/>
      <c r="MK32" s="894"/>
      <c r="ML32" s="894"/>
      <c r="MM32" s="894"/>
      <c r="MN32" s="894"/>
      <c r="MO32" s="894"/>
      <c r="MP32" s="894"/>
      <c r="MQ32" s="894"/>
      <c r="MR32" s="894"/>
      <c r="MS32" s="894"/>
      <c r="MT32" s="894"/>
      <c r="MU32" s="894"/>
      <c r="MV32" s="894"/>
      <c r="MW32" s="894"/>
      <c r="MX32" s="894"/>
      <c r="MY32" s="894"/>
      <c r="MZ32" s="894"/>
      <c r="NA32" s="894"/>
      <c r="NB32" s="894"/>
      <c r="NC32" s="894"/>
      <c r="ND32" s="894"/>
      <c r="NE32" s="894"/>
      <c r="NF32" s="894"/>
      <c r="NG32" s="894"/>
      <c r="NH32" s="894"/>
      <c r="NI32" s="894"/>
      <c r="NJ32" s="894"/>
      <c r="NK32" s="894"/>
      <c r="NL32" s="894"/>
      <c r="NM32" s="894"/>
      <c r="NN32" s="894"/>
      <c r="NO32" s="894"/>
      <c r="NP32" s="894"/>
      <c r="NQ32" s="894"/>
      <c r="NR32" s="894"/>
      <c r="NS32" s="894"/>
      <c r="NT32" s="894"/>
      <c r="NU32" s="894"/>
      <c r="NV32" s="894"/>
      <c r="NW32" s="894"/>
      <c r="NX32" s="894"/>
      <c r="NY32" s="894"/>
      <c r="NZ32" s="894"/>
      <c r="OA32" s="894"/>
      <c r="OB32" s="894"/>
      <c r="OC32" s="894"/>
      <c r="OD32" s="894"/>
      <c r="OE32" s="894"/>
      <c r="OF32" s="894"/>
      <c r="OG32" s="894"/>
      <c r="OH32" s="894"/>
      <c r="OI32" s="894"/>
      <c r="OJ32" s="894"/>
      <c r="OK32" s="894"/>
      <c r="OL32" s="894"/>
      <c r="OM32" s="894"/>
      <c r="ON32" s="894"/>
      <c r="OO32" s="894"/>
      <c r="OP32" s="894"/>
      <c r="OQ32" s="894"/>
      <c r="OR32" s="894"/>
      <c r="OS32" s="894"/>
      <c r="OT32" s="894"/>
      <c r="OU32" s="894"/>
      <c r="OV32" s="894"/>
      <c r="OW32" s="894"/>
      <c r="OX32" s="894"/>
      <c r="OY32" s="894"/>
      <c r="OZ32" s="894"/>
      <c r="PA32" s="894"/>
      <c r="PB32" s="894"/>
      <c r="PC32" s="894"/>
      <c r="PD32" s="894"/>
      <c r="PE32" s="894"/>
      <c r="PF32" s="894"/>
      <c r="PG32" s="894"/>
      <c r="PH32" s="894"/>
      <c r="PI32" s="894"/>
      <c r="PJ32" s="894"/>
      <c r="PK32" s="894"/>
      <c r="PL32" s="894"/>
      <c r="PM32" s="894"/>
      <c r="PN32" s="894"/>
      <c r="PO32" s="894"/>
      <c r="PP32" s="894"/>
      <c r="PQ32" s="894"/>
      <c r="PR32" s="894"/>
    </row>
    <row r="33" spans="1:434" s="905" customFormat="1" ht="14.25" customHeight="1" thickBot="1">
      <c r="A33" s="894"/>
      <c r="B33" s="1504"/>
      <c r="C33" s="895"/>
      <c r="D33" s="895"/>
      <c r="E33" s="891"/>
      <c r="F33" s="891"/>
      <c r="G33" s="891"/>
      <c r="H33" s="891"/>
      <c r="I33" s="891"/>
      <c r="J33" s="893"/>
      <c r="K33" s="896"/>
      <c r="L33" s="1772"/>
      <c r="M33" s="1779">
        <f>+L32-M32</f>
        <v>-17265</v>
      </c>
      <c r="N33" s="1772"/>
      <c r="O33" s="1772"/>
      <c r="P33" s="897"/>
      <c r="Q33" s="894"/>
      <c r="R33" s="894"/>
      <c r="S33" s="894"/>
      <c r="T33" s="894"/>
      <c r="U33" s="894"/>
      <c r="V33" s="894"/>
      <c r="W33" s="894"/>
      <c r="X33" s="894"/>
      <c r="Y33" s="894"/>
      <c r="Z33" s="894"/>
      <c r="AA33" s="894"/>
      <c r="AB33" s="894"/>
      <c r="AC33" s="894"/>
      <c r="AD33" s="894"/>
      <c r="AE33" s="894"/>
      <c r="AF33" s="894"/>
      <c r="AG33" s="894"/>
      <c r="AH33" s="894"/>
      <c r="AI33" s="894"/>
      <c r="AJ33" s="894"/>
      <c r="AK33" s="894"/>
      <c r="AL33" s="894"/>
      <c r="AM33" s="894"/>
      <c r="AN33" s="894"/>
      <c r="AO33" s="894"/>
      <c r="AP33" s="894"/>
      <c r="AQ33" s="894"/>
      <c r="AR33" s="894"/>
      <c r="AS33" s="894"/>
      <c r="AT33" s="894"/>
      <c r="AU33" s="894"/>
      <c r="AV33" s="894"/>
      <c r="AW33" s="894"/>
      <c r="AX33" s="894"/>
      <c r="AY33" s="894"/>
      <c r="AZ33" s="894"/>
      <c r="BA33" s="894"/>
      <c r="BB33" s="894"/>
      <c r="BC33" s="894"/>
      <c r="BD33" s="894"/>
      <c r="BE33" s="894"/>
      <c r="BF33" s="894"/>
      <c r="BG33" s="894"/>
      <c r="BH33" s="894"/>
      <c r="BI33" s="894"/>
      <c r="BJ33" s="894"/>
      <c r="BK33" s="894"/>
      <c r="BL33" s="894"/>
      <c r="BM33" s="894"/>
      <c r="BN33" s="894"/>
      <c r="BO33" s="894"/>
      <c r="BP33" s="894"/>
      <c r="BQ33" s="894"/>
      <c r="BR33" s="894"/>
      <c r="BS33" s="894"/>
      <c r="BT33" s="894"/>
      <c r="BU33" s="894"/>
      <c r="BV33" s="894"/>
      <c r="BW33" s="894"/>
      <c r="BX33" s="894"/>
      <c r="BY33" s="894"/>
      <c r="BZ33" s="894"/>
      <c r="CA33" s="894"/>
      <c r="CB33" s="894"/>
      <c r="CC33" s="894"/>
      <c r="CD33" s="894"/>
      <c r="CE33" s="894"/>
      <c r="CF33" s="894"/>
      <c r="CG33" s="894"/>
      <c r="CH33" s="894"/>
      <c r="CI33" s="894"/>
      <c r="CJ33" s="894"/>
      <c r="CK33" s="894"/>
      <c r="CL33" s="894"/>
      <c r="CM33" s="894"/>
      <c r="CN33" s="894"/>
      <c r="CO33" s="894"/>
      <c r="CP33" s="894"/>
      <c r="CQ33" s="894"/>
      <c r="CR33" s="894"/>
      <c r="CS33" s="894"/>
      <c r="CT33" s="894"/>
      <c r="CU33" s="894"/>
      <c r="CV33" s="894"/>
      <c r="CW33" s="894"/>
      <c r="CX33" s="894"/>
      <c r="CY33" s="894"/>
      <c r="CZ33" s="894"/>
      <c r="DA33" s="894"/>
      <c r="DB33" s="894"/>
      <c r="DC33" s="894"/>
      <c r="DD33" s="894"/>
      <c r="DE33" s="894"/>
      <c r="DF33" s="894"/>
      <c r="DG33" s="894"/>
      <c r="DH33" s="894"/>
      <c r="DI33" s="894"/>
      <c r="DJ33" s="894"/>
      <c r="DK33" s="894"/>
      <c r="DL33" s="894"/>
      <c r="DM33" s="894"/>
      <c r="DN33" s="894"/>
      <c r="DO33" s="894"/>
      <c r="DP33" s="894"/>
      <c r="DQ33" s="894"/>
      <c r="DR33" s="894"/>
      <c r="DS33" s="894"/>
      <c r="DT33" s="894"/>
      <c r="DU33" s="894"/>
      <c r="DV33" s="894"/>
      <c r="DW33" s="894"/>
      <c r="DX33" s="894"/>
      <c r="DY33" s="894"/>
      <c r="DZ33" s="894"/>
      <c r="EA33" s="894"/>
      <c r="EB33" s="894"/>
      <c r="EC33" s="894"/>
      <c r="ED33" s="894"/>
      <c r="EE33" s="894"/>
      <c r="EF33" s="894"/>
      <c r="EG33" s="894"/>
      <c r="EH33" s="894"/>
      <c r="EI33" s="894"/>
      <c r="EJ33" s="894"/>
      <c r="EK33" s="894"/>
      <c r="EL33" s="894"/>
      <c r="EM33" s="894"/>
      <c r="EN33" s="894"/>
      <c r="EO33" s="894"/>
      <c r="EP33" s="894"/>
      <c r="EQ33" s="894"/>
      <c r="ER33" s="894"/>
      <c r="ES33" s="894"/>
      <c r="ET33" s="894"/>
      <c r="EU33" s="894"/>
      <c r="EV33" s="894"/>
      <c r="EW33" s="894"/>
      <c r="EX33" s="894"/>
      <c r="EY33" s="894"/>
      <c r="EZ33" s="894"/>
      <c r="FA33" s="894"/>
      <c r="FB33" s="894"/>
      <c r="FC33" s="894"/>
      <c r="FD33" s="894"/>
      <c r="FE33" s="894"/>
      <c r="FF33" s="894"/>
      <c r="FG33" s="894"/>
      <c r="FH33" s="894"/>
      <c r="FI33" s="894"/>
      <c r="FJ33" s="894"/>
      <c r="FK33" s="894"/>
      <c r="FL33" s="894"/>
      <c r="FM33" s="894"/>
      <c r="FN33" s="894"/>
      <c r="FO33" s="894"/>
      <c r="FP33" s="894"/>
      <c r="FQ33" s="894"/>
      <c r="FR33" s="894"/>
      <c r="FS33" s="894"/>
      <c r="FT33" s="894"/>
      <c r="FU33" s="894"/>
      <c r="FV33" s="894"/>
      <c r="FW33" s="894"/>
      <c r="FX33" s="894"/>
      <c r="FY33" s="894"/>
      <c r="FZ33" s="894"/>
      <c r="GA33" s="894"/>
      <c r="GB33" s="894"/>
      <c r="GC33" s="894"/>
      <c r="GD33" s="894"/>
      <c r="GE33" s="894"/>
      <c r="GF33" s="894"/>
      <c r="GG33" s="894"/>
      <c r="GH33" s="894"/>
      <c r="GI33" s="894"/>
      <c r="GJ33" s="894"/>
      <c r="GK33" s="894"/>
      <c r="GL33" s="894"/>
      <c r="GM33" s="894"/>
      <c r="GN33" s="894"/>
      <c r="GO33" s="894"/>
      <c r="GP33" s="894"/>
      <c r="GQ33" s="894"/>
      <c r="GR33" s="894"/>
      <c r="GS33" s="894"/>
      <c r="GT33" s="894"/>
      <c r="GU33" s="894"/>
      <c r="GV33" s="894"/>
      <c r="GW33" s="894"/>
      <c r="GX33" s="894"/>
      <c r="GY33" s="894"/>
      <c r="GZ33" s="894"/>
      <c r="HA33" s="894"/>
      <c r="HB33" s="894"/>
      <c r="HC33" s="894"/>
      <c r="HD33" s="894"/>
      <c r="HE33" s="894"/>
      <c r="HF33" s="894"/>
      <c r="HG33" s="894"/>
      <c r="HH33" s="894"/>
      <c r="HI33" s="894"/>
      <c r="HJ33" s="894"/>
      <c r="HK33" s="894"/>
      <c r="HL33" s="894"/>
      <c r="HM33" s="894"/>
      <c r="HN33" s="894"/>
      <c r="HO33" s="894"/>
      <c r="HP33" s="894"/>
      <c r="HQ33" s="894"/>
      <c r="HR33" s="894"/>
      <c r="HS33" s="894"/>
      <c r="HT33" s="894"/>
      <c r="HU33" s="894"/>
      <c r="HV33" s="894"/>
      <c r="HW33" s="894"/>
      <c r="HX33" s="894"/>
      <c r="HY33" s="894"/>
      <c r="HZ33" s="894"/>
      <c r="IA33" s="894"/>
      <c r="IB33" s="894"/>
      <c r="IC33" s="894"/>
      <c r="ID33" s="894"/>
      <c r="IE33" s="894"/>
      <c r="IF33" s="894"/>
      <c r="IG33" s="894"/>
      <c r="IH33" s="894"/>
      <c r="II33" s="894"/>
      <c r="IJ33" s="894"/>
      <c r="IK33" s="894"/>
      <c r="IL33" s="894"/>
      <c r="IM33" s="894"/>
      <c r="IN33" s="894"/>
      <c r="IO33" s="894"/>
      <c r="IP33" s="894"/>
      <c r="IQ33" s="894"/>
      <c r="IR33" s="894"/>
      <c r="IS33" s="894"/>
      <c r="IT33" s="894"/>
      <c r="IU33" s="894"/>
      <c r="IV33" s="894"/>
      <c r="IW33" s="894"/>
      <c r="IX33" s="894"/>
      <c r="IY33" s="894"/>
      <c r="IZ33" s="894"/>
      <c r="JA33" s="894"/>
      <c r="JB33" s="894"/>
      <c r="JC33" s="894"/>
      <c r="JD33" s="894"/>
      <c r="JE33" s="894"/>
      <c r="JF33" s="894"/>
      <c r="JG33" s="894"/>
      <c r="JH33" s="894"/>
      <c r="JI33" s="894"/>
      <c r="JJ33" s="894"/>
      <c r="JK33" s="894"/>
      <c r="JL33" s="894"/>
      <c r="JM33" s="894"/>
      <c r="JN33" s="894"/>
      <c r="JO33" s="894"/>
      <c r="JP33" s="894"/>
      <c r="JQ33" s="894"/>
      <c r="JR33" s="894"/>
      <c r="JS33" s="894"/>
      <c r="JT33" s="894"/>
      <c r="JU33" s="894"/>
      <c r="JV33" s="894"/>
      <c r="JW33" s="894"/>
      <c r="JX33" s="894"/>
      <c r="JY33" s="894"/>
      <c r="JZ33" s="894"/>
      <c r="KA33" s="894"/>
      <c r="KB33" s="894"/>
      <c r="KC33" s="894"/>
      <c r="KD33" s="894"/>
      <c r="KE33" s="894"/>
      <c r="KF33" s="894"/>
      <c r="KG33" s="894"/>
      <c r="KH33" s="894"/>
      <c r="KI33" s="894"/>
      <c r="KJ33" s="894"/>
      <c r="KK33" s="894"/>
      <c r="KL33" s="894"/>
      <c r="KM33" s="894"/>
      <c r="KN33" s="894"/>
      <c r="KO33" s="894"/>
      <c r="KP33" s="894"/>
      <c r="KQ33" s="894"/>
      <c r="KR33" s="894"/>
      <c r="KS33" s="894"/>
      <c r="KT33" s="894"/>
      <c r="KU33" s="894"/>
      <c r="KV33" s="894"/>
      <c r="KW33" s="894"/>
      <c r="KX33" s="894"/>
      <c r="KY33" s="894"/>
      <c r="KZ33" s="894"/>
      <c r="LA33" s="894"/>
      <c r="LB33" s="894"/>
      <c r="LC33" s="894"/>
      <c r="LD33" s="894"/>
      <c r="LE33" s="894"/>
      <c r="LF33" s="894"/>
      <c r="LG33" s="894"/>
      <c r="LH33" s="894"/>
      <c r="LI33" s="894"/>
      <c r="LJ33" s="894"/>
      <c r="LK33" s="894"/>
      <c r="LL33" s="894"/>
      <c r="LM33" s="894"/>
      <c r="LN33" s="894"/>
      <c r="LO33" s="894"/>
      <c r="LP33" s="894"/>
      <c r="LQ33" s="894"/>
      <c r="LR33" s="894"/>
      <c r="LS33" s="894"/>
      <c r="LT33" s="894"/>
      <c r="LU33" s="894"/>
      <c r="LV33" s="894"/>
      <c r="LW33" s="894"/>
      <c r="LX33" s="894"/>
      <c r="LY33" s="894"/>
      <c r="LZ33" s="894"/>
      <c r="MA33" s="894"/>
      <c r="MB33" s="894"/>
      <c r="MC33" s="894"/>
      <c r="MD33" s="894"/>
      <c r="ME33" s="894"/>
      <c r="MF33" s="894"/>
      <c r="MG33" s="894"/>
      <c r="MH33" s="894"/>
      <c r="MI33" s="894"/>
      <c r="MJ33" s="894"/>
      <c r="MK33" s="894"/>
      <c r="ML33" s="894"/>
      <c r="MM33" s="894"/>
      <c r="MN33" s="894"/>
      <c r="MO33" s="894"/>
      <c r="MP33" s="894"/>
      <c r="MQ33" s="894"/>
      <c r="MR33" s="894"/>
      <c r="MS33" s="894"/>
      <c r="MT33" s="894"/>
      <c r="MU33" s="894"/>
      <c r="MV33" s="894"/>
      <c r="MW33" s="894"/>
      <c r="MX33" s="894"/>
      <c r="MY33" s="894"/>
      <c r="MZ33" s="894"/>
      <c r="NA33" s="894"/>
      <c r="NB33" s="894"/>
      <c r="NC33" s="894"/>
      <c r="ND33" s="894"/>
      <c r="NE33" s="894"/>
      <c r="NF33" s="894"/>
      <c r="NG33" s="894"/>
      <c r="NH33" s="894"/>
      <c r="NI33" s="894"/>
      <c r="NJ33" s="894"/>
      <c r="NK33" s="894"/>
      <c r="NL33" s="894"/>
      <c r="NM33" s="894"/>
      <c r="NN33" s="894"/>
      <c r="NO33" s="894"/>
      <c r="NP33" s="894"/>
      <c r="NQ33" s="894"/>
      <c r="NR33" s="894"/>
      <c r="NS33" s="894"/>
      <c r="NT33" s="894"/>
      <c r="NU33" s="894"/>
      <c r="NV33" s="894"/>
      <c r="NW33" s="894"/>
      <c r="NX33" s="894"/>
      <c r="NY33" s="894"/>
      <c r="NZ33" s="894"/>
      <c r="OA33" s="894"/>
      <c r="OB33" s="894"/>
      <c r="OC33" s="894"/>
      <c r="OD33" s="894"/>
      <c r="OE33" s="894"/>
      <c r="OF33" s="894"/>
      <c r="OG33" s="894"/>
      <c r="OH33" s="894"/>
      <c r="OI33" s="894"/>
      <c r="OJ33" s="894"/>
      <c r="OK33" s="894"/>
      <c r="OL33" s="894"/>
      <c r="OM33" s="894"/>
      <c r="ON33" s="894"/>
      <c r="OO33" s="894"/>
      <c r="OP33" s="894"/>
      <c r="OQ33" s="894"/>
      <c r="OR33" s="894"/>
      <c r="OS33" s="894"/>
      <c r="OT33" s="894"/>
      <c r="OU33" s="894"/>
      <c r="OV33" s="894"/>
      <c r="OW33" s="894"/>
      <c r="OX33" s="894"/>
      <c r="OY33" s="894"/>
      <c r="OZ33" s="894"/>
      <c r="PA33" s="894"/>
      <c r="PB33" s="894"/>
      <c r="PC33" s="894"/>
      <c r="PD33" s="894"/>
      <c r="PE33" s="894"/>
      <c r="PF33" s="894"/>
      <c r="PG33" s="894"/>
      <c r="PH33" s="894"/>
      <c r="PI33" s="894"/>
      <c r="PJ33" s="894"/>
      <c r="PK33" s="894"/>
      <c r="PL33" s="894"/>
      <c r="PM33" s="894"/>
      <c r="PN33" s="894"/>
      <c r="PO33" s="894"/>
      <c r="PP33" s="894"/>
      <c r="PQ33" s="894"/>
      <c r="PR33" s="894"/>
    </row>
    <row r="34" spans="1:434" ht="15" customHeight="1">
      <c r="A34" s="2437" t="s">
        <v>744</v>
      </c>
      <c r="B34" s="2294" t="s">
        <v>216</v>
      </c>
      <c r="C34" s="1782">
        <v>42005</v>
      </c>
      <c r="D34" s="1780">
        <v>42124</v>
      </c>
      <c r="E34" s="1781">
        <v>1362.8989999999999</v>
      </c>
      <c r="F34" s="875">
        <f>-469.505+44.339+35.36+71.045+196.135-411.22-157</f>
        <v>-690.846</v>
      </c>
      <c r="G34" s="873">
        <f>E34+F34</f>
        <v>672.05299999999988</v>
      </c>
      <c r="H34" s="1818"/>
      <c r="I34" s="875">
        <f>G34-H34</f>
        <v>672.05299999999988</v>
      </c>
      <c r="J34" s="876">
        <f>H34/G34</f>
        <v>0</v>
      </c>
      <c r="K34" s="2244">
        <f>E34+E35+E36</f>
        <v>1603.3890000000001</v>
      </c>
      <c r="L34" s="2234">
        <f>F34+F35+F36</f>
        <v>-690.846</v>
      </c>
      <c r="M34" s="2211">
        <f>K34+L34</f>
        <v>912.54300000000012</v>
      </c>
      <c r="N34" s="2234">
        <f>H34+H35+H36</f>
        <v>730.63300000000004</v>
      </c>
      <c r="O34" s="2211">
        <f>M34-N34</f>
        <v>181.91000000000008</v>
      </c>
      <c r="P34" s="2348">
        <f>N34/M34</f>
        <v>0.80065596908857983</v>
      </c>
    </row>
    <row r="35" spans="1:434" ht="15" customHeight="1">
      <c r="A35" s="2438"/>
      <c r="B35" s="2264"/>
      <c r="C35" s="907">
        <v>42125</v>
      </c>
      <c r="D35" s="1764">
        <v>42247</v>
      </c>
      <c r="E35" s="1757">
        <v>160.26400000000001</v>
      </c>
      <c r="F35" s="901"/>
      <c r="G35" s="891">
        <f>E35+F35+I34</f>
        <v>832.31699999999989</v>
      </c>
      <c r="H35" s="1819">
        <v>78.325000000000003</v>
      </c>
      <c r="I35" s="901">
        <f>G35-H35</f>
        <v>753.99199999999985</v>
      </c>
      <c r="J35" s="893">
        <f>H35/G35</f>
        <v>9.4104770177708755E-2</v>
      </c>
      <c r="K35" s="2225"/>
      <c r="L35" s="2217"/>
      <c r="M35" s="2232"/>
      <c r="N35" s="2217"/>
      <c r="O35" s="2232"/>
      <c r="P35" s="2300"/>
    </row>
    <row r="36" spans="1:434" ht="15" customHeight="1">
      <c r="A36" s="2438"/>
      <c r="B36" s="2265"/>
      <c r="C36" s="909">
        <v>42248</v>
      </c>
      <c r="D36" s="1765">
        <v>42369</v>
      </c>
      <c r="E36" s="1758">
        <v>80.225999999999999</v>
      </c>
      <c r="F36" s="1276"/>
      <c r="G36" s="1256">
        <f>E36+F36+I35</f>
        <v>834.21799999999985</v>
      </c>
      <c r="H36" s="1826">
        <v>652.30799999999999</v>
      </c>
      <c r="I36" s="1276">
        <f>G36-H36</f>
        <v>181.90999999999985</v>
      </c>
      <c r="J36" s="1275">
        <f t="shared" ref="J36:J87" si="35">H36/G36</f>
        <v>0.78193949303419508</v>
      </c>
      <c r="K36" s="2222"/>
      <c r="L36" s="2216"/>
      <c r="M36" s="2269"/>
      <c r="N36" s="2216"/>
      <c r="O36" s="2269"/>
      <c r="P36" s="2301"/>
      <c r="Q36" s="1771"/>
    </row>
    <row r="37" spans="1:434" ht="15" customHeight="1">
      <c r="A37" s="2438"/>
      <c r="B37" s="2263" t="s">
        <v>221</v>
      </c>
      <c r="C37" s="911">
        <v>42005</v>
      </c>
      <c r="D37" s="1766">
        <v>42124</v>
      </c>
      <c r="E37" s="1759">
        <v>0</v>
      </c>
      <c r="F37" s="1621">
        <v>0</v>
      </c>
      <c r="G37" s="1622">
        <f>E37+F37</f>
        <v>0</v>
      </c>
      <c r="H37" s="1820"/>
      <c r="I37" s="901">
        <f>G37-H37</f>
        <v>0</v>
      </c>
      <c r="J37" s="893" t="e">
        <f t="shared" si="35"/>
        <v>#DIV/0!</v>
      </c>
      <c r="K37" s="2221">
        <f t="shared" ref="K37" si="36">E37+E38+E39</f>
        <v>0</v>
      </c>
      <c r="L37" s="2228">
        <f>F37+F38+F39</f>
        <v>0</v>
      </c>
      <c r="M37" s="2223">
        <f>K37+L37</f>
        <v>0</v>
      </c>
      <c r="N37" s="2228">
        <f>H37+H38+H39</f>
        <v>0</v>
      </c>
      <c r="O37" s="2223">
        <f>M37-N37</f>
        <v>0</v>
      </c>
      <c r="P37" s="2299" t="e">
        <f>N37/M37</f>
        <v>#DIV/0!</v>
      </c>
    </row>
    <row r="38" spans="1:434" ht="15" customHeight="1">
      <c r="A38" s="2438"/>
      <c r="B38" s="2264"/>
      <c r="C38" s="907">
        <v>42125</v>
      </c>
      <c r="D38" s="1764">
        <v>42247</v>
      </c>
      <c r="E38" s="1757">
        <v>0</v>
      </c>
      <c r="F38" s="901">
        <v>0</v>
      </c>
      <c r="G38" s="891">
        <f>E38+F38+I37</f>
        <v>0</v>
      </c>
      <c r="H38" s="1821"/>
      <c r="I38" s="901">
        <f>G38-H38</f>
        <v>0</v>
      </c>
      <c r="J38" s="893" t="e">
        <f t="shared" si="35"/>
        <v>#DIV/0!</v>
      </c>
      <c r="K38" s="2225"/>
      <c r="L38" s="2217"/>
      <c r="M38" s="2232"/>
      <c r="N38" s="2217"/>
      <c r="O38" s="2232"/>
      <c r="P38" s="2300"/>
      <c r="Q38" s="1771"/>
    </row>
    <row r="39" spans="1:434" ht="15" customHeight="1">
      <c r="A39" s="2438"/>
      <c r="B39" s="2265"/>
      <c r="C39" s="909">
        <v>42248</v>
      </c>
      <c r="D39" s="1765">
        <v>42369</v>
      </c>
      <c r="E39" s="1758">
        <v>0</v>
      </c>
      <c r="F39" s="901">
        <v>0</v>
      </c>
      <c r="G39" s="891">
        <f>E39+F39+I38</f>
        <v>0</v>
      </c>
      <c r="H39" s="1821"/>
      <c r="I39" s="901">
        <f t="shared" ref="I39:I87" si="37">G39-H39</f>
        <v>0</v>
      </c>
      <c r="J39" s="893" t="e">
        <f t="shared" si="35"/>
        <v>#DIV/0!</v>
      </c>
      <c r="K39" s="2225"/>
      <c r="L39" s="2216"/>
      <c r="M39" s="2269"/>
      <c r="N39" s="2217"/>
      <c r="O39" s="2232"/>
      <c r="P39" s="2301"/>
    </row>
    <row r="40" spans="1:434">
      <c r="A40" s="2438"/>
      <c r="B40" s="2263" t="s">
        <v>167</v>
      </c>
      <c r="C40" s="911">
        <v>42005</v>
      </c>
      <c r="D40" s="1766">
        <v>42124</v>
      </c>
      <c r="E40" s="1760">
        <v>1713.557</v>
      </c>
      <c r="F40" s="1970">
        <f>-85-10-1100</f>
        <v>-1195</v>
      </c>
      <c r="G40" s="1622">
        <f>E40+F40</f>
        <v>518.55700000000002</v>
      </c>
      <c r="H40" s="1822">
        <v>61.973999999999997</v>
      </c>
      <c r="I40" s="1621">
        <f t="shared" si="37"/>
        <v>456.58300000000003</v>
      </c>
      <c r="J40" s="1623">
        <f t="shared" si="35"/>
        <v>0.11951241618568449</v>
      </c>
      <c r="K40" s="2221">
        <f t="shared" ref="K40" si="38">E40+E41+E42</f>
        <v>2015.922</v>
      </c>
      <c r="L40" s="2228">
        <f>F40+F41+F42</f>
        <v>-1195</v>
      </c>
      <c r="M40" s="2223">
        <f>K40+L40</f>
        <v>820.92200000000003</v>
      </c>
      <c r="N40" s="2223">
        <f>H40+H41+H42</f>
        <v>567.19100000000003</v>
      </c>
      <c r="O40" s="2223">
        <f>M40-N40</f>
        <v>253.73099999999999</v>
      </c>
      <c r="P40" s="2299">
        <f t="shared" ref="P40" si="39">N40/M40</f>
        <v>0.690919478342644</v>
      </c>
    </row>
    <row r="41" spans="1:434">
      <c r="A41" s="2438"/>
      <c r="B41" s="2264"/>
      <c r="C41" s="907">
        <v>42125</v>
      </c>
      <c r="D41" s="1764">
        <v>42247</v>
      </c>
      <c r="E41" s="1757">
        <v>201.49799999999999</v>
      </c>
      <c r="F41" s="901"/>
      <c r="G41" s="891">
        <f>E41+F41+I40</f>
        <v>658.08100000000002</v>
      </c>
      <c r="H41" s="1819">
        <v>147.94499999999999</v>
      </c>
      <c r="I41" s="901">
        <f t="shared" si="37"/>
        <v>510.13600000000002</v>
      </c>
      <c r="J41" s="893">
        <f t="shared" si="35"/>
        <v>0.22481275101393292</v>
      </c>
      <c r="K41" s="2225"/>
      <c r="L41" s="2217"/>
      <c r="M41" s="2232"/>
      <c r="N41" s="2232"/>
      <c r="O41" s="2232"/>
      <c r="P41" s="2300"/>
    </row>
    <row r="42" spans="1:434">
      <c r="A42" s="2438"/>
      <c r="B42" s="2265"/>
      <c r="C42" s="909">
        <v>42248</v>
      </c>
      <c r="D42" s="1765">
        <v>42369</v>
      </c>
      <c r="E42" s="1758">
        <v>100.867</v>
      </c>
      <c r="F42" s="1276"/>
      <c r="G42" s="1256">
        <f>E42+F42+I41</f>
        <v>611.00300000000004</v>
      </c>
      <c r="H42" s="858">
        <v>357.27199999999999</v>
      </c>
      <c r="I42" s="1276">
        <f t="shared" si="37"/>
        <v>253.73100000000005</v>
      </c>
      <c r="J42" s="1275">
        <f t="shared" si="35"/>
        <v>0.58473035320612166</v>
      </c>
      <c r="K42" s="2225"/>
      <c r="L42" s="2216"/>
      <c r="M42" s="2269"/>
      <c r="N42" s="2269"/>
      <c r="O42" s="2232"/>
      <c r="P42" s="2301"/>
    </row>
    <row r="43" spans="1:434" ht="15" customHeight="1">
      <c r="A43" s="2438"/>
      <c r="B43" s="2263" t="s">
        <v>219</v>
      </c>
      <c r="C43" s="911">
        <v>42005</v>
      </c>
      <c r="D43" s="1766">
        <v>42124</v>
      </c>
      <c r="E43" s="1759">
        <v>1128.2560000000001</v>
      </c>
      <c r="F43" s="901">
        <f>-35+34+85.98</f>
        <v>84.98</v>
      </c>
      <c r="G43" s="891">
        <f>E43+F43</f>
        <v>1213.2360000000001</v>
      </c>
      <c r="H43" s="1822">
        <v>609.71900000000005</v>
      </c>
      <c r="I43" s="901">
        <f t="shared" si="37"/>
        <v>603.51700000000005</v>
      </c>
      <c r="J43" s="893">
        <f t="shared" si="35"/>
        <v>0.5025559742704635</v>
      </c>
      <c r="K43" s="2221">
        <f t="shared" ref="K43" si="40">E43+E44+E45</f>
        <v>1327.3420000000001</v>
      </c>
      <c r="L43" s="2228">
        <f>F43+F44+F45</f>
        <v>84.98</v>
      </c>
      <c r="M43" s="2223">
        <f>K43+L43</f>
        <v>1412.3220000000001</v>
      </c>
      <c r="N43" s="2217">
        <f>H43+H44+H45</f>
        <v>1361.6780000000001</v>
      </c>
      <c r="O43" s="2223">
        <f>M43-N43</f>
        <v>50.644000000000005</v>
      </c>
      <c r="P43" s="2226">
        <f t="shared" ref="P43" si="41">N43/M43</f>
        <v>0.96414132187985457</v>
      </c>
    </row>
    <row r="44" spans="1:434">
      <c r="A44" s="2438"/>
      <c r="B44" s="2264"/>
      <c r="C44" s="907">
        <v>42125</v>
      </c>
      <c r="D44" s="1764">
        <v>42247</v>
      </c>
      <c r="E44" s="1757">
        <v>132.672</v>
      </c>
      <c r="F44" s="901"/>
      <c r="G44" s="891">
        <f>E44+F44+I43</f>
        <v>736.18900000000008</v>
      </c>
      <c r="H44" s="1819">
        <v>481.61500000000001</v>
      </c>
      <c r="I44" s="901">
        <f t="shared" si="37"/>
        <v>254.57400000000007</v>
      </c>
      <c r="J44" s="893">
        <f t="shared" si="35"/>
        <v>0.654200212173776</v>
      </c>
      <c r="K44" s="2225"/>
      <c r="L44" s="2217"/>
      <c r="M44" s="2232"/>
      <c r="N44" s="2217"/>
      <c r="O44" s="2232"/>
      <c r="P44" s="2262"/>
    </row>
    <row r="45" spans="1:434">
      <c r="A45" s="2438"/>
      <c r="B45" s="2265"/>
      <c r="C45" s="909">
        <v>42248</v>
      </c>
      <c r="D45" s="1765">
        <v>42369</v>
      </c>
      <c r="E45" s="1758">
        <v>66.414000000000001</v>
      </c>
      <c r="F45" s="901"/>
      <c r="G45" s="891">
        <f>E45+F45+I44</f>
        <v>320.98800000000006</v>
      </c>
      <c r="H45" s="858">
        <v>270.34399999999999</v>
      </c>
      <c r="I45" s="901">
        <f t="shared" si="37"/>
        <v>50.644000000000062</v>
      </c>
      <c r="J45" s="893">
        <f t="shared" si="35"/>
        <v>0.84222463145039672</v>
      </c>
      <c r="K45" s="2225"/>
      <c r="L45" s="2216"/>
      <c r="M45" s="2269"/>
      <c r="N45" s="2217"/>
      <c r="O45" s="2232"/>
      <c r="P45" s="2262"/>
    </row>
    <row r="46" spans="1:434" ht="15" customHeight="1">
      <c r="A46" s="2438"/>
      <c r="B46" s="2263" t="s">
        <v>213</v>
      </c>
      <c r="C46" s="911">
        <v>42005</v>
      </c>
      <c r="D46" s="1766">
        <v>42124</v>
      </c>
      <c r="E46" s="1759">
        <v>56.555</v>
      </c>
      <c r="F46" s="1621">
        <f>48.9+20</f>
        <v>68.900000000000006</v>
      </c>
      <c r="G46" s="1622">
        <f>E46+F46</f>
        <v>125.45500000000001</v>
      </c>
      <c r="H46" s="1820"/>
      <c r="I46" s="1621">
        <f t="shared" si="37"/>
        <v>125.45500000000001</v>
      </c>
      <c r="J46" s="1623">
        <f t="shared" si="35"/>
        <v>0</v>
      </c>
      <c r="K46" s="2221">
        <f t="shared" ref="K46" si="42">E46+E47+E48</f>
        <v>66.533999999999992</v>
      </c>
      <c r="L46" s="2228">
        <f>F46+F47+F48</f>
        <v>68.900000000000006</v>
      </c>
      <c r="M46" s="2223">
        <f>K46+L46</f>
        <v>135.434</v>
      </c>
      <c r="N46" s="2228">
        <f>H46+H47+H48</f>
        <v>0</v>
      </c>
      <c r="O46" s="2223">
        <f>M46-N46</f>
        <v>135.434</v>
      </c>
      <c r="P46" s="2226">
        <f t="shared" ref="P46" si="43">N46/M46</f>
        <v>0</v>
      </c>
    </row>
    <row r="47" spans="1:434">
      <c r="A47" s="2438"/>
      <c r="B47" s="2264"/>
      <c r="C47" s="907">
        <v>42125</v>
      </c>
      <c r="D47" s="1764">
        <v>42247</v>
      </c>
      <c r="E47" s="1757">
        <v>6.65</v>
      </c>
      <c r="F47" s="901"/>
      <c r="G47" s="891">
        <f>E47+F47+I46</f>
        <v>132.10500000000002</v>
      </c>
      <c r="H47" s="1821"/>
      <c r="I47" s="901">
        <f t="shared" si="37"/>
        <v>132.10500000000002</v>
      </c>
      <c r="J47" s="893">
        <f t="shared" si="35"/>
        <v>0</v>
      </c>
      <c r="K47" s="2225"/>
      <c r="L47" s="2217"/>
      <c r="M47" s="2232"/>
      <c r="N47" s="2217"/>
      <c r="O47" s="2232"/>
      <c r="P47" s="2262"/>
    </row>
    <row r="48" spans="1:434">
      <c r="A48" s="2438"/>
      <c r="B48" s="2265"/>
      <c r="C48" s="909">
        <v>42248</v>
      </c>
      <c r="D48" s="1765">
        <v>42369</v>
      </c>
      <c r="E48" s="1758">
        <v>3.3290000000000002</v>
      </c>
      <c r="F48" s="1276"/>
      <c r="G48" s="1256">
        <f>E48+F48+I47</f>
        <v>135.43400000000003</v>
      </c>
      <c r="H48" s="1823"/>
      <c r="I48" s="1276">
        <f t="shared" si="37"/>
        <v>135.43400000000003</v>
      </c>
      <c r="J48" s="1275">
        <f t="shared" si="35"/>
        <v>0</v>
      </c>
      <c r="K48" s="2225"/>
      <c r="L48" s="2216"/>
      <c r="M48" s="2269"/>
      <c r="N48" s="2216"/>
      <c r="O48" s="2232"/>
      <c r="P48" s="2262"/>
    </row>
    <row r="49" spans="1:16" ht="15" customHeight="1">
      <c r="A49" s="2438"/>
      <c r="B49" s="2263" t="s">
        <v>233</v>
      </c>
      <c r="C49" s="913">
        <v>42005</v>
      </c>
      <c r="D49" s="1767">
        <v>42124</v>
      </c>
      <c r="E49" s="1757">
        <v>77.403000000000006</v>
      </c>
      <c r="F49" s="908">
        <v>-77.403000000000006</v>
      </c>
      <c r="G49" s="891">
        <f>E49+F49</f>
        <v>0</v>
      </c>
      <c r="H49" s="1821"/>
      <c r="I49" s="901">
        <f t="shared" si="37"/>
        <v>0</v>
      </c>
      <c r="J49" s="893" t="e">
        <f t="shared" si="35"/>
        <v>#DIV/0!</v>
      </c>
      <c r="K49" s="2221">
        <f t="shared" ref="K49" si="44">E49+E50+E51</f>
        <v>91.061000000000007</v>
      </c>
      <c r="L49" s="2228">
        <f>F49+F50+F51</f>
        <v>-91.061000000000007</v>
      </c>
      <c r="M49" s="2223">
        <f>K49+L49</f>
        <v>0</v>
      </c>
      <c r="N49" s="2217">
        <f>H49+H50+H51</f>
        <v>0</v>
      </c>
      <c r="O49" s="2223">
        <f>M49-N49</f>
        <v>0</v>
      </c>
      <c r="P49" s="2226">
        <v>0</v>
      </c>
    </row>
    <row r="50" spans="1:16">
      <c r="A50" s="2438"/>
      <c r="B50" s="2264"/>
      <c r="C50" s="907">
        <v>42125</v>
      </c>
      <c r="D50" s="1764">
        <v>42247</v>
      </c>
      <c r="E50" s="1757">
        <v>9.1020000000000003</v>
      </c>
      <c r="F50" s="908">
        <v>-9.1020000000000003</v>
      </c>
      <c r="G50" s="891">
        <f>E50+F50+I49</f>
        <v>0</v>
      </c>
      <c r="H50" s="1821"/>
      <c r="I50" s="901">
        <f t="shared" si="37"/>
        <v>0</v>
      </c>
      <c r="J50" s="893" t="e">
        <f t="shared" si="35"/>
        <v>#DIV/0!</v>
      </c>
      <c r="K50" s="2225"/>
      <c r="L50" s="2217"/>
      <c r="M50" s="2232"/>
      <c r="N50" s="2217"/>
      <c r="O50" s="2232"/>
      <c r="P50" s="2262"/>
    </row>
    <row r="51" spans="1:16" ht="15" customHeight="1">
      <c r="A51" s="2438"/>
      <c r="B51" s="2265"/>
      <c r="C51" s="914">
        <v>42248</v>
      </c>
      <c r="D51" s="1768">
        <v>42369</v>
      </c>
      <c r="E51" s="1757">
        <v>4.556</v>
      </c>
      <c r="F51" s="908">
        <v>-4.556</v>
      </c>
      <c r="G51" s="891">
        <f>E51+F51+I50</f>
        <v>0</v>
      </c>
      <c r="H51" s="1821"/>
      <c r="I51" s="901">
        <f t="shared" si="37"/>
        <v>0</v>
      </c>
      <c r="J51" s="893" t="e">
        <f t="shared" si="35"/>
        <v>#DIV/0!</v>
      </c>
      <c r="K51" s="2225"/>
      <c r="L51" s="2216"/>
      <c r="M51" s="2269"/>
      <c r="N51" s="2217"/>
      <c r="O51" s="2232"/>
      <c r="P51" s="2262"/>
    </row>
    <row r="52" spans="1:16" ht="15" customHeight="1">
      <c r="A52" s="2438"/>
      <c r="B52" s="2263" t="s">
        <v>222</v>
      </c>
      <c r="C52" s="911">
        <v>42005</v>
      </c>
      <c r="D52" s="1766">
        <v>42124</v>
      </c>
      <c r="E52" s="1759">
        <v>77.328999999999994</v>
      </c>
      <c r="F52" s="1621">
        <v>-77.328999999999994</v>
      </c>
      <c r="G52" s="1622">
        <f>E52+F52</f>
        <v>0</v>
      </c>
      <c r="H52" s="1820"/>
      <c r="I52" s="1621">
        <f t="shared" si="37"/>
        <v>0</v>
      </c>
      <c r="J52" s="1623" t="e">
        <f t="shared" si="35"/>
        <v>#DIV/0!</v>
      </c>
      <c r="K52" s="2221">
        <f t="shared" ref="K52" si="45">E52+E53+E54</f>
        <v>90.97399999999999</v>
      </c>
      <c r="L52" s="2228">
        <f>F52+F53+F54</f>
        <v>-90.97399999999999</v>
      </c>
      <c r="M52" s="2223">
        <f>K52+L52</f>
        <v>0</v>
      </c>
      <c r="N52" s="2228">
        <f>H52+H53+H54</f>
        <v>0</v>
      </c>
      <c r="O52" s="2223">
        <f>M52-N52</f>
        <v>0</v>
      </c>
      <c r="P52" s="2226">
        <v>0</v>
      </c>
    </row>
    <row r="53" spans="1:16" ht="15" customHeight="1">
      <c r="A53" s="2438"/>
      <c r="B53" s="2264"/>
      <c r="C53" s="907">
        <v>42125</v>
      </c>
      <c r="D53" s="1764">
        <v>42247</v>
      </c>
      <c r="E53" s="1757">
        <v>9.093</v>
      </c>
      <c r="F53" s="901">
        <v>-9.093</v>
      </c>
      <c r="G53" s="891">
        <f>E53+F53+I52</f>
        <v>0</v>
      </c>
      <c r="H53" s="1824"/>
      <c r="I53" s="901">
        <f>G53-H92</f>
        <v>-43.872</v>
      </c>
      <c r="J53" s="893" t="e">
        <f>H92/G53</f>
        <v>#DIV/0!</v>
      </c>
      <c r="K53" s="2225"/>
      <c r="L53" s="2217"/>
      <c r="M53" s="2232"/>
      <c r="N53" s="2217"/>
      <c r="O53" s="2232"/>
      <c r="P53" s="2262"/>
    </row>
    <row r="54" spans="1:16" ht="15" customHeight="1">
      <c r="A54" s="2438"/>
      <c r="B54" s="2265"/>
      <c r="C54" s="909">
        <v>42248</v>
      </c>
      <c r="D54" s="1765">
        <v>42369</v>
      </c>
      <c r="E54" s="1758">
        <v>4.5519999999999996</v>
      </c>
      <c r="F54" s="1276">
        <v>-4.5519999999999996</v>
      </c>
      <c r="G54" s="1256">
        <f>E54+F54+I53</f>
        <v>-43.872</v>
      </c>
      <c r="H54" s="1823"/>
      <c r="I54" s="1276">
        <f t="shared" si="37"/>
        <v>-43.872</v>
      </c>
      <c r="J54" s="1275">
        <f t="shared" si="35"/>
        <v>0</v>
      </c>
      <c r="K54" s="2225"/>
      <c r="L54" s="2216"/>
      <c r="M54" s="2269"/>
      <c r="N54" s="2216"/>
      <c r="O54" s="2232"/>
      <c r="P54" s="2262"/>
    </row>
    <row r="55" spans="1:16" ht="15" customHeight="1">
      <c r="A55" s="2438"/>
      <c r="B55" s="2296" t="s">
        <v>479</v>
      </c>
      <c r="C55" s="911">
        <v>42005</v>
      </c>
      <c r="D55" s="1766">
        <v>42124</v>
      </c>
      <c r="E55" s="1761">
        <v>289.77999999999997</v>
      </c>
      <c r="F55" s="1621">
        <f>-16-228-37</f>
        <v>-281</v>
      </c>
      <c r="G55" s="1622">
        <f>E55+F55</f>
        <v>8.7799999999999727</v>
      </c>
      <c r="H55" s="1820"/>
      <c r="I55" s="1621">
        <f t="shared" si="37"/>
        <v>8.7799999999999727</v>
      </c>
      <c r="J55" s="1623">
        <f t="shared" si="35"/>
        <v>0</v>
      </c>
      <c r="K55" s="2221">
        <f t="shared" ref="K55" si="46">E55+E56+E57</f>
        <v>340.91299999999995</v>
      </c>
      <c r="L55" s="2228">
        <f>F55+F56+F57</f>
        <v>-281</v>
      </c>
      <c r="M55" s="2223">
        <f t="shared" ref="M55" si="47">K55+L55</f>
        <v>59.912999999999954</v>
      </c>
      <c r="N55" s="2228">
        <f>H55+H56+H57</f>
        <v>58.074000000000005</v>
      </c>
      <c r="O55" s="2223">
        <f>M55-N55</f>
        <v>1.8389999999999489</v>
      </c>
      <c r="P55" s="2226">
        <f t="shared" ref="P55:P73" si="48">N55/M55</f>
        <v>0.96930549296479984</v>
      </c>
    </row>
    <row r="56" spans="1:16" ht="15" customHeight="1">
      <c r="A56" s="2438"/>
      <c r="B56" s="2297"/>
      <c r="C56" s="907">
        <v>42125</v>
      </c>
      <c r="D56" s="1764">
        <v>42247</v>
      </c>
      <c r="E56" s="1757">
        <v>34.075000000000003</v>
      </c>
      <c r="F56" s="901"/>
      <c r="G56" s="891">
        <f>E56+F56+I55</f>
        <v>42.854999999999976</v>
      </c>
      <c r="H56" s="1821"/>
      <c r="I56" s="901">
        <f t="shared" si="37"/>
        <v>42.854999999999976</v>
      </c>
      <c r="J56" s="893">
        <f t="shared" si="35"/>
        <v>0</v>
      </c>
      <c r="K56" s="2225"/>
      <c r="L56" s="2217"/>
      <c r="M56" s="2232"/>
      <c r="N56" s="2217"/>
      <c r="O56" s="2232"/>
      <c r="P56" s="2262"/>
    </row>
    <row r="57" spans="1:16" ht="15" customHeight="1">
      <c r="A57" s="2438"/>
      <c r="B57" s="2298"/>
      <c r="C57" s="909">
        <v>42248</v>
      </c>
      <c r="D57" s="1765">
        <v>42369</v>
      </c>
      <c r="E57" s="1758">
        <v>17.058</v>
      </c>
      <c r="F57" s="1276"/>
      <c r="G57" s="1256">
        <f>E57+F57+I56</f>
        <v>59.912999999999975</v>
      </c>
      <c r="H57" s="858">
        <v>58.074000000000005</v>
      </c>
      <c r="I57" s="1276">
        <f t="shared" si="37"/>
        <v>1.8389999999999702</v>
      </c>
      <c r="J57" s="1275">
        <f t="shared" si="35"/>
        <v>0.9693054929647994</v>
      </c>
      <c r="K57" s="2225"/>
      <c r="L57" s="2216"/>
      <c r="M57" s="2269"/>
      <c r="N57" s="2216"/>
      <c r="O57" s="2232"/>
      <c r="P57" s="2262"/>
    </row>
    <row r="58" spans="1:16" ht="15" customHeight="1">
      <c r="A58" s="2438"/>
      <c r="B58" s="2263" t="s">
        <v>224</v>
      </c>
      <c r="C58" s="913">
        <v>42005</v>
      </c>
      <c r="D58" s="1767">
        <v>42124</v>
      </c>
      <c r="E58" s="1757">
        <v>2.2090000000000001</v>
      </c>
      <c r="F58" s="901">
        <v>-2.2090000000000001</v>
      </c>
      <c r="G58" s="891">
        <f>E58+F58</f>
        <v>0</v>
      </c>
      <c r="H58" s="1820"/>
      <c r="I58" s="901">
        <f t="shared" si="37"/>
        <v>0</v>
      </c>
      <c r="J58" s="893" t="e">
        <f t="shared" si="35"/>
        <v>#DIV/0!</v>
      </c>
      <c r="K58" s="2221">
        <f t="shared" ref="K58:L58" si="49">E58+E59+E60</f>
        <v>2.5990000000000002</v>
      </c>
      <c r="L58" s="2228">
        <f t="shared" si="49"/>
        <v>-2.5990000000000002</v>
      </c>
      <c r="M58" s="2223">
        <f t="shared" ref="M58" si="50">K58+L58</f>
        <v>0</v>
      </c>
      <c r="N58" s="2217">
        <f>H58+H59+H60</f>
        <v>0</v>
      </c>
      <c r="O58" s="2223">
        <f>M58-N58</f>
        <v>0</v>
      </c>
      <c r="P58" s="2226">
        <v>0</v>
      </c>
    </row>
    <row r="59" spans="1:16" ht="15" customHeight="1">
      <c r="A59" s="2438"/>
      <c r="B59" s="2264"/>
      <c r="C59" s="907">
        <v>42125</v>
      </c>
      <c r="D59" s="1764">
        <v>42247</v>
      </c>
      <c r="E59" s="1757">
        <v>0.26</v>
      </c>
      <c r="F59" s="901">
        <v>-0.26</v>
      </c>
      <c r="G59" s="891">
        <f>E59+F59+I58</f>
        <v>0</v>
      </c>
      <c r="H59" s="1821"/>
      <c r="I59" s="901">
        <f t="shared" si="37"/>
        <v>0</v>
      </c>
      <c r="J59" s="893" t="e">
        <f t="shared" si="35"/>
        <v>#DIV/0!</v>
      </c>
      <c r="K59" s="2225"/>
      <c r="L59" s="2217"/>
      <c r="M59" s="2232"/>
      <c r="N59" s="2217"/>
      <c r="O59" s="2232"/>
      <c r="P59" s="2262"/>
    </row>
    <row r="60" spans="1:16">
      <c r="A60" s="2438"/>
      <c r="B60" s="2265"/>
      <c r="C60" s="914">
        <v>42248</v>
      </c>
      <c r="D60" s="1768">
        <v>42369</v>
      </c>
      <c r="E60" s="1757">
        <v>0.13</v>
      </c>
      <c r="F60" s="901">
        <v>-0.13</v>
      </c>
      <c r="G60" s="891">
        <f>E60+F60+I59</f>
        <v>0</v>
      </c>
      <c r="H60" s="1823"/>
      <c r="I60" s="901">
        <f t="shared" si="37"/>
        <v>0</v>
      </c>
      <c r="J60" s="893" t="e">
        <f t="shared" si="35"/>
        <v>#DIV/0!</v>
      </c>
      <c r="K60" s="2225"/>
      <c r="L60" s="2216"/>
      <c r="M60" s="2269"/>
      <c r="N60" s="2217"/>
      <c r="O60" s="2232"/>
      <c r="P60" s="2262"/>
    </row>
    <row r="61" spans="1:16" ht="15" customHeight="1">
      <c r="A61" s="2438"/>
      <c r="B61" s="2263" t="s">
        <v>225</v>
      </c>
      <c r="C61" s="911">
        <v>42005</v>
      </c>
      <c r="D61" s="1766">
        <v>42124</v>
      </c>
      <c r="E61" s="1759">
        <v>6.84</v>
      </c>
      <c r="F61" s="1621">
        <v>-6.84</v>
      </c>
      <c r="G61" s="1622">
        <f>E61+F61</f>
        <v>0</v>
      </c>
      <c r="H61" s="1820"/>
      <c r="I61" s="1621">
        <f t="shared" si="37"/>
        <v>0</v>
      </c>
      <c r="J61" s="1623" t="e">
        <f t="shared" si="35"/>
        <v>#DIV/0!</v>
      </c>
      <c r="K61" s="2221">
        <f t="shared" ref="K61:L61" si="51">E61+E62+E63</f>
        <v>8.0470000000000006</v>
      </c>
      <c r="L61" s="2228">
        <f t="shared" si="51"/>
        <v>-8.0470000000000006</v>
      </c>
      <c r="M61" s="2223">
        <f t="shared" ref="M61" si="52">K61+L61</f>
        <v>0</v>
      </c>
      <c r="N61" s="2228">
        <f>H61+H62+H63</f>
        <v>0</v>
      </c>
      <c r="O61" s="2223">
        <f>M61-N61</f>
        <v>0</v>
      </c>
      <c r="P61" s="2226">
        <v>0</v>
      </c>
    </row>
    <row r="62" spans="1:16">
      <c r="A62" s="2438"/>
      <c r="B62" s="2264"/>
      <c r="C62" s="907">
        <v>42125</v>
      </c>
      <c r="D62" s="1764">
        <v>42247</v>
      </c>
      <c r="E62" s="1757">
        <v>0.80400000000000005</v>
      </c>
      <c r="F62" s="901">
        <v>-0.80400000000000005</v>
      </c>
      <c r="G62" s="891">
        <f>E62+F62+I61</f>
        <v>0</v>
      </c>
      <c r="H62" s="1821"/>
      <c r="I62" s="901">
        <f t="shared" si="37"/>
        <v>0</v>
      </c>
      <c r="J62" s="893" t="e">
        <f t="shared" si="35"/>
        <v>#DIV/0!</v>
      </c>
      <c r="K62" s="2225"/>
      <c r="L62" s="2217"/>
      <c r="M62" s="2232"/>
      <c r="N62" s="2217"/>
      <c r="O62" s="2232"/>
      <c r="P62" s="2262"/>
    </row>
    <row r="63" spans="1:16">
      <c r="A63" s="2438"/>
      <c r="B63" s="2265"/>
      <c r="C63" s="909">
        <v>42248</v>
      </c>
      <c r="D63" s="1765">
        <v>42369</v>
      </c>
      <c r="E63" s="1758">
        <v>0.40300000000000002</v>
      </c>
      <c r="F63" s="1276">
        <v>-0.40300000000000002</v>
      </c>
      <c r="G63" s="1256">
        <f>E63+F63+I62</f>
        <v>0</v>
      </c>
      <c r="H63" s="1823"/>
      <c r="I63" s="1276">
        <f t="shared" si="37"/>
        <v>0</v>
      </c>
      <c r="J63" s="1275" t="e">
        <f t="shared" si="35"/>
        <v>#DIV/0!</v>
      </c>
      <c r="K63" s="2225"/>
      <c r="L63" s="2216"/>
      <c r="M63" s="2269"/>
      <c r="N63" s="2216"/>
      <c r="O63" s="2232"/>
      <c r="P63" s="2262"/>
    </row>
    <row r="64" spans="1:16" ht="15" customHeight="1">
      <c r="A64" s="2438"/>
      <c r="B64" s="2263" t="s">
        <v>218</v>
      </c>
      <c r="C64" s="913">
        <v>42005</v>
      </c>
      <c r="D64" s="1767">
        <v>42124</v>
      </c>
      <c r="E64" s="1762">
        <v>69.966999999999999</v>
      </c>
      <c r="F64" s="901">
        <v>-69.966999999999999</v>
      </c>
      <c r="G64" s="891">
        <f>E64+F64</f>
        <v>0</v>
      </c>
      <c r="H64" s="1821"/>
      <c r="I64" s="901">
        <f t="shared" si="37"/>
        <v>0</v>
      </c>
      <c r="J64" s="893" t="e">
        <f t="shared" si="35"/>
        <v>#DIV/0!</v>
      </c>
      <c r="K64" s="2221">
        <f t="shared" ref="K64:L64" si="53">E64+E65+E66</f>
        <v>82.313000000000002</v>
      </c>
      <c r="L64" s="2228">
        <f t="shared" si="53"/>
        <v>-82.313000000000002</v>
      </c>
      <c r="M64" s="2223">
        <f t="shared" ref="M64" si="54">K64+L64</f>
        <v>0</v>
      </c>
      <c r="N64" s="2217">
        <f>H64+H65+H66</f>
        <v>0</v>
      </c>
      <c r="O64" s="2223">
        <f>M64-N64</f>
        <v>0</v>
      </c>
      <c r="P64" s="2226">
        <v>0</v>
      </c>
    </row>
    <row r="65" spans="1:16">
      <c r="A65" s="2438"/>
      <c r="B65" s="2264"/>
      <c r="C65" s="907">
        <v>42125</v>
      </c>
      <c r="D65" s="1764">
        <v>42247</v>
      </c>
      <c r="E65" s="1757">
        <v>8.2270000000000003</v>
      </c>
      <c r="F65" s="901">
        <v>-8.2270000000000003</v>
      </c>
      <c r="G65" s="891">
        <f>E65+F65+I64</f>
        <v>0</v>
      </c>
      <c r="H65" s="1821"/>
      <c r="I65" s="901">
        <f t="shared" si="37"/>
        <v>0</v>
      </c>
      <c r="J65" s="893" t="e">
        <f t="shared" si="35"/>
        <v>#DIV/0!</v>
      </c>
      <c r="K65" s="2225"/>
      <c r="L65" s="2217"/>
      <c r="M65" s="2232"/>
      <c r="N65" s="2217"/>
      <c r="O65" s="2232"/>
      <c r="P65" s="2262"/>
    </row>
    <row r="66" spans="1:16">
      <c r="A66" s="2438"/>
      <c r="B66" s="2265"/>
      <c r="C66" s="914">
        <v>42248</v>
      </c>
      <c r="D66" s="1768">
        <v>42369</v>
      </c>
      <c r="E66" s="1757">
        <v>4.1189999999999998</v>
      </c>
      <c r="F66" s="901">
        <v>-4.1189999999999998</v>
      </c>
      <c r="G66" s="891">
        <f>E66+F66+I65</f>
        <v>0</v>
      </c>
      <c r="H66" s="1821"/>
      <c r="I66" s="901">
        <f t="shared" si="37"/>
        <v>0</v>
      </c>
      <c r="J66" s="893" t="e">
        <f t="shared" si="35"/>
        <v>#DIV/0!</v>
      </c>
      <c r="K66" s="2225"/>
      <c r="L66" s="2216"/>
      <c r="M66" s="2269"/>
      <c r="N66" s="2217"/>
      <c r="O66" s="2232"/>
      <c r="P66" s="2262"/>
    </row>
    <row r="67" spans="1:16">
      <c r="A67" s="2438"/>
      <c r="B67" s="2263" t="s">
        <v>232</v>
      </c>
      <c r="C67" s="911">
        <v>42005</v>
      </c>
      <c r="D67" s="1766">
        <v>42124</v>
      </c>
      <c r="E67" s="1759">
        <v>43.436</v>
      </c>
      <c r="F67" s="1621">
        <v>-0.42899999999999999</v>
      </c>
      <c r="G67" s="1622">
        <f>E67+F67</f>
        <v>43.006999999999998</v>
      </c>
      <c r="H67" s="1820"/>
      <c r="I67" s="1621">
        <f t="shared" si="37"/>
        <v>43.006999999999998</v>
      </c>
      <c r="J67" s="1623">
        <f t="shared" si="35"/>
        <v>0</v>
      </c>
      <c r="K67" s="2221">
        <f t="shared" ref="K67" si="55">E67+E68+E69</f>
        <v>51.100999999999999</v>
      </c>
      <c r="L67" s="2228">
        <f>F67+F68+F69</f>
        <v>-0.42899999999999999</v>
      </c>
      <c r="M67" s="2223">
        <f t="shared" ref="M67" si="56">K67+L67</f>
        <v>50.671999999999997</v>
      </c>
      <c r="N67" s="2228">
        <f>H67+H68+H69</f>
        <v>0</v>
      </c>
      <c r="O67" s="2223">
        <f>M67-N67</f>
        <v>50.671999999999997</v>
      </c>
      <c r="P67" s="2226">
        <f t="shared" si="48"/>
        <v>0</v>
      </c>
    </row>
    <row r="68" spans="1:16">
      <c r="A68" s="2438"/>
      <c r="B68" s="2264"/>
      <c r="C68" s="907">
        <v>42125</v>
      </c>
      <c r="D68" s="1764">
        <v>42247</v>
      </c>
      <c r="E68" s="1757">
        <v>5.1079999999999997</v>
      </c>
      <c r="F68" s="901"/>
      <c r="G68" s="891">
        <f>E68+F68+I67</f>
        <v>48.114999999999995</v>
      </c>
      <c r="H68" s="1821"/>
      <c r="I68" s="901">
        <f t="shared" si="37"/>
        <v>48.114999999999995</v>
      </c>
      <c r="J68" s="893">
        <f t="shared" si="35"/>
        <v>0</v>
      </c>
      <c r="K68" s="2225"/>
      <c r="L68" s="2217"/>
      <c r="M68" s="2232"/>
      <c r="N68" s="2217"/>
      <c r="O68" s="2232"/>
      <c r="P68" s="2262"/>
    </row>
    <row r="69" spans="1:16">
      <c r="A69" s="2438"/>
      <c r="B69" s="2265"/>
      <c r="C69" s="909">
        <v>42248</v>
      </c>
      <c r="D69" s="1765">
        <v>42369</v>
      </c>
      <c r="E69" s="1758">
        <v>2.5569999999999999</v>
      </c>
      <c r="F69" s="1276"/>
      <c r="G69" s="1256">
        <f>E69+F69+I68</f>
        <v>50.671999999999997</v>
      </c>
      <c r="H69" s="1823"/>
      <c r="I69" s="1276">
        <f t="shared" si="37"/>
        <v>50.671999999999997</v>
      </c>
      <c r="J69" s="1275">
        <f t="shared" si="35"/>
        <v>0</v>
      </c>
      <c r="K69" s="2225"/>
      <c r="L69" s="2216"/>
      <c r="M69" s="2269"/>
      <c r="N69" s="2216"/>
      <c r="O69" s="2232"/>
      <c r="P69" s="2262"/>
    </row>
    <row r="70" spans="1:16">
      <c r="A70" s="2438"/>
      <c r="B70" s="2264" t="s">
        <v>226</v>
      </c>
      <c r="C70" s="913">
        <v>42005</v>
      </c>
      <c r="D70" s="1767">
        <v>42124</v>
      </c>
      <c r="E70" s="1757">
        <v>60.389000000000003</v>
      </c>
      <c r="F70" s="908">
        <f>+-E70</f>
        <v>-60.389000000000003</v>
      </c>
      <c r="G70" s="891">
        <f>E70+F70</f>
        <v>0</v>
      </c>
      <c r="H70" s="1821"/>
      <c r="I70" s="901">
        <f t="shared" si="37"/>
        <v>0</v>
      </c>
      <c r="J70" s="893" t="e">
        <f t="shared" si="35"/>
        <v>#DIV/0!</v>
      </c>
      <c r="K70" s="2221">
        <f t="shared" ref="K70:L70" si="57">E70+E71+E72</f>
        <v>71.045000000000016</v>
      </c>
      <c r="L70" s="2228">
        <f t="shared" si="57"/>
        <v>-71.045000000000016</v>
      </c>
      <c r="M70" s="2223">
        <f t="shared" ref="M70" si="58">K70+L70</f>
        <v>0</v>
      </c>
      <c r="N70" s="2217">
        <f>H70+H71+H72</f>
        <v>0</v>
      </c>
      <c r="O70" s="2223">
        <f>M70-N70</f>
        <v>0</v>
      </c>
      <c r="P70" s="2226" t="e">
        <f t="shared" si="48"/>
        <v>#DIV/0!</v>
      </c>
    </row>
    <row r="71" spans="1:16">
      <c r="A71" s="2438"/>
      <c r="B71" s="2264"/>
      <c r="C71" s="907">
        <v>42125</v>
      </c>
      <c r="D71" s="1764">
        <v>42247</v>
      </c>
      <c r="E71" s="1757">
        <v>7.101</v>
      </c>
      <c r="F71" s="908">
        <f>+-E71</f>
        <v>-7.101</v>
      </c>
      <c r="G71" s="891">
        <f>E71+F71+I70</f>
        <v>0</v>
      </c>
      <c r="H71" s="1821"/>
      <c r="I71" s="901">
        <f t="shared" si="37"/>
        <v>0</v>
      </c>
      <c r="J71" s="893" t="e">
        <f t="shared" si="35"/>
        <v>#DIV/0!</v>
      </c>
      <c r="K71" s="2225"/>
      <c r="L71" s="2217"/>
      <c r="M71" s="2232"/>
      <c r="N71" s="2217"/>
      <c r="O71" s="2232"/>
      <c r="P71" s="2262"/>
    </row>
    <row r="72" spans="1:16">
      <c r="A72" s="2438"/>
      <c r="B72" s="2264"/>
      <c r="C72" s="914">
        <v>42248</v>
      </c>
      <c r="D72" s="1768">
        <v>42369</v>
      </c>
      <c r="E72" s="1757">
        <v>3.5550000000000002</v>
      </c>
      <c r="F72" s="908">
        <f>+-E72</f>
        <v>-3.5550000000000002</v>
      </c>
      <c r="G72" s="891">
        <f>E72+F72+I71</f>
        <v>0</v>
      </c>
      <c r="H72" s="1821"/>
      <c r="I72" s="901">
        <f t="shared" si="37"/>
        <v>0</v>
      </c>
      <c r="J72" s="893" t="e">
        <f t="shared" si="35"/>
        <v>#DIV/0!</v>
      </c>
      <c r="K72" s="2225"/>
      <c r="L72" s="2216"/>
      <c r="M72" s="2269"/>
      <c r="N72" s="2217"/>
      <c r="O72" s="2232"/>
      <c r="P72" s="2262"/>
    </row>
    <row r="73" spans="1:16">
      <c r="A73" s="2438"/>
      <c r="B73" s="2263" t="s">
        <v>227</v>
      </c>
      <c r="C73" s="911">
        <v>42005</v>
      </c>
      <c r="D73" s="1766">
        <v>42124</v>
      </c>
      <c r="E73" s="1759">
        <v>510.31700000000001</v>
      </c>
      <c r="F73" s="1621">
        <f>5+1.406-1.406+34.767+16.21+63</f>
        <v>118.977</v>
      </c>
      <c r="G73" s="1622">
        <f>E73+F73</f>
        <v>629.29399999999998</v>
      </c>
      <c r="H73" s="1822">
        <v>141.15299999999999</v>
      </c>
      <c r="I73" s="1621">
        <f t="shared" si="37"/>
        <v>488.14099999999996</v>
      </c>
      <c r="J73" s="1623">
        <f t="shared" si="35"/>
        <v>0.22430374356024368</v>
      </c>
      <c r="K73" s="2221">
        <f t="shared" ref="K73:L73" si="59">E73+E74+E75</f>
        <v>600.36400000000003</v>
      </c>
      <c r="L73" s="2228">
        <f t="shared" si="59"/>
        <v>118.977</v>
      </c>
      <c r="M73" s="2223">
        <f t="shared" ref="M73" si="60">K73+L73</f>
        <v>719.34100000000001</v>
      </c>
      <c r="N73" s="2228">
        <f>H73+H74+H75</f>
        <v>706.92</v>
      </c>
      <c r="O73" s="2223">
        <f>M73-N73</f>
        <v>12.421000000000049</v>
      </c>
      <c r="P73" s="2226">
        <f t="shared" si="48"/>
        <v>0.98273280683292064</v>
      </c>
    </row>
    <row r="74" spans="1:16">
      <c r="A74" s="2438"/>
      <c r="B74" s="2264"/>
      <c r="C74" s="907">
        <v>42125</v>
      </c>
      <c r="D74" s="1764">
        <v>42247</v>
      </c>
      <c r="E74" s="1757">
        <v>60.008000000000003</v>
      </c>
      <c r="F74" s="901"/>
      <c r="G74" s="891">
        <f>E74+F74+I73</f>
        <v>548.149</v>
      </c>
      <c r="H74" s="1825">
        <v>68.938999999999993</v>
      </c>
      <c r="I74" s="901">
        <f t="shared" si="37"/>
        <v>479.21000000000004</v>
      </c>
      <c r="J74" s="893">
        <f t="shared" si="35"/>
        <v>0.12576689914603509</v>
      </c>
      <c r="K74" s="2225"/>
      <c r="L74" s="2217"/>
      <c r="M74" s="2232"/>
      <c r="N74" s="2217"/>
      <c r="O74" s="2232"/>
      <c r="P74" s="2262"/>
    </row>
    <row r="75" spans="1:16">
      <c r="A75" s="2438"/>
      <c r="B75" s="2265"/>
      <c r="C75" s="909">
        <v>42248</v>
      </c>
      <c r="D75" s="1765">
        <v>42369</v>
      </c>
      <c r="E75" s="1758">
        <v>30.039000000000001</v>
      </c>
      <c r="F75" s="1276"/>
      <c r="G75" s="1256">
        <f>E75+F75+I74</f>
        <v>509.24900000000002</v>
      </c>
      <c r="H75" s="1819">
        <v>496.82799999999997</v>
      </c>
      <c r="I75" s="1276">
        <f t="shared" si="37"/>
        <v>12.421000000000049</v>
      </c>
      <c r="J75" s="1275">
        <f t="shared" si="35"/>
        <v>0.97560918136314445</v>
      </c>
      <c r="K75" s="2225"/>
      <c r="L75" s="2216"/>
      <c r="M75" s="2269"/>
      <c r="N75" s="2216"/>
      <c r="O75" s="2232"/>
      <c r="P75" s="2262"/>
    </row>
    <row r="76" spans="1:16">
      <c r="A76" s="2438"/>
      <c r="B76" s="2263" t="s">
        <v>228</v>
      </c>
      <c r="C76" s="911">
        <v>42005</v>
      </c>
      <c r="D76" s="1766">
        <v>42124</v>
      </c>
      <c r="E76" s="1759">
        <v>109.803</v>
      </c>
      <c r="F76" s="901">
        <f>2.239+6.934+87+150+18.58</f>
        <v>264.75299999999999</v>
      </c>
      <c r="G76" s="891">
        <f>E76+F76</f>
        <v>374.55599999999998</v>
      </c>
      <c r="H76" s="1822">
        <v>100.244</v>
      </c>
      <c r="I76" s="901">
        <f t="shared" si="37"/>
        <v>274.31200000000001</v>
      </c>
      <c r="J76" s="893">
        <f t="shared" si="35"/>
        <v>0.26763421224062622</v>
      </c>
      <c r="K76" s="2221">
        <f t="shared" ref="K76" si="61">E76+E77+E78</f>
        <v>129.178</v>
      </c>
      <c r="L76" s="2228">
        <f t="shared" ref="L76" si="62">F76+F77+F78</f>
        <v>264.75299999999999</v>
      </c>
      <c r="M76" s="2223">
        <f t="shared" ref="M76" si="63">K76+L76</f>
        <v>393.93099999999998</v>
      </c>
      <c r="N76" s="2217">
        <f>H76+H77+H78</f>
        <v>178.86599999999999</v>
      </c>
      <c r="O76" s="2223">
        <f>M76-N76</f>
        <v>215.065</v>
      </c>
      <c r="P76" s="2226">
        <f t="shared" ref="P76:P88" si="64">N76/M76</f>
        <v>0.45405413638429065</v>
      </c>
    </row>
    <row r="77" spans="1:16">
      <c r="A77" s="2438"/>
      <c r="B77" s="2264"/>
      <c r="C77" s="907">
        <v>42125</v>
      </c>
      <c r="D77" s="1764">
        <v>42247</v>
      </c>
      <c r="E77" s="1757">
        <v>12.912000000000001</v>
      </c>
      <c r="F77" s="901"/>
      <c r="G77" s="891">
        <f>E77+F77+I76</f>
        <v>287.22399999999999</v>
      </c>
      <c r="H77" s="1819">
        <v>6.7350000000000003</v>
      </c>
      <c r="I77" s="901">
        <f t="shared" si="37"/>
        <v>280.48899999999998</v>
      </c>
      <c r="J77" s="893">
        <f t="shared" si="35"/>
        <v>2.3448597610227561E-2</v>
      </c>
      <c r="K77" s="2225"/>
      <c r="L77" s="2217"/>
      <c r="M77" s="2232"/>
      <c r="N77" s="2217"/>
      <c r="O77" s="2232"/>
      <c r="P77" s="2262"/>
    </row>
    <row r="78" spans="1:16">
      <c r="A78" s="2438"/>
      <c r="B78" s="2265"/>
      <c r="C78" s="909">
        <v>42248</v>
      </c>
      <c r="D78" s="1765">
        <v>42369</v>
      </c>
      <c r="E78" s="1758">
        <v>6.4630000000000001</v>
      </c>
      <c r="F78" s="901"/>
      <c r="G78" s="891">
        <f>E78+F78+I77</f>
        <v>286.952</v>
      </c>
      <c r="H78" s="1819">
        <v>71.887</v>
      </c>
      <c r="I78" s="901">
        <f t="shared" si="37"/>
        <v>215.065</v>
      </c>
      <c r="J78" s="893">
        <f t="shared" si="35"/>
        <v>0.2505192506063732</v>
      </c>
      <c r="K78" s="2225"/>
      <c r="L78" s="2216"/>
      <c r="M78" s="2269"/>
      <c r="N78" s="2217"/>
      <c r="O78" s="2232"/>
      <c r="P78" s="2262"/>
    </row>
    <row r="79" spans="1:16">
      <c r="A79" s="2438"/>
      <c r="B79" s="2263" t="s">
        <v>229</v>
      </c>
      <c r="C79" s="913">
        <v>42005</v>
      </c>
      <c r="D79" s="1767">
        <v>42124</v>
      </c>
      <c r="E79" s="1763">
        <v>30.056000000000001</v>
      </c>
      <c r="F79" s="1481">
        <f>-E79</f>
        <v>-30.056000000000001</v>
      </c>
      <c r="G79" s="1622">
        <f>E79+F79</f>
        <v>0</v>
      </c>
      <c r="H79" s="1820"/>
      <c r="I79" s="1621">
        <f t="shared" si="37"/>
        <v>0</v>
      </c>
      <c r="J79" s="1623" t="e">
        <f t="shared" si="35"/>
        <v>#DIV/0!</v>
      </c>
      <c r="K79" s="2221">
        <f t="shared" ref="K79:L79" si="65">E79+E80+E81</f>
        <v>35.359000000000002</v>
      </c>
      <c r="L79" s="2228">
        <f t="shared" si="65"/>
        <v>-35.359000000000002</v>
      </c>
      <c r="M79" s="2223">
        <f t="shared" ref="M79" si="66">K79+L79</f>
        <v>0</v>
      </c>
      <c r="N79" s="2228">
        <f>H79+H80+H81</f>
        <v>0</v>
      </c>
      <c r="O79" s="2223">
        <f>M79-N79</f>
        <v>0</v>
      </c>
      <c r="P79" s="2226" t="e">
        <f t="shared" si="64"/>
        <v>#DIV/0!</v>
      </c>
    </row>
    <row r="80" spans="1:16">
      <c r="A80" s="2438"/>
      <c r="B80" s="2264"/>
      <c r="C80" s="907">
        <v>42125</v>
      </c>
      <c r="D80" s="1764">
        <v>42247</v>
      </c>
      <c r="E80" s="1763">
        <v>3.5339999999999998</v>
      </c>
      <c r="F80" s="892">
        <f t="shared" ref="F80:F81" si="67">-E80</f>
        <v>-3.5339999999999998</v>
      </c>
      <c r="G80" s="891">
        <f>E80+F80+I79</f>
        <v>0</v>
      </c>
      <c r="H80" s="1821"/>
      <c r="I80" s="901">
        <f t="shared" si="37"/>
        <v>0</v>
      </c>
      <c r="J80" s="893" t="e">
        <f t="shared" si="35"/>
        <v>#DIV/0!</v>
      </c>
      <c r="K80" s="2225"/>
      <c r="L80" s="2217"/>
      <c r="M80" s="2232"/>
      <c r="N80" s="2217"/>
      <c r="O80" s="2232"/>
      <c r="P80" s="2262"/>
    </row>
    <row r="81" spans="1:16">
      <c r="A81" s="2438"/>
      <c r="B81" s="2265"/>
      <c r="C81" s="914">
        <v>42248</v>
      </c>
      <c r="D81" s="1768">
        <v>42369</v>
      </c>
      <c r="E81" s="1763">
        <v>1.7689999999999999</v>
      </c>
      <c r="F81" s="1482">
        <f t="shared" si="67"/>
        <v>-1.7689999999999999</v>
      </c>
      <c r="G81" s="1256">
        <f>E81+F81+I80</f>
        <v>0</v>
      </c>
      <c r="H81" s="1821"/>
      <c r="I81" s="1276">
        <f t="shared" si="37"/>
        <v>0</v>
      </c>
      <c r="J81" s="1275" t="e">
        <f t="shared" si="35"/>
        <v>#DIV/0!</v>
      </c>
      <c r="K81" s="2225"/>
      <c r="L81" s="2216"/>
      <c r="M81" s="2269"/>
      <c r="N81" s="2216"/>
      <c r="O81" s="2232"/>
      <c r="P81" s="2262"/>
    </row>
    <row r="82" spans="1:16">
      <c r="A82" s="2438"/>
      <c r="B82" s="2264" t="s">
        <v>215</v>
      </c>
      <c r="C82" s="911">
        <v>42005</v>
      </c>
      <c r="D82" s="1766">
        <v>42124</v>
      </c>
      <c r="E82" s="1760">
        <v>1553.047</v>
      </c>
      <c r="F82" s="901">
        <f>4.297-150-50</f>
        <v>-195.703</v>
      </c>
      <c r="G82" s="891">
        <f>E82+F82</f>
        <v>1357.3440000000001</v>
      </c>
      <c r="H82" s="1822">
        <v>253.98099999999999</v>
      </c>
      <c r="I82" s="901">
        <f t="shared" si="37"/>
        <v>1103.3630000000001</v>
      </c>
      <c r="J82" s="893">
        <f t="shared" si="35"/>
        <v>0.18711616215196736</v>
      </c>
      <c r="K82" s="2221">
        <f t="shared" ref="K82" si="68">E82+E83+E84</f>
        <v>1827.0889999999999</v>
      </c>
      <c r="L82" s="2228">
        <f>F82+F83+F84</f>
        <v>-195.703</v>
      </c>
      <c r="M82" s="2223">
        <f t="shared" ref="M82" si="69">K82+L82</f>
        <v>1631.386</v>
      </c>
      <c r="N82" s="2217">
        <f>H82+H83+H84</f>
        <v>1423.9949999999999</v>
      </c>
      <c r="O82" s="2223">
        <f>M82-N82</f>
        <v>207.39100000000008</v>
      </c>
      <c r="P82" s="2226">
        <f t="shared" si="64"/>
        <v>0.87287435346386444</v>
      </c>
    </row>
    <row r="83" spans="1:16">
      <c r="A83" s="2438"/>
      <c r="B83" s="2264"/>
      <c r="C83" s="907">
        <v>42125</v>
      </c>
      <c r="D83" s="1764">
        <v>42247</v>
      </c>
      <c r="E83" s="1757">
        <v>182.624</v>
      </c>
      <c r="F83" s="901"/>
      <c r="G83" s="891">
        <f>E83+F83+I82</f>
        <v>1285.9870000000001</v>
      </c>
      <c r="H83" s="1825">
        <v>620.35</v>
      </c>
      <c r="I83" s="901">
        <f t="shared" si="37"/>
        <v>665.63700000000006</v>
      </c>
      <c r="J83" s="893">
        <f t="shared" si="35"/>
        <v>0.48239212371509199</v>
      </c>
      <c r="K83" s="2225"/>
      <c r="L83" s="2217"/>
      <c r="M83" s="2232"/>
      <c r="N83" s="2217"/>
      <c r="O83" s="2232"/>
      <c r="P83" s="2262"/>
    </row>
    <row r="84" spans="1:16">
      <c r="A84" s="2438"/>
      <c r="B84" s="2264"/>
      <c r="C84" s="909">
        <v>42248</v>
      </c>
      <c r="D84" s="1765">
        <v>42369</v>
      </c>
      <c r="E84" s="1758">
        <v>91.418000000000006</v>
      </c>
      <c r="F84" s="901"/>
      <c r="G84" s="891">
        <f>E84+F84+I83</f>
        <v>757.05500000000006</v>
      </c>
      <c r="H84" s="1827">
        <v>549.66399999999999</v>
      </c>
      <c r="I84" s="901">
        <f t="shared" si="37"/>
        <v>207.39100000000008</v>
      </c>
      <c r="J84" s="893">
        <f t="shared" si="35"/>
        <v>0.72605557059922987</v>
      </c>
      <c r="K84" s="2225"/>
      <c r="L84" s="2216"/>
      <c r="M84" s="2269"/>
      <c r="N84" s="2217"/>
      <c r="O84" s="2232"/>
      <c r="P84" s="2262"/>
    </row>
    <row r="85" spans="1:16">
      <c r="A85" s="2438"/>
      <c r="B85" s="2263" t="s">
        <v>230</v>
      </c>
      <c r="C85" s="913">
        <v>42005</v>
      </c>
      <c r="D85" s="1767">
        <v>42124</v>
      </c>
      <c r="E85" s="1757">
        <v>29.437999999999999</v>
      </c>
      <c r="F85" s="1620">
        <v>-29.437999999999999</v>
      </c>
      <c r="G85" s="1622">
        <f>E85+F85</f>
        <v>0</v>
      </c>
      <c r="H85" s="1820"/>
      <c r="I85" s="1621">
        <f t="shared" si="37"/>
        <v>0</v>
      </c>
      <c r="J85" s="1623" t="e">
        <f t="shared" si="35"/>
        <v>#DIV/0!</v>
      </c>
      <c r="K85" s="2221">
        <f>E85+E86+E87</f>
        <v>34.632999999999996</v>
      </c>
      <c r="L85" s="2228">
        <f t="shared" ref="L85" si="70">F85+F86+F87</f>
        <v>-34.632999999999996</v>
      </c>
      <c r="M85" s="2223">
        <f t="shared" ref="M85" si="71">K85+L85</f>
        <v>0</v>
      </c>
      <c r="N85" s="2228">
        <f>H85+H86+H87</f>
        <v>0</v>
      </c>
      <c r="O85" s="2223">
        <f>M85-N85</f>
        <v>0</v>
      </c>
      <c r="P85" s="2226" t="e">
        <f t="shared" si="64"/>
        <v>#DIV/0!</v>
      </c>
    </row>
    <row r="86" spans="1:16">
      <c r="A86" s="2438"/>
      <c r="B86" s="2264"/>
      <c r="C86" s="907">
        <v>42125</v>
      </c>
      <c r="D86" s="1764">
        <v>42247</v>
      </c>
      <c r="E86" s="1757">
        <v>3.4620000000000002</v>
      </c>
      <c r="F86" s="908">
        <v>-3.4620000000000002</v>
      </c>
      <c r="G86" s="891">
        <f>E86+F86+I85</f>
        <v>0</v>
      </c>
      <c r="H86" s="1821"/>
      <c r="I86" s="901">
        <f t="shared" si="37"/>
        <v>0</v>
      </c>
      <c r="J86" s="893" t="e">
        <f t="shared" si="35"/>
        <v>#DIV/0!</v>
      </c>
      <c r="K86" s="2225"/>
      <c r="L86" s="2217"/>
      <c r="M86" s="2232"/>
      <c r="N86" s="2217"/>
      <c r="O86" s="2232"/>
      <c r="P86" s="2262"/>
    </row>
    <row r="87" spans="1:16">
      <c r="A87" s="2438"/>
      <c r="B87" s="2265"/>
      <c r="C87" s="914">
        <v>42248</v>
      </c>
      <c r="D87" s="1768">
        <v>42369</v>
      </c>
      <c r="E87" s="1757">
        <v>1.7330000000000001</v>
      </c>
      <c r="F87" s="1619">
        <v>-1.7330000000000001</v>
      </c>
      <c r="G87" s="1256">
        <f>E87+F87+I86</f>
        <v>0</v>
      </c>
      <c r="H87" s="1823"/>
      <c r="I87" s="1276">
        <f t="shared" si="37"/>
        <v>0</v>
      </c>
      <c r="J87" s="1275" t="e">
        <f t="shared" si="35"/>
        <v>#DIV/0!</v>
      </c>
      <c r="K87" s="2225"/>
      <c r="L87" s="2216"/>
      <c r="M87" s="2269"/>
      <c r="N87" s="2216"/>
      <c r="O87" s="2232"/>
      <c r="P87" s="2262"/>
    </row>
    <row r="88" spans="1:16">
      <c r="A88" s="2438"/>
      <c r="B88" s="2263" t="s">
        <v>231</v>
      </c>
      <c r="C88" s="911">
        <v>42005</v>
      </c>
      <c r="D88" s="1766">
        <v>42124</v>
      </c>
      <c r="E88" s="1759">
        <v>166.71700000000001</v>
      </c>
      <c r="F88" s="1621">
        <f>-E88</f>
        <v>-166.71700000000001</v>
      </c>
      <c r="G88" s="1622">
        <f>E88+F88</f>
        <v>0</v>
      </c>
      <c r="H88" s="1820"/>
      <c r="I88" s="1621">
        <f t="shared" ref="I88:I89" si="72">G88-H88</f>
        <v>0</v>
      </c>
      <c r="J88" s="1623" t="e">
        <f t="shared" ref="J88" si="73">H88/G88</f>
        <v>#DIV/0!</v>
      </c>
      <c r="K88" s="2221">
        <f>E88+E89+E90</f>
        <v>196.13500000000002</v>
      </c>
      <c r="L88" s="2228">
        <f t="shared" ref="L88" si="74">F88+F89+F90</f>
        <v>-196.13500000000002</v>
      </c>
      <c r="M88" s="2223">
        <f>K88+L88</f>
        <v>0</v>
      </c>
      <c r="N88" s="2228">
        <f>H88+H89+H90</f>
        <v>0</v>
      </c>
      <c r="O88" s="2223">
        <f>M88-N88</f>
        <v>0</v>
      </c>
      <c r="P88" s="2226" t="e">
        <f t="shared" si="64"/>
        <v>#DIV/0!</v>
      </c>
    </row>
    <row r="89" spans="1:16">
      <c r="A89" s="2438"/>
      <c r="B89" s="2264"/>
      <c r="C89" s="907">
        <v>42125</v>
      </c>
      <c r="D89" s="1764">
        <v>42247</v>
      </c>
      <c r="E89" s="1757">
        <v>19.603999999999999</v>
      </c>
      <c r="F89" s="901">
        <f>-E89</f>
        <v>-19.603999999999999</v>
      </c>
      <c r="G89" s="891">
        <f>E89+F89+I88</f>
        <v>0</v>
      </c>
      <c r="H89" s="1821"/>
      <c r="I89" s="901">
        <f t="shared" si="72"/>
        <v>0</v>
      </c>
      <c r="J89" s="893" t="e">
        <f>H89/G89</f>
        <v>#DIV/0!</v>
      </c>
      <c r="K89" s="2225"/>
      <c r="L89" s="2217"/>
      <c r="M89" s="2232"/>
      <c r="N89" s="2217"/>
      <c r="O89" s="2232"/>
      <c r="P89" s="2262"/>
    </row>
    <row r="90" spans="1:16">
      <c r="A90" s="2438"/>
      <c r="B90" s="2265"/>
      <c r="C90" s="909">
        <v>42248</v>
      </c>
      <c r="D90" s="1765">
        <v>42369</v>
      </c>
      <c r="E90" s="1758">
        <v>9.8140000000000001</v>
      </c>
      <c r="F90" s="901">
        <f>-E90</f>
        <v>-9.8140000000000001</v>
      </c>
      <c r="G90" s="891">
        <f>E90+F90+I89</f>
        <v>0</v>
      </c>
      <c r="H90" s="1821"/>
      <c r="I90" s="901">
        <f t="shared" ref="I90:I96" si="75">G90-H90</f>
        <v>0</v>
      </c>
      <c r="J90" s="893" t="e">
        <f>H90/G90</f>
        <v>#DIV/0!</v>
      </c>
      <c r="K90" s="2225"/>
      <c r="L90" s="2217"/>
      <c r="M90" s="2232"/>
      <c r="N90" s="2217"/>
      <c r="O90" s="2232"/>
      <c r="P90" s="2262"/>
    </row>
    <row r="91" spans="1:16" ht="15" customHeight="1">
      <c r="A91" s="2438"/>
      <c r="B91" s="2263" t="s">
        <v>220</v>
      </c>
      <c r="C91" s="913">
        <v>42005</v>
      </c>
      <c r="D91" s="1767">
        <v>42124</v>
      </c>
      <c r="E91" s="901"/>
      <c r="F91" s="1621">
        <f>82.313+90.974+91.061+34.633</f>
        <v>298.98099999999999</v>
      </c>
      <c r="G91" s="1624">
        <f>E91+F91</f>
        <v>298.98099999999999</v>
      </c>
      <c r="H91" s="1820"/>
      <c r="I91" s="1621">
        <f t="shared" si="75"/>
        <v>298.98099999999999</v>
      </c>
      <c r="J91" s="1623">
        <f>H91/G91</f>
        <v>0</v>
      </c>
      <c r="K91" s="2221">
        <f>E91+E92+E93</f>
        <v>0</v>
      </c>
      <c r="L91" s="2228">
        <f t="shared" ref="L91" si="76">F91+F92+F93</f>
        <v>298.98099999999999</v>
      </c>
      <c r="M91" s="2223">
        <f>K91+L91</f>
        <v>298.98099999999999</v>
      </c>
      <c r="N91" s="2228">
        <f>H91+H92+H93</f>
        <v>260.86500000000001</v>
      </c>
      <c r="O91" s="2223">
        <f>M91-N91</f>
        <v>38.115999999999985</v>
      </c>
      <c r="P91" s="2226">
        <f t="shared" ref="P91" si="77">N91/M91</f>
        <v>0.87251363799037407</v>
      </c>
    </row>
    <row r="92" spans="1:16">
      <c r="A92" s="2438"/>
      <c r="B92" s="2264"/>
      <c r="C92" s="907">
        <v>42125</v>
      </c>
      <c r="D92" s="1764">
        <v>42247</v>
      </c>
      <c r="E92" s="901"/>
      <c r="F92" s="901"/>
      <c r="G92" s="915">
        <f>E92+F92+I91</f>
        <v>298.98099999999999</v>
      </c>
      <c r="H92" s="1819">
        <f>7.395+36.477</f>
        <v>43.872</v>
      </c>
      <c r="I92" s="901">
        <f t="shared" si="75"/>
        <v>255.10899999999998</v>
      </c>
      <c r="J92" s="893">
        <f t="shared" ref="J92" si="78">H92/G92</f>
        <v>0.14673842150504549</v>
      </c>
      <c r="K92" s="2225"/>
      <c r="L92" s="2217"/>
      <c r="M92" s="2232"/>
      <c r="N92" s="2217"/>
      <c r="O92" s="2232"/>
      <c r="P92" s="2262"/>
    </row>
    <row r="93" spans="1:16">
      <c r="A93" s="2438"/>
      <c r="B93" s="2264"/>
      <c r="C93" s="914">
        <v>42248</v>
      </c>
      <c r="D93" s="1768">
        <v>42369</v>
      </c>
      <c r="E93" s="901"/>
      <c r="F93" s="901"/>
      <c r="G93" s="915">
        <f>E93+F93+I92</f>
        <v>255.10899999999998</v>
      </c>
      <c r="H93" s="1827">
        <v>216.99299999999999</v>
      </c>
      <c r="I93" s="1276">
        <f t="shared" si="75"/>
        <v>38.115999999999985</v>
      </c>
      <c r="J93" s="893">
        <f>H93/G93</f>
        <v>0.8505893559223705</v>
      </c>
      <c r="K93" s="2225"/>
      <c r="L93" s="2217"/>
      <c r="M93" s="2232"/>
      <c r="N93" s="2217"/>
      <c r="O93" s="2232"/>
      <c r="P93" s="2262"/>
    </row>
    <row r="94" spans="1:16">
      <c r="A94" s="2438"/>
      <c r="B94" s="2263" t="s">
        <v>467</v>
      </c>
      <c r="C94" s="911">
        <v>42005</v>
      </c>
      <c r="D94" s="1766">
        <v>42124</v>
      </c>
      <c r="E94" s="1749"/>
      <c r="F94" s="1621">
        <v>0.42899999999999999</v>
      </c>
      <c r="G94" s="1624">
        <f>E94+F94</f>
        <v>0.42899999999999999</v>
      </c>
      <c r="H94" s="1820"/>
      <c r="I94" s="1621">
        <f t="shared" si="75"/>
        <v>0.42899999999999999</v>
      </c>
      <c r="J94" s="1623">
        <f>H94/G94</f>
        <v>0</v>
      </c>
      <c r="K94" s="2221">
        <f>E94+E95+E96</f>
        <v>0</v>
      </c>
      <c r="L94" s="2228">
        <f t="shared" ref="L94" si="79">F94+F95+F96</f>
        <v>0.42899999999999999</v>
      </c>
      <c r="M94" s="2223">
        <f>K94+L94</f>
        <v>0.42899999999999999</v>
      </c>
      <c r="N94" s="2228">
        <f>H94+H95+H96</f>
        <v>0</v>
      </c>
      <c r="O94" s="2223">
        <f>M94-N94</f>
        <v>0.42899999999999999</v>
      </c>
      <c r="P94" s="2226">
        <f t="shared" ref="P94" si="80">N94/M94</f>
        <v>0</v>
      </c>
    </row>
    <row r="95" spans="1:16">
      <c r="A95" s="2438"/>
      <c r="B95" s="2264"/>
      <c r="C95" s="907">
        <v>42125</v>
      </c>
      <c r="D95" s="1764">
        <v>42247</v>
      </c>
      <c r="E95" s="901"/>
      <c r="F95" s="901"/>
      <c r="G95" s="915">
        <f>E95+F95+I94</f>
        <v>0.42899999999999999</v>
      </c>
      <c r="H95" s="1819"/>
      <c r="I95" s="901">
        <f t="shared" si="75"/>
        <v>0.42899999999999999</v>
      </c>
      <c r="J95" s="893">
        <f t="shared" ref="J95" si="81">H95/G95</f>
        <v>0</v>
      </c>
      <c r="K95" s="2225"/>
      <c r="L95" s="2217"/>
      <c r="M95" s="2232"/>
      <c r="N95" s="2217"/>
      <c r="O95" s="2232"/>
      <c r="P95" s="2262"/>
    </row>
    <row r="96" spans="1:16" ht="15.75" thickBot="1">
      <c r="A96" s="2439"/>
      <c r="B96" s="2265"/>
      <c r="C96" s="917">
        <v>42248</v>
      </c>
      <c r="D96" s="1769">
        <v>42369</v>
      </c>
      <c r="E96" s="1751"/>
      <c r="F96" s="1485"/>
      <c r="G96" s="1625">
        <f>E96+F96+I95</f>
        <v>0.42899999999999999</v>
      </c>
      <c r="H96" s="1784"/>
      <c r="I96" s="1485">
        <f t="shared" si="75"/>
        <v>0.42899999999999999</v>
      </c>
      <c r="J96" s="1626">
        <f>H96/G96</f>
        <v>0</v>
      </c>
      <c r="K96" s="2326"/>
      <c r="L96" s="2361"/>
      <c r="M96" s="2284"/>
      <c r="N96" s="2361"/>
      <c r="O96" s="2284"/>
      <c r="P96" s="2344"/>
    </row>
    <row r="97" spans="1:16" ht="15.75" thickBot="1">
      <c r="A97" s="2"/>
      <c r="B97" s="906"/>
      <c r="C97" s="890"/>
      <c r="D97" s="890"/>
      <c r="E97" s="919">
        <f>SUM(E34:E96)</f>
        <v>8573.997999999996</v>
      </c>
      <c r="F97" s="891"/>
      <c r="G97" s="891"/>
      <c r="H97" s="1995">
        <f>SUM(H6:H93)</f>
        <v>157453.28500000021</v>
      </c>
      <c r="I97" s="891"/>
      <c r="J97" s="893"/>
      <c r="K97" s="1608">
        <f>SUM(K34:K96)</f>
        <v>8573.9979999999996</v>
      </c>
      <c r="L97" s="1608">
        <f>SUM(L34:L96)</f>
        <v>-2138.1240000000007</v>
      </c>
      <c r="M97" s="1617">
        <f>SUM(M34:M96)</f>
        <v>6435.8739999999998</v>
      </c>
      <c r="N97" s="1609">
        <f>SUM(N34:N96)</f>
        <v>5288.2219999999998</v>
      </c>
      <c r="O97" s="1618">
        <f>SUM(O34:O96)</f>
        <v>1147.6520000000003</v>
      </c>
      <c r="P97" s="1607">
        <f>+N97/M97</f>
        <v>0.82167892037662638</v>
      </c>
    </row>
    <row r="98" spans="1:16" ht="15.75" thickBot="1">
      <c r="A98" s="894"/>
      <c r="B98" s="894"/>
      <c r="C98" s="920"/>
      <c r="D98" s="920"/>
      <c r="E98" s="920"/>
      <c r="F98" s="920"/>
      <c r="G98" s="920"/>
      <c r="H98" s="920"/>
      <c r="I98" s="920"/>
      <c r="J98" s="922"/>
      <c r="K98" s="920"/>
      <c r="L98" s="920"/>
      <c r="M98" s="920"/>
      <c r="N98" s="920"/>
      <c r="O98" s="920"/>
      <c r="P98" s="920"/>
    </row>
    <row r="99" spans="1:16" ht="17.25" customHeight="1">
      <c r="A99" s="2276" t="s">
        <v>745</v>
      </c>
      <c r="B99" s="2311" t="s">
        <v>216</v>
      </c>
      <c r="C99" s="898">
        <v>42005</v>
      </c>
      <c r="D99" s="931">
        <v>42124</v>
      </c>
      <c r="E99" s="1785">
        <v>4697.2209999999995</v>
      </c>
      <c r="F99" s="2065">
        <f>-3350.744+912.712+350+800+434+213.282+262.291+223.973+100</f>
        <v>-54.486000000000104</v>
      </c>
      <c r="G99" s="873">
        <f>E99+F99</f>
        <v>4642.7349999999997</v>
      </c>
      <c r="H99" s="899"/>
      <c r="I99" s="873">
        <f>G99-H99</f>
        <v>4642.7349999999997</v>
      </c>
      <c r="J99" s="1786">
        <f>H99/G99</f>
        <v>0</v>
      </c>
      <c r="K99" s="2266">
        <f>E99+E100+E101</f>
        <v>5555.5659999999998</v>
      </c>
      <c r="L99" s="2234">
        <f>F99+F100+F101</f>
        <v>-54.486000000000104</v>
      </c>
      <c r="M99" s="2211">
        <f>K99+L99</f>
        <v>5501.08</v>
      </c>
      <c r="N99" s="2367">
        <f>H99+H100+H101</f>
        <v>5547.4279999999999</v>
      </c>
      <c r="O99" s="2369">
        <f>M99-N99</f>
        <v>-46.347999999999956</v>
      </c>
      <c r="P99" s="2363">
        <f>N99/M99</f>
        <v>1.0084252546772634</v>
      </c>
    </row>
    <row r="100" spans="1:16" ht="17.25" customHeight="1">
      <c r="A100" s="2277"/>
      <c r="B100" s="2282"/>
      <c r="C100" s="903">
        <v>42125</v>
      </c>
      <c r="D100" s="938">
        <v>42247</v>
      </c>
      <c r="E100" s="1251">
        <v>552.57299999999998</v>
      </c>
      <c r="F100" s="2066"/>
      <c r="G100" s="891">
        <f>E100+F100+I99</f>
        <v>5195.308</v>
      </c>
      <c r="H100" s="1257">
        <v>1985.0399999999997</v>
      </c>
      <c r="I100" s="891">
        <f>G100-H100</f>
        <v>3210.268</v>
      </c>
      <c r="J100" s="1416">
        <f>H100/G100</f>
        <v>0.38208321816531371</v>
      </c>
      <c r="K100" s="2260"/>
      <c r="L100" s="2217"/>
      <c r="M100" s="2232"/>
      <c r="N100" s="2345"/>
      <c r="O100" s="2250"/>
      <c r="P100" s="2251"/>
    </row>
    <row r="101" spans="1:16" ht="17.25" customHeight="1">
      <c r="A101" s="2277"/>
      <c r="B101" s="2282"/>
      <c r="C101" s="900">
        <v>42248</v>
      </c>
      <c r="D101" s="1787">
        <v>42369</v>
      </c>
      <c r="E101" s="1788">
        <v>305.77199999999999</v>
      </c>
      <c r="F101" s="2067"/>
      <c r="G101" s="948">
        <f>E101+F101+I100</f>
        <v>3516.04</v>
      </c>
      <c r="H101" s="1600">
        <v>3562.3879999999999</v>
      </c>
      <c r="I101" s="948">
        <f>G101-H101</f>
        <v>-46.347999999999956</v>
      </c>
      <c r="J101" s="1789">
        <f t="shared" ref="J101:J149" si="82">H101/G101</f>
        <v>1.0131818750639925</v>
      </c>
      <c r="K101" s="2260"/>
      <c r="L101" s="2219"/>
      <c r="M101" s="2224"/>
      <c r="N101" s="2345"/>
      <c r="O101" s="2250"/>
      <c r="P101" s="2251"/>
    </row>
    <row r="102" spans="1:16" ht="17.25" hidden="1" customHeight="1">
      <c r="A102" s="2277"/>
      <c r="B102" s="2302" t="s">
        <v>586</v>
      </c>
      <c r="C102" s="903">
        <v>42005</v>
      </c>
      <c r="D102" s="938">
        <v>42124</v>
      </c>
      <c r="E102" s="1251">
        <v>0</v>
      </c>
      <c r="F102" s="892">
        <f>-903.96+903.96</f>
        <v>0</v>
      </c>
      <c r="G102" s="891">
        <f>E102+F102</f>
        <v>0</v>
      </c>
      <c r="H102" s="892"/>
      <c r="I102" s="891">
        <f>G102-H102</f>
        <v>0</v>
      </c>
      <c r="J102" s="1416" t="e">
        <f t="shared" si="82"/>
        <v>#DIV/0!</v>
      </c>
      <c r="K102" s="2260">
        <f t="shared" ref="K102:L102" si="83">E102+E103+E104</f>
        <v>0</v>
      </c>
      <c r="L102" s="2228">
        <f t="shared" si="83"/>
        <v>0</v>
      </c>
      <c r="M102" s="2223">
        <f t="shared" ref="M102" si="84">K102+L102</f>
        <v>0</v>
      </c>
      <c r="N102" s="2345">
        <f>H102+H103+H104</f>
        <v>0</v>
      </c>
      <c r="O102" s="2250">
        <f>M102-N102</f>
        <v>0</v>
      </c>
      <c r="P102" s="2251" t="e">
        <f t="shared" ref="P102" si="85">N102/M102</f>
        <v>#DIV/0!</v>
      </c>
    </row>
    <row r="103" spans="1:16" ht="17.25" hidden="1" customHeight="1">
      <c r="A103" s="2277"/>
      <c r="B103" s="2303"/>
      <c r="C103" s="903">
        <v>42125</v>
      </c>
      <c r="D103" s="938">
        <v>42247</v>
      </c>
      <c r="E103" s="1251">
        <v>0</v>
      </c>
      <c r="F103" s="892"/>
      <c r="G103" s="891">
        <f>E103+F103+I102</f>
        <v>0</v>
      </c>
      <c r="H103" s="892"/>
      <c r="I103" s="891">
        <f>G103-H103</f>
        <v>0</v>
      </c>
      <c r="J103" s="1416" t="e">
        <f t="shared" si="82"/>
        <v>#DIV/0!</v>
      </c>
      <c r="K103" s="2260"/>
      <c r="L103" s="2217"/>
      <c r="M103" s="2232"/>
      <c r="N103" s="2345"/>
      <c r="O103" s="2250"/>
      <c r="P103" s="2251"/>
    </row>
    <row r="104" spans="1:16" ht="17.25" hidden="1" customHeight="1">
      <c r="A104" s="2277"/>
      <c r="B104" s="2304"/>
      <c r="C104" s="903">
        <v>42248</v>
      </c>
      <c r="D104" s="938">
        <v>42369</v>
      </c>
      <c r="E104" s="1251">
        <v>0</v>
      </c>
      <c r="F104" s="892"/>
      <c r="G104" s="891">
        <f>E104+F104+I103</f>
        <v>0</v>
      </c>
      <c r="H104" s="892"/>
      <c r="I104" s="891">
        <f t="shared" ref="I104:I149" si="86">G104-H104</f>
        <v>0</v>
      </c>
      <c r="J104" s="1416" t="e">
        <f t="shared" si="82"/>
        <v>#DIV/0!</v>
      </c>
      <c r="K104" s="2260"/>
      <c r="L104" s="2219"/>
      <c r="M104" s="2224"/>
      <c r="N104" s="2345"/>
      <c r="O104" s="2250"/>
      <c r="P104" s="2251"/>
    </row>
    <row r="105" spans="1:16" ht="17.25" customHeight="1">
      <c r="A105" s="2277"/>
      <c r="B105" s="2282" t="s">
        <v>8</v>
      </c>
      <c r="C105" s="1754">
        <v>42005</v>
      </c>
      <c r="D105" s="1913">
        <v>42124</v>
      </c>
      <c r="E105" s="1971">
        <v>12739.892</v>
      </c>
      <c r="F105" s="1481">
        <f>-5270-600-72</f>
        <v>-5942</v>
      </c>
      <c r="G105" s="1622">
        <f>E105+F105</f>
        <v>6797.8919999999998</v>
      </c>
      <c r="H105" s="1524">
        <v>4485.241</v>
      </c>
      <c r="I105" s="1622">
        <f t="shared" si="86"/>
        <v>2312.6509999999998</v>
      </c>
      <c r="J105" s="1791">
        <f t="shared" si="82"/>
        <v>0.65979880233460608</v>
      </c>
      <c r="K105" s="2260">
        <f t="shared" ref="K105:L105" si="87">E105+E106+E107</f>
        <v>15067.911</v>
      </c>
      <c r="L105" s="2228">
        <f t="shared" si="87"/>
        <v>-5942</v>
      </c>
      <c r="M105" s="2327">
        <f t="shared" ref="M105" si="88">K105+L105</f>
        <v>9125.9110000000001</v>
      </c>
      <c r="N105" s="2370">
        <f>H105+H106+H107</f>
        <v>8933.57</v>
      </c>
      <c r="O105" s="2250">
        <f t="shared" ref="O105" si="89">M105-N105</f>
        <v>192.34100000000035</v>
      </c>
      <c r="P105" s="2251">
        <f>N105/M105</f>
        <v>0.97892363841812613</v>
      </c>
    </row>
    <row r="106" spans="1:16" ht="17.25" customHeight="1">
      <c r="A106" s="2277"/>
      <c r="B106" s="2282"/>
      <c r="C106" s="903">
        <v>42125</v>
      </c>
      <c r="D106" s="938">
        <v>42247</v>
      </c>
      <c r="E106" s="1250">
        <v>1498.6980000000001</v>
      </c>
      <c r="F106" s="892"/>
      <c r="G106" s="891">
        <f>E106+F106+I105</f>
        <v>3811.3490000000002</v>
      </c>
      <c r="H106" s="1257">
        <v>2788.7260000000001</v>
      </c>
      <c r="I106" s="891">
        <f t="shared" si="86"/>
        <v>1022.623</v>
      </c>
      <c r="J106" s="1416">
        <f t="shared" si="82"/>
        <v>0.73169001316856574</v>
      </c>
      <c r="K106" s="2260"/>
      <c r="L106" s="2217"/>
      <c r="M106" s="2288"/>
      <c r="N106" s="2370"/>
      <c r="O106" s="2250"/>
      <c r="P106" s="2251"/>
    </row>
    <row r="107" spans="1:16" ht="17.25" customHeight="1">
      <c r="A107" s="2277"/>
      <c r="B107" s="2283"/>
      <c r="C107" s="903">
        <v>42248</v>
      </c>
      <c r="D107" s="938">
        <v>42369</v>
      </c>
      <c r="E107" s="1252">
        <v>829.32100000000003</v>
      </c>
      <c r="F107" s="892"/>
      <c r="G107" s="891">
        <f>E107+F107+I106</f>
        <v>1851.944</v>
      </c>
      <c r="H107" s="1600">
        <v>1659.6029999999998</v>
      </c>
      <c r="I107" s="891">
        <f t="shared" si="86"/>
        <v>192.34100000000012</v>
      </c>
      <c r="J107" s="1416">
        <f t="shared" si="82"/>
        <v>0.89614102802244555</v>
      </c>
      <c r="K107" s="2260"/>
      <c r="L107" s="2219"/>
      <c r="M107" s="2328"/>
      <c r="N107" s="2370"/>
      <c r="O107" s="2250"/>
      <c r="P107" s="2251"/>
    </row>
    <row r="108" spans="1:16" ht="17.25" customHeight="1">
      <c r="A108" s="2277"/>
      <c r="B108" s="2282" t="s">
        <v>219</v>
      </c>
      <c r="C108" s="1754">
        <v>42005</v>
      </c>
      <c r="D108" s="1913">
        <v>42124</v>
      </c>
      <c r="E108" s="1972">
        <v>11025.413</v>
      </c>
      <c r="F108" s="1481">
        <f>-2065+1352.403+2450+400+300+306.084+660+404.1+292+541.5+450+532+264.64+328</f>
        <v>6215.7269999999999</v>
      </c>
      <c r="G108" s="1622">
        <f>E108+F108</f>
        <v>17241.14</v>
      </c>
      <c r="H108" s="1524">
        <v>7296.9660000000003</v>
      </c>
      <c r="I108" s="1622">
        <f t="shared" si="86"/>
        <v>9944.1739999999991</v>
      </c>
      <c r="J108" s="1791">
        <f t="shared" si="82"/>
        <v>0.4232299024310458</v>
      </c>
      <c r="K108" s="2260">
        <f t="shared" ref="K108:L108" si="90">E108+E109+E110</f>
        <v>13040.137000000001</v>
      </c>
      <c r="L108" s="2228">
        <f t="shared" si="90"/>
        <v>6215.7269999999999</v>
      </c>
      <c r="M108" s="2223">
        <f t="shared" ref="M108" si="91">K108+L108</f>
        <v>19255.864000000001</v>
      </c>
      <c r="N108" s="2345">
        <f>H108+H109+H110</f>
        <v>18896.716</v>
      </c>
      <c r="O108" s="2250">
        <f t="shared" ref="O108" si="92">M108-N108</f>
        <v>359.14800000000105</v>
      </c>
      <c r="P108" s="2251">
        <f t="shared" ref="P108" si="93">N108/M108</f>
        <v>0.98134864267840693</v>
      </c>
    </row>
    <row r="109" spans="1:16" ht="17.25" customHeight="1">
      <c r="A109" s="2277"/>
      <c r="B109" s="2282"/>
      <c r="C109" s="903">
        <v>42125</v>
      </c>
      <c r="D109" s="938">
        <v>42247</v>
      </c>
      <c r="E109" s="925">
        <v>1297.01</v>
      </c>
      <c r="F109" s="892"/>
      <c r="G109" s="891">
        <f>E109+F109+I108</f>
        <v>11241.183999999999</v>
      </c>
      <c r="H109" s="1257">
        <v>7636.6189999999997</v>
      </c>
      <c r="I109" s="891">
        <f t="shared" si="86"/>
        <v>3604.5649999999996</v>
      </c>
      <c r="J109" s="1416">
        <f t="shared" si="82"/>
        <v>0.67934294109944293</v>
      </c>
      <c r="K109" s="2260"/>
      <c r="L109" s="2217"/>
      <c r="M109" s="2232"/>
      <c r="N109" s="2345"/>
      <c r="O109" s="2250"/>
      <c r="P109" s="2251"/>
    </row>
    <row r="110" spans="1:16" ht="17.25" customHeight="1">
      <c r="A110" s="2277"/>
      <c r="B110" s="2282"/>
      <c r="C110" s="900">
        <v>42248</v>
      </c>
      <c r="D110" s="1787">
        <v>42369</v>
      </c>
      <c r="E110" s="1792">
        <v>717.71400000000006</v>
      </c>
      <c r="F110" s="1616"/>
      <c r="G110" s="948">
        <f>E110+F110+I109</f>
        <v>4322.2789999999995</v>
      </c>
      <c r="H110" s="1793">
        <v>3963.1309999999999</v>
      </c>
      <c r="I110" s="948">
        <f t="shared" si="86"/>
        <v>359.14799999999968</v>
      </c>
      <c r="J110" s="1789">
        <f t="shared" si="82"/>
        <v>0.9169077239113903</v>
      </c>
      <c r="K110" s="2260"/>
      <c r="L110" s="2219"/>
      <c r="M110" s="2224"/>
      <c r="N110" s="2345"/>
      <c r="O110" s="2250"/>
      <c r="P110" s="2251"/>
    </row>
    <row r="111" spans="1:16" ht="17.25" customHeight="1">
      <c r="A111" s="2277"/>
      <c r="B111" s="2258" t="s">
        <v>490</v>
      </c>
      <c r="C111" s="903">
        <v>42005</v>
      </c>
      <c r="D111" s="938">
        <v>42124</v>
      </c>
      <c r="E111" s="1251">
        <v>481.11799999999999</v>
      </c>
      <c r="F111" s="892">
        <v>-481.11799999999999</v>
      </c>
      <c r="G111" s="891">
        <f>E111+F111</f>
        <v>0</v>
      </c>
      <c r="H111" s="892"/>
      <c r="I111" s="891">
        <f t="shared" si="86"/>
        <v>0</v>
      </c>
      <c r="J111" s="1416" t="e">
        <f t="shared" si="82"/>
        <v>#DIV/0!</v>
      </c>
      <c r="K111" s="2260">
        <f t="shared" ref="K111:L111" si="94">E111+E112+E113</f>
        <v>569.03499999999997</v>
      </c>
      <c r="L111" s="2228">
        <f t="shared" si="94"/>
        <v>-569.03499999999997</v>
      </c>
      <c r="M111" s="2223">
        <f t="shared" ref="M111" si="95">K111+L111</f>
        <v>0</v>
      </c>
      <c r="N111" s="2345">
        <f>H111+H112+H113</f>
        <v>0</v>
      </c>
      <c r="O111" s="2250">
        <f t="shared" ref="O111" si="96">M111-N111</f>
        <v>0</v>
      </c>
      <c r="P111" s="2251" t="e">
        <f t="shared" ref="P111:P123" si="97">N111/M111</f>
        <v>#DIV/0!</v>
      </c>
    </row>
    <row r="112" spans="1:16" ht="17.25" customHeight="1">
      <c r="A112" s="2277"/>
      <c r="B112" s="2238"/>
      <c r="C112" s="903">
        <v>42125</v>
      </c>
      <c r="D112" s="938">
        <v>42247</v>
      </c>
      <c r="E112" s="1251">
        <v>56.597999999999999</v>
      </c>
      <c r="F112" s="892">
        <v>-56.597999999999999</v>
      </c>
      <c r="G112" s="891">
        <f>E112+F112+I111</f>
        <v>0</v>
      </c>
      <c r="H112" s="892"/>
      <c r="I112" s="891">
        <f t="shared" si="86"/>
        <v>0</v>
      </c>
      <c r="J112" s="1416" t="e">
        <f t="shared" si="82"/>
        <v>#DIV/0!</v>
      </c>
      <c r="K112" s="2260"/>
      <c r="L112" s="2217"/>
      <c r="M112" s="2232"/>
      <c r="N112" s="2345"/>
      <c r="O112" s="2250"/>
      <c r="P112" s="2251"/>
    </row>
    <row r="113" spans="1:16" ht="17.25" customHeight="1">
      <c r="A113" s="2277"/>
      <c r="B113" s="2259"/>
      <c r="C113" s="903">
        <v>42248</v>
      </c>
      <c r="D113" s="938">
        <v>42369</v>
      </c>
      <c r="E113" s="1251">
        <v>31.318999999999999</v>
      </c>
      <c r="F113" s="892">
        <f>-31.319</f>
        <v>-31.318999999999999</v>
      </c>
      <c r="G113" s="891">
        <f>E113+F113+I112</f>
        <v>0</v>
      </c>
      <c r="H113" s="892"/>
      <c r="I113" s="891">
        <f t="shared" si="86"/>
        <v>0</v>
      </c>
      <c r="J113" s="1416" t="e">
        <f t="shared" si="82"/>
        <v>#DIV/0!</v>
      </c>
      <c r="K113" s="2260"/>
      <c r="L113" s="2219"/>
      <c r="M113" s="2224"/>
      <c r="N113" s="2345"/>
      <c r="O113" s="2250"/>
      <c r="P113" s="2251"/>
    </row>
    <row r="114" spans="1:16" ht="17.25" customHeight="1">
      <c r="A114" s="2277"/>
      <c r="B114" s="2238" t="s">
        <v>33</v>
      </c>
      <c r="C114" s="1754">
        <v>42005</v>
      </c>
      <c r="D114" s="1913">
        <v>42124</v>
      </c>
      <c r="E114" s="1971">
        <v>1474.58</v>
      </c>
      <c r="F114" s="1481">
        <f>-84-1184-75</f>
        <v>-1343</v>
      </c>
      <c r="G114" s="1622">
        <f>E114+F114</f>
        <v>131.57999999999993</v>
      </c>
      <c r="H114" s="1481"/>
      <c r="I114" s="1622">
        <f t="shared" si="86"/>
        <v>131.57999999999993</v>
      </c>
      <c r="J114" s="1791">
        <f t="shared" si="82"/>
        <v>0</v>
      </c>
      <c r="K114" s="2260">
        <f t="shared" ref="K114" si="98">E114+E115+E116</f>
        <v>1744.037</v>
      </c>
      <c r="L114" s="2228">
        <f>F114+F115+F116</f>
        <v>-1343</v>
      </c>
      <c r="M114" s="2327">
        <f>K114+L114</f>
        <v>401.03700000000003</v>
      </c>
      <c r="N114" s="2345">
        <f>H114+H115+H116</f>
        <v>390.69600000000003</v>
      </c>
      <c r="O114" s="2250">
        <f t="shared" ref="O114" si="99">M114-N114</f>
        <v>10.341000000000008</v>
      </c>
      <c r="P114" s="2251">
        <f t="shared" si="97"/>
        <v>0.97421434929944117</v>
      </c>
    </row>
    <row r="115" spans="1:16" ht="17.25" customHeight="1">
      <c r="A115" s="2277"/>
      <c r="B115" s="2238"/>
      <c r="C115" s="903">
        <v>42125</v>
      </c>
      <c r="D115" s="938">
        <v>42247</v>
      </c>
      <c r="E115" s="1251">
        <v>173.46700000000001</v>
      </c>
      <c r="F115" s="892"/>
      <c r="G115" s="891">
        <f>E115+F115+I114</f>
        <v>305.04699999999991</v>
      </c>
      <c r="H115" s="892"/>
      <c r="I115" s="891">
        <f t="shared" si="86"/>
        <v>305.04699999999991</v>
      </c>
      <c r="J115" s="1416">
        <f t="shared" si="82"/>
        <v>0</v>
      </c>
      <c r="K115" s="2260"/>
      <c r="L115" s="2217"/>
      <c r="M115" s="2288"/>
      <c r="N115" s="2345"/>
      <c r="O115" s="2250"/>
      <c r="P115" s="2251"/>
    </row>
    <row r="116" spans="1:16" ht="17.25" customHeight="1">
      <c r="A116" s="2277"/>
      <c r="B116" s="2238"/>
      <c r="C116" s="900">
        <v>42248</v>
      </c>
      <c r="D116" s="1787">
        <v>42369</v>
      </c>
      <c r="E116" s="1788">
        <v>95.99</v>
      </c>
      <c r="F116" s="1616"/>
      <c r="G116" s="948">
        <f>E116+F116+I115</f>
        <v>401.03699999999992</v>
      </c>
      <c r="H116" s="1793">
        <v>390.69600000000003</v>
      </c>
      <c r="I116" s="948">
        <f t="shared" si="86"/>
        <v>10.340999999999894</v>
      </c>
      <c r="J116" s="1789">
        <f t="shared" si="82"/>
        <v>0.97421434929944151</v>
      </c>
      <c r="K116" s="2260"/>
      <c r="L116" s="2219"/>
      <c r="M116" s="2328"/>
      <c r="N116" s="2345"/>
      <c r="O116" s="2250"/>
      <c r="P116" s="2251"/>
    </row>
    <row r="117" spans="1:16" ht="17.25" customHeight="1">
      <c r="A117" s="2277"/>
      <c r="B117" s="2258" t="s">
        <v>9</v>
      </c>
      <c r="C117" s="903">
        <v>42005</v>
      </c>
      <c r="D117" s="938">
        <v>42124</v>
      </c>
      <c r="E117" s="1251">
        <v>17.257999999999999</v>
      </c>
      <c r="F117" s="892">
        <v>-20.411000000000001</v>
      </c>
      <c r="G117" s="891">
        <f>E117+F117</f>
        <v>-3.1530000000000022</v>
      </c>
      <c r="H117" s="892"/>
      <c r="I117" s="891">
        <f t="shared" si="86"/>
        <v>-3.1530000000000022</v>
      </c>
      <c r="J117" s="1416">
        <f t="shared" si="82"/>
        <v>0</v>
      </c>
      <c r="K117" s="2260">
        <f t="shared" ref="K117:L117" si="100">E117+E118+E119</f>
        <v>20.411000000000001</v>
      </c>
      <c r="L117" s="2228">
        <f t="shared" si="100"/>
        <v>-20.411000000000001</v>
      </c>
      <c r="M117" s="2327">
        <f>K117+L117</f>
        <v>0</v>
      </c>
      <c r="N117" s="2345">
        <f>H117+H118+H119</f>
        <v>0</v>
      </c>
      <c r="O117" s="2250">
        <f>M117-N117</f>
        <v>0</v>
      </c>
      <c r="P117" s="2251" t="e">
        <f>N117/M117</f>
        <v>#DIV/0!</v>
      </c>
    </row>
    <row r="118" spans="1:16" ht="17.25" customHeight="1">
      <c r="A118" s="2277"/>
      <c r="B118" s="2238"/>
      <c r="C118" s="903">
        <v>42125</v>
      </c>
      <c r="D118" s="938">
        <v>42247</v>
      </c>
      <c r="E118" s="1251">
        <v>2.0299999999999998</v>
      </c>
      <c r="F118" s="892"/>
      <c r="G118" s="891">
        <f>E118+F118+I117</f>
        <v>-1.1230000000000024</v>
      </c>
      <c r="H118" s="892"/>
      <c r="I118" s="891">
        <f t="shared" si="86"/>
        <v>-1.1230000000000024</v>
      </c>
      <c r="J118" s="1416">
        <f t="shared" si="82"/>
        <v>0</v>
      </c>
      <c r="K118" s="2260"/>
      <c r="L118" s="2217"/>
      <c r="M118" s="2288"/>
      <c r="N118" s="2345"/>
      <c r="O118" s="2250"/>
      <c r="P118" s="2251"/>
    </row>
    <row r="119" spans="1:16" ht="17.25" customHeight="1">
      <c r="A119" s="2277"/>
      <c r="B119" s="2259"/>
      <c r="C119" s="903">
        <v>42248</v>
      </c>
      <c r="D119" s="938">
        <v>42369</v>
      </c>
      <c r="E119" s="1251">
        <v>1.123</v>
      </c>
      <c r="F119" s="892"/>
      <c r="G119" s="891">
        <f>E119+F119+I118</f>
        <v>-2.4424906541753444E-15</v>
      </c>
      <c r="H119" s="892"/>
      <c r="I119" s="891">
        <f t="shared" si="86"/>
        <v>-2.4424906541753444E-15</v>
      </c>
      <c r="J119" s="1416">
        <f t="shared" si="82"/>
        <v>0</v>
      </c>
      <c r="K119" s="2260"/>
      <c r="L119" s="2219"/>
      <c r="M119" s="2328"/>
      <c r="N119" s="2345"/>
      <c r="O119" s="2250"/>
      <c r="P119" s="2251"/>
    </row>
    <row r="120" spans="1:16" ht="17.25" customHeight="1">
      <c r="A120" s="2277"/>
      <c r="B120" s="2238" t="s">
        <v>28</v>
      </c>
      <c r="C120" s="1754">
        <v>42005</v>
      </c>
      <c r="D120" s="1913">
        <v>42124</v>
      </c>
      <c r="E120" s="1973">
        <v>91.971999999999994</v>
      </c>
      <c r="F120" s="1481">
        <v>-108.77800000000001</v>
      </c>
      <c r="G120" s="1622">
        <f>E120+F120</f>
        <v>-16.806000000000012</v>
      </c>
      <c r="H120" s="1481"/>
      <c r="I120" s="1622">
        <f t="shared" si="86"/>
        <v>-16.806000000000012</v>
      </c>
      <c r="J120" s="1791">
        <f t="shared" si="82"/>
        <v>0</v>
      </c>
      <c r="K120" s="2260">
        <f t="shared" ref="K120:L120" si="101">E120+E121+E122</f>
        <v>108.77799999999999</v>
      </c>
      <c r="L120" s="2228">
        <f t="shared" si="101"/>
        <v>-108.77800000000001</v>
      </c>
      <c r="M120" s="2223">
        <f t="shared" ref="M120" si="102">K120+L120</f>
        <v>0</v>
      </c>
      <c r="N120" s="2345">
        <f>H120+H121+H122</f>
        <v>0</v>
      </c>
      <c r="O120" s="2250">
        <f t="shared" ref="O120" si="103">M120-N120</f>
        <v>0</v>
      </c>
      <c r="P120" s="2251" t="e">
        <f>N120/M120</f>
        <v>#DIV/0!</v>
      </c>
    </row>
    <row r="121" spans="1:16" ht="17.25" customHeight="1">
      <c r="A121" s="2277"/>
      <c r="B121" s="2238"/>
      <c r="C121" s="903">
        <v>42125</v>
      </c>
      <c r="D121" s="938">
        <v>42247</v>
      </c>
      <c r="E121" s="1251">
        <v>10.819000000000001</v>
      </c>
      <c r="F121" s="892"/>
      <c r="G121" s="891">
        <f>E121+F121+I120</f>
        <v>-5.9870000000000108</v>
      </c>
      <c r="H121" s="892"/>
      <c r="I121" s="891">
        <f t="shared" si="86"/>
        <v>-5.9870000000000108</v>
      </c>
      <c r="J121" s="1416">
        <f t="shared" si="82"/>
        <v>0</v>
      </c>
      <c r="K121" s="2260"/>
      <c r="L121" s="2217"/>
      <c r="M121" s="2232"/>
      <c r="N121" s="2345"/>
      <c r="O121" s="2250"/>
      <c r="P121" s="2251"/>
    </row>
    <row r="122" spans="1:16" ht="16.5" customHeight="1">
      <c r="A122" s="2277"/>
      <c r="B122" s="2238"/>
      <c r="C122" s="900">
        <v>42248</v>
      </c>
      <c r="D122" s="1787">
        <v>42369</v>
      </c>
      <c r="E122" s="1788">
        <v>5.9870000000000001</v>
      </c>
      <c r="F122" s="1616"/>
      <c r="G122" s="948">
        <f>E122+F122+I121</f>
        <v>-1.0658141036401503E-14</v>
      </c>
      <c r="H122" s="1616"/>
      <c r="I122" s="948">
        <f t="shared" si="86"/>
        <v>-1.0658141036401503E-14</v>
      </c>
      <c r="J122" s="1789">
        <f t="shared" si="82"/>
        <v>0</v>
      </c>
      <c r="K122" s="2260"/>
      <c r="L122" s="2219"/>
      <c r="M122" s="2224"/>
      <c r="N122" s="2345"/>
      <c r="O122" s="2250"/>
      <c r="P122" s="2251"/>
    </row>
    <row r="123" spans="1:16" ht="17.25" customHeight="1">
      <c r="A123" s="2277"/>
      <c r="B123" s="2258" t="s">
        <v>489</v>
      </c>
      <c r="C123" s="903">
        <v>42005</v>
      </c>
      <c r="D123" s="938">
        <v>42124</v>
      </c>
      <c r="E123" s="1251">
        <v>500.88799999999998</v>
      </c>
      <c r="F123" s="892">
        <f>-512.377-76.9</f>
        <v>-589.27699999999993</v>
      </c>
      <c r="G123" s="891">
        <f>E123+F123</f>
        <v>-88.388999999999953</v>
      </c>
      <c r="H123" s="892"/>
      <c r="I123" s="891">
        <f>G123-H123</f>
        <v>-88.388999999999953</v>
      </c>
      <c r="J123" s="1416">
        <f>H123/G123</f>
        <v>0</v>
      </c>
      <c r="K123" s="2260">
        <f t="shared" ref="K123:L123" si="104">E123+E124+E125</f>
        <v>592.41800000000001</v>
      </c>
      <c r="L123" s="2228">
        <f t="shared" si="104"/>
        <v>-589.27699999999993</v>
      </c>
      <c r="M123" s="2223">
        <f t="shared" ref="M123" si="105">K123+L123</f>
        <v>3.1410000000000764</v>
      </c>
      <c r="N123" s="2345">
        <f>H123+H124+H125</f>
        <v>0</v>
      </c>
      <c r="O123" s="2250">
        <f t="shared" ref="O123" si="106">M123-N123</f>
        <v>3.1410000000000764</v>
      </c>
      <c r="P123" s="2251">
        <f t="shared" si="97"/>
        <v>0</v>
      </c>
    </row>
    <row r="124" spans="1:16" ht="17.25" customHeight="1">
      <c r="A124" s="2277"/>
      <c r="B124" s="2238"/>
      <c r="C124" s="903">
        <v>42125</v>
      </c>
      <c r="D124" s="938">
        <v>42247</v>
      </c>
      <c r="E124" s="1251">
        <v>58.923999999999999</v>
      </c>
      <c r="F124" s="892"/>
      <c r="G124" s="891">
        <f>E124+F124+I123</f>
        <v>-29.464999999999954</v>
      </c>
      <c r="H124" s="892"/>
      <c r="I124" s="891">
        <f>G124-H124</f>
        <v>-29.464999999999954</v>
      </c>
      <c r="J124" s="1416">
        <f>H124/G124</f>
        <v>0</v>
      </c>
      <c r="K124" s="2260"/>
      <c r="L124" s="2217"/>
      <c r="M124" s="2232"/>
      <c r="N124" s="2345"/>
      <c r="O124" s="2250"/>
      <c r="P124" s="2251"/>
    </row>
    <row r="125" spans="1:16" ht="17.25" customHeight="1">
      <c r="A125" s="2277"/>
      <c r="B125" s="2259"/>
      <c r="C125" s="903">
        <v>42248</v>
      </c>
      <c r="D125" s="938">
        <v>42369</v>
      </c>
      <c r="E125" s="1251">
        <v>32.606000000000002</v>
      </c>
      <c r="F125" s="892"/>
      <c r="G125" s="891">
        <f>E125+F125+I124</f>
        <v>3.141000000000048</v>
      </c>
      <c r="H125" s="892"/>
      <c r="I125" s="891">
        <f>G125-H125</f>
        <v>3.141000000000048</v>
      </c>
      <c r="J125" s="1416">
        <f>H125/G125</f>
        <v>0</v>
      </c>
      <c r="K125" s="2260"/>
      <c r="L125" s="2219"/>
      <c r="M125" s="2224"/>
      <c r="N125" s="2345"/>
      <c r="O125" s="2250"/>
      <c r="P125" s="2251"/>
    </row>
    <row r="126" spans="1:16" ht="17.25" customHeight="1">
      <c r="A126" s="2277"/>
      <c r="B126" s="2238" t="s">
        <v>480</v>
      </c>
      <c r="C126" s="1754">
        <v>42005</v>
      </c>
      <c r="D126" s="1913">
        <v>42124</v>
      </c>
      <c r="E126" s="1973">
        <v>500.88799999999998</v>
      </c>
      <c r="F126" s="1801">
        <f>-512.377-76.9</f>
        <v>-589.27699999999993</v>
      </c>
      <c r="G126" s="1622">
        <f>E126+F126</f>
        <v>-88.388999999999953</v>
      </c>
      <c r="H126" s="1481"/>
      <c r="I126" s="1622">
        <f t="shared" si="86"/>
        <v>-88.388999999999953</v>
      </c>
      <c r="J126" s="1791">
        <f t="shared" si="82"/>
        <v>0</v>
      </c>
      <c r="K126" s="2260">
        <f t="shared" ref="K126:L126" si="107">E126+E127+E128</f>
        <v>592.41800000000001</v>
      </c>
      <c r="L126" s="2228">
        <f t="shared" si="107"/>
        <v>-589.27699999999993</v>
      </c>
      <c r="M126" s="2223">
        <f>K126+L126</f>
        <v>3.1410000000000764</v>
      </c>
      <c r="N126" s="2345">
        <f>H126+H127+H128</f>
        <v>0</v>
      </c>
      <c r="O126" s="2250">
        <f t="shared" ref="O126" si="108">M126-N126</f>
        <v>3.1410000000000764</v>
      </c>
      <c r="P126" s="2251">
        <f t="shared" ref="P126:P138" si="109">N126/M126</f>
        <v>0</v>
      </c>
    </row>
    <row r="127" spans="1:16" ht="17.25" customHeight="1">
      <c r="A127" s="2277"/>
      <c r="B127" s="2238"/>
      <c r="C127" s="903">
        <v>42125</v>
      </c>
      <c r="D127" s="938">
        <v>42247</v>
      </c>
      <c r="E127" s="1251">
        <v>58.923999999999999</v>
      </c>
      <c r="F127" s="908"/>
      <c r="G127" s="891">
        <f>E127+F127+I126</f>
        <v>-29.464999999999954</v>
      </c>
      <c r="H127" s="892"/>
      <c r="I127" s="891">
        <f t="shared" si="86"/>
        <v>-29.464999999999954</v>
      </c>
      <c r="J127" s="1416">
        <f t="shared" si="82"/>
        <v>0</v>
      </c>
      <c r="K127" s="2260"/>
      <c r="L127" s="2217"/>
      <c r="M127" s="2232"/>
      <c r="N127" s="2345"/>
      <c r="O127" s="2250"/>
      <c r="P127" s="2251"/>
    </row>
    <row r="128" spans="1:16" ht="17.25" customHeight="1">
      <c r="A128" s="2277"/>
      <c r="B128" s="2238"/>
      <c r="C128" s="900">
        <v>42248</v>
      </c>
      <c r="D128" s="1787">
        <v>42369</v>
      </c>
      <c r="E128" s="1788">
        <v>32.606000000000002</v>
      </c>
      <c r="F128" s="1802"/>
      <c r="G128" s="948">
        <f>E128+F128+I127</f>
        <v>3.141000000000048</v>
      </c>
      <c r="H128" s="1616"/>
      <c r="I128" s="948">
        <f t="shared" si="86"/>
        <v>3.141000000000048</v>
      </c>
      <c r="J128" s="1789">
        <f t="shared" si="82"/>
        <v>0</v>
      </c>
      <c r="K128" s="2260"/>
      <c r="L128" s="2219"/>
      <c r="M128" s="2224"/>
      <c r="N128" s="2345"/>
      <c r="O128" s="2250"/>
      <c r="P128" s="2251"/>
    </row>
    <row r="129" spans="1:16" ht="17.25" customHeight="1">
      <c r="A129" s="2277"/>
      <c r="B129" s="2258" t="s">
        <v>486</v>
      </c>
      <c r="C129" s="903">
        <v>42005</v>
      </c>
      <c r="D129" s="938">
        <v>42124</v>
      </c>
      <c r="E129" s="1251">
        <v>500.88799999999998</v>
      </c>
      <c r="F129" s="1803">
        <f>-512.377-76.9</f>
        <v>-589.27699999999993</v>
      </c>
      <c r="G129" s="891">
        <f>E129+F129</f>
        <v>-88.388999999999953</v>
      </c>
      <c r="H129" s="892"/>
      <c r="I129" s="891">
        <f t="shared" si="86"/>
        <v>-88.388999999999953</v>
      </c>
      <c r="J129" s="1416">
        <f t="shared" si="82"/>
        <v>0</v>
      </c>
      <c r="K129" s="2260">
        <f t="shared" ref="K129:L129" si="110">E129+E130+E131</f>
        <v>592.41800000000001</v>
      </c>
      <c r="L129" s="2228">
        <f t="shared" si="110"/>
        <v>-589.27699999999993</v>
      </c>
      <c r="M129" s="2223">
        <f t="shared" ref="M129" si="111">K129+L129</f>
        <v>3.1410000000000764</v>
      </c>
      <c r="N129" s="2345">
        <f>H129+H130+H131</f>
        <v>0</v>
      </c>
      <c r="O129" s="2250">
        <f t="shared" ref="O129" si="112">M129-N129</f>
        <v>3.1410000000000764</v>
      </c>
      <c r="P129" s="2251">
        <f t="shared" si="109"/>
        <v>0</v>
      </c>
    </row>
    <row r="130" spans="1:16" ht="17.25" customHeight="1">
      <c r="A130" s="2277"/>
      <c r="B130" s="2238"/>
      <c r="C130" s="903">
        <v>42125</v>
      </c>
      <c r="D130" s="938">
        <v>42247</v>
      </c>
      <c r="E130" s="1251">
        <v>58.923999999999999</v>
      </c>
      <c r="F130" s="908"/>
      <c r="G130" s="891">
        <f>E130+F130+I129</f>
        <v>-29.464999999999954</v>
      </c>
      <c r="H130" s="892"/>
      <c r="I130" s="891">
        <f t="shared" si="86"/>
        <v>-29.464999999999954</v>
      </c>
      <c r="J130" s="1416">
        <f t="shared" si="82"/>
        <v>0</v>
      </c>
      <c r="K130" s="2260"/>
      <c r="L130" s="2217"/>
      <c r="M130" s="2232"/>
      <c r="N130" s="2345"/>
      <c r="O130" s="2250"/>
      <c r="P130" s="2251"/>
    </row>
    <row r="131" spans="1:16" ht="17.25" customHeight="1">
      <c r="A131" s="2277"/>
      <c r="B131" s="2259"/>
      <c r="C131" s="903">
        <v>42248</v>
      </c>
      <c r="D131" s="938">
        <v>42369</v>
      </c>
      <c r="E131" s="1251">
        <v>32.606000000000002</v>
      </c>
      <c r="F131" s="908"/>
      <c r="G131" s="891">
        <f>E131+F131+I130</f>
        <v>3.141000000000048</v>
      </c>
      <c r="H131" s="892"/>
      <c r="I131" s="891">
        <f>G131-H131</f>
        <v>3.141000000000048</v>
      </c>
      <c r="J131" s="1416">
        <f t="shared" si="82"/>
        <v>0</v>
      </c>
      <c r="K131" s="2260"/>
      <c r="L131" s="2219"/>
      <c r="M131" s="2224"/>
      <c r="N131" s="2345"/>
      <c r="O131" s="2250"/>
      <c r="P131" s="2251"/>
    </row>
    <row r="132" spans="1:16" ht="17.25" customHeight="1">
      <c r="A132" s="2277"/>
      <c r="B132" s="2238" t="s">
        <v>484</v>
      </c>
      <c r="C132" s="1754">
        <v>42005</v>
      </c>
      <c r="D132" s="1913">
        <v>42124</v>
      </c>
      <c r="E132" s="1973">
        <v>500.88799999999998</v>
      </c>
      <c r="F132" s="1481">
        <f>-512.168-77.11</f>
        <v>-589.27800000000002</v>
      </c>
      <c r="G132" s="1622">
        <f>E132+F132</f>
        <v>-88.390000000000043</v>
      </c>
      <c r="H132" s="1481"/>
      <c r="I132" s="1622">
        <f t="shared" si="86"/>
        <v>-88.390000000000043</v>
      </c>
      <c r="J132" s="1791">
        <f t="shared" si="82"/>
        <v>0</v>
      </c>
      <c r="K132" s="2260">
        <f>E132+E133+E134</f>
        <v>592.41800000000001</v>
      </c>
      <c r="L132" s="2228">
        <f>F132+F133+F134</f>
        <v>-589.27800000000002</v>
      </c>
      <c r="M132" s="2327">
        <f t="shared" ref="M132" si="113">K132+L132</f>
        <v>3.1399999999999864</v>
      </c>
      <c r="N132" s="2345">
        <f>H132+H133+H134</f>
        <v>0</v>
      </c>
      <c r="O132" s="2250">
        <f t="shared" ref="O132" si="114">M132-N132</f>
        <v>3.1399999999999864</v>
      </c>
      <c r="P132" s="2251">
        <f t="shared" si="109"/>
        <v>0</v>
      </c>
    </row>
    <row r="133" spans="1:16" ht="17.25" customHeight="1">
      <c r="A133" s="2277"/>
      <c r="B133" s="2238"/>
      <c r="C133" s="903">
        <v>42125</v>
      </c>
      <c r="D133" s="938">
        <v>42247</v>
      </c>
      <c r="E133" s="1251">
        <v>58.923999999999999</v>
      </c>
      <c r="F133" s="892"/>
      <c r="G133" s="891">
        <f>E133+F133+I132</f>
        <v>-29.466000000000044</v>
      </c>
      <c r="H133" s="892"/>
      <c r="I133" s="891">
        <f>G133-H133</f>
        <v>-29.466000000000044</v>
      </c>
      <c r="J133" s="1416">
        <f t="shared" si="82"/>
        <v>0</v>
      </c>
      <c r="K133" s="2260"/>
      <c r="L133" s="2217"/>
      <c r="M133" s="2288"/>
      <c r="N133" s="2345"/>
      <c r="O133" s="2250"/>
      <c r="P133" s="2251"/>
    </row>
    <row r="134" spans="1:16" ht="17.25" customHeight="1">
      <c r="A134" s="2277"/>
      <c r="B134" s="2238"/>
      <c r="C134" s="900">
        <v>42248</v>
      </c>
      <c r="D134" s="1787">
        <v>42369</v>
      </c>
      <c r="E134" s="1788">
        <v>32.606000000000002</v>
      </c>
      <c r="F134" s="1616"/>
      <c r="G134" s="948">
        <f>E134+F134+I133</f>
        <v>3.1399999999999579</v>
      </c>
      <c r="H134" s="1616"/>
      <c r="I134" s="948">
        <f t="shared" si="86"/>
        <v>3.1399999999999579</v>
      </c>
      <c r="J134" s="1789">
        <f t="shared" si="82"/>
        <v>0</v>
      </c>
      <c r="K134" s="2260"/>
      <c r="L134" s="2219"/>
      <c r="M134" s="2328"/>
      <c r="N134" s="2345"/>
      <c r="O134" s="2250"/>
      <c r="P134" s="2251"/>
    </row>
    <row r="135" spans="1:16" ht="17.25" customHeight="1">
      <c r="A135" s="2277"/>
      <c r="B135" s="2252" t="s">
        <v>481</v>
      </c>
      <c r="C135" s="903">
        <v>42005</v>
      </c>
      <c r="D135" s="938">
        <v>42124</v>
      </c>
      <c r="E135" s="1251">
        <v>479.53899999999999</v>
      </c>
      <c r="F135" s="892">
        <v>-479.53899999999999</v>
      </c>
      <c r="G135" s="891">
        <f>E135+F135</f>
        <v>0</v>
      </c>
      <c r="H135" s="892"/>
      <c r="I135" s="891">
        <f t="shared" si="86"/>
        <v>0</v>
      </c>
      <c r="J135" s="1416" t="e">
        <f t="shared" si="82"/>
        <v>#DIV/0!</v>
      </c>
      <c r="K135" s="2260">
        <f t="shared" ref="K135:L135" si="115">E135+E136+E137</f>
        <v>567.16700000000003</v>
      </c>
      <c r="L135" s="2228">
        <f t="shared" si="115"/>
        <v>-567.16700000000003</v>
      </c>
      <c r="M135" s="2223">
        <f t="shared" ref="M135" si="116">K135+L135</f>
        <v>0</v>
      </c>
      <c r="N135" s="2345">
        <f>H135+H136+H137</f>
        <v>0</v>
      </c>
      <c r="O135" s="2250">
        <f>M135-N135</f>
        <v>0</v>
      </c>
      <c r="P135" s="2251" t="e">
        <f t="shared" si="109"/>
        <v>#DIV/0!</v>
      </c>
    </row>
    <row r="136" spans="1:16" ht="17.25" customHeight="1">
      <c r="A136" s="2277"/>
      <c r="B136" s="2253"/>
      <c r="C136" s="903">
        <v>42125</v>
      </c>
      <c r="D136" s="938">
        <v>42247</v>
      </c>
      <c r="E136" s="1251">
        <v>56.411999999999999</v>
      </c>
      <c r="F136" s="892">
        <v>-56.411999999999999</v>
      </c>
      <c r="G136" s="891">
        <f>E136+F136+I135</f>
        <v>0</v>
      </c>
      <c r="H136" s="892"/>
      <c r="I136" s="891">
        <f t="shared" si="86"/>
        <v>0</v>
      </c>
      <c r="J136" s="1416" t="e">
        <f t="shared" si="82"/>
        <v>#DIV/0!</v>
      </c>
      <c r="K136" s="2260"/>
      <c r="L136" s="2217"/>
      <c r="M136" s="2232"/>
      <c r="N136" s="2345"/>
      <c r="O136" s="2250"/>
      <c r="P136" s="2251"/>
    </row>
    <row r="137" spans="1:16" ht="17.25" customHeight="1">
      <c r="A137" s="2277"/>
      <c r="B137" s="2254"/>
      <c r="C137" s="903">
        <v>42248</v>
      </c>
      <c r="D137" s="938">
        <v>42369</v>
      </c>
      <c r="E137" s="1253">
        <v>31.216000000000001</v>
      </c>
      <c r="F137" s="892">
        <v>-31.216000000000001</v>
      </c>
      <c r="G137" s="891">
        <f>E137+F137+I136</f>
        <v>0</v>
      </c>
      <c r="H137" s="892"/>
      <c r="I137" s="891">
        <f t="shared" si="86"/>
        <v>0</v>
      </c>
      <c r="J137" s="1416" t="e">
        <f t="shared" si="82"/>
        <v>#DIV/0!</v>
      </c>
      <c r="K137" s="2260"/>
      <c r="L137" s="2219"/>
      <c r="M137" s="2224"/>
      <c r="N137" s="2345"/>
      <c r="O137" s="2250"/>
      <c r="P137" s="2251"/>
    </row>
    <row r="138" spans="1:16" ht="17.25" customHeight="1">
      <c r="A138" s="2277"/>
      <c r="B138" s="2238" t="s">
        <v>482</v>
      </c>
      <c r="C138" s="1754">
        <v>42005</v>
      </c>
      <c r="D138" s="1913">
        <v>42124</v>
      </c>
      <c r="E138" s="1973">
        <v>221.767</v>
      </c>
      <c r="F138" s="1481">
        <f>-E138</f>
        <v>-221.767</v>
      </c>
      <c r="G138" s="1622">
        <f>E138+F138</f>
        <v>0</v>
      </c>
      <c r="H138" s="1481"/>
      <c r="I138" s="1622">
        <f t="shared" si="86"/>
        <v>0</v>
      </c>
      <c r="J138" s="1791" t="e">
        <f t="shared" si="82"/>
        <v>#DIV/0!</v>
      </c>
      <c r="K138" s="2260">
        <f t="shared" ref="K138:L138" si="117">E138+E139+E140</f>
        <v>262.291</v>
      </c>
      <c r="L138" s="2228">
        <f t="shared" si="117"/>
        <v>-262.291</v>
      </c>
      <c r="M138" s="2223">
        <f t="shared" ref="M138" si="118">K138+L138</f>
        <v>0</v>
      </c>
      <c r="N138" s="2345">
        <f>H138+H139+H140</f>
        <v>0</v>
      </c>
      <c r="O138" s="2250">
        <f t="shared" ref="O138" si="119">M138-N138</f>
        <v>0</v>
      </c>
      <c r="P138" s="2251" t="e">
        <f t="shared" si="109"/>
        <v>#DIV/0!</v>
      </c>
    </row>
    <row r="139" spans="1:16" ht="17.25" customHeight="1">
      <c r="A139" s="2277"/>
      <c r="B139" s="2238"/>
      <c r="C139" s="903">
        <v>42125</v>
      </c>
      <c r="D139" s="938">
        <v>42247</v>
      </c>
      <c r="E139" s="1251">
        <v>26.088000000000001</v>
      </c>
      <c r="F139" s="892">
        <f t="shared" ref="F139:F140" si="120">-E139</f>
        <v>-26.088000000000001</v>
      </c>
      <c r="G139" s="891">
        <f>E139+F139+I138</f>
        <v>0</v>
      </c>
      <c r="H139" s="892"/>
      <c r="I139" s="891">
        <f t="shared" si="86"/>
        <v>0</v>
      </c>
      <c r="J139" s="1416" t="e">
        <f t="shared" si="82"/>
        <v>#DIV/0!</v>
      </c>
      <c r="K139" s="2260"/>
      <c r="L139" s="2217"/>
      <c r="M139" s="2232"/>
      <c r="N139" s="2345"/>
      <c r="O139" s="2250"/>
      <c r="P139" s="2251"/>
    </row>
    <row r="140" spans="1:16" ht="17.25" customHeight="1">
      <c r="A140" s="2277"/>
      <c r="B140" s="2238"/>
      <c r="C140" s="900">
        <v>42248</v>
      </c>
      <c r="D140" s="1787">
        <v>42369</v>
      </c>
      <c r="E140" s="1788">
        <v>14.436</v>
      </c>
      <c r="F140" s="1616">
        <f t="shared" si="120"/>
        <v>-14.436</v>
      </c>
      <c r="G140" s="948">
        <f>E140+F140+I139</f>
        <v>0</v>
      </c>
      <c r="H140" s="1616"/>
      <c r="I140" s="948">
        <f t="shared" si="86"/>
        <v>0</v>
      </c>
      <c r="J140" s="1789" t="e">
        <f t="shared" si="82"/>
        <v>#DIV/0!</v>
      </c>
      <c r="K140" s="2260"/>
      <c r="L140" s="2219"/>
      <c r="M140" s="2224"/>
      <c r="N140" s="2345"/>
      <c r="O140" s="2250"/>
      <c r="P140" s="2251"/>
    </row>
    <row r="141" spans="1:16" ht="17.25" customHeight="1">
      <c r="A141" s="2277"/>
      <c r="B141" s="2258" t="s">
        <v>227</v>
      </c>
      <c r="C141" s="903">
        <v>42005</v>
      </c>
      <c r="D141" s="938">
        <v>42124</v>
      </c>
      <c r="E141" s="925">
        <v>8367.8529999999992</v>
      </c>
      <c r="F141" s="892">
        <f>41+402+2000+250+300+962.18+1000+1200+455+600+200+372+158+103.296+966.74+15+800+1676+500+368+189</f>
        <v>12558.216</v>
      </c>
      <c r="G141" s="891">
        <f>E141+F141</f>
        <v>20926.069</v>
      </c>
      <c r="H141" s="1124">
        <v>6218.2009999999991</v>
      </c>
      <c r="I141" s="891">
        <f t="shared" si="86"/>
        <v>14707.868</v>
      </c>
      <c r="J141" s="1416">
        <f t="shared" si="82"/>
        <v>0.29715093647067681</v>
      </c>
      <c r="K141" s="2260">
        <f t="shared" ref="K141:L141" si="121">E141+E142+E143</f>
        <v>9896.9490000000005</v>
      </c>
      <c r="L141" s="2228">
        <f t="shared" si="121"/>
        <v>12558.216</v>
      </c>
      <c r="M141" s="2223">
        <f>K141+L141</f>
        <v>22455.165000000001</v>
      </c>
      <c r="N141" s="2345">
        <f>H141+H142+H143</f>
        <v>22373.628000000001</v>
      </c>
      <c r="O141" s="2250">
        <f t="shared" ref="O141" si="122">M141-N141</f>
        <v>81.537000000000262</v>
      </c>
      <c r="P141" s="2251">
        <f>N141/M141</f>
        <v>0.99636889775693027</v>
      </c>
    </row>
    <row r="142" spans="1:16" ht="17.25" customHeight="1">
      <c r="A142" s="2277"/>
      <c r="B142" s="2238"/>
      <c r="C142" s="903">
        <v>42125</v>
      </c>
      <c r="D142" s="938">
        <v>42247</v>
      </c>
      <c r="E142" s="925">
        <v>984.37900000000002</v>
      </c>
      <c r="F142" s="892"/>
      <c r="G142" s="891">
        <f>E142+F142+I141</f>
        <v>15692.247000000001</v>
      </c>
      <c r="H142" s="1257">
        <v>8985.4750000000004</v>
      </c>
      <c r="I142" s="891">
        <f t="shared" si="86"/>
        <v>6706.7720000000008</v>
      </c>
      <c r="J142" s="1416">
        <f t="shared" si="82"/>
        <v>0.57260601365757235</v>
      </c>
      <c r="K142" s="2260"/>
      <c r="L142" s="2217"/>
      <c r="M142" s="2232"/>
      <c r="N142" s="2345"/>
      <c r="O142" s="2250"/>
      <c r="P142" s="2251"/>
    </row>
    <row r="143" spans="1:16" ht="17.25" customHeight="1">
      <c r="A143" s="2277"/>
      <c r="B143" s="2259"/>
      <c r="C143" s="903">
        <v>42248</v>
      </c>
      <c r="D143" s="938">
        <v>42369</v>
      </c>
      <c r="E143" s="925">
        <v>544.71699999999998</v>
      </c>
      <c r="F143" s="892"/>
      <c r="G143" s="891">
        <f>E143+F143+I142</f>
        <v>7251.4890000000005</v>
      </c>
      <c r="H143" s="1600">
        <v>7169.9520000000002</v>
      </c>
      <c r="I143" s="891">
        <f t="shared" si="86"/>
        <v>81.537000000000262</v>
      </c>
      <c r="J143" s="1416">
        <f t="shared" si="82"/>
        <v>0.98875582656196537</v>
      </c>
      <c r="K143" s="2260"/>
      <c r="L143" s="2219"/>
      <c r="M143" s="2224"/>
      <c r="N143" s="2345"/>
      <c r="O143" s="2250"/>
      <c r="P143" s="2251"/>
    </row>
    <row r="144" spans="1:16" ht="17.25" customHeight="1">
      <c r="A144" s="2277"/>
      <c r="B144" s="2238" t="s">
        <v>228</v>
      </c>
      <c r="C144" s="1754">
        <v>42005</v>
      </c>
      <c r="D144" s="1913">
        <v>42124</v>
      </c>
      <c r="E144" s="1971">
        <v>2052.9760000000001</v>
      </c>
      <c r="F144" s="1481">
        <f>20.411+108.778-150+311+597.14</f>
        <v>887.32899999999995</v>
      </c>
      <c r="G144" s="1622">
        <f>E144+F144</f>
        <v>2940.3050000000003</v>
      </c>
      <c r="H144" s="1794">
        <v>1323.8330000000001</v>
      </c>
      <c r="I144" s="1622">
        <f t="shared" si="86"/>
        <v>1616.4720000000002</v>
      </c>
      <c r="J144" s="1791">
        <f t="shared" si="82"/>
        <v>0.45023662511202067</v>
      </c>
      <c r="K144" s="2260">
        <f t="shared" ref="K144:L144" si="123">E144+E145+E146</f>
        <v>2428.125</v>
      </c>
      <c r="L144" s="2228">
        <f t="shared" si="123"/>
        <v>887.32899999999995</v>
      </c>
      <c r="M144" s="2223">
        <f t="shared" ref="M144" si="124">K144+L144</f>
        <v>3315.4539999999997</v>
      </c>
      <c r="N144" s="2345">
        <f>H144+H145+H146</f>
        <v>3251.2960000000003</v>
      </c>
      <c r="O144" s="2223">
        <f t="shared" ref="O144" si="125">M144-N144</f>
        <v>64.157999999999447</v>
      </c>
      <c r="P144" s="2251">
        <f t="shared" ref="P144:P147" si="126">N144/M144</f>
        <v>0.98064880405519139</v>
      </c>
    </row>
    <row r="145" spans="1:16" ht="17.25" customHeight="1">
      <c r="A145" s="2277"/>
      <c r="B145" s="2238"/>
      <c r="C145" s="903">
        <v>42125</v>
      </c>
      <c r="D145" s="938">
        <v>42247</v>
      </c>
      <c r="E145" s="1251">
        <v>241.50800000000001</v>
      </c>
      <c r="F145" s="892"/>
      <c r="G145" s="891">
        <f>E145+F145+I144</f>
        <v>1857.9800000000002</v>
      </c>
      <c r="H145" s="1257">
        <v>717.43499999999995</v>
      </c>
      <c r="I145" s="891">
        <f t="shared" si="86"/>
        <v>1140.5450000000003</v>
      </c>
      <c r="J145" s="1416">
        <f t="shared" si="82"/>
        <v>0.38613709512481287</v>
      </c>
      <c r="K145" s="2260"/>
      <c r="L145" s="2217"/>
      <c r="M145" s="2232"/>
      <c r="N145" s="2345"/>
      <c r="O145" s="2232"/>
      <c r="P145" s="2251"/>
    </row>
    <row r="146" spans="1:16" ht="17.25" customHeight="1">
      <c r="A146" s="2277"/>
      <c r="B146" s="2238"/>
      <c r="C146" s="900">
        <v>42248</v>
      </c>
      <c r="D146" s="1787">
        <v>42369</v>
      </c>
      <c r="E146" s="1788">
        <v>133.64099999999999</v>
      </c>
      <c r="F146" s="1616"/>
      <c r="G146" s="948">
        <f>E146+F146+I145</f>
        <v>1274.1860000000004</v>
      </c>
      <c r="H146" s="1795">
        <v>1210.028</v>
      </c>
      <c r="I146" s="948">
        <f t="shared" si="86"/>
        <v>64.158000000000357</v>
      </c>
      <c r="J146" s="1789">
        <f t="shared" si="82"/>
        <v>0.9496478536100692</v>
      </c>
      <c r="K146" s="2260"/>
      <c r="L146" s="2219"/>
      <c r="M146" s="2224"/>
      <c r="N146" s="2345"/>
      <c r="O146" s="2224"/>
      <c r="P146" s="2251"/>
    </row>
    <row r="147" spans="1:16" ht="17.25" customHeight="1">
      <c r="A147" s="2277"/>
      <c r="B147" s="2258" t="s">
        <v>229</v>
      </c>
      <c r="C147" s="903">
        <v>42005</v>
      </c>
      <c r="D147" s="938">
        <v>42124</v>
      </c>
      <c r="E147" s="1251">
        <v>180.791</v>
      </c>
      <c r="F147" s="892">
        <f>-E147</f>
        <v>-180.791</v>
      </c>
      <c r="G147" s="891">
        <f>E147+F147</f>
        <v>0</v>
      </c>
      <c r="H147" s="892"/>
      <c r="I147" s="891">
        <f t="shared" si="86"/>
        <v>0</v>
      </c>
      <c r="J147" s="1416" t="e">
        <f t="shared" si="82"/>
        <v>#DIV/0!</v>
      </c>
      <c r="K147" s="2260">
        <f t="shared" ref="K147:L147" si="127">E147+E148+E149</f>
        <v>213.828</v>
      </c>
      <c r="L147" s="2228">
        <f t="shared" si="127"/>
        <v>-213.828</v>
      </c>
      <c r="M147" s="2223">
        <f t="shared" ref="M147" si="128">K147+L147</f>
        <v>0</v>
      </c>
      <c r="N147" s="2345">
        <f>H147+H148+H149</f>
        <v>0</v>
      </c>
      <c r="O147" s="2250">
        <f t="shared" ref="O147" si="129">M147-N147</f>
        <v>0</v>
      </c>
      <c r="P147" s="2251" t="e">
        <f t="shared" si="126"/>
        <v>#DIV/0!</v>
      </c>
    </row>
    <row r="148" spans="1:16" ht="17.25" customHeight="1">
      <c r="A148" s="2277"/>
      <c r="B148" s="2238"/>
      <c r="C148" s="903">
        <v>42125</v>
      </c>
      <c r="D148" s="938">
        <v>42247</v>
      </c>
      <c r="E148" s="1251">
        <v>21.268000000000001</v>
      </c>
      <c r="F148" s="892">
        <f t="shared" ref="F148:F149" si="130">-E148</f>
        <v>-21.268000000000001</v>
      </c>
      <c r="G148" s="891">
        <f>E148+F148+I147</f>
        <v>0</v>
      </c>
      <c r="H148" s="892"/>
      <c r="I148" s="891">
        <f t="shared" si="86"/>
        <v>0</v>
      </c>
      <c r="J148" s="1416" t="e">
        <f t="shared" si="82"/>
        <v>#DIV/0!</v>
      </c>
      <c r="K148" s="2260"/>
      <c r="L148" s="2217"/>
      <c r="M148" s="2232"/>
      <c r="N148" s="2345"/>
      <c r="O148" s="2250"/>
      <c r="P148" s="2251"/>
    </row>
    <row r="149" spans="1:16" ht="17.25" customHeight="1">
      <c r="A149" s="2277"/>
      <c r="B149" s="2259"/>
      <c r="C149" s="903">
        <v>42248</v>
      </c>
      <c r="D149" s="938">
        <v>42369</v>
      </c>
      <c r="E149" s="1251">
        <v>11.769</v>
      </c>
      <c r="F149" s="892">
        <f t="shared" si="130"/>
        <v>-11.769</v>
      </c>
      <c r="G149" s="891">
        <f>E149+F149+I148</f>
        <v>0</v>
      </c>
      <c r="H149" s="892"/>
      <c r="I149" s="891">
        <f t="shared" si="86"/>
        <v>0</v>
      </c>
      <c r="J149" s="1416" t="e">
        <f t="shared" si="82"/>
        <v>#DIV/0!</v>
      </c>
      <c r="K149" s="2260"/>
      <c r="L149" s="2219"/>
      <c r="M149" s="2224"/>
      <c r="N149" s="2345"/>
      <c r="O149" s="2250"/>
      <c r="P149" s="2251"/>
    </row>
    <row r="150" spans="1:16" ht="17.25" customHeight="1">
      <c r="A150" s="2277"/>
      <c r="B150" s="2238" t="s">
        <v>485</v>
      </c>
      <c r="C150" s="1754">
        <v>42005</v>
      </c>
      <c r="D150" s="1913">
        <v>42124</v>
      </c>
      <c r="E150" s="1972">
        <v>10157.619000000001</v>
      </c>
      <c r="F150" s="1481">
        <f>500+550+500+437+470+614+700+533+1209.449+120+92+369+370+350+106+33.378+514+120+450+230+360+68</f>
        <v>8695.8270000000011</v>
      </c>
      <c r="G150" s="1622">
        <f>E150+F150</f>
        <v>18853.446000000004</v>
      </c>
      <c r="H150" s="1524">
        <v>7473.2060000000001</v>
      </c>
      <c r="I150" s="1622">
        <f t="shared" ref="I150:I152" si="131">G150-H150</f>
        <v>11380.240000000003</v>
      </c>
      <c r="J150" s="1791">
        <f t="shared" ref="J150:J152" si="132">H150/G150</f>
        <v>0.39638408808660225</v>
      </c>
      <c r="K150" s="2260">
        <f>E150+E151+E152</f>
        <v>12013.767000000002</v>
      </c>
      <c r="L150" s="2228">
        <f t="shared" ref="L150" si="133">F150+F151+F152</f>
        <v>8695.8270000000011</v>
      </c>
      <c r="M150" s="2223">
        <f>K150+L150</f>
        <v>20709.594000000005</v>
      </c>
      <c r="N150" s="2345">
        <f>H150+H151+H152</f>
        <v>20463.495999999999</v>
      </c>
      <c r="O150" s="2250">
        <f>M150-N150</f>
        <v>246.09800000000541</v>
      </c>
      <c r="P150" s="2251">
        <f>N150/M150</f>
        <v>0.98811671537356038</v>
      </c>
    </row>
    <row r="151" spans="1:16" ht="17.25" customHeight="1">
      <c r="A151" s="2277"/>
      <c r="B151" s="2238"/>
      <c r="C151" s="903">
        <v>42125</v>
      </c>
      <c r="D151" s="938">
        <v>42247</v>
      </c>
      <c r="E151" s="925">
        <v>1194.924</v>
      </c>
      <c r="F151" s="892"/>
      <c r="G151" s="891">
        <f>E151+F151+I150</f>
        <v>12575.164000000004</v>
      </c>
      <c r="H151" s="1257">
        <v>6333.7089999999998</v>
      </c>
      <c r="I151" s="891">
        <f t="shared" si="131"/>
        <v>6241.4550000000045</v>
      </c>
      <c r="J151" s="1416">
        <f t="shared" si="132"/>
        <v>0.50366810325495537</v>
      </c>
      <c r="K151" s="2260"/>
      <c r="L151" s="2217"/>
      <c r="M151" s="2232"/>
      <c r="N151" s="2345"/>
      <c r="O151" s="2250"/>
      <c r="P151" s="2251"/>
    </row>
    <row r="152" spans="1:16" ht="17.25" customHeight="1">
      <c r="A152" s="2277"/>
      <c r="B152" s="2238"/>
      <c r="C152" s="900">
        <v>42248</v>
      </c>
      <c r="D152" s="1787">
        <v>42369</v>
      </c>
      <c r="E152" s="1792">
        <v>661.22400000000005</v>
      </c>
      <c r="F152" s="1616"/>
      <c r="G152" s="948">
        <f>E152+F152+I151</f>
        <v>6902.6790000000046</v>
      </c>
      <c r="H152" s="1601">
        <v>6656.5810000000001</v>
      </c>
      <c r="I152" s="948">
        <f t="shared" si="131"/>
        <v>246.0980000000045</v>
      </c>
      <c r="J152" s="1789">
        <f t="shared" si="132"/>
        <v>0.96434746567238538</v>
      </c>
      <c r="K152" s="2260"/>
      <c r="L152" s="2219"/>
      <c r="M152" s="2224"/>
      <c r="N152" s="2345"/>
      <c r="O152" s="2250"/>
      <c r="P152" s="2251"/>
    </row>
    <row r="153" spans="1:16" ht="17.25" customHeight="1">
      <c r="A153" s="2277"/>
      <c r="B153" s="2258" t="s">
        <v>231</v>
      </c>
      <c r="C153" s="903">
        <v>42005</v>
      </c>
      <c r="D153" s="938">
        <v>42124</v>
      </c>
      <c r="E153" s="1251">
        <v>189.369</v>
      </c>
      <c r="F153" s="892">
        <f>-E153</f>
        <v>-189.369</v>
      </c>
      <c r="G153" s="891">
        <f>E153+F153</f>
        <v>0</v>
      </c>
      <c r="H153" s="1481"/>
      <c r="I153" s="891">
        <f t="shared" ref="I153:I158" si="134">G153-H153</f>
        <v>0</v>
      </c>
      <c r="J153" s="1416" t="e">
        <f t="shared" ref="J153:J158" si="135">H153/G153</f>
        <v>#DIV/0!</v>
      </c>
      <c r="K153" s="2260">
        <f t="shared" ref="K153:L153" si="136">E153+E154+E155</f>
        <v>223.97300000000001</v>
      </c>
      <c r="L153" s="2228">
        <f t="shared" si="136"/>
        <v>-223.97300000000001</v>
      </c>
      <c r="M153" s="2223">
        <f>K153+L153</f>
        <v>0</v>
      </c>
      <c r="N153" s="2345">
        <f>H153+H154+H155</f>
        <v>0</v>
      </c>
      <c r="O153" s="2250">
        <f>M153-N153</f>
        <v>0</v>
      </c>
      <c r="P153" s="2251" t="e">
        <f>N153/M153</f>
        <v>#DIV/0!</v>
      </c>
    </row>
    <row r="154" spans="1:16" ht="18" customHeight="1">
      <c r="A154" s="2277"/>
      <c r="B154" s="2238"/>
      <c r="C154" s="903">
        <v>42125</v>
      </c>
      <c r="D154" s="938">
        <v>42247</v>
      </c>
      <c r="E154" s="1251">
        <v>22.277000000000001</v>
      </c>
      <c r="F154" s="892">
        <f t="shared" ref="F154:F155" si="137">-E154</f>
        <v>-22.277000000000001</v>
      </c>
      <c r="G154" s="891">
        <f>E154+F154+I153</f>
        <v>0</v>
      </c>
      <c r="H154" s="892"/>
      <c r="I154" s="891">
        <f t="shared" si="134"/>
        <v>0</v>
      </c>
      <c r="J154" s="1416" t="e">
        <f t="shared" si="135"/>
        <v>#DIV/0!</v>
      </c>
      <c r="K154" s="2260"/>
      <c r="L154" s="2217"/>
      <c r="M154" s="2232"/>
      <c r="N154" s="2345"/>
      <c r="O154" s="2250"/>
      <c r="P154" s="2251"/>
    </row>
    <row r="155" spans="1:16" ht="17.25" customHeight="1">
      <c r="A155" s="2277"/>
      <c r="B155" s="2259"/>
      <c r="C155" s="903">
        <v>42248</v>
      </c>
      <c r="D155" s="938">
        <v>42369</v>
      </c>
      <c r="E155" s="1251">
        <v>12.327</v>
      </c>
      <c r="F155" s="892">
        <f t="shared" si="137"/>
        <v>-12.327</v>
      </c>
      <c r="G155" s="891">
        <f>E155+F155+I154</f>
        <v>0</v>
      </c>
      <c r="H155" s="1616"/>
      <c r="I155" s="891">
        <f t="shared" si="134"/>
        <v>0</v>
      </c>
      <c r="J155" s="1416" t="e">
        <f t="shared" si="135"/>
        <v>#DIV/0!</v>
      </c>
      <c r="K155" s="2260"/>
      <c r="L155" s="2219"/>
      <c r="M155" s="2224"/>
      <c r="N155" s="2345"/>
      <c r="O155" s="2250"/>
      <c r="P155" s="2251"/>
    </row>
    <row r="156" spans="1:16" ht="17.25" customHeight="1">
      <c r="A156" s="2277"/>
      <c r="B156" s="2282" t="s">
        <v>587</v>
      </c>
      <c r="C156" s="1754">
        <v>42005</v>
      </c>
      <c r="D156" s="1913">
        <v>42124</v>
      </c>
      <c r="E156" s="1974">
        <v>2452.7289999999998</v>
      </c>
      <c r="F156" s="1481">
        <f>567.167+569.035+260+76.9+76.9+76.9+77.11</f>
        <v>1704.0120000000002</v>
      </c>
      <c r="G156" s="1622">
        <f>E156+F156</f>
        <v>4156.741</v>
      </c>
      <c r="H156" s="1481"/>
      <c r="I156" s="1622">
        <f t="shared" si="134"/>
        <v>4156.741</v>
      </c>
      <c r="J156" s="1791">
        <f t="shared" si="135"/>
        <v>0</v>
      </c>
      <c r="K156" s="2260">
        <f t="shared" ref="K156" si="138">E156+E157+E158</f>
        <v>2900.9279999999999</v>
      </c>
      <c r="L156" s="2228">
        <f t="shared" ref="L156" si="139">F156+F157+F158</f>
        <v>1704.0120000000002</v>
      </c>
      <c r="M156" s="2223">
        <f>K156+L156</f>
        <v>4604.9400000000005</v>
      </c>
      <c r="N156" s="2345">
        <f>H156+H157+H158</f>
        <v>4520.7139999999999</v>
      </c>
      <c r="O156" s="2250">
        <f>M156-N156</f>
        <v>84.226000000000568</v>
      </c>
      <c r="P156" s="2251">
        <f>N156/M156</f>
        <v>0.98170964225375346</v>
      </c>
    </row>
    <row r="157" spans="1:16" ht="17.25" customHeight="1">
      <c r="A157" s="2277"/>
      <c r="B157" s="2282"/>
      <c r="C157" s="903">
        <v>42125</v>
      </c>
      <c r="D157" s="938">
        <v>42247</v>
      </c>
      <c r="E157" s="1254">
        <v>288.53500000000003</v>
      </c>
      <c r="F157" s="892"/>
      <c r="G157" s="891">
        <f>E157+F157+I156</f>
        <v>4445.2759999999998</v>
      </c>
      <c r="H157" s="1258">
        <v>3369.2269999999999</v>
      </c>
      <c r="I157" s="891">
        <f t="shared" si="134"/>
        <v>1076.049</v>
      </c>
      <c r="J157" s="1416">
        <f t="shared" si="135"/>
        <v>0.75793426549892517</v>
      </c>
      <c r="K157" s="2260"/>
      <c r="L157" s="2217"/>
      <c r="M157" s="2232"/>
      <c r="N157" s="2345"/>
      <c r="O157" s="2250"/>
      <c r="P157" s="2251"/>
    </row>
    <row r="158" spans="1:16" ht="17.25" customHeight="1">
      <c r="A158" s="2277"/>
      <c r="B158" s="2282"/>
      <c r="C158" s="900">
        <v>42248</v>
      </c>
      <c r="D158" s="1787">
        <v>42369</v>
      </c>
      <c r="E158" s="1796">
        <v>159.66399999999999</v>
      </c>
      <c r="F158" s="1616"/>
      <c r="G158" s="948">
        <f>E158+F158+I157</f>
        <v>1235.713</v>
      </c>
      <c r="H158" s="1795">
        <v>1151.4870000000001</v>
      </c>
      <c r="I158" s="948">
        <f t="shared" si="134"/>
        <v>84.225999999999885</v>
      </c>
      <c r="J158" s="1789">
        <f t="shared" si="135"/>
        <v>0.9318401602961206</v>
      </c>
      <c r="K158" s="2260"/>
      <c r="L158" s="2219"/>
      <c r="M158" s="2224"/>
      <c r="N158" s="2345"/>
      <c r="O158" s="2250"/>
      <c r="P158" s="2251"/>
    </row>
    <row r="159" spans="1:16" ht="17.25" customHeight="1">
      <c r="A159" s="2277"/>
      <c r="B159" s="2258" t="s">
        <v>596</v>
      </c>
      <c r="C159" s="903">
        <v>42005</v>
      </c>
      <c r="D159" s="938">
        <v>42124</v>
      </c>
      <c r="E159" s="1255">
        <v>807.55799999999988</v>
      </c>
      <c r="F159" s="892">
        <v>-826.07899999999995</v>
      </c>
      <c r="G159" s="891">
        <f>E159+F159</f>
        <v>-18.521000000000072</v>
      </c>
      <c r="H159" s="892"/>
      <c r="I159" s="891">
        <f t="shared" ref="I159:I161" si="140">G159-H159</f>
        <v>-18.521000000000072</v>
      </c>
      <c r="J159" s="1416">
        <f t="shared" ref="J159:J161" si="141">H159/G159</f>
        <v>0</v>
      </c>
      <c r="K159" s="2260">
        <f t="shared" ref="K159" si="142">E159+E160+E161</f>
        <v>955.12499999999989</v>
      </c>
      <c r="L159" s="2228">
        <f t="shared" ref="L159" si="143">F159+F160+F161</f>
        <v>-826.07899999999995</v>
      </c>
      <c r="M159" s="2223">
        <f>K159+L159</f>
        <v>129.04599999999994</v>
      </c>
      <c r="N159" s="2345">
        <f>H159+H160+H161</f>
        <v>0</v>
      </c>
      <c r="O159" s="2250">
        <f>M159-N159</f>
        <v>129.04599999999994</v>
      </c>
      <c r="P159" s="2251">
        <f>N159/M159</f>
        <v>0</v>
      </c>
    </row>
    <row r="160" spans="1:16" ht="17.25" customHeight="1">
      <c r="A160" s="2277"/>
      <c r="B160" s="2238"/>
      <c r="C160" s="903">
        <v>42125</v>
      </c>
      <c r="D160" s="938">
        <v>42247</v>
      </c>
      <c r="E160" s="1255">
        <v>94.998000000000005</v>
      </c>
      <c r="F160" s="1804"/>
      <c r="G160" s="891">
        <f>E160+F160+I159</f>
        <v>76.476999999999933</v>
      </c>
      <c r="H160" s="892"/>
      <c r="I160" s="891">
        <f t="shared" si="140"/>
        <v>76.476999999999933</v>
      </c>
      <c r="J160" s="1416">
        <f t="shared" si="141"/>
        <v>0</v>
      </c>
      <c r="K160" s="2260"/>
      <c r="L160" s="2217"/>
      <c r="M160" s="2232"/>
      <c r="N160" s="2345"/>
      <c r="O160" s="2250"/>
      <c r="P160" s="2251"/>
    </row>
    <row r="161" spans="1:16" ht="17.25" customHeight="1">
      <c r="A161" s="2277"/>
      <c r="B161" s="2259"/>
      <c r="C161" s="903">
        <v>42248</v>
      </c>
      <c r="D161" s="938">
        <v>42369</v>
      </c>
      <c r="E161" s="1255">
        <v>52.569000000000003</v>
      </c>
      <c r="F161" s="1804"/>
      <c r="G161" s="891">
        <f>E161+F161+I160</f>
        <v>129.04599999999994</v>
      </c>
      <c r="H161" s="892"/>
      <c r="I161" s="891">
        <f t="shared" si="140"/>
        <v>129.04599999999994</v>
      </c>
      <c r="J161" s="1416">
        <f t="shared" si="141"/>
        <v>0</v>
      </c>
      <c r="K161" s="2260"/>
      <c r="L161" s="2219"/>
      <c r="M161" s="2224"/>
      <c r="N161" s="2345"/>
      <c r="O161" s="2250"/>
      <c r="P161" s="2251"/>
    </row>
    <row r="162" spans="1:16" ht="17.25" customHeight="1">
      <c r="A162" s="2277"/>
      <c r="B162" s="2238" t="s">
        <v>598</v>
      </c>
      <c r="C162" s="1754">
        <v>42005</v>
      </c>
      <c r="D162" s="1913">
        <v>42124</v>
      </c>
      <c r="E162" s="1975">
        <v>134.59299999999999</v>
      </c>
      <c r="F162" s="1481">
        <v>-137.68</v>
      </c>
      <c r="G162" s="1622">
        <f>E162+F162</f>
        <v>-3.0870000000000175</v>
      </c>
      <c r="H162" s="1481"/>
      <c r="I162" s="1622">
        <f t="shared" ref="I162:I179" si="144">G162-H162</f>
        <v>-3.0870000000000175</v>
      </c>
      <c r="J162" s="1791">
        <f t="shared" ref="J162:J179" si="145">H162/G162</f>
        <v>0</v>
      </c>
      <c r="K162" s="2260">
        <f t="shared" ref="K162" si="146">E162+E163+E164</f>
        <v>159.18799999999999</v>
      </c>
      <c r="L162" s="2228">
        <f t="shared" ref="L162" si="147">F162+F163+F164</f>
        <v>-137.68</v>
      </c>
      <c r="M162" s="2223">
        <f>K162+L162</f>
        <v>21.507999999999981</v>
      </c>
      <c r="N162" s="2345">
        <f>H162+H163+H164</f>
        <v>0</v>
      </c>
      <c r="O162" s="2250">
        <f>M162-N162</f>
        <v>21.507999999999981</v>
      </c>
      <c r="P162" s="2251">
        <f>N162/M162</f>
        <v>0</v>
      </c>
    </row>
    <row r="163" spans="1:16" ht="17.25" customHeight="1">
      <c r="A163" s="2277"/>
      <c r="B163" s="2238"/>
      <c r="C163" s="903">
        <v>42125</v>
      </c>
      <c r="D163" s="938">
        <v>42247</v>
      </c>
      <c r="E163" s="1255">
        <v>15.833</v>
      </c>
      <c r="F163" s="892"/>
      <c r="G163" s="891">
        <f>E163+F163+I162</f>
        <v>12.745999999999983</v>
      </c>
      <c r="H163" s="892"/>
      <c r="I163" s="891">
        <f t="shared" si="144"/>
        <v>12.745999999999983</v>
      </c>
      <c r="J163" s="1416">
        <f t="shared" si="145"/>
        <v>0</v>
      </c>
      <c r="K163" s="2260"/>
      <c r="L163" s="2217"/>
      <c r="M163" s="2232"/>
      <c r="N163" s="2345"/>
      <c r="O163" s="2250"/>
      <c r="P163" s="2251"/>
    </row>
    <row r="164" spans="1:16" ht="17.25" customHeight="1">
      <c r="A164" s="2277"/>
      <c r="B164" s="2238"/>
      <c r="C164" s="900">
        <v>42248</v>
      </c>
      <c r="D164" s="1787">
        <v>42369</v>
      </c>
      <c r="E164" s="1797">
        <v>8.7620000000000005</v>
      </c>
      <c r="F164" s="1616"/>
      <c r="G164" s="948">
        <f>E164+F164+I163</f>
        <v>21.507999999999981</v>
      </c>
      <c r="H164" s="1616"/>
      <c r="I164" s="948">
        <f t="shared" si="144"/>
        <v>21.507999999999981</v>
      </c>
      <c r="J164" s="1789">
        <f t="shared" si="145"/>
        <v>0</v>
      </c>
      <c r="K164" s="2260"/>
      <c r="L164" s="2219"/>
      <c r="M164" s="2224"/>
      <c r="N164" s="2345"/>
      <c r="O164" s="2250"/>
      <c r="P164" s="2251"/>
    </row>
    <row r="165" spans="1:16" ht="17.25" customHeight="1">
      <c r="A165" s="2277"/>
      <c r="B165" s="2258" t="s">
        <v>597</v>
      </c>
      <c r="C165" s="903">
        <v>42005</v>
      </c>
      <c r="D165" s="938">
        <v>42124</v>
      </c>
      <c r="E165" s="1255">
        <v>538.37199999999996</v>
      </c>
      <c r="F165" s="892">
        <f>-550.719</f>
        <v>-550.71900000000005</v>
      </c>
      <c r="G165" s="891">
        <f>E165+F165</f>
        <v>-12.347000000000094</v>
      </c>
      <c r="H165" s="892"/>
      <c r="I165" s="891">
        <f t="shared" si="144"/>
        <v>-12.347000000000094</v>
      </c>
      <c r="J165" s="1416">
        <f t="shared" si="145"/>
        <v>0</v>
      </c>
      <c r="K165" s="2260">
        <f t="shared" ref="K165" si="148">E165+E166+E167</f>
        <v>636.75</v>
      </c>
      <c r="L165" s="2228">
        <f t="shared" ref="L165" si="149">F165+F166+F167</f>
        <v>-550.71900000000005</v>
      </c>
      <c r="M165" s="2223">
        <f>K165+L165</f>
        <v>86.030999999999949</v>
      </c>
      <c r="N165" s="2345">
        <f>H165+H166+H167</f>
        <v>0</v>
      </c>
      <c r="O165" s="2250">
        <f>M165-N165</f>
        <v>86.030999999999949</v>
      </c>
      <c r="P165" s="2251">
        <f>N165/M165</f>
        <v>0</v>
      </c>
    </row>
    <row r="166" spans="1:16" ht="17.25" customHeight="1">
      <c r="A166" s="2277"/>
      <c r="B166" s="2238"/>
      <c r="C166" s="903">
        <v>42125</v>
      </c>
      <c r="D166" s="938">
        <v>42247</v>
      </c>
      <c r="E166" s="1255">
        <v>63.332000000000001</v>
      </c>
      <c r="F166" s="1804"/>
      <c r="G166" s="891">
        <f>E166+F166+I165</f>
        <v>50.984999999999907</v>
      </c>
      <c r="H166" s="892"/>
      <c r="I166" s="891">
        <f t="shared" si="144"/>
        <v>50.984999999999907</v>
      </c>
      <c r="J166" s="1416">
        <f t="shared" si="145"/>
        <v>0</v>
      </c>
      <c r="K166" s="2260"/>
      <c r="L166" s="2217"/>
      <c r="M166" s="2232"/>
      <c r="N166" s="2345"/>
      <c r="O166" s="2250"/>
      <c r="P166" s="2251"/>
    </row>
    <row r="167" spans="1:16" ht="17.25" customHeight="1">
      <c r="A167" s="2277"/>
      <c r="B167" s="2259"/>
      <c r="C167" s="903">
        <v>42248</v>
      </c>
      <c r="D167" s="938">
        <v>42369</v>
      </c>
      <c r="E167" s="1255">
        <v>35.045999999999999</v>
      </c>
      <c r="F167" s="1804"/>
      <c r="G167" s="891">
        <f>E167+F167+I166</f>
        <v>86.030999999999906</v>
      </c>
      <c r="H167" s="892"/>
      <c r="I167" s="891">
        <f t="shared" si="144"/>
        <v>86.030999999999906</v>
      </c>
      <c r="J167" s="1416">
        <f t="shared" si="145"/>
        <v>0</v>
      </c>
      <c r="K167" s="2260"/>
      <c r="L167" s="2219"/>
      <c r="M167" s="2224"/>
      <c r="N167" s="2345"/>
      <c r="O167" s="2250"/>
      <c r="P167" s="2251"/>
    </row>
    <row r="168" spans="1:16" ht="17.25" customHeight="1">
      <c r="A168" s="2277"/>
      <c r="B168" s="2238" t="s">
        <v>483</v>
      </c>
      <c r="C168" s="1754">
        <v>42005</v>
      </c>
      <c r="D168" s="1913">
        <v>42124</v>
      </c>
      <c r="E168" s="1975">
        <v>269.18599999999998</v>
      </c>
      <c r="F168" s="1481">
        <f>-275.36</f>
        <v>-275.36</v>
      </c>
      <c r="G168" s="1622">
        <f>E168+F168</f>
        <v>-6.174000000000035</v>
      </c>
      <c r="H168" s="1481"/>
      <c r="I168" s="1622">
        <f t="shared" si="144"/>
        <v>-6.174000000000035</v>
      </c>
      <c r="J168" s="1791">
        <f t="shared" si="145"/>
        <v>0</v>
      </c>
      <c r="K168" s="2260">
        <f t="shared" ref="K168" si="150">E168+E169+E170</f>
        <v>318.37599999999998</v>
      </c>
      <c r="L168" s="2228">
        <f t="shared" ref="L168" si="151">F168+F169+F170</f>
        <v>-275.36</v>
      </c>
      <c r="M168" s="2223">
        <f>K168+L168</f>
        <v>43.015999999999963</v>
      </c>
      <c r="N168" s="2345">
        <f>H168+H169+H170</f>
        <v>0</v>
      </c>
      <c r="O168" s="2250">
        <f>M168-N168</f>
        <v>43.015999999999963</v>
      </c>
      <c r="P168" s="2251">
        <f>N168/M168</f>
        <v>0</v>
      </c>
    </row>
    <row r="169" spans="1:16" ht="17.25" customHeight="1">
      <c r="A169" s="2277"/>
      <c r="B169" s="2238"/>
      <c r="C169" s="903">
        <v>42125</v>
      </c>
      <c r="D169" s="938">
        <v>42247</v>
      </c>
      <c r="E169" s="1255">
        <v>31.667000000000002</v>
      </c>
      <c r="F169" s="892"/>
      <c r="G169" s="891">
        <f>E169+F169+I168</f>
        <v>25.492999999999967</v>
      </c>
      <c r="H169" s="892"/>
      <c r="I169" s="891">
        <f t="shared" si="144"/>
        <v>25.492999999999967</v>
      </c>
      <c r="J169" s="1416">
        <f t="shared" si="145"/>
        <v>0</v>
      </c>
      <c r="K169" s="2260"/>
      <c r="L169" s="2217"/>
      <c r="M169" s="2232"/>
      <c r="N169" s="2345"/>
      <c r="O169" s="2250"/>
      <c r="P169" s="2251"/>
    </row>
    <row r="170" spans="1:16" ht="17.25" customHeight="1">
      <c r="A170" s="2277"/>
      <c r="B170" s="2238"/>
      <c r="C170" s="900">
        <v>42248</v>
      </c>
      <c r="D170" s="1787">
        <v>42369</v>
      </c>
      <c r="E170" s="1797">
        <v>17.523</v>
      </c>
      <c r="F170" s="1616"/>
      <c r="G170" s="948">
        <f>E170+F170+I169</f>
        <v>43.015999999999963</v>
      </c>
      <c r="H170" s="1616"/>
      <c r="I170" s="948">
        <f t="shared" si="144"/>
        <v>43.015999999999963</v>
      </c>
      <c r="J170" s="1789">
        <f t="shared" si="145"/>
        <v>0</v>
      </c>
      <c r="K170" s="2260"/>
      <c r="L170" s="2219"/>
      <c r="M170" s="2224"/>
      <c r="N170" s="2345"/>
      <c r="O170" s="2250"/>
      <c r="P170" s="2251"/>
    </row>
    <row r="171" spans="1:16" ht="17.25" customHeight="1">
      <c r="A171" s="2277"/>
      <c r="B171" s="2258" t="s">
        <v>467</v>
      </c>
      <c r="C171" s="903">
        <v>42005</v>
      </c>
      <c r="D171" s="938">
        <v>42124</v>
      </c>
      <c r="E171" s="1255">
        <v>493.50799999999992</v>
      </c>
      <c r="F171" s="892"/>
      <c r="G171" s="891">
        <f>E171+F171</f>
        <v>493.50799999999992</v>
      </c>
      <c r="H171" s="892"/>
      <c r="I171" s="891">
        <f t="shared" si="144"/>
        <v>493.50799999999992</v>
      </c>
      <c r="J171" s="1416">
        <f t="shared" si="145"/>
        <v>0</v>
      </c>
      <c r="K171" s="2260">
        <f t="shared" ref="K171" si="152">E171+E172+E173</f>
        <v>583.68899999999985</v>
      </c>
      <c r="L171" s="2228">
        <f t="shared" ref="L171" si="153">F171+F172+F173</f>
        <v>0</v>
      </c>
      <c r="M171" s="2223">
        <f>K171+L171</f>
        <v>583.68899999999985</v>
      </c>
      <c r="N171" s="2345">
        <f>H171+H172+H173</f>
        <v>0</v>
      </c>
      <c r="O171" s="2250">
        <f>M171-N171</f>
        <v>583.68899999999985</v>
      </c>
      <c r="P171" s="2251">
        <f>N171/M171</f>
        <v>0</v>
      </c>
    </row>
    <row r="172" spans="1:16" ht="17.25" customHeight="1">
      <c r="A172" s="2277"/>
      <c r="B172" s="2238"/>
      <c r="C172" s="903">
        <v>42125</v>
      </c>
      <c r="D172" s="938">
        <v>42247</v>
      </c>
      <c r="E172" s="1255">
        <v>58.055</v>
      </c>
      <c r="F172" s="892"/>
      <c r="G172" s="891">
        <f>E172+F172+I171</f>
        <v>551.56299999999987</v>
      </c>
      <c r="H172" s="892"/>
      <c r="I172" s="891">
        <f t="shared" si="144"/>
        <v>551.56299999999987</v>
      </c>
      <c r="J172" s="1416">
        <f t="shared" si="145"/>
        <v>0</v>
      </c>
      <c r="K172" s="2260"/>
      <c r="L172" s="2217"/>
      <c r="M172" s="2232"/>
      <c r="N172" s="2345"/>
      <c r="O172" s="2250"/>
      <c r="P172" s="2251"/>
    </row>
    <row r="173" spans="1:16" ht="17.25" customHeight="1">
      <c r="A173" s="2277"/>
      <c r="B173" s="2259"/>
      <c r="C173" s="903">
        <v>42248</v>
      </c>
      <c r="D173" s="938">
        <v>42369</v>
      </c>
      <c r="E173" s="1255">
        <v>32.125999999999998</v>
      </c>
      <c r="F173" s="892"/>
      <c r="G173" s="891">
        <f>E173+F173+I172</f>
        <v>583.68899999999985</v>
      </c>
      <c r="H173" s="892"/>
      <c r="I173" s="891">
        <f t="shared" si="144"/>
        <v>583.68899999999985</v>
      </c>
      <c r="J173" s="1416">
        <f t="shared" si="145"/>
        <v>0</v>
      </c>
      <c r="K173" s="2260"/>
      <c r="L173" s="2219"/>
      <c r="M173" s="2224"/>
      <c r="N173" s="2345"/>
      <c r="O173" s="2250"/>
      <c r="P173" s="2251"/>
    </row>
    <row r="174" spans="1:16" ht="17.25" customHeight="1">
      <c r="A174" s="2277"/>
      <c r="B174" s="2238" t="s">
        <v>487</v>
      </c>
      <c r="C174" s="1754">
        <v>42005</v>
      </c>
      <c r="D174" s="1913">
        <v>42124</v>
      </c>
      <c r="E174" s="1975">
        <v>807.55700000000002</v>
      </c>
      <c r="F174" s="1481">
        <f>-826.083</f>
        <v>-826.08299999999997</v>
      </c>
      <c r="G174" s="1622">
        <f>E174+F174</f>
        <v>-18.525999999999954</v>
      </c>
      <c r="H174" s="1481"/>
      <c r="I174" s="1622">
        <f t="shared" si="144"/>
        <v>-18.525999999999954</v>
      </c>
      <c r="J174" s="1791">
        <f t="shared" si="145"/>
        <v>0</v>
      </c>
      <c r="K174" s="2260">
        <f t="shared" ref="K174" si="154">E174+E175+E176</f>
        <v>955.13</v>
      </c>
      <c r="L174" s="2228">
        <f t="shared" ref="L174" si="155">F174+F175+F176</f>
        <v>-826.08299999999997</v>
      </c>
      <c r="M174" s="2223">
        <f>K174+L174</f>
        <v>129.04700000000003</v>
      </c>
      <c r="N174" s="2345">
        <f>H174+H175+H176</f>
        <v>0</v>
      </c>
      <c r="O174" s="2250">
        <f>M174-N174</f>
        <v>129.04700000000003</v>
      </c>
      <c r="P174" s="2251">
        <f>N174/M174</f>
        <v>0</v>
      </c>
    </row>
    <row r="175" spans="1:16" ht="17.25" customHeight="1">
      <c r="A175" s="2277"/>
      <c r="B175" s="2238"/>
      <c r="C175" s="903">
        <v>42125</v>
      </c>
      <c r="D175" s="938">
        <v>42247</v>
      </c>
      <c r="E175" s="1255">
        <v>95.003999999999991</v>
      </c>
      <c r="F175" s="892"/>
      <c r="G175" s="891">
        <f>E175+F175+I174</f>
        <v>76.478000000000037</v>
      </c>
      <c r="H175" s="892"/>
      <c r="I175" s="891">
        <f t="shared" si="144"/>
        <v>76.478000000000037</v>
      </c>
      <c r="J175" s="1416">
        <f t="shared" si="145"/>
        <v>0</v>
      </c>
      <c r="K175" s="2260"/>
      <c r="L175" s="2217"/>
      <c r="M175" s="2232"/>
      <c r="N175" s="2345"/>
      <c r="O175" s="2250"/>
      <c r="P175" s="2251"/>
    </row>
    <row r="176" spans="1:16" ht="17.25" customHeight="1">
      <c r="A176" s="2277"/>
      <c r="B176" s="2238"/>
      <c r="C176" s="900">
        <v>42248</v>
      </c>
      <c r="D176" s="1787">
        <v>42369</v>
      </c>
      <c r="E176" s="1797">
        <v>52.569000000000003</v>
      </c>
      <c r="F176" s="1616"/>
      <c r="G176" s="948">
        <f>E176+F176+I175</f>
        <v>129.04700000000003</v>
      </c>
      <c r="H176" s="1616"/>
      <c r="I176" s="948">
        <f t="shared" si="144"/>
        <v>129.04700000000003</v>
      </c>
      <c r="J176" s="1789">
        <f t="shared" si="145"/>
        <v>0</v>
      </c>
      <c r="K176" s="2260"/>
      <c r="L176" s="2219"/>
      <c r="M176" s="2224"/>
      <c r="N176" s="2345"/>
      <c r="O176" s="2250"/>
      <c r="P176" s="2251"/>
    </row>
    <row r="177" spans="1:434" ht="17.25" customHeight="1">
      <c r="A177" s="2277"/>
      <c r="B177" s="2258" t="s">
        <v>488</v>
      </c>
      <c r="C177" s="903">
        <v>42005</v>
      </c>
      <c r="D177" s="938">
        <v>42124</v>
      </c>
      <c r="E177" s="1255">
        <v>134.59299999999999</v>
      </c>
      <c r="F177" s="892">
        <f>-137.68</f>
        <v>-137.68</v>
      </c>
      <c r="G177" s="891">
        <f>E177+F177</f>
        <v>-3.0870000000000175</v>
      </c>
      <c r="H177" s="892"/>
      <c r="I177" s="891">
        <f t="shared" si="144"/>
        <v>-3.0870000000000175</v>
      </c>
      <c r="J177" s="1416">
        <f t="shared" si="145"/>
        <v>0</v>
      </c>
      <c r="K177" s="2260">
        <f t="shared" ref="K177" si="156">E177+E178+E179</f>
        <v>159.18799999999999</v>
      </c>
      <c r="L177" s="2228">
        <f t="shared" ref="L177" si="157">F177+F178+F179</f>
        <v>-137.68</v>
      </c>
      <c r="M177" s="2223">
        <f>K177+L177</f>
        <v>21.507999999999981</v>
      </c>
      <c r="N177" s="2345">
        <f>H177+H178+H179</f>
        <v>0</v>
      </c>
      <c r="O177" s="2250">
        <f>M177-N177</f>
        <v>21.507999999999981</v>
      </c>
      <c r="P177" s="2251">
        <f>N177/M177</f>
        <v>0</v>
      </c>
    </row>
    <row r="178" spans="1:434" ht="17.25" customHeight="1">
      <c r="A178" s="2277"/>
      <c r="B178" s="2238"/>
      <c r="C178" s="903">
        <v>42125</v>
      </c>
      <c r="D178" s="938">
        <v>42247</v>
      </c>
      <c r="E178" s="1255">
        <v>15.833</v>
      </c>
      <c r="F178" s="892"/>
      <c r="G178" s="891">
        <f>E178+F178+I177</f>
        <v>12.745999999999983</v>
      </c>
      <c r="H178" s="892"/>
      <c r="I178" s="891">
        <f t="shared" si="144"/>
        <v>12.745999999999983</v>
      </c>
      <c r="J178" s="1416">
        <f t="shared" si="145"/>
        <v>0</v>
      </c>
      <c r="K178" s="2260"/>
      <c r="L178" s="2217"/>
      <c r="M178" s="2232"/>
      <c r="N178" s="2345"/>
      <c r="O178" s="2250"/>
      <c r="P178" s="2251"/>
    </row>
    <row r="179" spans="1:434" ht="17.25" customHeight="1" thickBot="1">
      <c r="A179" s="2278"/>
      <c r="B179" s="2286"/>
      <c r="C179" s="939">
        <v>42248</v>
      </c>
      <c r="D179" s="1976">
        <v>42369</v>
      </c>
      <c r="E179" s="1977">
        <v>8.7620000000000005</v>
      </c>
      <c r="F179" s="888"/>
      <c r="G179" s="1919">
        <f>E179+F179+I178</f>
        <v>21.507999999999981</v>
      </c>
      <c r="H179" s="888"/>
      <c r="I179" s="1919">
        <f t="shared" si="144"/>
        <v>21.507999999999981</v>
      </c>
      <c r="J179" s="1800">
        <f t="shared" si="145"/>
        <v>0</v>
      </c>
      <c r="K179" s="2443"/>
      <c r="L179" s="2346"/>
      <c r="M179" s="2229"/>
      <c r="N179" s="2368"/>
      <c r="O179" s="2342"/>
      <c r="P179" s="2343"/>
    </row>
    <row r="180" spans="1:434" s="929" customFormat="1" ht="17.25" customHeight="1" thickBot="1">
      <c r="A180" s="2"/>
      <c r="B180" s="926"/>
      <c r="C180" s="890"/>
      <c r="D180" s="890"/>
      <c r="E180" s="1783">
        <f>SUM(E99:E179)</f>
        <v>70750.021000000008</v>
      </c>
      <c r="F180" s="891"/>
      <c r="G180" s="927"/>
      <c r="H180" s="1996">
        <f>SUM(H99:H179)</f>
        <v>84377.543999999994</v>
      </c>
      <c r="I180" s="891"/>
      <c r="J180" s="893"/>
      <c r="K180" s="1533">
        <f>SUM(K99:K179)</f>
        <v>70750.020999999979</v>
      </c>
      <c r="L180" s="1606">
        <f t="shared" ref="L180:O180" si="158">SUM(L99:L179)</f>
        <v>15645.431999999995</v>
      </c>
      <c r="M180" s="1606">
        <f t="shared" si="158"/>
        <v>86395.453000000023</v>
      </c>
      <c r="N180" s="1606">
        <f t="shared" si="158"/>
        <v>84377.543999999994</v>
      </c>
      <c r="O180" s="1606">
        <f t="shared" si="158"/>
        <v>2017.9090000000072</v>
      </c>
      <c r="P180" s="1607">
        <f>+N180/M180</f>
        <v>0.97664334256109486</v>
      </c>
      <c r="Q180" s="928"/>
      <c r="R180" s="928"/>
      <c r="S180" s="928"/>
      <c r="T180" s="928"/>
      <c r="U180" s="928"/>
      <c r="V180" s="928"/>
      <c r="W180" s="928"/>
      <c r="X180" s="928"/>
      <c r="Y180" s="928"/>
      <c r="Z180" s="928"/>
      <c r="AA180" s="928"/>
      <c r="AB180" s="928"/>
      <c r="AC180" s="928"/>
      <c r="AD180" s="928"/>
      <c r="AE180" s="928"/>
      <c r="AF180" s="928"/>
      <c r="AG180" s="928"/>
      <c r="AH180" s="928"/>
      <c r="AI180" s="928"/>
      <c r="AJ180" s="928"/>
      <c r="AK180" s="928"/>
      <c r="AL180" s="928"/>
      <c r="AM180" s="928"/>
      <c r="AN180" s="928"/>
      <c r="AO180" s="928"/>
      <c r="AP180" s="928"/>
      <c r="AQ180" s="928"/>
      <c r="AR180" s="928"/>
      <c r="AS180" s="928"/>
      <c r="AT180" s="928"/>
      <c r="AU180" s="928"/>
      <c r="AV180" s="928"/>
      <c r="AW180" s="928"/>
      <c r="AX180" s="928"/>
      <c r="AY180" s="928"/>
      <c r="AZ180" s="928"/>
      <c r="BA180" s="928"/>
      <c r="BB180" s="928"/>
      <c r="BC180" s="928"/>
      <c r="BD180" s="928"/>
      <c r="BE180" s="928"/>
      <c r="BF180" s="928"/>
      <c r="BG180" s="928"/>
      <c r="BH180" s="928"/>
      <c r="BI180" s="928"/>
      <c r="BJ180" s="928"/>
      <c r="BK180" s="928"/>
      <c r="BL180" s="928"/>
      <c r="BM180" s="928"/>
      <c r="BN180" s="928"/>
      <c r="BO180" s="928"/>
      <c r="BP180" s="928"/>
      <c r="BQ180" s="928"/>
      <c r="BR180" s="928"/>
      <c r="BS180" s="928"/>
      <c r="BT180" s="928"/>
      <c r="BU180" s="928"/>
      <c r="BV180" s="928"/>
      <c r="BW180" s="928"/>
      <c r="BX180" s="928"/>
      <c r="BY180" s="928"/>
      <c r="BZ180" s="928"/>
      <c r="CA180" s="928"/>
      <c r="CB180" s="928"/>
      <c r="CC180" s="928"/>
      <c r="CD180" s="928"/>
      <c r="CE180" s="928"/>
      <c r="CF180" s="928"/>
      <c r="CG180" s="928"/>
      <c r="CH180" s="928"/>
      <c r="CI180" s="928"/>
      <c r="CJ180" s="928"/>
      <c r="CK180" s="928"/>
      <c r="CL180" s="928"/>
      <c r="CM180" s="928"/>
      <c r="CN180" s="928"/>
      <c r="CO180" s="928"/>
      <c r="CP180" s="928"/>
      <c r="CQ180" s="928"/>
      <c r="CR180" s="928"/>
      <c r="CS180" s="928"/>
      <c r="CT180" s="928"/>
      <c r="CU180" s="928"/>
      <c r="CV180" s="928"/>
      <c r="CW180" s="928"/>
      <c r="CX180" s="928"/>
      <c r="CY180" s="928"/>
      <c r="CZ180" s="928"/>
      <c r="DA180" s="928"/>
      <c r="DB180" s="928"/>
      <c r="DC180" s="928"/>
      <c r="DD180" s="928"/>
      <c r="DE180" s="928"/>
      <c r="DF180" s="928"/>
      <c r="DG180" s="928"/>
      <c r="DH180" s="928"/>
      <c r="DI180" s="928"/>
      <c r="DJ180" s="928"/>
      <c r="DK180" s="928"/>
      <c r="DL180" s="928"/>
      <c r="DM180" s="928"/>
      <c r="DN180" s="928"/>
      <c r="DO180" s="928"/>
      <c r="DP180" s="928"/>
      <c r="DQ180" s="928"/>
      <c r="DR180" s="928"/>
      <c r="DS180" s="928"/>
      <c r="DT180" s="928"/>
      <c r="DU180" s="928"/>
      <c r="DV180" s="928"/>
      <c r="DW180" s="928"/>
      <c r="DX180" s="928"/>
      <c r="DY180" s="928"/>
      <c r="DZ180" s="928"/>
      <c r="EA180" s="928"/>
      <c r="EB180" s="928"/>
      <c r="EC180" s="928"/>
      <c r="ED180" s="928"/>
      <c r="EE180" s="928"/>
      <c r="EF180" s="928"/>
      <c r="EG180" s="928"/>
      <c r="EH180" s="928"/>
      <c r="EI180" s="928"/>
      <c r="EJ180" s="928"/>
      <c r="EK180" s="928"/>
      <c r="EL180" s="928"/>
      <c r="EM180" s="928"/>
      <c r="EN180" s="928"/>
      <c r="EO180" s="928"/>
      <c r="EP180" s="928"/>
      <c r="EQ180" s="928"/>
      <c r="ER180" s="928"/>
      <c r="ES180" s="928"/>
      <c r="ET180" s="928"/>
      <c r="EU180" s="928"/>
      <c r="EV180" s="928"/>
      <c r="EW180" s="928"/>
      <c r="EX180" s="928"/>
      <c r="EY180" s="928"/>
      <c r="EZ180" s="928"/>
      <c r="FA180" s="928"/>
      <c r="FB180" s="928"/>
      <c r="FC180" s="928"/>
      <c r="FD180" s="928"/>
      <c r="FE180" s="928"/>
      <c r="FF180" s="928"/>
      <c r="FG180" s="928"/>
      <c r="FH180" s="928"/>
      <c r="FI180" s="928"/>
      <c r="FJ180" s="928"/>
      <c r="FK180" s="928"/>
      <c r="FL180" s="928"/>
      <c r="FM180" s="928"/>
      <c r="FN180" s="928"/>
      <c r="FO180" s="928"/>
      <c r="FP180" s="928"/>
      <c r="FQ180" s="928"/>
      <c r="FR180" s="928"/>
      <c r="FS180" s="928"/>
      <c r="FT180" s="928"/>
      <c r="FU180" s="928"/>
      <c r="FV180" s="928"/>
      <c r="FW180" s="928"/>
      <c r="FX180" s="928"/>
      <c r="FY180" s="928"/>
      <c r="FZ180" s="928"/>
      <c r="GA180" s="928"/>
      <c r="GB180" s="928"/>
      <c r="GC180" s="928"/>
      <c r="GD180" s="928"/>
      <c r="GE180" s="928"/>
      <c r="GF180" s="928"/>
      <c r="GG180" s="928"/>
      <c r="GH180" s="928"/>
      <c r="GI180" s="928"/>
      <c r="GJ180" s="928"/>
      <c r="GK180" s="928"/>
      <c r="GL180" s="928"/>
      <c r="GM180" s="928"/>
      <c r="GN180" s="928"/>
      <c r="GO180" s="928"/>
      <c r="GP180" s="928"/>
      <c r="GQ180" s="928"/>
      <c r="GR180" s="928"/>
      <c r="GS180" s="928"/>
      <c r="GT180" s="928"/>
      <c r="GU180" s="928"/>
      <c r="GV180" s="928"/>
      <c r="GW180" s="928"/>
      <c r="GX180" s="928"/>
      <c r="GY180" s="928"/>
      <c r="GZ180" s="928"/>
      <c r="HA180" s="928"/>
      <c r="HB180" s="928"/>
      <c r="HC180" s="928"/>
      <c r="HD180" s="928"/>
      <c r="HE180" s="928"/>
      <c r="HF180" s="928"/>
      <c r="HG180" s="928"/>
      <c r="HH180" s="928"/>
      <c r="HI180" s="928"/>
      <c r="HJ180" s="928"/>
      <c r="HK180" s="928"/>
      <c r="HL180" s="928"/>
      <c r="HM180" s="928"/>
      <c r="HN180" s="928"/>
      <c r="HO180" s="928"/>
      <c r="HP180" s="928"/>
      <c r="HQ180" s="928"/>
      <c r="HR180" s="928"/>
      <c r="HS180" s="928"/>
      <c r="HT180" s="928"/>
      <c r="HU180" s="928"/>
      <c r="HV180" s="928"/>
      <c r="HW180" s="928"/>
      <c r="HX180" s="928"/>
      <c r="HY180" s="928"/>
      <c r="HZ180" s="928"/>
      <c r="IA180" s="928"/>
      <c r="IB180" s="928"/>
      <c r="IC180" s="928"/>
      <c r="ID180" s="928"/>
      <c r="IE180" s="928"/>
      <c r="IF180" s="928"/>
      <c r="IG180" s="928"/>
      <c r="IH180" s="928"/>
      <c r="II180" s="928"/>
      <c r="IJ180" s="928"/>
      <c r="IK180" s="928"/>
      <c r="IL180" s="928"/>
      <c r="IM180" s="928"/>
      <c r="IN180" s="928"/>
      <c r="IO180" s="928"/>
      <c r="IP180" s="928"/>
      <c r="IQ180" s="928"/>
      <c r="IR180" s="928"/>
      <c r="IS180" s="928"/>
      <c r="IT180" s="928"/>
      <c r="IU180" s="928"/>
      <c r="IV180" s="928"/>
      <c r="IW180" s="928"/>
      <c r="IX180" s="928"/>
      <c r="IY180" s="928"/>
      <c r="IZ180" s="928"/>
      <c r="JA180" s="928"/>
      <c r="JB180" s="928"/>
      <c r="JC180" s="928"/>
      <c r="JD180" s="928"/>
      <c r="JE180" s="928"/>
      <c r="JF180" s="928"/>
      <c r="JG180" s="928"/>
      <c r="JH180" s="928"/>
      <c r="JI180" s="928"/>
      <c r="JJ180" s="928"/>
      <c r="JK180" s="928"/>
      <c r="JL180" s="928"/>
      <c r="JM180" s="928"/>
      <c r="JN180" s="928"/>
      <c r="JO180" s="928"/>
      <c r="JP180" s="928"/>
      <c r="JQ180" s="928"/>
      <c r="JR180" s="928"/>
      <c r="JS180" s="928"/>
      <c r="JT180" s="928"/>
      <c r="JU180" s="928"/>
      <c r="JV180" s="928"/>
      <c r="JW180" s="928"/>
      <c r="JX180" s="928"/>
      <c r="JY180" s="928"/>
      <c r="JZ180" s="928"/>
      <c r="KA180" s="928"/>
      <c r="KB180" s="928"/>
      <c r="KC180" s="928"/>
      <c r="KD180" s="928"/>
      <c r="KE180" s="928"/>
      <c r="KF180" s="928"/>
      <c r="KG180" s="928"/>
      <c r="KH180" s="928"/>
      <c r="KI180" s="928"/>
      <c r="KJ180" s="928"/>
      <c r="KK180" s="928"/>
      <c r="KL180" s="928"/>
      <c r="KM180" s="928"/>
      <c r="KN180" s="928"/>
      <c r="KO180" s="928"/>
      <c r="KP180" s="928"/>
      <c r="KQ180" s="928"/>
      <c r="KR180" s="928"/>
      <c r="KS180" s="928"/>
      <c r="KT180" s="928"/>
      <c r="KU180" s="928"/>
      <c r="KV180" s="928"/>
      <c r="KW180" s="928"/>
      <c r="KX180" s="928"/>
      <c r="KY180" s="928"/>
      <c r="KZ180" s="928"/>
      <c r="LA180" s="928"/>
      <c r="LB180" s="928"/>
      <c r="LC180" s="928"/>
      <c r="LD180" s="928"/>
      <c r="LE180" s="928"/>
      <c r="LF180" s="928"/>
      <c r="LG180" s="928"/>
      <c r="LH180" s="928"/>
      <c r="LI180" s="928"/>
      <c r="LJ180" s="928"/>
      <c r="LK180" s="928"/>
      <c r="LL180" s="928"/>
      <c r="LM180" s="928"/>
      <c r="LN180" s="928"/>
      <c r="LO180" s="928"/>
      <c r="LP180" s="928"/>
      <c r="LQ180" s="928"/>
      <c r="LR180" s="928"/>
      <c r="LS180" s="928"/>
      <c r="LT180" s="928"/>
      <c r="LU180" s="928"/>
      <c r="LV180" s="928"/>
      <c r="LW180" s="928"/>
      <c r="LX180" s="928"/>
      <c r="LY180" s="928"/>
      <c r="LZ180" s="928"/>
      <c r="MA180" s="928"/>
      <c r="MB180" s="928"/>
      <c r="MC180" s="928"/>
      <c r="MD180" s="928"/>
      <c r="ME180" s="928"/>
      <c r="MF180" s="928"/>
      <c r="MG180" s="928"/>
      <c r="MH180" s="928"/>
      <c r="MI180" s="928"/>
      <c r="MJ180" s="928"/>
      <c r="MK180" s="928"/>
      <c r="ML180" s="928"/>
      <c r="MM180" s="928"/>
      <c r="MN180" s="928"/>
      <c r="MO180" s="928"/>
      <c r="MP180" s="928"/>
      <c r="MQ180" s="928"/>
      <c r="MR180" s="928"/>
      <c r="MS180" s="928"/>
      <c r="MT180" s="928"/>
      <c r="MU180" s="928"/>
      <c r="MV180" s="928"/>
      <c r="MW180" s="928"/>
      <c r="MX180" s="928"/>
      <c r="MY180" s="928"/>
      <c r="MZ180" s="928"/>
      <c r="NA180" s="928"/>
      <c r="NB180" s="928"/>
      <c r="NC180" s="928"/>
      <c r="ND180" s="928"/>
      <c r="NE180" s="928"/>
      <c r="NF180" s="928"/>
      <c r="NG180" s="928"/>
      <c r="NH180" s="928"/>
      <c r="NI180" s="928"/>
      <c r="NJ180" s="928"/>
      <c r="NK180" s="928"/>
      <c r="NL180" s="928"/>
      <c r="NM180" s="928"/>
      <c r="NN180" s="928"/>
      <c r="NO180" s="928"/>
      <c r="NP180" s="928"/>
      <c r="NQ180" s="928"/>
      <c r="NR180" s="928"/>
      <c r="NS180" s="928"/>
      <c r="NT180" s="928"/>
      <c r="NU180" s="928"/>
      <c r="NV180" s="928"/>
      <c r="NW180" s="928"/>
      <c r="NX180" s="928"/>
      <c r="NY180" s="928"/>
      <c r="NZ180" s="928"/>
      <c r="OA180" s="928"/>
      <c r="OB180" s="928"/>
      <c r="OC180" s="928"/>
      <c r="OD180" s="928"/>
      <c r="OE180" s="928"/>
      <c r="OF180" s="928"/>
      <c r="OG180" s="928"/>
      <c r="OH180" s="928"/>
      <c r="OI180" s="928"/>
      <c r="OJ180" s="928"/>
      <c r="OK180" s="928"/>
      <c r="OL180" s="928"/>
      <c r="OM180" s="928"/>
      <c r="ON180" s="928"/>
      <c r="OO180" s="928"/>
      <c r="OP180" s="928"/>
      <c r="OQ180" s="928"/>
      <c r="OR180" s="928"/>
      <c r="OS180" s="928"/>
      <c r="OT180" s="928"/>
      <c r="OU180" s="928"/>
      <c r="OV180" s="928"/>
      <c r="OW180" s="928"/>
      <c r="OX180" s="928"/>
      <c r="OY180" s="928"/>
      <c r="OZ180" s="928"/>
      <c r="PA180" s="928"/>
      <c r="PB180" s="928"/>
      <c r="PC180" s="928"/>
      <c r="PD180" s="928"/>
      <c r="PE180" s="928"/>
      <c r="PF180" s="928"/>
      <c r="PG180" s="928"/>
      <c r="PH180" s="928"/>
      <c r="PI180" s="928"/>
      <c r="PJ180" s="928"/>
      <c r="PK180" s="928"/>
      <c r="PL180" s="928"/>
      <c r="PM180" s="928"/>
      <c r="PN180" s="928"/>
      <c r="PO180" s="928"/>
      <c r="PP180" s="928"/>
      <c r="PQ180" s="928"/>
      <c r="PR180" s="928"/>
    </row>
    <row r="181" spans="1:434" ht="17.25" customHeight="1">
      <c r="A181" s="894"/>
      <c r="B181" s="894"/>
      <c r="C181" s="895"/>
      <c r="D181" s="895"/>
      <c r="E181" s="891"/>
      <c r="F181" s="891"/>
      <c r="G181" s="891"/>
      <c r="H181" s="891"/>
      <c r="I181" s="891"/>
      <c r="J181" s="893"/>
      <c r="K181" s="896"/>
      <c r="L181" s="1534"/>
      <c r="M181" s="1534"/>
      <c r="N181" s="1534"/>
      <c r="O181" s="1534"/>
      <c r="P181" s="897"/>
    </row>
    <row r="182" spans="1:434" ht="17.25" customHeight="1" thickBot="1">
      <c r="A182" s="2"/>
      <c r="B182" s="906"/>
      <c r="C182" s="890"/>
      <c r="D182" s="890"/>
      <c r="E182" s="891"/>
      <c r="F182" s="891"/>
      <c r="G182" s="891"/>
      <c r="H182" s="891"/>
      <c r="I182" s="891"/>
      <c r="J182" s="893"/>
      <c r="K182" s="896"/>
      <c r="L182" s="1534"/>
      <c r="M182" s="1534"/>
      <c r="N182" s="1534"/>
      <c r="O182" s="1534"/>
      <c r="P182" s="930"/>
    </row>
    <row r="183" spans="1:434" ht="17.25" customHeight="1">
      <c r="A183" s="2434" t="s">
        <v>746</v>
      </c>
      <c r="B183" s="2349" t="s">
        <v>212</v>
      </c>
      <c r="C183" s="898">
        <v>42005</v>
      </c>
      <c r="D183" s="931">
        <v>42277</v>
      </c>
      <c r="E183" s="873">
        <v>162.364</v>
      </c>
      <c r="F183" s="932"/>
      <c r="G183" s="899">
        <f>E183+F183</f>
        <v>162.364</v>
      </c>
      <c r="H183" s="1269"/>
      <c r="I183" s="875">
        <f t="shared" ref="I183:I188" si="159">G183-H183</f>
        <v>162.364</v>
      </c>
      <c r="J183" s="933">
        <f t="shared" ref="J183:J188" si="160">H183/G183</f>
        <v>0</v>
      </c>
      <c r="K183" s="2244">
        <f>E183+E184</f>
        <v>170.90700000000001</v>
      </c>
      <c r="L183" s="2234">
        <f>F183+F184</f>
        <v>0</v>
      </c>
      <c r="M183" s="2235">
        <f>K183+L183</f>
        <v>170.90700000000001</v>
      </c>
      <c r="N183" s="2364">
        <f>H183+H184</f>
        <v>0</v>
      </c>
      <c r="O183" s="2358">
        <f>M183-N183</f>
        <v>170.90700000000001</v>
      </c>
      <c r="P183" s="2366">
        <f>N183/M183</f>
        <v>0</v>
      </c>
    </row>
    <row r="184" spans="1:434" ht="17.25" customHeight="1">
      <c r="A184" s="2435"/>
      <c r="B184" s="2350"/>
      <c r="C184" s="900">
        <v>42278</v>
      </c>
      <c r="D184" s="1225">
        <v>42369</v>
      </c>
      <c r="E184" s="1256">
        <v>8.5429999999999993</v>
      </c>
      <c r="F184" s="934"/>
      <c r="G184" s="924">
        <f>E184+F184+I183</f>
        <v>170.90700000000001</v>
      </c>
      <c r="H184" s="924"/>
      <c r="I184" s="1276">
        <f t="shared" si="159"/>
        <v>170.90700000000001</v>
      </c>
      <c r="J184" s="935">
        <f t="shared" si="160"/>
        <v>0</v>
      </c>
      <c r="K184" s="2222"/>
      <c r="L184" s="2216"/>
      <c r="M184" s="2236"/>
      <c r="N184" s="2365"/>
      <c r="O184" s="2359"/>
      <c r="P184" s="2251"/>
    </row>
    <row r="185" spans="1:434" ht="17.25" customHeight="1">
      <c r="A185" s="2435"/>
      <c r="B185" s="2351" t="s">
        <v>213</v>
      </c>
      <c r="C185" s="902">
        <v>42005</v>
      </c>
      <c r="D185" s="949">
        <v>42277</v>
      </c>
      <c r="E185" s="891">
        <v>6878.8</v>
      </c>
      <c r="F185" s="915">
        <f>-2001.077-500.062-1099.971-226.209</f>
        <v>-3827.319</v>
      </c>
      <c r="G185" s="892">
        <f>E185+F185</f>
        <v>3051.4810000000002</v>
      </c>
      <c r="H185" s="1277">
        <v>2390.4720000000002</v>
      </c>
      <c r="I185" s="901">
        <f t="shared" si="159"/>
        <v>661.00900000000001</v>
      </c>
      <c r="J185" s="936">
        <f t="shared" si="160"/>
        <v>0.78338092224726286</v>
      </c>
      <c r="K185" s="2233">
        <f t="shared" ref="K185" si="161">E185+E186</f>
        <v>7240.75</v>
      </c>
      <c r="L185" s="2215">
        <f>F185+F186</f>
        <v>-3827.319</v>
      </c>
      <c r="M185" s="2287">
        <f t="shared" ref="M185" si="162">K185+L185</f>
        <v>3413.431</v>
      </c>
      <c r="N185" s="2217">
        <f>H185+H186</f>
        <v>3403.6180000000004</v>
      </c>
      <c r="O185" s="2355">
        <f>M185-N185</f>
        <v>9.8129999999996471</v>
      </c>
      <c r="P185" s="2357">
        <f t="shared" ref="P185" si="163">N185/M185</f>
        <v>0.99712517991428573</v>
      </c>
    </row>
    <row r="186" spans="1:434" ht="17.25" customHeight="1">
      <c r="A186" s="2435"/>
      <c r="B186" s="2352"/>
      <c r="C186" s="900">
        <v>42278</v>
      </c>
      <c r="D186" s="1225">
        <v>42369</v>
      </c>
      <c r="E186" s="891">
        <v>361.95</v>
      </c>
      <c r="F186" s="915"/>
      <c r="G186" s="892">
        <f>E186+F186+I185</f>
        <v>1022.9590000000001</v>
      </c>
      <c r="H186" s="1600">
        <v>1013.146</v>
      </c>
      <c r="I186" s="901">
        <f t="shared" si="159"/>
        <v>9.8130000000001019</v>
      </c>
      <c r="J186" s="936">
        <f t="shared" si="160"/>
        <v>0.99040724017287096</v>
      </c>
      <c r="K186" s="2222"/>
      <c r="L186" s="2216"/>
      <c r="M186" s="2236"/>
      <c r="N186" s="2217"/>
      <c r="O186" s="2356"/>
      <c r="P186" s="2301"/>
    </row>
    <row r="187" spans="1:434" ht="17.25" customHeight="1">
      <c r="A187" s="2435"/>
      <c r="B187" s="2353" t="s">
        <v>214</v>
      </c>
      <c r="C187" s="902">
        <v>42005</v>
      </c>
      <c r="D187" s="949">
        <v>42277</v>
      </c>
      <c r="E187" s="950">
        <v>32317.84</v>
      </c>
      <c r="F187" s="937">
        <f>-2000-2000-2000-5499.998</f>
        <v>-11499.998</v>
      </c>
      <c r="G187" s="923">
        <f>E187+F187</f>
        <v>20817.842000000001</v>
      </c>
      <c r="H187" s="1282">
        <v>16765.821</v>
      </c>
      <c r="I187" s="951">
        <f t="shared" si="159"/>
        <v>4052.0210000000006</v>
      </c>
      <c r="J187" s="1285">
        <f t="shared" si="160"/>
        <v>0.80535825951604401</v>
      </c>
      <c r="K187" s="2233">
        <f t="shared" ref="K187" si="164">E187+E188</f>
        <v>34018.347000000002</v>
      </c>
      <c r="L187" s="2215">
        <f t="shared" ref="L187" si="165">F187+F188</f>
        <v>-11499.998</v>
      </c>
      <c r="M187" s="2287">
        <f t="shared" ref="M187" si="166">K187+L187</f>
        <v>22518.349000000002</v>
      </c>
      <c r="N187" s="2215">
        <f>H187+H188</f>
        <v>20795.409</v>
      </c>
      <c r="O187" s="2355">
        <f>M187-N187</f>
        <v>1722.9400000000023</v>
      </c>
      <c r="P187" s="2357">
        <f t="shared" ref="P187" si="167">N187/M187</f>
        <v>0.92348728585741335</v>
      </c>
    </row>
    <row r="188" spans="1:434" ht="17.25" customHeight="1">
      <c r="A188" s="2435"/>
      <c r="B188" s="2354"/>
      <c r="C188" s="903">
        <v>42278</v>
      </c>
      <c r="D188" s="938">
        <v>42369</v>
      </c>
      <c r="E188" s="891">
        <v>1700.5070000000001</v>
      </c>
      <c r="F188" s="915"/>
      <c r="G188" s="892">
        <f>E188+F188+I187</f>
        <v>5752.5280000000002</v>
      </c>
      <c r="H188" s="1277">
        <f>3990.683+38.905</f>
        <v>4029.5880000000002</v>
      </c>
      <c r="I188" s="901">
        <f t="shared" si="159"/>
        <v>1722.94</v>
      </c>
      <c r="J188" s="936">
        <f t="shared" si="160"/>
        <v>0.70048994111806151</v>
      </c>
      <c r="K188" s="2225"/>
      <c r="L188" s="2217"/>
      <c r="M188" s="2288"/>
      <c r="N188" s="2217"/>
      <c r="O188" s="2362"/>
      <c r="P188" s="2300"/>
    </row>
    <row r="189" spans="1:434" ht="17.25" customHeight="1">
      <c r="A189" s="2435"/>
      <c r="B189" s="2292" t="s">
        <v>215</v>
      </c>
      <c r="C189" s="902">
        <v>42005</v>
      </c>
      <c r="D189" s="949">
        <v>42277</v>
      </c>
      <c r="E189" s="923">
        <v>0</v>
      </c>
      <c r="F189" s="937">
        <f>5499.999-5500</f>
        <v>-1.0000000002037268E-3</v>
      </c>
      <c r="G189" s="923">
        <f>E189+F189</f>
        <v>-1.0000000002037268E-3</v>
      </c>
      <c r="H189" s="923"/>
      <c r="I189" s="951">
        <f>G189-H189</f>
        <v>-1.0000000002037268E-3</v>
      </c>
      <c r="J189" s="912">
        <f>H189/G189</f>
        <v>0</v>
      </c>
      <c r="K189" s="2213">
        <f t="shared" ref="K189" si="168">E189+E190</f>
        <v>0</v>
      </c>
      <c r="L189" s="2215">
        <f t="shared" ref="L189" si="169">F189+F190</f>
        <v>-1.0000000002037268E-3</v>
      </c>
      <c r="M189" s="2287">
        <f t="shared" ref="M189" si="170">K189+L189</f>
        <v>-1.0000000002037268E-3</v>
      </c>
      <c r="N189" s="2215">
        <f>H189+H190</f>
        <v>0</v>
      </c>
      <c r="O189" s="2355">
        <f t="shared" ref="O189" si="171">M189-N189</f>
        <v>-1.0000000002037268E-3</v>
      </c>
      <c r="P189" s="2445">
        <f t="shared" ref="P189" si="172">N189/M189</f>
        <v>0</v>
      </c>
    </row>
    <row r="190" spans="1:434" ht="17.25" customHeight="1" thickBot="1">
      <c r="A190" s="2436"/>
      <c r="B190" s="2293"/>
      <c r="C190" s="939">
        <v>42278</v>
      </c>
      <c r="D190" s="940">
        <v>42369</v>
      </c>
      <c r="E190" s="888">
        <v>0</v>
      </c>
      <c r="F190" s="918"/>
      <c r="G190" s="888">
        <f>E190+F190+I189</f>
        <v>-1.0000000002037268E-3</v>
      </c>
      <c r="H190" s="1271"/>
      <c r="I190" s="889">
        <f>G190-H190</f>
        <v>-1.0000000002037268E-3</v>
      </c>
      <c r="J190" s="904">
        <f>H190/G190</f>
        <v>0</v>
      </c>
      <c r="K190" s="2231"/>
      <c r="L190" s="2261"/>
      <c r="M190" s="2347"/>
      <c r="N190" s="2261"/>
      <c r="O190" s="2444"/>
      <c r="P190" s="2446"/>
    </row>
    <row r="191" spans="1:434" ht="17.25" customHeight="1" thickBot="1">
      <c r="A191" s="941"/>
      <c r="B191" s="942"/>
      <c r="C191" s="890"/>
      <c r="D191" s="890"/>
      <c r="E191" s="1278">
        <f>SUM(E183:E190)</f>
        <v>41430.004000000001</v>
      </c>
      <c r="F191" s="891"/>
      <c r="G191" s="891"/>
      <c r="H191" s="891"/>
      <c r="I191" s="891"/>
      <c r="J191" s="893"/>
      <c r="K191" s="1608">
        <f>SUM(K183:K190)</f>
        <v>41430.004000000001</v>
      </c>
      <c r="L191" s="1609">
        <f>SUM(L183:L190)</f>
        <v>-15327.317999999999</v>
      </c>
      <c r="M191" s="1609">
        <f>SUM(M183:M190)</f>
        <v>26102.686000000002</v>
      </c>
      <c r="N191" s="1606">
        <f>SUM(N183:N190)</f>
        <v>24199.027000000002</v>
      </c>
      <c r="O191" s="1609">
        <f>SUM(O183:O190)</f>
        <v>1903.6590000000017</v>
      </c>
      <c r="P191" s="1607">
        <f>+N191/M191</f>
        <v>0.92707037888744481</v>
      </c>
    </row>
    <row r="192" spans="1:434" ht="17.25" customHeight="1" thickBot="1">
      <c r="A192" s="894"/>
      <c r="B192" s="894"/>
      <c r="C192" s="895"/>
      <c r="D192" s="895"/>
      <c r="E192" s="891"/>
      <c r="F192" s="891"/>
      <c r="G192" s="891"/>
      <c r="H192" s="891"/>
      <c r="I192" s="891"/>
      <c r="J192" s="893"/>
      <c r="K192" s="896"/>
      <c r="L192" s="1534"/>
      <c r="M192" s="1534"/>
      <c r="N192" s="1534"/>
      <c r="O192" s="1534"/>
      <c r="P192" s="897"/>
    </row>
    <row r="193" spans="1:16" ht="17.25" customHeight="1">
      <c r="A193" s="2308" t="s">
        <v>749</v>
      </c>
      <c r="B193" s="2376" t="s">
        <v>216</v>
      </c>
      <c r="C193" s="898">
        <v>42005</v>
      </c>
      <c r="D193" s="931">
        <v>42277</v>
      </c>
      <c r="E193" s="873">
        <v>819.44399999999996</v>
      </c>
      <c r="F193" s="899"/>
      <c r="G193" s="873">
        <f>E193+F193</f>
        <v>819.44399999999996</v>
      </c>
      <c r="H193" s="1267">
        <v>861.64</v>
      </c>
      <c r="I193" s="875">
        <f>G193-H193</f>
        <v>-42.196000000000026</v>
      </c>
      <c r="J193" s="876">
        <f>H193/G193</f>
        <v>1.0514934516574654</v>
      </c>
      <c r="K193" s="2324">
        <f>E193+E194</f>
        <v>862.55199999999991</v>
      </c>
      <c r="L193" s="2234">
        <f>F193+F194</f>
        <v>0</v>
      </c>
      <c r="M193" s="2211">
        <f>K193+L193</f>
        <v>862.55199999999991</v>
      </c>
      <c r="N193" s="2234">
        <f>H193+H194</f>
        <v>861.64</v>
      </c>
      <c r="O193" s="2211">
        <f>M193-N193</f>
        <v>0.91199999999992087</v>
      </c>
      <c r="P193" s="2360">
        <f>N193/M193</f>
        <v>0.99894267244177748</v>
      </c>
    </row>
    <row r="194" spans="1:16" ht="17.25" customHeight="1">
      <c r="A194" s="2309"/>
      <c r="B194" s="2240"/>
      <c r="C194" s="900">
        <v>42278</v>
      </c>
      <c r="D194" s="1225">
        <v>42369</v>
      </c>
      <c r="E194" s="1256">
        <v>43.107999999999997</v>
      </c>
      <c r="F194" s="924"/>
      <c r="G194" s="1256">
        <f>E194+F194+I193</f>
        <v>0.91199999999997061</v>
      </c>
      <c r="H194" s="924"/>
      <c r="I194" s="1276">
        <f t="shared" ref="I194:I216" si="173">G194-H194</f>
        <v>0.91199999999997061</v>
      </c>
      <c r="J194" s="1275">
        <f t="shared" ref="J194:J216" si="174">H194/G194</f>
        <v>0</v>
      </c>
      <c r="K194" s="2214"/>
      <c r="L194" s="2216"/>
      <c r="M194" s="2212"/>
      <c r="N194" s="2216"/>
      <c r="O194" s="2212"/>
      <c r="P194" s="2257"/>
    </row>
    <row r="195" spans="1:16" ht="17.25" customHeight="1">
      <c r="A195" s="2309"/>
      <c r="B195" s="2239" t="s">
        <v>212</v>
      </c>
      <c r="C195" s="902">
        <v>42005</v>
      </c>
      <c r="D195" s="949">
        <v>42277</v>
      </c>
      <c r="E195" s="891">
        <v>2.5270000000000001</v>
      </c>
      <c r="F195" s="892"/>
      <c r="G195" s="891">
        <f>E195+F195</f>
        <v>2.5270000000000001</v>
      </c>
      <c r="H195" s="892"/>
      <c r="I195" s="901">
        <f t="shared" si="173"/>
        <v>2.5270000000000001</v>
      </c>
      <c r="J195" s="893">
        <f t="shared" si="174"/>
        <v>0</v>
      </c>
      <c r="K195" s="2213">
        <f t="shared" ref="K195" si="175">E195+E196</f>
        <v>2.66</v>
      </c>
      <c r="L195" s="2215">
        <f t="shared" ref="L195" si="176">F195+F196</f>
        <v>0</v>
      </c>
      <c r="M195" s="2237">
        <f t="shared" ref="M195" si="177">K195+L195</f>
        <v>2.66</v>
      </c>
      <c r="N195" s="2217">
        <f>H195+H196</f>
        <v>0</v>
      </c>
      <c r="O195" s="2237">
        <f t="shared" ref="O195" si="178">M195-N195</f>
        <v>2.66</v>
      </c>
      <c r="P195" s="2255">
        <f t="shared" ref="P195" si="179">N195/M195</f>
        <v>0</v>
      </c>
    </row>
    <row r="196" spans="1:16" ht="17.25" customHeight="1">
      <c r="A196" s="2309"/>
      <c r="B196" s="2240"/>
      <c r="C196" s="900">
        <v>42278</v>
      </c>
      <c r="D196" s="1225">
        <v>42369</v>
      </c>
      <c r="E196" s="891">
        <v>0.13300000000000001</v>
      </c>
      <c r="F196" s="892"/>
      <c r="G196" s="891">
        <f>E196+F196+I195</f>
        <v>2.66</v>
      </c>
      <c r="H196" s="892"/>
      <c r="I196" s="901">
        <f t="shared" si="173"/>
        <v>2.66</v>
      </c>
      <c r="J196" s="893">
        <f t="shared" si="174"/>
        <v>0</v>
      </c>
      <c r="K196" s="2214"/>
      <c r="L196" s="2216"/>
      <c r="M196" s="2212"/>
      <c r="N196" s="2217"/>
      <c r="O196" s="2212"/>
      <c r="P196" s="2257"/>
    </row>
    <row r="197" spans="1:16" ht="17.25" customHeight="1">
      <c r="A197" s="2309"/>
      <c r="B197" s="2241" t="s">
        <v>217</v>
      </c>
      <c r="C197" s="902">
        <v>42005</v>
      </c>
      <c r="D197" s="949">
        <v>42277</v>
      </c>
      <c r="E197" s="950">
        <v>36.823</v>
      </c>
      <c r="F197" s="923"/>
      <c r="G197" s="950">
        <f>E197+F197</f>
        <v>36.823</v>
      </c>
      <c r="H197" s="923"/>
      <c r="I197" s="951">
        <f t="shared" si="173"/>
        <v>36.823</v>
      </c>
      <c r="J197" s="912">
        <f t="shared" si="174"/>
        <v>0</v>
      </c>
      <c r="K197" s="2213">
        <f t="shared" ref="K197" si="180">E197+E198</f>
        <v>38.76</v>
      </c>
      <c r="L197" s="2215">
        <f t="shared" ref="L197" si="181">F197+F198</f>
        <v>0</v>
      </c>
      <c r="M197" s="2237">
        <f t="shared" ref="M197" si="182">K197+L197</f>
        <v>38.76</v>
      </c>
      <c r="N197" s="2215">
        <f>H197+H198</f>
        <v>0</v>
      </c>
      <c r="O197" s="2237">
        <f t="shared" ref="O197" si="183">M197-N197</f>
        <v>38.76</v>
      </c>
      <c r="P197" s="2255">
        <f>N197/M197</f>
        <v>0</v>
      </c>
    </row>
    <row r="198" spans="1:16" ht="17.25" customHeight="1">
      <c r="A198" s="2309"/>
      <c r="B198" s="2240"/>
      <c r="C198" s="900">
        <v>42278</v>
      </c>
      <c r="D198" s="1225">
        <v>42369</v>
      </c>
      <c r="E198" s="1256">
        <v>1.9370000000000001</v>
      </c>
      <c r="F198" s="924"/>
      <c r="G198" s="1256">
        <f>E198+F198+I197</f>
        <v>38.76</v>
      </c>
      <c r="H198" s="924"/>
      <c r="I198" s="1276">
        <f t="shared" si="173"/>
        <v>38.76</v>
      </c>
      <c r="J198" s="1275">
        <f t="shared" si="174"/>
        <v>0</v>
      </c>
      <c r="K198" s="2214"/>
      <c r="L198" s="2216"/>
      <c r="M198" s="2212"/>
      <c r="N198" s="2216"/>
      <c r="O198" s="2212"/>
      <c r="P198" s="2257"/>
    </row>
    <row r="199" spans="1:16" ht="17.25" customHeight="1">
      <c r="A199" s="2309"/>
      <c r="B199" s="2239" t="s">
        <v>167</v>
      </c>
      <c r="C199" s="902">
        <v>42005</v>
      </c>
      <c r="D199" s="949">
        <v>42277</v>
      </c>
      <c r="E199" s="891">
        <v>2230.6109999999999</v>
      </c>
      <c r="F199" s="892">
        <f>4000-4000-1000-150</f>
        <v>-1150</v>
      </c>
      <c r="G199" s="891">
        <f>E199+F199</f>
        <v>1080.6109999999999</v>
      </c>
      <c r="H199" s="1257">
        <v>1132.7350000000001</v>
      </c>
      <c r="I199" s="901">
        <f t="shared" si="173"/>
        <v>-52.124000000000251</v>
      </c>
      <c r="J199" s="893">
        <f t="shared" si="174"/>
        <v>1.0482356740769807</v>
      </c>
      <c r="K199" s="2213">
        <f t="shared" ref="K199" si="184">E199+E200</f>
        <v>2347.9549999999999</v>
      </c>
      <c r="L199" s="2215">
        <f t="shared" ref="L199" si="185">F199+F200</f>
        <v>-1150</v>
      </c>
      <c r="M199" s="2237">
        <f t="shared" ref="M199" si="186">K199+L199</f>
        <v>1197.9549999999999</v>
      </c>
      <c r="N199" s="2217">
        <f>H199+H200</f>
        <v>1132.7350000000001</v>
      </c>
      <c r="O199" s="2237">
        <f t="shared" ref="O199" si="187">M199-N199</f>
        <v>65.2199999999998</v>
      </c>
      <c r="P199" s="2255">
        <f t="shared" ref="P199" si="188">N199/M199</f>
        <v>0.94555722042981594</v>
      </c>
    </row>
    <row r="200" spans="1:16" ht="17.25" customHeight="1">
      <c r="A200" s="2309"/>
      <c r="B200" s="2240"/>
      <c r="C200" s="900">
        <v>42278</v>
      </c>
      <c r="D200" s="1225">
        <v>42369</v>
      </c>
      <c r="E200" s="891">
        <v>117.34399999999999</v>
      </c>
      <c r="F200" s="924"/>
      <c r="G200" s="891">
        <f>E200+F200+I199</f>
        <v>65.219999999999743</v>
      </c>
      <c r="H200" s="892"/>
      <c r="I200" s="901">
        <f t="shared" si="173"/>
        <v>65.219999999999743</v>
      </c>
      <c r="J200" s="893">
        <f t="shared" si="174"/>
        <v>0</v>
      </c>
      <c r="K200" s="2325"/>
      <c r="L200" s="2217"/>
      <c r="M200" s="2232"/>
      <c r="N200" s="2217"/>
      <c r="O200" s="2232"/>
      <c r="P200" s="2262"/>
    </row>
    <row r="201" spans="1:16" ht="17.25" customHeight="1">
      <c r="A201" s="2309"/>
      <c r="B201" s="2241" t="s">
        <v>213</v>
      </c>
      <c r="C201" s="902">
        <v>42005</v>
      </c>
      <c r="D201" s="949">
        <v>42277</v>
      </c>
      <c r="E201" s="950">
        <v>145.70500000000001</v>
      </c>
      <c r="F201" s="923">
        <v>-145.70500000000001</v>
      </c>
      <c r="G201" s="950">
        <f>E201+F201</f>
        <v>0</v>
      </c>
      <c r="H201" s="923"/>
      <c r="I201" s="951">
        <f t="shared" si="173"/>
        <v>0</v>
      </c>
      <c r="J201" s="912" t="e">
        <f t="shared" si="174"/>
        <v>#DIV/0!</v>
      </c>
      <c r="K201" s="2213">
        <f t="shared" ref="K201" si="189">E201+E202</f>
        <v>153.37</v>
      </c>
      <c r="L201" s="2215">
        <f>F201+F202</f>
        <v>-153.37</v>
      </c>
      <c r="M201" s="2237">
        <f t="shared" ref="M201" si="190">K201+L201</f>
        <v>0</v>
      </c>
      <c r="N201" s="2215">
        <f>H201+H202</f>
        <v>0</v>
      </c>
      <c r="O201" s="2237">
        <f t="shared" ref="O201" si="191">M201-N201</f>
        <v>0</v>
      </c>
      <c r="P201" s="2255" t="e">
        <f t="shared" ref="P201" si="192">N201/M201</f>
        <v>#DIV/0!</v>
      </c>
    </row>
    <row r="202" spans="1:16" ht="17.25" customHeight="1">
      <c r="A202" s="2309"/>
      <c r="B202" s="2240"/>
      <c r="C202" s="900">
        <v>42278</v>
      </c>
      <c r="D202" s="1225">
        <v>42369</v>
      </c>
      <c r="E202" s="1256">
        <v>7.665</v>
      </c>
      <c r="F202" s="924">
        <v>-7.665</v>
      </c>
      <c r="G202" s="1256">
        <f>E202+F202+I201</f>
        <v>0</v>
      </c>
      <c r="H202" s="924"/>
      <c r="I202" s="1276">
        <f t="shared" si="173"/>
        <v>0</v>
      </c>
      <c r="J202" s="1275" t="e">
        <f t="shared" si="174"/>
        <v>#DIV/0!</v>
      </c>
      <c r="K202" s="2214"/>
      <c r="L202" s="2216"/>
      <c r="M202" s="2212"/>
      <c r="N202" s="2216"/>
      <c r="O202" s="2212"/>
      <c r="P202" s="2257"/>
    </row>
    <row r="203" spans="1:16" ht="17.25" customHeight="1">
      <c r="A203" s="2309"/>
      <c r="B203" s="2241" t="s">
        <v>223</v>
      </c>
      <c r="C203" s="902">
        <v>42005</v>
      </c>
      <c r="D203" s="949">
        <v>42277</v>
      </c>
      <c r="E203" s="950">
        <v>56.582999999999998</v>
      </c>
      <c r="F203" s="923">
        <v>-58.368000000000002</v>
      </c>
      <c r="G203" s="950">
        <f>E203+F203</f>
        <v>-1.7850000000000037</v>
      </c>
      <c r="H203" s="923"/>
      <c r="I203" s="951">
        <f t="shared" si="173"/>
        <v>-1.7850000000000037</v>
      </c>
      <c r="J203" s="912">
        <f t="shared" si="174"/>
        <v>0</v>
      </c>
      <c r="K203" s="2213">
        <f t="shared" ref="K203" si="193">E203+E204</f>
        <v>59.559999999999995</v>
      </c>
      <c r="L203" s="2215">
        <f t="shared" ref="L203" si="194">F203+F204</f>
        <v>-59.56</v>
      </c>
      <c r="M203" s="2237">
        <f t="shared" ref="M203" si="195">K203+L203</f>
        <v>0</v>
      </c>
      <c r="N203" s="2215">
        <f>H203+H204</f>
        <v>0</v>
      </c>
      <c r="O203" s="2237">
        <f t="shared" ref="O203" si="196">M203-N203</f>
        <v>0</v>
      </c>
      <c r="P203" s="2255" t="e">
        <f t="shared" ref="P203" si="197">N203/M203</f>
        <v>#DIV/0!</v>
      </c>
    </row>
    <row r="204" spans="1:16" ht="17.25" customHeight="1">
      <c r="A204" s="2309"/>
      <c r="B204" s="2240"/>
      <c r="C204" s="900">
        <v>42278</v>
      </c>
      <c r="D204" s="1225">
        <v>42369</v>
      </c>
      <c r="E204" s="1256">
        <v>2.9769999999999999</v>
      </c>
      <c r="F204" s="924">
        <v>-1.1919999999999999</v>
      </c>
      <c r="G204" s="1256">
        <f>E204+F204+I203</f>
        <v>-3.7747582837255322E-15</v>
      </c>
      <c r="H204" s="924"/>
      <c r="I204" s="1276">
        <f t="shared" si="173"/>
        <v>-3.7747582837255322E-15</v>
      </c>
      <c r="J204" s="1275">
        <f t="shared" si="174"/>
        <v>0</v>
      </c>
      <c r="K204" s="2214"/>
      <c r="L204" s="2216"/>
      <c r="M204" s="2212"/>
      <c r="N204" s="2216"/>
      <c r="O204" s="2212"/>
      <c r="P204" s="2257"/>
    </row>
    <row r="205" spans="1:16" ht="17.25" customHeight="1">
      <c r="A205" s="2309"/>
      <c r="B205" s="2239" t="s">
        <v>218</v>
      </c>
      <c r="C205" s="902">
        <v>42005</v>
      </c>
      <c r="D205" s="949">
        <v>42277</v>
      </c>
      <c r="E205" s="891">
        <v>94.873000000000005</v>
      </c>
      <c r="F205" s="892">
        <v>-97.866</v>
      </c>
      <c r="G205" s="891">
        <f>E205+F205</f>
        <v>-2.992999999999995</v>
      </c>
      <c r="H205" s="1124"/>
      <c r="I205" s="901">
        <f>G205-H217</f>
        <v>-18.758999999999997</v>
      </c>
      <c r="J205" s="893">
        <f>H217/G205</f>
        <v>-5.2676244570664981</v>
      </c>
      <c r="K205" s="2213">
        <f t="shared" ref="K205" si="198">E205+E206</f>
        <v>99.864000000000004</v>
      </c>
      <c r="L205" s="2215">
        <f t="shared" ref="L205" si="199">F205+F206</f>
        <v>-99.864999999999995</v>
      </c>
      <c r="M205" s="2237">
        <f t="shared" ref="M205" si="200">K205+L205</f>
        <v>-9.9999999999056399E-4</v>
      </c>
      <c r="N205" s="2215">
        <f>H205+H206</f>
        <v>0</v>
      </c>
      <c r="O205" s="2237">
        <f t="shared" ref="O205" si="201">M205-N205</f>
        <v>-9.9999999999056399E-4</v>
      </c>
      <c r="P205" s="2255">
        <f t="shared" ref="P205" si="202">N205/M205</f>
        <v>0</v>
      </c>
    </row>
    <row r="206" spans="1:16" ht="17.25" customHeight="1">
      <c r="A206" s="2309"/>
      <c r="B206" s="2240"/>
      <c r="C206" s="900">
        <v>42278</v>
      </c>
      <c r="D206" s="1225">
        <v>42369</v>
      </c>
      <c r="E206" s="891">
        <v>4.9909999999999997</v>
      </c>
      <c r="F206" s="892">
        <v>-1.9990000000000001</v>
      </c>
      <c r="G206" s="891">
        <f>E206+F206+I205</f>
        <v>-15.766999999999998</v>
      </c>
      <c r="H206" s="892"/>
      <c r="I206" s="901">
        <f t="shared" si="173"/>
        <v>-15.766999999999998</v>
      </c>
      <c r="J206" s="893">
        <f t="shared" si="174"/>
        <v>0</v>
      </c>
      <c r="K206" s="2214"/>
      <c r="L206" s="2216"/>
      <c r="M206" s="2212"/>
      <c r="N206" s="2216"/>
      <c r="O206" s="2212"/>
      <c r="P206" s="2257"/>
    </row>
    <row r="207" spans="1:16" ht="17.25" customHeight="1">
      <c r="A207" s="2309"/>
      <c r="B207" s="2241" t="s">
        <v>234</v>
      </c>
      <c r="C207" s="902">
        <v>42005</v>
      </c>
      <c r="D207" s="949">
        <v>42277</v>
      </c>
      <c r="E207" s="950">
        <v>9.3390000000000004</v>
      </c>
      <c r="F207" s="923"/>
      <c r="G207" s="950">
        <f>E207+F207</f>
        <v>9.3390000000000004</v>
      </c>
      <c r="H207" s="923"/>
      <c r="I207" s="951">
        <f t="shared" si="173"/>
        <v>9.3390000000000004</v>
      </c>
      <c r="J207" s="912">
        <f t="shared" si="174"/>
        <v>0</v>
      </c>
      <c r="K207" s="2213">
        <f t="shared" ref="K207" si="203">E207+E208</f>
        <v>9.83</v>
      </c>
      <c r="L207" s="2215">
        <f t="shared" ref="L207" si="204">F207+F208</f>
        <v>0</v>
      </c>
      <c r="M207" s="2237">
        <f t="shared" ref="M207" si="205">K207+L207</f>
        <v>9.83</v>
      </c>
      <c r="N207" s="2215">
        <f>H207+H208</f>
        <v>0</v>
      </c>
      <c r="O207" s="2237">
        <f t="shared" ref="O207" si="206">M207-N207</f>
        <v>9.83</v>
      </c>
      <c r="P207" s="2255">
        <f t="shared" ref="P207" si="207">N207/M207</f>
        <v>0</v>
      </c>
    </row>
    <row r="208" spans="1:16" ht="17.25" customHeight="1">
      <c r="A208" s="2309"/>
      <c r="B208" s="2240"/>
      <c r="C208" s="900">
        <v>42278</v>
      </c>
      <c r="D208" s="1225">
        <v>42369</v>
      </c>
      <c r="E208" s="1256">
        <v>0.49099999999999999</v>
      </c>
      <c r="F208" s="924"/>
      <c r="G208" s="1256">
        <f>E208+F208+I207</f>
        <v>9.83</v>
      </c>
      <c r="H208" s="924"/>
      <c r="I208" s="1276">
        <f t="shared" si="173"/>
        <v>9.83</v>
      </c>
      <c r="J208" s="1275">
        <f t="shared" si="174"/>
        <v>0</v>
      </c>
      <c r="K208" s="2214"/>
      <c r="L208" s="2216"/>
      <c r="M208" s="2212"/>
      <c r="N208" s="2216"/>
      <c r="O208" s="2212"/>
      <c r="P208" s="2257"/>
    </row>
    <row r="209" spans="1:16" ht="17.25" customHeight="1">
      <c r="A209" s="2309"/>
      <c r="B209" s="2239" t="s">
        <v>227</v>
      </c>
      <c r="C209" s="902">
        <v>42005</v>
      </c>
      <c r="D209" s="949">
        <v>42277</v>
      </c>
      <c r="E209" s="891">
        <v>64.706999999999994</v>
      </c>
      <c r="F209" s="892">
        <f>500.74-500.74-50.05-16.02</f>
        <v>-66.069999999999993</v>
      </c>
      <c r="G209" s="891">
        <f>E209+F209</f>
        <v>-1.3629999999999995</v>
      </c>
      <c r="H209" s="892"/>
      <c r="I209" s="901">
        <f t="shared" si="173"/>
        <v>-1.3629999999999995</v>
      </c>
      <c r="J209" s="893">
        <f t="shared" si="174"/>
        <v>0</v>
      </c>
      <c r="K209" s="2213">
        <f t="shared" ref="K209" si="208">E209+E210</f>
        <v>68.11099999999999</v>
      </c>
      <c r="L209" s="2215">
        <f t="shared" ref="L209" si="209">F209+F210</f>
        <v>-66.069999999999993</v>
      </c>
      <c r="M209" s="2237">
        <f t="shared" ref="M209" si="210">K209+L209</f>
        <v>2.0409999999999968</v>
      </c>
      <c r="N209" s="2217">
        <f>H209+H210</f>
        <v>0</v>
      </c>
      <c r="O209" s="2237">
        <f t="shared" ref="O209:O215" si="211">M209-N209</f>
        <v>2.0409999999999968</v>
      </c>
      <c r="P209" s="2255">
        <f>N209/M209</f>
        <v>0</v>
      </c>
    </row>
    <row r="210" spans="1:16" ht="18" customHeight="1">
      <c r="A210" s="2309"/>
      <c r="B210" s="2240"/>
      <c r="C210" s="900">
        <v>42278</v>
      </c>
      <c r="D210" s="1225">
        <v>42369</v>
      </c>
      <c r="E210" s="891">
        <v>3.4039999999999999</v>
      </c>
      <c r="F210" s="892"/>
      <c r="G210" s="891">
        <f>E210+F210+I209</f>
        <v>2.0410000000000004</v>
      </c>
      <c r="H210" s="892"/>
      <c r="I210" s="901">
        <f t="shared" si="173"/>
        <v>2.0410000000000004</v>
      </c>
      <c r="J210" s="893">
        <f t="shared" si="174"/>
        <v>0</v>
      </c>
      <c r="K210" s="2214"/>
      <c r="L210" s="2216"/>
      <c r="M210" s="2212"/>
      <c r="N210" s="2217"/>
      <c r="O210" s="2212"/>
      <c r="P210" s="2257"/>
    </row>
    <row r="211" spans="1:16" ht="17.25" customHeight="1">
      <c r="A211" s="2309"/>
      <c r="B211" s="2241" t="s">
        <v>228</v>
      </c>
      <c r="C211" s="902">
        <v>42005</v>
      </c>
      <c r="D211" s="949">
        <v>42277</v>
      </c>
      <c r="E211" s="950">
        <v>4.2030000000000003</v>
      </c>
      <c r="F211" s="923"/>
      <c r="G211" s="950">
        <f>E211+F211</f>
        <v>4.2030000000000003</v>
      </c>
      <c r="H211" s="1263"/>
      <c r="I211" s="951">
        <f t="shared" si="173"/>
        <v>4.2030000000000003</v>
      </c>
      <c r="J211" s="912">
        <f t="shared" si="174"/>
        <v>0</v>
      </c>
      <c r="K211" s="2213">
        <f t="shared" ref="K211" si="212">E211+E212</f>
        <v>4.4240000000000004</v>
      </c>
      <c r="L211" s="2215">
        <f t="shared" ref="L211" si="213">F211+F212</f>
        <v>0</v>
      </c>
      <c r="M211" s="2237">
        <f t="shared" ref="M211" si="214">K211+L211</f>
        <v>4.4240000000000004</v>
      </c>
      <c r="N211" s="2215">
        <f>H211+H212</f>
        <v>0</v>
      </c>
      <c r="O211" s="2237">
        <f t="shared" si="211"/>
        <v>4.4240000000000004</v>
      </c>
      <c r="P211" s="2255">
        <f t="shared" ref="P211" si="215">N211/M211</f>
        <v>0</v>
      </c>
    </row>
    <row r="212" spans="1:16" ht="17.25" customHeight="1">
      <c r="A212" s="2309"/>
      <c r="B212" s="2240"/>
      <c r="C212" s="900">
        <v>42278</v>
      </c>
      <c r="D212" s="1225">
        <v>42369</v>
      </c>
      <c r="E212" s="1256">
        <v>0.221</v>
      </c>
      <c r="F212" s="924"/>
      <c r="G212" s="1256">
        <f>E212+F212+I211</f>
        <v>4.4240000000000004</v>
      </c>
      <c r="H212" s="892"/>
      <c r="I212" s="1276">
        <f t="shared" si="173"/>
        <v>4.4240000000000004</v>
      </c>
      <c r="J212" s="1275">
        <f t="shared" si="174"/>
        <v>0</v>
      </c>
      <c r="K212" s="2214"/>
      <c r="L212" s="2216"/>
      <c r="M212" s="2212"/>
      <c r="N212" s="2216"/>
      <c r="O212" s="2212"/>
      <c r="P212" s="2257"/>
    </row>
    <row r="213" spans="1:16" ht="17.25" customHeight="1">
      <c r="A213" s="2309"/>
      <c r="B213" s="2239" t="s">
        <v>215</v>
      </c>
      <c r="C213" s="902">
        <v>42005</v>
      </c>
      <c r="D213" s="949">
        <v>42277</v>
      </c>
      <c r="E213" s="891">
        <v>4261.6869999999999</v>
      </c>
      <c r="F213" s="923">
        <f>2999.998+3500-3000-150</f>
        <v>3349.9979999999996</v>
      </c>
      <c r="G213" s="891">
        <f>E213+F213</f>
        <v>7611.6849999999995</v>
      </c>
      <c r="H213" s="1263">
        <v>7826.822000000001</v>
      </c>
      <c r="I213" s="901">
        <f t="shared" si="173"/>
        <v>-215.13700000000154</v>
      </c>
      <c r="J213" s="893">
        <f t="shared" si="174"/>
        <v>1.0282640440323005</v>
      </c>
      <c r="K213" s="2213">
        <f t="shared" ref="K213" si="216">E213+E214</f>
        <v>4485.8779999999997</v>
      </c>
      <c r="L213" s="2215">
        <f t="shared" ref="L213" si="217">F213+F214</f>
        <v>3349.9979999999996</v>
      </c>
      <c r="M213" s="2237">
        <f t="shared" ref="M213" si="218">K213+L213</f>
        <v>7835.8759999999993</v>
      </c>
      <c r="N213" s="2217">
        <f>H213+H214</f>
        <v>7826.822000000001</v>
      </c>
      <c r="O213" s="2237">
        <f t="shared" si="211"/>
        <v>9.0539999999982683</v>
      </c>
      <c r="P213" s="2255">
        <f t="shared" ref="P213" si="219">N213/M213</f>
        <v>0.99884454526845523</v>
      </c>
    </row>
    <row r="214" spans="1:16" ht="17.25" customHeight="1">
      <c r="A214" s="2309"/>
      <c r="B214" s="2239"/>
      <c r="C214" s="900">
        <v>42278</v>
      </c>
      <c r="D214" s="1225">
        <v>42369</v>
      </c>
      <c r="E214" s="891">
        <v>224.191</v>
      </c>
      <c r="F214" s="924"/>
      <c r="G214" s="891">
        <f>E214+F214+I213</f>
        <v>9.0539999999984673</v>
      </c>
      <c r="H214" s="924"/>
      <c r="I214" s="901">
        <f t="shared" si="173"/>
        <v>9.0539999999984673</v>
      </c>
      <c r="J214" s="893">
        <f t="shared" si="174"/>
        <v>0</v>
      </c>
      <c r="K214" s="2214"/>
      <c r="L214" s="2216"/>
      <c r="M214" s="2212"/>
      <c r="N214" s="2217"/>
      <c r="O214" s="2212"/>
      <c r="P214" s="2257"/>
    </row>
    <row r="215" spans="1:16" ht="17.25" customHeight="1">
      <c r="A215" s="2309"/>
      <c r="B215" s="2241" t="s">
        <v>219</v>
      </c>
      <c r="C215" s="902">
        <v>42005</v>
      </c>
      <c r="D215" s="949">
        <v>42277</v>
      </c>
      <c r="E215" s="950">
        <v>580.49699999999996</v>
      </c>
      <c r="F215" s="923">
        <f>-560+200+ 999.806</f>
        <v>639.80600000000004</v>
      </c>
      <c r="G215" s="950">
        <f>E215+F215</f>
        <v>1220.3029999999999</v>
      </c>
      <c r="H215" s="1263">
        <v>1201.4880000000001</v>
      </c>
      <c r="I215" s="951">
        <f t="shared" si="173"/>
        <v>18.814999999999827</v>
      </c>
      <c r="J215" s="912">
        <f t="shared" si="174"/>
        <v>0.98458169815201646</v>
      </c>
      <c r="K215" s="2213">
        <f t="shared" ref="K215" si="220">E215+E216</f>
        <v>611.03499999999997</v>
      </c>
      <c r="L215" s="2215">
        <f t="shared" ref="L215" si="221">F215+F216</f>
        <v>639.80600000000004</v>
      </c>
      <c r="M215" s="2237">
        <f t="shared" ref="M215" si="222">K215+L215</f>
        <v>1250.8409999999999</v>
      </c>
      <c r="N215" s="2215">
        <f>H215+H216</f>
        <v>1201.4880000000001</v>
      </c>
      <c r="O215" s="2237">
        <f t="shared" si="211"/>
        <v>49.352999999999838</v>
      </c>
      <c r="P215" s="2255">
        <f t="shared" ref="P215" si="223">N215/M215</f>
        <v>0.96054414589863957</v>
      </c>
    </row>
    <row r="216" spans="1:16" ht="17.25" customHeight="1">
      <c r="A216" s="2309"/>
      <c r="B216" s="2240"/>
      <c r="C216" s="900">
        <v>42278</v>
      </c>
      <c r="D216" s="1225">
        <v>42369</v>
      </c>
      <c r="E216" s="1256">
        <v>30.538</v>
      </c>
      <c r="F216" s="924"/>
      <c r="G216" s="1256">
        <f>E216+F216+I215</f>
        <v>49.352999999999824</v>
      </c>
      <c r="H216" s="924"/>
      <c r="I216" s="1276">
        <f t="shared" si="173"/>
        <v>49.352999999999824</v>
      </c>
      <c r="J216" s="1275">
        <f t="shared" si="174"/>
        <v>0</v>
      </c>
      <c r="K216" s="2214"/>
      <c r="L216" s="2216"/>
      <c r="M216" s="2212"/>
      <c r="N216" s="2216"/>
      <c r="O216" s="2212"/>
      <c r="P216" s="2257"/>
    </row>
    <row r="217" spans="1:16" ht="17.25" customHeight="1">
      <c r="A217" s="2309"/>
      <c r="B217" s="2241" t="s">
        <v>220</v>
      </c>
      <c r="C217" s="902">
        <v>42005</v>
      </c>
      <c r="D217" s="949">
        <v>42277</v>
      </c>
      <c r="E217" s="923">
        <v>0</v>
      </c>
      <c r="F217" s="923">
        <f>99.864-70</f>
        <v>29.864000000000004</v>
      </c>
      <c r="G217" s="950">
        <f>E217+F217</f>
        <v>29.864000000000004</v>
      </c>
      <c r="H217" s="1262">
        <f>8.403+7.363</f>
        <v>15.766000000000002</v>
      </c>
      <c r="I217" s="951">
        <f t="shared" ref="I217:I218" si="224">G217-H217</f>
        <v>14.098000000000003</v>
      </c>
      <c r="J217" s="912">
        <f t="shared" ref="J217:J218" si="225">H217/G217</f>
        <v>0.52792660058933827</v>
      </c>
      <c r="K217" s="2213">
        <f t="shared" ref="K217" si="226">E217+E218</f>
        <v>0</v>
      </c>
      <c r="L217" s="2215">
        <f t="shared" ref="L217" si="227">F217+F218</f>
        <v>29.864000000000004</v>
      </c>
      <c r="M217" s="2237">
        <f t="shared" ref="M217" si="228">K217+L217</f>
        <v>29.864000000000004</v>
      </c>
      <c r="N217" s="2215">
        <f>H217+H218</f>
        <v>15.766000000000002</v>
      </c>
      <c r="O217" s="2237">
        <f t="shared" ref="O217" si="229">M217-N217</f>
        <v>14.098000000000003</v>
      </c>
      <c r="P217" s="2255">
        <f t="shared" ref="P217" si="230">N217/M217</f>
        <v>0.52792660058933827</v>
      </c>
    </row>
    <row r="218" spans="1:16" ht="17.25" customHeight="1">
      <c r="A218" s="2309"/>
      <c r="B218" s="2240"/>
      <c r="C218" s="900">
        <v>42278</v>
      </c>
      <c r="D218" s="1225">
        <v>42369</v>
      </c>
      <c r="E218" s="924">
        <v>0</v>
      </c>
      <c r="F218" s="924"/>
      <c r="G218" s="1256">
        <f>E218+F218+I217</f>
        <v>14.098000000000003</v>
      </c>
      <c r="H218" s="924"/>
      <c r="I218" s="1276">
        <f t="shared" si="224"/>
        <v>14.098000000000003</v>
      </c>
      <c r="J218" s="1275">
        <f t="shared" si="225"/>
        <v>0</v>
      </c>
      <c r="K218" s="2214"/>
      <c r="L218" s="2216"/>
      <c r="M218" s="2212"/>
      <c r="N218" s="2216"/>
      <c r="O218" s="2212"/>
      <c r="P218" s="2257"/>
    </row>
    <row r="219" spans="1:16" ht="17.25" customHeight="1">
      <c r="A219" s="2309"/>
      <c r="B219" s="2247" t="s">
        <v>247</v>
      </c>
      <c r="C219" s="902">
        <v>42005</v>
      </c>
      <c r="D219" s="949">
        <v>42277</v>
      </c>
      <c r="E219" s="923">
        <v>0</v>
      </c>
      <c r="F219" s="923"/>
      <c r="G219" s="937">
        <f>E219+F219</f>
        <v>0</v>
      </c>
      <c r="H219" s="923"/>
      <c r="I219" s="951">
        <f>G219-H219</f>
        <v>0</v>
      </c>
      <c r="J219" s="912" t="e">
        <f>H219/G219</f>
        <v>#DIV/0!</v>
      </c>
      <c r="K219" s="2213">
        <f t="shared" ref="K219" si="231">E219+E220</f>
        <v>0</v>
      </c>
      <c r="L219" s="2215">
        <f t="shared" ref="L219" si="232">F219+F220</f>
        <v>0</v>
      </c>
      <c r="M219" s="2237">
        <f t="shared" ref="M219" si="233">K219+L219</f>
        <v>0</v>
      </c>
      <c r="N219" s="2215">
        <f>H219+H220</f>
        <v>0</v>
      </c>
      <c r="O219" s="2237">
        <f t="shared" ref="O219" si="234">M219-N219</f>
        <v>0</v>
      </c>
      <c r="P219" s="2255" t="e">
        <f t="shared" ref="P219" si="235">N219/M219</f>
        <v>#DIV/0!</v>
      </c>
    </row>
    <row r="220" spans="1:16" ht="17.25" customHeight="1" thickBot="1">
      <c r="A220" s="2310"/>
      <c r="B220" s="2248"/>
      <c r="C220" s="939">
        <v>42278</v>
      </c>
      <c r="D220" s="940">
        <v>42369</v>
      </c>
      <c r="E220" s="888">
        <v>0</v>
      </c>
      <c r="F220" s="888"/>
      <c r="G220" s="1279">
        <f>E220+F220</f>
        <v>0</v>
      </c>
      <c r="H220" s="888"/>
      <c r="I220" s="889">
        <f>G220-H220</f>
        <v>0</v>
      </c>
      <c r="J220" s="904" t="e">
        <f>H220/G220</f>
        <v>#DIV/0!</v>
      </c>
      <c r="K220" s="2231"/>
      <c r="L220" s="2261"/>
      <c r="M220" s="2229"/>
      <c r="N220" s="2261"/>
      <c r="O220" s="2229"/>
      <c r="P220" s="2256"/>
    </row>
    <row r="221" spans="1:16" ht="17.25" customHeight="1" thickBot="1">
      <c r="A221" s="941"/>
      <c r="B221" s="945"/>
      <c r="C221" s="920"/>
      <c r="D221" s="920"/>
      <c r="E221" s="1273">
        <f>SUM(E193:E220)</f>
        <v>8743.9989999999998</v>
      </c>
      <c r="F221" s="946"/>
      <c r="G221" s="920"/>
      <c r="H221" s="891"/>
      <c r="I221" s="920"/>
      <c r="J221" s="922"/>
      <c r="K221" s="1610">
        <f>SUM(K193:K220)</f>
        <v>8743.9989999999998</v>
      </c>
      <c r="L221" s="1611">
        <f t="shared" ref="L221:O221" si="236">SUM(L193:L220)</f>
        <v>2490.8029999999999</v>
      </c>
      <c r="M221" s="1611">
        <f t="shared" si="236"/>
        <v>11234.801999999998</v>
      </c>
      <c r="N221" s="1535">
        <f t="shared" si="236"/>
        <v>11038.450999999999</v>
      </c>
      <c r="O221" s="1611">
        <f t="shared" si="236"/>
        <v>196.35099999999784</v>
      </c>
      <c r="P221" s="1607">
        <f>+N221/M221</f>
        <v>0.98252296747196799</v>
      </c>
    </row>
    <row r="222" spans="1:16" ht="17.25" customHeight="1" thickBot="1">
      <c r="A222" s="894"/>
      <c r="B222" s="894"/>
      <c r="C222" s="920"/>
      <c r="D222" s="920"/>
      <c r="E222" s="920"/>
      <c r="F222" s="920"/>
      <c r="G222" s="920"/>
      <c r="H222" s="920"/>
      <c r="I222" s="920"/>
      <c r="J222" s="922"/>
      <c r="K222" s="920"/>
      <c r="L222" s="920"/>
      <c r="M222" s="920"/>
      <c r="N222" s="920"/>
      <c r="O222" s="920"/>
      <c r="P222" s="920"/>
    </row>
    <row r="223" spans="1:16" ht="17.25" customHeight="1">
      <c r="A223" s="2273" t="s">
        <v>747</v>
      </c>
      <c r="B223" s="2329" t="s">
        <v>216</v>
      </c>
      <c r="C223" s="898">
        <v>42005</v>
      </c>
      <c r="D223" s="931">
        <v>42277</v>
      </c>
      <c r="E223" s="873">
        <v>18827.802</v>
      </c>
      <c r="F223" s="899">
        <f>1528.498+553.719+2588.803+2110+388+100</f>
        <v>7269.02</v>
      </c>
      <c r="G223" s="873">
        <f>E223+F223</f>
        <v>26096.822</v>
      </c>
      <c r="H223" s="1261">
        <v>26225.130999999998</v>
      </c>
      <c r="I223" s="875">
        <f>G223-H223</f>
        <v>-128.30899999999747</v>
      </c>
      <c r="J223" s="876">
        <f>H223/G223</f>
        <v>1.0049166523034874</v>
      </c>
      <c r="K223" s="2244">
        <f>E223+E224</f>
        <v>19818.655999999999</v>
      </c>
      <c r="L223" s="2234">
        <f>F223+F224</f>
        <v>7269.02</v>
      </c>
      <c r="M223" s="2211">
        <f>K223+L223</f>
        <v>27087.675999999999</v>
      </c>
      <c r="N223" s="2234">
        <f>H223+H224</f>
        <v>27164.455999999998</v>
      </c>
      <c r="O223" s="2211">
        <f>M223-N223</f>
        <v>-76.779999999998836</v>
      </c>
      <c r="P223" s="2360">
        <f>N223/M223</f>
        <v>1.0028344993494458</v>
      </c>
    </row>
    <row r="224" spans="1:16" ht="17.25" customHeight="1">
      <c r="A224" s="2274"/>
      <c r="B224" s="2268"/>
      <c r="C224" s="900">
        <v>42278</v>
      </c>
      <c r="D224" s="1787">
        <v>42369</v>
      </c>
      <c r="E224" s="948">
        <v>990.85400000000004</v>
      </c>
      <c r="F224" s="1616"/>
      <c r="G224" s="948">
        <f>E224+F224+I223</f>
        <v>862.54500000000257</v>
      </c>
      <c r="H224" s="1600">
        <v>939.32500000000005</v>
      </c>
      <c r="I224" s="1750">
        <f t="shared" ref="I224:I284" si="237">G224-H224</f>
        <v>-76.779999999997472</v>
      </c>
      <c r="J224" s="1815">
        <f t="shared" ref="J224:J284" si="238">H224/G224</f>
        <v>1.0890156455605182</v>
      </c>
      <c r="K224" s="2222"/>
      <c r="L224" s="2219"/>
      <c r="M224" s="2224"/>
      <c r="N224" s="2219"/>
      <c r="O224" s="2224"/>
      <c r="P224" s="2227"/>
    </row>
    <row r="225" spans="1:16" ht="17.25" customHeight="1">
      <c r="A225" s="2274"/>
      <c r="B225" s="2209" t="s">
        <v>221</v>
      </c>
      <c r="C225" s="1754">
        <v>42005</v>
      </c>
      <c r="D225" s="1913">
        <v>42277</v>
      </c>
      <c r="E225" s="1790">
        <v>0</v>
      </c>
      <c r="F225" s="1481"/>
      <c r="G225" s="1790">
        <f>E225+F225</f>
        <v>0</v>
      </c>
      <c r="H225" s="1481"/>
      <c r="I225" s="901">
        <f t="shared" si="237"/>
        <v>0</v>
      </c>
      <c r="J225" s="1815" t="e">
        <f t="shared" si="238"/>
        <v>#DIV/0!</v>
      </c>
      <c r="K225" s="2221">
        <f t="shared" ref="K225" si="239">E225+E226</f>
        <v>0</v>
      </c>
      <c r="L225" s="2218">
        <f t="shared" ref="L225" si="240">F225+F226</f>
        <v>0</v>
      </c>
      <c r="M225" s="2223">
        <f t="shared" ref="M225" si="241">K225+L225</f>
        <v>0</v>
      </c>
      <c r="N225" s="2218">
        <f>H225+H226</f>
        <v>0</v>
      </c>
      <c r="O225" s="2223">
        <f t="shared" ref="O225" si="242">M225-N225</f>
        <v>0</v>
      </c>
      <c r="P225" s="2226" t="e">
        <f t="shared" ref="P225" si="243">N225/M225</f>
        <v>#DIV/0!</v>
      </c>
    </row>
    <row r="226" spans="1:16" ht="17.25" customHeight="1">
      <c r="A226" s="2274"/>
      <c r="B226" s="2210"/>
      <c r="C226" s="900">
        <v>42278</v>
      </c>
      <c r="D226" s="1787">
        <v>42369</v>
      </c>
      <c r="E226" s="948">
        <v>0</v>
      </c>
      <c r="F226" s="1616"/>
      <c r="G226" s="948">
        <f>E226+F226+I225</f>
        <v>0</v>
      </c>
      <c r="H226" s="1616"/>
      <c r="I226" s="1750">
        <f t="shared" si="237"/>
        <v>0</v>
      </c>
      <c r="J226" s="1815" t="e">
        <f t="shared" si="238"/>
        <v>#DIV/0!</v>
      </c>
      <c r="K226" s="2222"/>
      <c r="L226" s="2219"/>
      <c r="M226" s="2224"/>
      <c r="N226" s="2219"/>
      <c r="O226" s="2224"/>
      <c r="P226" s="2227"/>
    </row>
    <row r="227" spans="1:16" ht="17.25" customHeight="1">
      <c r="A227" s="2274"/>
      <c r="B227" s="2209" t="s">
        <v>167</v>
      </c>
      <c r="C227" s="1754">
        <v>42005</v>
      </c>
      <c r="D227" s="1913">
        <v>42277</v>
      </c>
      <c r="E227" s="1790">
        <v>42146.474000000002</v>
      </c>
      <c r="F227" s="1914">
        <f>-2579-4000-1.876-1.876+4000+2500+1000+400+150</f>
        <v>1467.2479999999996</v>
      </c>
      <c r="G227" s="1790">
        <f>E227+F227</f>
        <v>43613.722000000002</v>
      </c>
      <c r="H227" s="1486">
        <v>42348.483999999997</v>
      </c>
      <c r="I227" s="901">
        <f t="shared" si="237"/>
        <v>1265.2380000000048</v>
      </c>
      <c r="J227" s="1815">
        <f t="shared" si="238"/>
        <v>0.97098991001043189</v>
      </c>
      <c r="K227" s="2221">
        <f t="shared" ref="K227" si="244">E227+E228</f>
        <v>44364.523000000001</v>
      </c>
      <c r="L227" s="2218">
        <f t="shared" ref="L227" si="245">F227+F228</f>
        <v>1467.2479999999996</v>
      </c>
      <c r="M227" s="2223">
        <f t="shared" ref="M227" si="246">K227+L227</f>
        <v>45831.771000000001</v>
      </c>
      <c r="N227" s="2218">
        <f>H227+H228</f>
        <v>45406.357999999993</v>
      </c>
      <c r="O227" s="2223">
        <f>M227-N227</f>
        <v>425.41300000000774</v>
      </c>
      <c r="P227" s="2226">
        <f t="shared" ref="P227:P235" si="247">N227/M227</f>
        <v>0.99071794541825564</v>
      </c>
    </row>
    <row r="228" spans="1:16" ht="17.25" customHeight="1">
      <c r="A228" s="2274"/>
      <c r="B228" s="2210"/>
      <c r="C228" s="900">
        <v>42278</v>
      </c>
      <c r="D228" s="1787">
        <v>42369</v>
      </c>
      <c r="E228" s="948">
        <v>2218.049</v>
      </c>
      <c r="F228" s="1616"/>
      <c r="G228" s="948">
        <f>E228+F228+I227</f>
        <v>3483.2870000000048</v>
      </c>
      <c r="H228" s="1885">
        <v>3057.8739999999998</v>
      </c>
      <c r="I228" s="1750">
        <f t="shared" si="237"/>
        <v>425.41300000000501</v>
      </c>
      <c r="J228" s="1815">
        <f t="shared" si="238"/>
        <v>0.87787024152761328</v>
      </c>
      <c r="K228" s="2222"/>
      <c r="L228" s="2219"/>
      <c r="M228" s="2224"/>
      <c r="N228" s="2219"/>
      <c r="O228" s="2224"/>
      <c r="P228" s="2227"/>
    </row>
    <row r="229" spans="1:16" ht="17.25" customHeight="1">
      <c r="A229" s="2274"/>
      <c r="B229" s="2209" t="s">
        <v>219</v>
      </c>
      <c r="C229" s="1754">
        <v>42005</v>
      </c>
      <c r="D229" s="1913">
        <v>42277</v>
      </c>
      <c r="E229" s="1790">
        <v>35117.760999999999</v>
      </c>
      <c r="F229" s="1481">
        <f>149.539+522.209+153.37+2001.077-200-150+500.062+1099.971+226.209</f>
        <v>4302.4369999999999</v>
      </c>
      <c r="G229" s="1790">
        <f>E229+F229</f>
        <v>39420.197999999997</v>
      </c>
      <c r="H229" s="1486">
        <v>39103.009000000013</v>
      </c>
      <c r="I229" s="901">
        <f t="shared" si="237"/>
        <v>317.18899999998393</v>
      </c>
      <c r="J229" s="1815">
        <f t="shared" si="238"/>
        <v>0.99195364264786334</v>
      </c>
      <c r="K229" s="2221">
        <f t="shared" ref="K229" si="248">E229+E230</f>
        <v>36965.909</v>
      </c>
      <c r="L229" s="2218">
        <f t="shared" ref="L229" si="249">F229+F230</f>
        <v>4302.4369999999999</v>
      </c>
      <c r="M229" s="2223">
        <f t="shared" ref="M229" si="250">K229+L229</f>
        <v>41268.345999999998</v>
      </c>
      <c r="N229" s="2218">
        <f>H229+H230</f>
        <v>40950.989000000016</v>
      </c>
      <c r="O229" s="2223">
        <f t="shared" ref="O229" si="251">M229-N229</f>
        <v>317.35699999998178</v>
      </c>
      <c r="P229" s="2226">
        <f t="shared" si="247"/>
        <v>0.99230991714569849</v>
      </c>
    </row>
    <row r="230" spans="1:16" ht="17.25" customHeight="1">
      <c r="A230" s="2274"/>
      <c r="B230" s="2210"/>
      <c r="C230" s="900">
        <v>42278</v>
      </c>
      <c r="D230" s="1787">
        <v>42369</v>
      </c>
      <c r="E230" s="948">
        <v>1848.1479999999999</v>
      </c>
      <c r="F230" s="1616"/>
      <c r="G230" s="948">
        <f>E230+F230+I229</f>
        <v>2165.3369999999841</v>
      </c>
      <c r="H230" s="1885">
        <v>1847.98</v>
      </c>
      <c r="I230" s="1750">
        <f t="shared" si="237"/>
        <v>317.35699999998405</v>
      </c>
      <c r="J230" s="1815">
        <f t="shared" si="238"/>
        <v>0.85343759424053323</v>
      </c>
      <c r="K230" s="2222"/>
      <c r="L230" s="2219"/>
      <c r="M230" s="2224"/>
      <c r="N230" s="2219"/>
      <c r="O230" s="2224"/>
      <c r="P230" s="2227"/>
    </row>
    <row r="231" spans="1:16" ht="17.25" customHeight="1">
      <c r="A231" s="2274"/>
      <c r="B231" s="2209" t="s">
        <v>213</v>
      </c>
      <c r="C231" s="1754">
        <v>42005</v>
      </c>
      <c r="D231" s="1913">
        <v>42277</v>
      </c>
      <c r="E231" s="1790">
        <v>496.101</v>
      </c>
      <c r="F231" s="1481">
        <v>-496.101</v>
      </c>
      <c r="G231" s="1790">
        <f>E231+F231</f>
        <v>0</v>
      </c>
      <c r="H231" s="1481"/>
      <c r="I231" s="901">
        <f t="shared" si="237"/>
        <v>0</v>
      </c>
      <c r="J231" s="1815" t="e">
        <f t="shared" si="238"/>
        <v>#DIV/0!</v>
      </c>
      <c r="K231" s="2221">
        <f t="shared" ref="K231" si="252">E231+E232</f>
        <v>522.20899999999995</v>
      </c>
      <c r="L231" s="2218">
        <f t="shared" ref="L231" si="253">F231+F232</f>
        <v>-522.20899999999995</v>
      </c>
      <c r="M231" s="2223">
        <f t="shared" ref="M231:M287" si="254">K231+L231</f>
        <v>0</v>
      </c>
      <c r="N231" s="2218">
        <f>H231+H232</f>
        <v>0</v>
      </c>
      <c r="O231" s="2223">
        <f t="shared" ref="O231" si="255">M231-N231</f>
        <v>0</v>
      </c>
      <c r="P231" s="2226" t="e">
        <f t="shared" si="247"/>
        <v>#DIV/0!</v>
      </c>
    </row>
    <row r="232" spans="1:16" ht="17.25" customHeight="1">
      <c r="A232" s="2274"/>
      <c r="B232" s="2210"/>
      <c r="C232" s="900">
        <v>42278</v>
      </c>
      <c r="D232" s="1787">
        <v>42369</v>
      </c>
      <c r="E232" s="948">
        <v>26.108000000000001</v>
      </c>
      <c r="F232" s="1616">
        <v>-26.108000000000001</v>
      </c>
      <c r="G232" s="948">
        <f>E232+F232+I231</f>
        <v>0</v>
      </c>
      <c r="H232" s="1616"/>
      <c r="I232" s="1750">
        <f t="shared" si="237"/>
        <v>0</v>
      </c>
      <c r="J232" s="1815" t="e">
        <f t="shared" si="238"/>
        <v>#DIV/0!</v>
      </c>
      <c r="K232" s="2222"/>
      <c r="L232" s="2219"/>
      <c r="M232" s="2224"/>
      <c r="N232" s="2219"/>
      <c r="O232" s="2224"/>
      <c r="P232" s="2227"/>
    </row>
    <row r="233" spans="1:16" ht="17.25" customHeight="1">
      <c r="A233" s="2274"/>
      <c r="B233" s="2209" t="s">
        <v>247</v>
      </c>
      <c r="C233" s="1754">
        <v>42005</v>
      </c>
      <c r="D233" s="1913">
        <v>42277</v>
      </c>
      <c r="E233" s="1790">
        <v>988.95899999999995</v>
      </c>
      <c r="F233" s="1481">
        <v>-988.95899999999995</v>
      </c>
      <c r="G233" s="1790">
        <f>E233+F233</f>
        <v>0</v>
      </c>
      <c r="H233" s="1124"/>
      <c r="I233" s="1621">
        <f>G233-H233</f>
        <v>0</v>
      </c>
      <c r="J233" s="1815" t="e">
        <f>H233/G233</f>
        <v>#DIV/0!</v>
      </c>
      <c r="K233" s="2221">
        <f>E233+E234</f>
        <v>1041.0049999999999</v>
      </c>
      <c r="L233" s="2218">
        <f>F233+F234</f>
        <v>-1041.0049999999999</v>
      </c>
      <c r="M233" s="2223">
        <f>K233+L233</f>
        <v>0</v>
      </c>
      <c r="N233" s="2218">
        <f>H233+H234</f>
        <v>0</v>
      </c>
      <c r="O233" s="2223">
        <f>M233-N233</f>
        <v>0</v>
      </c>
      <c r="P233" s="2226" t="e">
        <f t="shared" si="247"/>
        <v>#DIV/0!</v>
      </c>
    </row>
    <row r="234" spans="1:16" ht="17.25" customHeight="1">
      <c r="A234" s="2274"/>
      <c r="B234" s="2220"/>
      <c r="C234" s="903">
        <v>42278</v>
      </c>
      <c r="D234" s="938">
        <v>42369</v>
      </c>
      <c r="E234" s="891">
        <v>52.045999999999999</v>
      </c>
      <c r="F234" s="1616">
        <v>-52.045999999999999</v>
      </c>
      <c r="G234" s="891">
        <f>E234+F234+I233</f>
        <v>0</v>
      </c>
      <c r="H234" s="892"/>
      <c r="I234" s="1750">
        <f>G234-H234</f>
        <v>0</v>
      </c>
      <c r="J234" s="910" t="e">
        <f>H234/G234</f>
        <v>#DIV/0!</v>
      </c>
      <c r="K234" s="2225"/>
      <c r="L234" s="2217"/>
      <c r="M234" s="2232"/>
      <c r="N234" s="2217"/>
      <c r="O234" s="2232"/>
      <c r="P234" s="2227"/>
    </row>
    <row r="235" spans="1:16" ht="17.25" customHeight="1">
      <c r="A235" s="2274"/>
      <c r="B235" s="2209" t="s">
        <v>235</v>
      </c>
      <c r="C235" s="1754">
        <v>42005</v>
      </c>
      <c r="D235" s="1913">
        <v>42277</v>
      </c>
      <c r="E235" s="1790">
        <v>5.7549999999999999</v>
      </c>
      <c r="F235" s="1481">
        <v>-5.7549999999999999</v>
      </c>
      <c r="G235" s="1790">
        <f>E235+F235</f>
        <v>0</v>
      </c>
      <c r="H235" s="1484">
        <v>2.7E-2</v>
      </c>
      <c r="I235" s="901">
        <f>G235-H235</f>
        <v>-2.7E-2</v>
      </c>
      <c r="J235" s="1815" t="e">
        <f>H235/G235</f>
        <v>#DIV/0!</v>
      </c>
      <c r="K235" s="2221">
        <f>E235+E236</f>
        <v>6.0579999999999998</v>
      </c>
      <c r="L235" s="2218">
        <f>F235+F236</f>
        <v>-6.0579999999999998</v>
      </c>
      <c r="M235" s="2223">
        <f>K235+L235</f>
        <v>0</v>
      </c>
      <c r="N235" s="2218">
        <f>H235+H236</f>
        <v>2.7E-2</v>
      </c>
      <c r="O235" s="2223">
        <f>M235-N235</f>
        <v>-2.7E-2</v>
      </c>
      <c r="P235" s="2226" t="e">
        <f t="shared" si="247"/>
        <v>#DIV/0!</v>
      </c>
    </row>
    <row r="236" spans="1:16" ht="17.25" customHeight="1">
      <c r="A236" s="2274"/>
      <c r="B236" s="2210"/>
      <c r="C236" s="900">
        <v>42278</v>
      </c>
      <c r="D236" s="1787">
        <v>42369</v>
      </c>
      <c r="E236" s="948">
        <v>0.30299999999999999</v>
      </c>
      <c r="F236" s="1616">
        <v>-0.30299999999999999</v>
      </c>
      <c r="G236" s="948">
        <f>E236+F236+I235</f>
        <v>-2.7E-2</v>
      </c>
      <c r="H236" s="1616"/>
      <c r="I236" s="1750">
        <f>G236-H236</f>
        <v>-2.7E-2</v>
      </c>
      <c r="J236" s="1815">
        <f>H236/G236</f>
        <v>0</v>
      </c>
      <c r="K236" s="2225"/>
      <c r="L236" s="2217"/>
      <c r="M236" s="2232"/>
      <c r="N236" s="2217"/>
      <c r="O236" s="2232"/>
      <c r="P236" s="2227"/>
    </row>
    <row r="237" spans="1:16" ht="17.25" customHeight="1">
      <c r="A237" s="2274"/>
      <c r="B237" s="2209" t="s">
        <v>236</v>
      </c>
      <c r="C237" s="1754">
        <v>42005</v>
      </c>
      <c r="D237" s="1913">
        <v>42277</v>
      </c>
      <c r="E237" s="1790">
        <v>23.163</v>
      </c>
      <c r="F237" s="1481">
        <v>-23.163</v>
      </c>
      <c r="G237" s="1790">
        <f>E237+F237</f>
        <v>0</v>
      </c>
      <c r="H237" s="1481"/>
      <c r="I237" s="901">
        <f t="shared" ref="I237:I242" si="256">G237-H237</f>
        <v>0</v>
      </c>
      <c r="J237" s="1815" t="e">
        <f t="shared" ref="J237:J242" si="257">H237/G237</f>
        <v>#DIV/0!</v>
      </c>
      <c r="K237" s="2221">
        <f t="shared" ref="K237" si="258">E237+E238</f>
        <v>24.382000000000001</v>
      </c>
      <c r="L237" s="2218">
        <f t="shared" ref="L237" si="259">F237+F238</f>
        <v>-24.382000000000001</v>
      </c>
      <c r="M237" s="2223">
        <f t="shared" ref="M237" si="260">K237+L237</f>
        <v>0</v>
      </c>
      <c r="N237" s="2218">
        <f>H237+H238</f>
        <v>0</v>
      </c>
      <c r="O237" s="2223">
        <f t="shared" ref="O237" si="261">M237-N237</f>
        <v>0</v>
      </c>
      <c r="P237" s="2226" t="e">
        <f t="shared" ref="P237" si="262">N237/M237</f>
        <v>#DIV/0!</v>
      </c>
    </row>
    <row r="238" spans="1:16" ht="17.25" customHeight="1">
      <c r="A238" s="2274"/>
      <c r="B238" s="2210"/>
      <c r="C238" s="900">
        <v>42278</v>
      </c>
      <c r="D238" s="1787">
        <v>42369</v>
      </c>
      <c r="E238" s="948">
        <v>1.2190000000000001</v>
      </c>
      <c r="F238" s="1616">
        <v>-1.2190000000000001</v>
      </c>
      <c r="G238" s="948">
        <f>E238+F238+I237</f>
        <v>0</v>
      </c>
      <c r="H238" s="1616"/>
      <c r="I238" s="1750">
        <f t="shared" si="256"/>
        <v>0</v>
      </c>
      <c r="J238" s="1815" t="e">
        <f t="shared" si="257"/>
        <v>#DIV/0!</v>
      </c>
      <c r="K238" s="2222"/>
      <c r="L238" s="2219"/>
      <c r="M238" s="2224"/>
      <c r="N238" s="2219"/>
      <c r="O238" s="2224"/>
      <c r="P238" s="2227"/>
    </row>
    <row r="239" spans="1:16" ht="17.25" customHeight="1">
      <c r="A239" s="2274"/>
      <c r="B239" s="2209" t="s">
        <v>223</v>
      </c>
      <c r="C239" s="1754">
        <v>42005</v>
      </c>
      <c r="D239" s="1913">
        <v>42277</v>
      </c>
      <c r="E239" s="1790">
        <v>16784.687999999998</v>
      </c>
      <c r="F239" s="1481">
        <v>59.56</v>
      </c>
      <c r="G239" s="1790">
        <f>E239+F239</f>
        <v>16844.248</v>
      </c>
      <c r="H239" s="1257">
        <v>17405.031999999999</v>
      </c>
      <c r="I239" s="901">
        <f t="shared" si="256"/>
        <v>-560.78399999999965</v>
      </c>
      <c r="J239" s="1815">
        <f t="shared" si="257"/>
        <v>1.0332923143853023</v>
      </c>
      <c r="K239" s="2221">
        <f t="shared" ref="K239" si="263">E239+E240</f>
        <v>17668.018</v>
      </c>
      <c r="L239" s="2218">
        <f>F239+F240</f>
        <v>59.56</v>
      </c>
      <c r="M239" s="2223">
        <f t="shared" ref="M239" si="264">K239+L239</f>
        <v>17727.578000000001</v>
      </c>
      <c r="N239" s="2218">
        <f>H239+H240</f>
        <v>17710.803</v>
      </c>
      <c r="O239" s="2223">
        <f t="shared" ref="O239" si="265">M239-N239</f>
        <v>16.775000000001455</v>
      </c>
      <c r="P239" s="2226">
        <f t="shared" ref="P239" si="266">N239/M239</f>
        <v>0.99905373424389943</v>
      </c>
    </row>
    <row r="240" spans="1:16" ht="17.25" customHeight="1">
      <c r="A240" s="2274"/>
      <c r="B240" s="2210"/>
      <c r="C240" s="900">
        <v>42278</v>
      </c>
      <c r="D240" s="1787">
        <v>42369</v>
      </c>
      <c r="E240" s="948">
        <v>883.33</v>
      </c>
      <c r="F240" s="1616"/>
      <c r="G240" s="948">
        <f>E240+F240+I239</f>
        <v>322.54600000000039</v>
      </c>
      <c r="H240" s="1600">
        <v>305.77100000000002</v>
      </c>
      <c r="I240" s="1750">
        <f t="shared" si="256"/>
        <v>16.775000000000375</v>
      </c>
      <c r="J240" s="1815">
        <f t="shared" si="257"/>
        <v>0.94799191433159813</v>
      </c>
      <c r="K240" s="2222"/>
      <c r="L240" s="2219"/>
      <c r="M240" s="2224"/>
      <c r="N240" s="2219"/>
      <c r="O240" s="2224"/>
      <c r="P240" s="2227"/>
    </row>
    <row r="241" spans="1:16" ht="17.25" customHeight="1">
      <c r="A241" s="2274"/>
      <c r="B241" s="2209" t="s">
        <v>224</v>
      </c>
      <c r="C241" s="1754">
        <v>42005</v>
      </c>
      <c r="D241" s="1913">
        <v>42277</v>
      </c>
      <c r="E241" s="1790">
        <v>26.905000000000001</v>
      </c>
      <c r="F241" s="1481">
        <v>-26.905000000000001</v>
      </c>
      <c r="G241" s="1790">
        <f>E241+F241</f>
        <v>0</v>
      </c>
      <c r="H241" s="1481"/>
      <c r="I241" s="901">
        <f t="shared" si="256"/>
        <v>0</v>
      </c>
      <c r="J241" s="1815" t="e">
        <f t="shared" si="257"/>
        <v>#DIV/0!</v>
      </c>
      <c r="K241" s="2221">
        <f t="shared" ref="K241" si="267">E241+E242</f>
        <v>28.321000000000002</v>
      </c>
      <c r="L241" s="2218">
        <f t="shared" ref="L241" si="268">F241+F242</f>
        <v>-28.321000000000002</v>
      </c>
      <c r="M241" s="2223">
        <f t="shared" ref="M241" si="269">K241+L241</f>
        <v>0</v>
      </c>
      <c r="N241" s="2218">
        <f>H241+H242</f>
        <v>0</v>
      </c>
      <c r="O241" s="2223">
        <f t="shared" ref="O241" si="270">M241-N241</f>
        <v>0</v>
      </c>
      <c r="P241" s="2226" t="e">
        <f t="shared" ref="P241" si="271">N241/M241</f>
        <v>#DIV/0!</v>
      </c>
    </row>
    <row r="242" spans="1:16" ht="17.25" customHeight="1">
      <c r="A242" s="2274"/>
      <c r="B242" s="2210"/>
      <c r="C242" s="900">
        <v>42278</v>
      </c>
      <c r="D242" s="1787">
        <v>42369</v>
      </c>
      <c r="E242" s="948">
        <v>1.4159999999999999</v>
      </c>
      <c r="F242" s="1616">
        <v>-1.4159999999999999</v>
      </c>
      <c r="G242" s="948">
        <f>E242+F242+I241</f>
        <v>0</v>
      </c>
      <c r="H242" s="1616"/>
      <c r="I242" s="1750">
        <f t="shared" si="256"/>
        <v>0</v>
      </c>
      <c r="J242" s="1815" t="e">
        <f t="shared" si="257"/>
        <v>#DIV/0!</v>
      </c>
      <c r="K242" s="2222"/>
      <c r="L242" s="2219"/>
      <c r="M242" s="2224"/>
      <c r="N242" s="2219"/>
      <c r="O242" s="2224"/>
      <c r="P242" s="2227"/>
    </row>
    <row r="243" spans="1:16" ht="17.25" customHeight="1">
      <c r="A243" s="2274"/>
      <c r="B243" s="2267" t="s">
        <v>218</v>
      </c>
      <c r="C243" s="1754">
        <v>42005</v>
      </c>
      <c r="D243" s="1913">
        <v>42277</v>
      </c>
      <c r="E243" s="1790">
        <v>889.12599999999998</v>
      </c>
      <c r="F243" s="1481">
        <v>-889.12599999999998</v>
      </c>
      <c r="G243" s="1790">
        <f>E243+F243</f>
        <v>0</v>
      </c>
      <c r="H243" s="1262"/>
      <c r="I243" s="901">
        <f t="shared" ref="I243:I254" si="272">G243-H243</f>
        <v>0</v>
      </c>
      <c r="J243" s="1815" t="e">
        <f t="shared" ref="J243:J254" si="273">H243/G243</f>
        <v>#DIV/0!</v>
      </c>
      <c r="K243" s="2221">
        <f t="shared" ref="K243" si="274">E243+E244</f>
        <v>935.91800000000001</v>
      </c>
      <c r="L243" s="2218">
        <f t="shared" ref="L243" si="275">F243+F244</f>
        <v>-935.91800000000001</v>
      </c>
      <c r="M243" s="2223">
        <f>K243+L243</f>
        <v>0</v>
      </c>
      <c r="N243" s="2218">
        <f>H243+H244</f>
        <v>0</v>
      </c>
      <c r="O243" s="2223">
        <f>M243-N243</f>
        <v>0</v>
      </c>
      <c r="P243" s="2226" t="e">
        <f t="shared" ref="P243" si="276">N243/M243</f>
        <v>#DIV/0!</v>
      </c>
    </row>
    <row r="244" spans="1:16" ht="17.25" customHeight="1">
      <c r="A244" s="2274"/>
      <c r="B244" s="2268"/>
      <c r="C244" s="900">
        <v>42278</v>
      </c>
      <c r="D244" s="1787">
        <v>42369</v>
      </c>
      <c r="E244" s="948">
        <v>46.792000000000002</v>
      </c>
      <c r="F244" s="1616">
        <v>-46.792000000000002</v>
      </c>
      <c r="G244" s="948">
        <f>E244+F244+I243</f>
        <v>0</v>
      </c>
      <c r="H244" s="1616"/>
      <c r="I244" s="1750">
        <f t="shared" si="272"/>
        <v>0</v>
      </c>
      <c r="J244" s="1815" t="e">
        <f t="shared" si="273"/>
        <v>#DIV/0!</v>
      </c>
      <c r="K244" s="2222"/>
      <c r="L244" s="2219"/>
      <c r="M244" s="2224"/>
      <c r="N244" s="2219"/>
      <c r="O244" s="2224"/>
      <c r="P244" s="2227"/>
    </row>
    <row r="245" spans="1:16" ht="17.25" customHeight="1">
      <c r="A245" s="2274"/>
      <c r="B245" s="2209" t="s">
        <v>226</v>
      </c>
      <c r="C245" s="1754">
        <v>42005</v>
      </c>
      <c r="D245" s="1913">
        <v>42277</v>
      </c>
      <c r="E245" s="1621">
        <v>1453.8610000000001</v>
      </c>
      <c r="F245" s="1481">
        <v>-1528.498</v>
      </c>
      <c r="G245" s="1790">
        <f>E245+F245</f>
        <v>-74.636999999999944</v>
      </c>
      <c r="H245" s="1481"/>
      <c r="I245" s="901">
        <f t="shared" si="272"/>
        <v>-74.636999999999944</v>
      </c>
      <c r="J245" s="1815">
        <f t="shared" si="273"/>
        <v>0</v>
      </c>
      <c r="K245" s="2221">
        <f t="shared" ref="K245" si="277">E245+E246</f>
        <v>1530.374</v>
      </c>
      <c r="L245" s="2218">
        <f t="shared" ref="L245" si="278">F245+F246</f>
        <v>-1528.498</v>
      </c>
      <c r="M245" s="2223">
        <f>K245+L245</f>
        <v>1.8759999999999764</v>
      </c>
      <c r="N245" s="2218">
        <f>H245+H246</f>
        <v>0</v>
      </c>
      <c r="O245" s="2223">
        <f>M245-N245</f>
        <v>1.8759999999999764</v>
      </c>
      <c r="P245" s="2226">
        <f t="shared" ref="P245" si="279">N245/M245</f>
        <v>0</v>
      </c>
    </row>
    <row r="246" spans="1:16" ht="17.25" customHeight="1">
      <c r="A246" s="2274"/>
      <c r="B246" s="2210"/>
      <c r="C246" s="900">
        <v>42278</v>
      </c>
      <c r="D246" s="1787">
        <v>42369</v>
      </c>
      <c r="E246" s="1750">
        <v>76.513000000000005</v>
      </c>
      <c r="F246" s="1616"/>
      <c r="G246" s="948">
        <f>E246+F246+I245</f>
        <v>1.8760000000000616</v>
      </c>
      <c r="H246" s="1616"/>
      <c r="I246" s="1750">
        <f t="shared" si="272"/>
        <v>1.8760000000000616</v>
      </c>
      <c r="J246" s="1815">
        <f t="shared" si="273"/>
        <v>0</v>
      </c>
      <c r="K246" s="2222"/>
      <c r="L246" s="2219"/>
      <c r="M246" s="2224"/>
      <c r="N246" s="2219"/>
      <c r="O246" s="2224"/>
      <c r="P246" s="2227"/>
    </row>
    <row r="247" spans="1:16" ht="17.25" customHeight="1">
      <c r="A247" s="2274"/>
      <c r="B247" s="2209" t="s">
        <v>227</v>
      </c>
      <c r="C247" s="1754">
        <v>42005</v>
      </c>
      <c r="D247" s="1913">
        <v>42277</v>
      </c>
      <c r="E247" s="1790">
        <v>8331.7990000000009</v>
      </c>
      <c r="F247" s="1914">
        <f>2434+66.8-500.74+500.74+50.05+120.15+16.02</f>
        <v>2687.0200000000004</v>
      </c>
      <c r="G247" s="1790">
        <f>E247+F247</f>
        <v>11018.819000000001</v>
      </c>
      <c r="H247" s="1257">
        <v>11260.744999999999</v>
      </c>
      <c r="I247" s="901">
        <f t="shared" si="272"/>
        <v>-241.92599999999766</v>
      </c>
      <c r="J247" s="1815">
        <f t="shared" si="273"/>
        <v>1.0219557104985568</v>
      </c>
      <c r="K247" s="2221">
        <f t="shared" ref="K247" si="280">E247+E248</f>
        <v>8770.2780000000002</v>
      </c>
      <c r="L247" s="2218">
        <f t="shared" ref="L247" si="281">F247+F248</f>
        <v>2687.0200000000004</v>
      </c>
      <c r="M247" s="2223">
        <f>K247+L247</f>
        <v>11457.298000000001</v>
      </c>
      <c r="N247" s="2218">
        <f>H247+H248</f>
        <v>11386.920999999998</v>
      </c>
      <c r="O247" s="2223">
        <f>M247-N247</f>
        <v>70.377000000002226</v>
      </c>
      <c r="P247" s="2226">
        <f t="shared" ref="P247" si="282">N247/M247</f>
        <v>0.99385745225444933</v>
      </c>
    </row>
    <row r="248" spans="1:16" ht="17.25" customHeight="1">
      <c r="A248" s="2274"/>
      <c r="B248" s="2210"/>
      <c r="C248" s="900">
        <v>42278</v>
      </c>
      <c r="D248" s="1787">
        <v>42369</v>
      </c>
      <c r="E248" s="948">
        <v>438.47899999999998</v>
      </c>
      <c r="F248" s="1616"/>
      <c r="G248" s="948">
        <f>E248+F248+I247</f>
        <v>196.55300000000233</v>
      </c>
      <c r="H248" s="1600">
        <v>126.176</v>
      </c>
      <c r="I248" s="1750">
        <f t="shared" si="272"/>
        <v>70.377000000002326</v>
      </c>
      <c r="J248" s="1815">
        <f t="shared" si="273"/>
        <v>0.64194390317114725</v>
      </c>
      <c r="K248" s="2222"/>
      <c r="L248" s="2219"/>
      <c r="M248" s="2224"/>
      <c r="N248" s="2219"/>
      <c r="O248" s="2224"/>
      <c r="P248" s="2227"/>
    </row>
    <row r="249" spans="1:16" ht="17.25" customHeight="1">
      <c r="A249" s="2274"/>
      <c r="B249" s="2209" t="s">
        <v>228</v>
      </c>
      <c r="C249" s="1754">
        <v>42005</v>
      </c>
      <c r="D249" s="1913">
        <v>42277</v>
      </c>
      <c r="E249" s="1790">
        <v>2795.7379999999998</v>
      </c>
      <c r="F249" s="1481">
        <f>28.321+33.516+24.382+13.898+6.058+1033.559+1127.243+1033.559+1041.005+940.288</f>
        <v>5281.8289999999997</v>
      </c>
      <c r="G249" s="1790">
        <f>E249+F249</f>
        <v>8077.5669999999991</v>
      </c>
      <c r="H249" s="1486">
        <v>7729.5329999999994</v>
      </c>
      <c r="I249" s="901">
        <f t="shared" si="272"/>
        <v>348.03399999999965</v>
      </c>
      <c r="J249" s="1815">
        <f t="shared" si="273"/>
        <v>0.95691351120950163</v>
      </c>
      <c r="K249" s="2221">
        <f t="shared" ref="K249" si="283">E249+E250</f>
        <v>2942.87</v>
      </c>
      <c r="L249" s="2218">
        <f t="shared" ref="L249" si="284">F249+F250</f>
        <v>5281.8289999999997</v>
      </c>
      <c r="M249" s="2223">
        <f>K249+L249</f>
        <v>8224.6990000000005</v>
      </c>
      <c r="N249" s="2218">
        <f>H249+H250</f>
        <v>8019.405999999999</v>
      </c>
      <c r="O249" s="2223">
        <f>M249-N249</f>
        <v>205.29300000000148</v>
      </c>
      <c r="P249" s="2226">
        <f t="shared" ref="P249" si="285">N249/M249</f>
        <v>0.9750394512917735</v>
      </c>
    </row>
    <row r="250" spans="1:16" ht="17.25" customHeight="1">
      <c r="A250" s="2274"/>
      <c r="B250" s="2210"/>
      <c r="C250" s="900">
        <v>42278</v>
      </c>
      <c r="D250" s="1787">
        <v>42369</v>
      </c>
      <c r="E250" s="891">
        <v>147.13200000000001</v>
      </c>
      <c r="F250" s="892"/>
      <c r="G250" s="891">
        <f>E250+F250+I249</f>
        <v>495.16599999999966</v>
      </c>
      <c r="H250" s="1885">
        <v>289.87299999999999</v>
      </c>
      <c r="I250" s="901">
        <f t="shared" si="272"/>
        <v>205.29299999999967</v>
      </c>
      <c r="J250" s="1815">
        <f t="shared" si="273"/>
        <v>0.58540570233012801</v>
      </c>
      <c r="K250" s="2222"/>
      <c r="L250" s="2219"/>
      <c r="M250" s="2224"/>
      <c r="N250" s="2217"/>
      <c r="O250" s="2224"/>
      <c r="P250" s="2227"/>
    </row>
    <row r="251" spans="1:16" ht="17.25" customHeight="1">
      <c r="A251" s="2274"/>
      <c r="B251" s="2209" t="s">
        <v>229</v>
      </c>
      <c r="C251" s="1754">
        <v>42005</v>
      </c>
      <c r="D251" s="1913">
        <v>42277</v>
      </c>
      <c r="E251" s="1621">
        <v>2459.373</v>
      </c>
      <c r="F251" s="1481">
        <v>-2459.373</v>
      </c>
      <c r="G251" s="1790">
        <f>E251+F251</f>
        <v>0</v>
      </c>
      <c r="H251" s="1481"/>
      <c r="I251" s="1621">
        <f t="shared" si="272"/>
        <v>0</v>
      </c>
      <c r="J251" s="1815" t="e">
        <f t="shared" si="273"/>
        <v>#DIV/0!</v>
      </c>
      <c r="K251" s="2221">
        <f t="shared" ref="K251" si="286">E251+E252</f>
        <v>2588.8029999999999</v>
      </c>
      <c r="L251" s="2218">
        <f t="shared" ref="L251" si="287">F251+F252</f>
        <v>-2588.8029999999999</v>
      </c>
      <c r="M251" s="2223">
        <f>K251+L251</f>
        <v>0</v>
      </c>
      <c r="N251" s="2218">
        <f>H251+H252</f>
        <v>0</v>
      </c>
      <c r="O251" s="2223">
        <f>M251-N251</f>
        <v>0</v>
      </c>
      <c r="P251" s="2226" t="e">
        <f t="shared" ref="P251" si="288">N251/M251</f>
        <v>#DIV/0!</v>
      </c>
    </row>
    <row r="252" spans="1:16" ht="17.25" customHeight="1">
      <c r="A252" s="2274"/>
      <c r="B252" s="2210"/>
      <c r="C252" s="900">
        <v>42278</v>
      </c>
      <c r="D252" s="1787">
        <v>42369</v>
      </c>
      <c r="E252" s="1750">
        <v>129.43</v>
      </c>
      <c r="F252" s="1616">
        <v>-129.43</v>
      </c>
      <c r="G252" s="948">
        <f>E252+F252+I251</f>
        <v>0</v>
      </c>
      <c r="H252" s="1616"/>
      <c r="I252" s="1750">
        <f t="shared" si="272"/>
        <v>0</v>
      </c>
      <c r="J252" s="910" t="e">
        <f t="shared" si="273"/>
        <v>#DIV/0!</v>
      </c>
      <c r="K252" s="2222"/>
      <c r="L252" s="2219"/>
      <c r="M252" s="2224"/>
      <c r="N252" s="2219"/>
      <c r="O252" s="2224"/>
      <c r="P252" s="2227"/>
    </row>
    <row r="253" spans="1:16" ht="15" customHeight="1">
      <c r="A253" s="2274"/>
      <c r="B253" s="2209" t="s">
        <v>237</v>
      </c>
      <c r="C253" s="1754">
        <v>42005</v>
      </c>
      <c r="D253" s="1913">
        <v>42277</v>
      </c>
      <c r="E253" s="1790">
        <v>13.202999999999999</v>
      </c>
      <c r="F253" s="1481">
        <v>-13.202999999999999</v>
      </c>
      <c r="G253" s="1790">
        <f>E253+F253</f>
        <v>0</v>
      </c>
      <c r="H253" s="1481"/>
      <c r="I253" s="1621">
        <f t="shared" si="272"/>
        <v>0</v>
      </c>
      <c r="J253" s="1815" t="e">
        <f t="shared" si="273"/>
        <v>#DIV/0!</v>
      </c>
      <c r="K253" s="2221">
        <f t="shared" ref="K253" si="289">E253+E254</f>
        <v>13.898</v>
      </c>
      <c r="L253" s="2218">
        <f t="shared" ref="L253" si="290">F253+F254</f>
        <v>-13.898</v>
      </c>
      <c r="M253" s="2223">
        <f>K253+L253</f>
        <v>0</v>
      </c>
      <c r="N253" s="2218">
        <f>H253+H254</f>
        <v>0</v>
      </c>
      <c r="O253" s="2223">
        <f>M253-N253</f>
        <v>0</v>
      </c>
      <c r="P253" s="2226" t="e">
        <f t="shared" ref="P253" si="291">N253/M253</f>
        <v>#DIV/0!</v>
      </c>
    </row>
    <row r="254" spans="1:16" ht="17.25" customHeight="1">
      <c r="A254" s="2274"/>
      <c r="B254" s="2210"/>
      <c r="C254" s="900">
        <v>42278</v>
      </c>
      <c r="D254" s="1787">
        <v>42369</v>
      </c>
      <c r="E254" s="948">
        <v>0.69499999999999995</v>
      </c>
      <c r="F254" s="1616">
        <v>-0.69499999999999995</v>
      </c>
      <c r="G254" s="948">
        <f>E254+F254+I253</f>
        <v>0</v>
      </c>
      <c r="H254" s="892"/>
      <c r="I254" s="1750">
        <f t="shared" si="272"/>
        <v>0</v>
      </c>
      <c r="J254" s="910" t="e">
        <f t="shared" si="273"/>
        <v>#DIV/0!</v>
      </c>
      <c r="K254" s="2222"/>
      <c r="L254" s="2219"/>
      <c r="M254" s="2224"/>
      <c r="N254" s="2219"/>
      <c r="O254" s="2224"/>
      <c r="P254" s="2227"/>
    </row>
    <row r="255" spans="1:16" ht="17.25" customHeight="1">
      <c r="A255" s="2274"/>
      <c r="B255" s="2209" t="s">
        <v>215</v>
      </c>
      <c r="C255" s="1754">
        <v>42005</v>
      </c>
      <c r="D255" s="1913">
        <v>42277</v>
      </c>
      <c r="E255" s="1790">
        <v>38353.277999999998</v>
      </c>
      <c r="F255" s="1914">
        <f>-2999.998-3500+2000+5500+1900+100+150</f>
        <v>3150.0020000000004</v>
      </c>
      <c r="G255" s="1790">
        <f>E255+F255</f>
        <v>41503.279999999999</v>
      </c>
      <c r="H255" s="1486">
        <v>42205.355999999992</v>
      </c>
      <c r="I255" s="1621">
        <f t="shared" ref="I255:I256" si="292">G255-H255</f>
        <v>-702.07599999999366</v>
      </c>
      <c r="J255" s="1815">
        <f t="shared" ref="J255:J256" si="293">H255/G255</f>
        <v>1.016916156988074</v>
      </c>
      <c r="K255" s="2221">
        <f t="shared" ref="K255" si="294">E255+E256</f>
        <v>40371.701999999997</v>
      </c>
      <c r="L255" s="2218">
        <f t="shared" ref="L255" si="295">F255+F256</f>
        <v>3150.0020000000004</v>
      </c>
      <c r="M255" s="2223">
        <f>K255+L255</f>
        <v>43521.703999999998</v>
      </c>
      <c r="N255" s="2218">
        <f>H255+H256</f>
        <v>43304.319999999992</v>
      </c>
      <c r="O255" s="2223">
        <f>M255-N255</f>
        <v>217.38400000000547</v>
      </c>
      <c r="P255" s="2226">
        <f t="shared" ref="P255" si="296">N255/M255</f>
        <v>0.99500515880536278</v>
      </c>
    </row>
    <row r="256" spans="1:16" ht="17.25" customHeight="1">
      <c r="A256" s="2274"/>
      <c r="B256" s="2210"/>
      <c r="C256" s="900">
        <v>42278</v>
      </c>
      <c r="D256" s="1787">
        <v>42369</v>
      </c>
      <c r="E256" s="948">
        <v>2018.424</v>
      </c>
      <c r="F256" s="1616"/>
      <c r="G256" s="948">
        <f>E256+F256+I255</f>
        <v>1316.3480000000063</v>
      </c>
      <c r="H256" s="1795">
        <v>1098.9639999999999</v>
      </c>
      <c r="I256" s="1750">
        <f t="shared" si="292"/>
        <v>217.38400000000638</v>
      </c>
      <c r="J256" s="910">
        <f t="shared" si="293"/>
        <v>0.83485825936606028</v>
      </c>
      <c r="K256" s="2222"/>
      <c r="L256" s="2219"/>
      <c r="M256" s="2224"/>
      <c r="N256" s="2219"/>
      <c r="O256" s="2224"/>
      <c r="P256" s="2227"/>
    </row>
    <row r="257" spans="1:16" ht="17.25" customHeight="1">
      <c r="A257" s="2274"/>
      <c r="B257" s="2209" t="s">
        <v>231</v>
      </c>
      <c r="C257" s="1754">
        <v>42005</v>
      </c>
      <c r="D257" s="1913">
        <v>42277</v>
      </c>
      <c r="E257" s="1790">
        <v>526.03499999999997</v>
      </c>
      <c r="F257" s="1481">
        <v>-526.03499999999997</v>
      </c>
      <c r="G257" s="1790">
        <f>E257+F257</f>
        <v>0</v>
      </c>
      <c r="H257" s="1481"/>
      <c r="I257" s="1621">
        <f t="shared" ref="I257:I279" si="297">G257-H257</f>
        <v>0</v>
      </c>
      <c r="J257" s="1815" t="e">
        <f t="shared" ref="J257:J279" si="298">H257/G257</f>
        <v>#DIV/0!</v>
      </c>
      <c r="K257" s="2221">
        <f t="shared" ref="K257" si="299">E257+E258</f>
        <v>553.71899999999994</v>
      </c>
      <c r="L257" s="2218">
        <f t="shared" ref="L257" si="300">F257+F258</f>
        <v>-553.71899999999994</v>
      </c>
      <c r="M257" s="2223">
        <f>K257+L257</f>
        <v>0</v>
      </c>
      <c r="N257" s="2218">
        <f>H257+H258</f>
        <v>0</v>
      </c>
      <c r="O257" s="2223">
        <f>M257-N257</f>
        <v>0</v>
      </c>
      <c r="P257" s="2226" t="e">
        <f t="shared" ref="P257" si="301">N257/M257</f>
        <v>#DIV/0!</v>
      </c>
    </row>
    <row r="258" spans="1:16" ht="17.25" customHeight="1">
      <c r="A258" s="2274"/>
      <c r="B258" s="2210"/>
      <c r="C258" s="900">
        <v>42278</v>
      </c>
      <c r="D258" s="1787">
        <v>42369</v>
      </c>
      <c r="E258" s="948">
        <v>27.684000000000001</v>
      </c>
      <c r="F258" s="1616">
        <v>-27.684000000000001</v>
      </c>
      <c r="G258" s="948">
        <f>E258+F258+I257</f>
        <v>0</v>
      </c>
      <c r="H258" s="1616"/>
      <c r="I258" s="1750">
        <f t="shared" si="297"/>
        <v>0</v>
      </c>
      <c r="J258" s="910" t="e">
        <f t="shared" si="298"/>
        <v>#DIV/0!</v>
      </c>
      <c r="K258" s="2222"/>
      <c r="L258" s="2219"/>
      <c r="M258" s="2224"/>
      <c r="N258" s="2219"/>
      <c r="O258" s="2224"/>
      <c r="P258" s="2227"/>
    </row>
    <row r="259" spans="1:16" ht="17.25" customHeight="1">
      <c r="A259" s="2274"/>
      <c r="B259" s="2209" t="s">
        <v>238</v>
      </c>
      <c r="C259" s="1754">
        <v>42005</v>
      </c>
      <c r="D259" s="1913">
        <v>42277</v>
      </c>
      <c r="E259" s="1790">
        <v>68.777000000000001</v>
      </c>
      <c r="F259" s="1481"/>
      <c r="G259" s="1790">
        <f>E259+F259</f>
        <v>68.777000000000001</v>
      </c>
      <c r="H259" s="1481"/>
      <c r="I259" s="1621">
        <f t="shared" si="297"/>
        <v>68.777000000000001</v>
      </c>
      <c r="J259" s="1815">
        <f t="shared" si="298"/>
        <v>0</v>
      </c>
      <c r="K259" s="2221">
        <f t="shared" ref="K259" si="302">E259+E260</f>
        <v>72.397000000000006</v>
      </c>
      <c r="L259" s="2218">
        <f t="shared" ref="L259" si="303">F259+F260</f>
        <v>0</v>
      </c>
      <c r="M259" s="2223">
        <f>K259+L259</f>
        <v>72.397000000000006</v>
      </c>
      <c r="N259" s="2218">
        <f>H259+H260</f>
        <v>0</v>
      </c>
      <c r="O259" s="2223">
        <f>M259-N259</f>
        <v>72.397000000000006</v>
      </c>
      <c r="P259" s="2226">
        <f t="shared" ref="P259" si="304">N259/M259</f>
        <v>0</v>
      </c>
    </row>
    <row r="260" spans="1:16" ht="17.25" customHeight="1">
      <c r="A260" s="2274"/>
      <c r="B260" s="2210"/>
      <c r="C260" s="900">
        <v>42278</v>
      </c>
      <c r="D260" s="1787">
        <v>42369</v>
      </c>
      <c r="E260" s="948">
        <v>3.62</v>
      </c>
      <c r="F260" s="1616"/>
      <c r="G260" s="948">
        <f>E260+F260+I259</f>
        <v>72.397000000000006</v>
      </c>
      <c r="H260" s="1616"/>
      <c r="I260" s="1750">
        <f t="shared" si="297"/>
        <v>72.397000000000006</v>
      </c>
      <c r="J260" s="910">
        <f t="shared" si="298"/>
        <v>0</v>
      </c>
      <c r="K260" s="2222"/>
      <c r="L260" s="2219"/>
      <c r="M260" s="2224"/>
      <c r="N260" s="2219"/>
      <c r="O260" s="2224"/>
      <c r="P260" s="2227"/>
    </row>
    <row r="261" spans="1:16" ht="17.25" customHeight="1">
      <c r="A261" s="2274"/>
      <c r="B261" s="2209" t="s">
        <v>239</v>
      </c>
      <c r="C261" s="1754">
        <v>42005</v>
      </c>
      <c r="D261" s="1913">
        <v>42277</v>
      </c>
      <c r="E261" s="1790">
        <v>893.27800000000002</v>
      </c>
      <c r="F261" s="1481">
        <v>-893.27800000000002</v>
      </c>
      <c r="G261" s="1790">
        <f>E261+F261</f>
        <v>0</v>
      </c>
      <c r="H261" s="892"/>
      <c r="I261" s="1621">
        <f t="shared" si="297"/>
        <v>0</v>
      </c>
      <c r="J261" s="1815" t="e">
        <f t="shared" si="298"/>
        <v>#DIV/0!</v>
      </c>
      <c r="K261" s="2221">
        <f t="shared" ref="K261" si="305">E261+E262</f>
        <v>940.28899999999999</v>
      </c>
      <c r="L261" s="2218">
        <f t="shared" ref="L261" si="306">F261+F262</f>
        <v>-940.28899999999999</v>
      </c>
      <c r="M261" s="2223">
        <f>K261+L261</f>
        <v>0</v>
      </c>
      <c r="N261" s="2218">
        <f>H261+H262</f>
        <v>0</v>
      </c>
      <c r="O261" s="2223">
        <f>M261-N261</f>
        <v>0</v>
      </c>
      <c r="P261" s="2226" t="e">
        <f t="shared" ref="P261" si="307">N261/M261</f>
        <v>#DIV/0!</v>
      </c>
    </row>
    <row r="262" spans="1:16" ht="17.25" customHeight="1">
      <c r="A262" s="2274"/>
      <c r="B262" s="2210"/>
      <c r="C262" s="900">
        <v>42278</v>
      </c>
      <c r="D262" s="1787">
        <v>42369</v>
      </c>
      <c r="E262" s="948">
        <v>47.011000000000003</v>
      </c>
      <c r="F262" s="1616">
        <v>-47.011000000000003</v>
      </c>
      <c r="G262" s="948">
        <f>E262+F262+I261</f>
        <v>0</v>
      </c>
      <c r="H262" s="1616"/>
      <c r="I262" s="1750">
        <f t="shared" si="297"/>
        <v>0</v>
      </c>
      <c r="J262" s="910" t="e">
        <f t="shared" si="298"/>
        <v>#DIV/0!</v>
      </c>
      <c r="K262" s="2222"/>
      <c r="L262" s="2219"/>
      <c r="M262" s="2224"/>
      <c r="N262" s="2219"/>
      <c r="O262" s="2224"/>
      <c r="P262" s="2227"/>
    </row>
    <row r="263" spans="1:16" ht="17.25" customHeight="1">
      <c r="A263" s="2274"/>
      <c r="B263" s="2209" t="s">
        <v>240</v>
      </c>
      <c r="C263" s="1754">
        <v>42005</v>
      </c>
      <c r="D263" s="1913">
        <v>42277</v>
      </c>
      <c r="E263" s="1790">
        <v>1070.885</v>
      </c>
      <c r="F263" s="1481">
        <v>-1070.885</v>
      </c>
      <c r="G263" s="1790">
        <f>E263+F263</f>
        <v>0</v>
      </c>
      <c r="H263" s="1481"/>
      <c r="I263" s="1621">
        <f t="shared" si="297"/>
        <v>0</v>
      </c>
      <c r="J263" s="1815" t="e">
        <f t="shared" si="298"/>
        <v>#DIV/0!</v>
      </c>
      <c r="K263" s="2221">
        <f t="shared" ref="K263" si="308">E263+E264</f>
        <v>1127.2429999999999</v>
      </c>
      <c r="L263" s="2218">
        <f t="shared" ref="L263" si="309">F263+F264</f>
        <v>-1127.2429999999999</v>
      </c>
      <c r="M263" s="2223">
        <f>K263+L263</f>
        <v>0</v>
      </c>
      <c r="N263" s="2218">
        <f>H263+H264</f>
        <v>0</v>
      </c>
      <c r="O263" s="2223">
        <f>M263-N263</f>
        <v>0</v>
      </c>
      <c r="P263" s="2226" t="e">
        <f>N263/M263</f>
        <v>#DIV/0!</v>
      </c>
    </row>
    <row r="264" spans="1:16" ht="17.25" customHeight="1">
      <c r="A264" s="2274"/>
      <c r="B264" s="2210"/>
      <c r="C264" s="900">
        <v>42278</v>
      </c>
      <c r="D264" s="1787">
        <v>42369</v>
      </c>
      <c r="E264" s="948">
        <v>56.357999999999997</v>
      </c>
      <c r="F264" s="1616">
        <v>-56.357999999999997</v>
      </c>
      <c r="G264" s="948">
        <f>E264+F264+I263</f>
        <v>0</v>
      </c>
      <c r="H264" s="1616"/>
      <c r="I264" s="1750">
        <f t="shared" si="297"/>
        <v>0</v>
      </c>
      <c r="J264" s="910" t="e">
        <f t="shared" si="298"/>
        <v>#DIV/0!</v>
      </c>
      <c r="K264" s="2222"/>
      <c r="L264" s="2219"/>
      <c r="M264" s="2224"/>
      <c r="N264" s="2219"/>
      <c r="O264" s="2224"/>
      <c r="P264" s="2227"/>
    </row>
    <row r="265" spans="1:16" ht="17.25" customHeight="1">
      <c r="A265" s="2274"/>
      <c r="B265" s="2209" t="s">
        <v>241</v>
      </c>
      <c r="C265" s="1754">
        <v>42005</v>
      </c>
      <c r="D265" s="1913">
        <v>42277</v>
      </c>
      <c r="E265" s="1790">
        <v>981.88599999999997</v>
      </c>
      <c r="F265" s="1481">
        <v>-981.88599999999997</v>
      </c>
      <c r="G265" s="1790">
        <f>E265+F265</f>
        <v>0</v>
      </c>
      <c r="H265" s="1481"/>
      <c r="I265" s="901">
        <f t="shared" si="297"/>
        <v>0</v>
      </c>
      <c r="J265" s="1815" t="e">
        <f t="shared" si="298"/>
        <v>#DIV/0!</v>
      </c>
      <c r="K265" s="2221">
        <f t="shared" ref="K265" si="310">E265+E266</f>
        <v>1033.56</v>
      </c>
      <c r="L265" s="2218">
        <f t="shared" ref="L265" si="311">F265+F266</f>
        <v>-1033.56</v>
      </c>
      <c r="M265" s="2223">
        <f t="shared" ref="M265" si="312">K265+L265</f>
        <v>0</v>
      </c>
      <c r="N265" s="2218">
        <f>H265+H266</f>
        <v>0</v>
      </c>
      <c r="O265" s="2223">
        <f t="shared" ref="O265" si="313">M265-N265</f>
        <v>0</v>
      </c>
      <c r="P265" s="2226" t="e">
        <f t="shared" ref="P265" si="314">N265/M265</f>
        <v>#DIV/0!</v>
      </c>
    </row>
    <row r="266" spans="1:16" ht="17.25" customHeight="1">
      <c r="A266" s="2274"/>
      <c r="B266" s="2210"/>
      <c r="C266" s="900">
        <v>42278</v>
      </c>
      <c r="D266" s="1787">
        <v>42369</v>
      </c>
      <c r="E266" s="948">
        <v>51.673999999999999</v>
      </c>
      <c r="F266" s="1616">
        <v>-51.673999999999999</v>
      </c>
      <c r="G266" s="948">
        <f>E266+F266+I265</f>
        <v>0</v>
      </c>
      <c r="H266" s="1616"/>
      <c r="I266" s="1750">
        <f t="shared" si="297"/>
        <v>0</v>
      </c>
      <c r="J266" s="1815" t="e">
        <f t="shared" si="298"/>
        <v>#DIV/0!</v>
      </c>
      <c r="K266" s="2222"/>
      <c r="L266" s="2219"/>
      <c r="M266" s="2224"/>
      <c r="N266" s="2219"/>
      <c r="O266" s="2224"/>
      <c r="P266" s="2227"/>
    </row>
    <row r="267" spans="1:16" ht="17.25" customHeight="1">
      <c r="A267" s="2274"/>
      <c r="B267" s="2209" t="s">
        <v>242</v>
      </c>
      <c r="C267" s="1754">
        <v>42005</v>
      </c>
      <c r="D267" s="1913">
        <v>42277</v>
      </c>
      <c r="E267" s="1790">
        <v>981.88599999999997</v>
      </c>
      <c r="F267" s="1481">
        <v>-981.88599999999997</v>
      </c>
      <c r="G267" s="1790">
        <f>E267+F267</f>
        <v>0</v>
      </c>
      <c r="H267" s="1481"/>
      <c r="I267" s="901">
        <f t="shared" si="297"/>
        <v>0</v>
      </c>
      <c r="J267" s="1815" t="e">
        <f t="shared" si="298"/>
        <v>#DIV/0!</v>
      </c>
      <c r="K267" s="2221">
        <f t="shared" ref="K267" si="315">E267+E268</f>
        <v>1033.56</v>
      </c>
      <c r="L267" s="2218">
        <f t="shared" ref="L267" si="316">F267+F268</f>
        <v>-1033.56</v>
      </c>
      <c r="M267" s="2223">
        <f t="shared" ref="M267" si="317">K267+L267</f>
        <v>0</v>
      </c>
      <c r="N267" s="2218">
        <f>H267+H268</f>
        <v>0</v>
      </c>
      <c r="O267" s="2223">
        <f t="shared" ref="O267" si="318">M267-N267</f>
        <v>0</v>
      </c>
      <c r="P267" s="2226" t="e">
        <f t="shared" ref="P267" si="319">N267/M267</f>
        <v>#DIV/0!</v>
      </c>
    </row>
    <row r="268" spans="1:16" ht="17.25" customHeight="1">
      <c r="A268" s="2274"/>
      <c r="B268" s="2210"/>
      <c r="C268" s="900">
        <v>42278</v>
      </c>
      <c r="D268" s="1787">
        <v>42369</v>
      </c>
      <c r="E268" s="948">
        <v>51.673999999999999</v>
      </c>
      <c r="F268" s="1616">
        <v>-51.673999999999999</v>
      </c>
      <c r="G268" s="948">
        <f>E268+F268+I267</f>
        <v>0</v>
      </c>
      <c r="H268" s="1616"/>
      <c r="I268" s="1750">
        <f t="shared" si="297"/>
        <v>0</v>
      </c>
      <c r="J268" s="1815" t="e">
        <f t="shared" si="298"/>
        <v>#DIV/0!</v>
      </c>
      <c r="K268" s="2222"/>
      <c r="L268" s="2219"/>
      <c r="M268" s="2224"/>
      <c r="N268" s="2219"/>
      <c r="O268" s="2224"/>
      <c r="P268" s="2227"/>
    </row>
    <row r="269" spans="1:16" ht="17.25" customHeight="1">
      <c r="A269" s="2274"/>
      <c r="B269" s="2209" t="s">
        <v>243</v>
      </c>
      <c r="C269" s="1754">
        <v>42005</v>
      </c>
      <c r="D269" s="1913">
        <v>42277</v>
      </c>
      <c r="E269" s="1790">
        <v>981.88599999999997</v>
      </c>
      <c r="F269" s="1481">
        <v>-981.88599999999997</v>
      </c>
      <c r="G269" s="1790">
        <f>E269+F269</f>
        <v>0</v>
      </c>
      <c r="H269" s="1481"/>
      <c r="I269" s="901">
        <f t="shared" si="297"/>
        <v>0</v>
      </c>
      <c r="J269" s="1815" t="e">
        <f t="shared" si="298"/>
        <v>#DIV/0!</v>
      </c>
      <c r="K269" s="2221">
        <f t="shared" ref="K269" si="320">E269+E270</f>
        <v>1033.56</v>
      </c>
      <c r="L269" s="2218">
        <f t="shared" ref="L269" si="321">F269+F270</f>
        <v>-1033.56</v>
      </c>
      <c r="M269" s="2223">
        <f t="shared" ref="M269" si="322">K269+L269</f>
        <v>0</v>
      </c>
      <c r="N269" s="2218">
        <f>H269+H270</f>
        <v>0</v>
      </c>
      <c r="O269" s="2223">
        <f t="shared" ref="O269" si="323">M269-N269</f>
        <v>0</v>
      </c>
      <c r="P269" s="2226" t="e">
        <f t="shared" ref="P269" si="324">N269/M269</f>
        <v>#DIV/0!</v>
      </c>
    </row>
    <row r="270" spans="1:16" ht="17.25" customHeight="1">
      <c r="A270" s="2274"/>
      <c r="B270" s="2210"/>
      <c r="C270" s="900">
        <v>42278</v>
      </c>
      <c r="D270" s="1787">
        <v>42369</v>
      </c>
      <c r="E270" s="948">
        <v>51.673999999999999</v>
      </c>
      <c r="F270" s="1616">
        <v>-51.673999999999999</v>
      </c>
      <c r="G270" s="948">
        <f>E270+F270+I269</f>
        <v>0</v>
      </c>
      <c r="H270" s="1616"/>
      <c r="I270" s="1750">
        <f t="shared" si="297"/>
        <v>0</v>
      </c>
      <c r="J270" s="1815" t="e">
        <f t="shared" si="298"/>
        <v>#DIV/0!</v>
      </c>
      <c r="K270" s="2222"/>
      <c r="L270" s="2219"/>
      <c r="M270" s="2224"/>
      <c r="N270" s="2219"/>
      <c r="O270" s="2224"/>
      <c r="P270" s="2227"/>
    </row>
    <row r="271" spans="1:16" ht="17.25" customHeight="1">
      <c r="A271" s="2274"/>
      <c r="B271" s="2209" t="s">
        <v>244</v>
      </c>
      <c r="C271" s="1754">
        <v>42005</v>
      </c>
      <c r="D271" s="1913">
        <v>42277</v>
      </c>
      <c r="E271" s="1790">
        <v>981.88599999999997</v>
      </c>
      <c r="F271" s="1481">
        <v>-981.88599999999997</v>
      </c>
      <c r="G271" s="1790">
        <f>E271+F271</f>
        <v>0</v>
      </c>
      <c r="H271" s="1481"/>
      <c r="I271" s="901">
        <f t="shared" si="297"/>
        <v>0</v>
      </c>
      <c r="J271" s="1815" t="e">
        <f t="shared" si="298"/>
        <v>#DIV/0!</v>
      </c>
      <c r="K271" s="2221">
        <f t="shared" ref="K271" si="325">E271+E272</f>
        <v>1033.56</v>
      </c>
      <c r="L271" s="2218">
        <f t="shared" ref="L271" si="326">F271+F272</f>
        <v>-1033.56</v>
      </c>
      <c r="M271" s="2223">
        <f t="shared" ref="M271" si="327">K271+L271</f>
        <v>0</v>
      </c>
      <c r="N271" s="2218">
        <f>H271+H272</f>
        <v>0</v>
      </c>
      <c r="O271" s="2223">
        <f t="shared" ref="O271" si="328">M271-N271</f>
        <v>0</v>
      </c>
      <c r="P271" s="2226" t="e">
        <f t="shared" ref="P271" si="329">N271/M271</f>
        <v>#DIV/0!</v>
      </c>
    </row>
    <row r="272" spans="1:16" ht="17.25" customHeight="1">
      <c r="A272" s="2274"/>
      <c r="B272" s="2210"/>
      <c r="C272" s="900">
        <v>42278</v>
      </c>
      <c r="D272" s="1787">
        <v>42369</v>
      </c>
      <c r="E272" s="948">
        <v>51.673999999999999</v>
      </c>
      <c r="F272" s="1616">
        <v>-51.673999999999999</v>
      </c>
      <c r="G272" s="948">
        <f>E272+F272+I271</f>
        <v>0</v>
      </c>
      <c r="H272" s="1616"/>
      <c r="I272" s="1750">
        <f t="shared" si="297"/>
        <v>0</v>
      </c>
      <c r="J272" s="1815" t="e">
        <f t="shared" si="298"/>
        <v>#DIV/0!</v>
      </c>
      <c r="K272" s="2222"/>
      <c r="L272" s="2219"/>
      <c r="M272" s="2224"/>
      <c r="N272" s="2219"/>
      <c r="O272" s="2224"/>
      <c r="P272" s="2227"/>
    </row>
    <row r="273" spans="1:16" ht="17.25" customHeight="1">
      <c r="A273" s="2274"/>
      <c r="B273" s="2209" t="s">
        <v>245</v>
      </c>
      <c r="C273" s="1754">
        <v>42005</v>
      </c>
      <c r="D273" s="1913">
        <v>42277</v>
      </c>
      <c r="E273" s="1790">
        <v>981.88599999999997</v>
      </c>
      <c r="F273" s="1481">
        <v>-981.88599999999997</v>
      </c>
      <c r="G273" s="1790">
        <f>E273+F273</f>
        <v>0</v>
      </c>
      <c r="H273" s="1481"/>
      <c r="I273" s="901">
        <f t="shared" si="297"/>
        <v>0</v>
      </c>
      <c r="J273" s="1815" t="e">
        <f t="shared" si="298"/>
        <v>#DIV/0!</v>
      </c>
      <c r="K273" s="2221">
        <f t="shared" ref="K273" si="330">E273+E274</f>
        <v>1033.56</v>
      </c>
      <c r="L273" s="2218">
        <f t="shared" ref="L273" si="331">F273+F274</f>
        <v>-1033.56</v>
      </c>
      <c r="M273" s="2223">
        <f t="shared" ref="M273" si="332">K273+L273</f>
        <v>0</v>
      </c>
      <c r="N273" s="2218">
        <f>H273+H274</f>
        <v>0</v>
      </c>
      <c r="O273" s="2223">
        <f t="shared" ref="O273" si="333">M273-N273</f>
        <v>0</v>
      </c>
      <c r="P273" s="2226" t="e">
        <f t="shared" ref="P273" si="334">N273/M273</f>
        <v>#DIV/0!</v>
      </c>
    </row>
    <row r="274" spans="1:16" ht="17.25" customHeight="1">
      <c r="A274" s="2274"/>
      <c r="B274" s="2210"/>
      <c r="C274" s="900">
        <v>42278</v>
      </c>
      <c r="D274" s="1787">
        <v>42369</v>
      </c>
      <c r="E274" s="948">
        <v>51.673999999999999</v>
      </c>
      <c r="F274" s="1616">
        <v>-51.673999999999999</v>
      </c>
      <c r="G274" s="948">
        <f>E274+F274+I273</f>
        <v>0</v>
      </c>
      <c r="H274" s="1616"/>
      <c r="I274" s="1750">
        <f t="shared" si="297"/>
        <v>0</v>
      </c>
      <c r="J274" s="1815" t="e">
        <f t="shared" si="298"/>
        <v>#DIV/0!</v>
      </c>
      <c r="K274" s="2222"/>
      <c r="L274" s="2219"/>
      <c r="M274" s="2224"/>
      <c r="N274" s="2219"/>
      <c r="O274" s="2224"/>
      <c r="P274" s="2227"/>
    </row>
    <row r="275" spans="1:16" ht="17.25" customHeight="1">
      <c r="A275" s="2274"/>
      <c r="B275" s="2209" t="s">
        <v>246</v>
      </c>
      <c r="C275" s="1754">
        <v>42005</v>
      </c>
      <c r="D275" s="1913">
        <v>42277</v>
      </c>
      <c r="E275" s="1790">
        <v>981.88599999999997</v>
      </c>
      <c r="F275" s="1481">
        <v>-981.88599999999997</v>
      </c>
      <c r="G275" s="1790">
        <f>E275+F275</f>
        <v>0</v>
      </c>
      <c r="H275" s="1481"/>
      <c r="I275" s="901">
        <f t="shared" si="297"/>
        <v>0</v>
      </c>
      <c r="J275" s="1815" t="e">
        <f t="shared" si="298"/>
        <v>#DIV/0!</v>
      </c>
      <c r="K275" s="2221">
        <f t="shared" ref="K275" si="335">E275+E276</f>
        <v>1033.56</v>
      </c>
      <c r="L275" s="2218">
        <f t="shared" ref="L275" si="336">F275+F276</f>
        <v>-1033.56</v>
      </c>
      <c r="M275" s="2223">
        <f>K275+L275</f>
        <v>0</v>
      </c>
      <c r="N275" s="2218">
        <f>H275+H276</f>
        <v>0</v>
      </c>
      <c r="O275" s="2223">
        <f t="shared" ref="O275" si="337">M275-N275</f>
        <v>0</v>
      </c>
      <c r="P275" s="2226" t="e">
        <f t="shared" ref="P275" si="338">N275/M275</f>
        <v>#DIV/0!</v>
      </c>
    </row>
    <row r="276" spans="1:16" ht="17.25" customHeight="1">
      <c r="A276" s="2274"/>
      <c r="B276" s="2210"/>
      <c r="C276" s="900">
        <v>42278</v>
      </c>
      <c r="D276" s="1787">
        <v>42369</v>
      </c>
      <c r="E276" s="948">
        <v>51.673999999999999</v>
      </c>
      <c r="F276" s="1616">
        <v>-51.673999999999999</v>
      </c>
      <c r="G276" s="948">
        <f>E276+F276+I275</f>
        <v>0</v>
      </c>
      <c r="H276" s="1616"/>
      <c r="I276" s="1750">
        <f t="shared" si="297"/>
        <v>0</v>
      </c>
      <c r="J276" s="1815" t="e">
        <f t="shared" si="298"/>
        <v>#DIV/0!</v>
      </c>
      <c r="K276" s="2222"/>
      <c r="L276" s="2219"/>
      <c r="M276" s="2224"/>
      <c r="N276" s="2219"/>
      <c r="O276" s="2224"/>
      <c r="P276" s="2227"/>
    </row>
    <row r="277" spans="1:16" ht="17.25" customHeight="1">
      <c r="A277" s="2274"/>
      <c r="B277" s="2209" t="s">
        <v>254</v>
      </c>
      <c r="C277" s="1754">
        <v>42005</v>
      </c>
      <c r="D277" s="1913">
        <v>42277</v>
      </c>
      <c r="E277" s="1790">
        <v>981.88599999999997</v>
      </c>
      <c r="F277" s="1481">
        <v>-981.88599999999997</v>
      </c>
      <c r="G277" s="1790">
        <f>E277+F277</f>
        <v>0</v>
      </c>
      <c r="H277" s="1481"/>
      <c r="I277" s="901">
        <f t="shared" si="297"/>
        <v>0</v>
      </c>
      <c r="J277" s="1815" t="e">
        <f t="shared" si="298"/>
        <v>#DIV/0!</v>
      </c>
      <c r="K277" s="2221">
        <f t="shared" ref="K277" si="339">E277+E278</f>
        <v>1033.56</v>
      </c>
      <c r="L277" s="2218">
        <f t="shared" ref="L277" si="340">F277+F278</f>
        <v>-1033.56</v>
      </c>
      <c r="M277" s="2223">
        <f>K277+L277</f>
        <v>0</v>
      </c>
      <c r="N277" s="2218">
        <f>H277+H278</f>
        <v>0</v>
      </c>
      <c r="O277" s="2223">
        <f t="shared" ref="O277" si="341">M277-N277</f>
        <v>0</v>
      </c>
      <c r="P277" s="2226" t="e">
        <f t="shared" ref="P277" si="342">N277/M277</f>
        <v>#DIV/0!</v>
      </c>
    </row>
    <row r="278" spans="1:16" ht="17.25" customHeight="1">
      <c r="A278" s="2274"/>
      <c r="B278" s="2210"/>
      <c r="C278" s="900">
        <v>42278</v>
      </c>
      <c r="D278" s="1787">
        <v>42369</v>
      </c>
      <c r="E278" s="948">
        <v>51.673999999999999</v>
      </c>
      <c r="F278" s="1616">
        <v>-51.673999999999999</v>
      </c>
      <c r="G278" s="948">
        <f>E278+F278+I277</f>
        <v>0</v>
      </c>
      <c r="H278" s="1616"/>
      <c r="I278" s="1750">
        <f t="shared" si="297"/>
        <v>0</v>
      </c>
      <c r="J278" s="1815" t="e">
        <f t="shared" si="298"/>
        <v>#DIV/0!</v>
      </c>
      <c r="K278" s="2222"/>
      <c r="L278" s="2219"/>
      <c r="M278" s="2224"/>
      <c r="N278" s="2219"/>
      <c r="O278" s="2224"/>
      <c r="P278" s="2227"/>
    </row>
    <row r="279" spans="1:16" ht="17.25" customHeight="1">
      <c r="A279" s="2274"/>
      <c r="B279" s="2209" t="s">
        <v>220</v>
      </c>
      <c r="C279" s="1754">
        <v>42005</v>
      </c>
      <c r="D279" s="1913">
        <v>42277</v>
      </c>
      <c r="E279" s="1790">
        <v>0</v>
      </c>
      <c r="F279" s="1915">
        <f>+(935.918+1033.559+1033.559+1033.559+1033.559+1031.684)+(1041.005+940.288+1033.559+1127.243+1033.559)-(1033.6+1127.243+1033.6+1041.01+940.29)+247.703+70</f>
        <v>6419.4520000000011</v>
      </c>
      <c r="G279" s="1790">
        <f>E279+F279</f>
        <v>6419.4520000000011</v>
      </c>
      <c r="H279" s="1258">
        <v>6122.7610000000004</v>
      </c>
      <c r="I279" s="1790">
        <f t="shared" si="297"/>
        <v>296.69100000000071</v>
      </c>
      <c r="J279" s="1816">
        <f t="shared" si="298"/>
        <v>0.95378250355326266</v>
      </c>
      <c r="K279" s="2221">
        <f t="shared" ref="K279:K281" si="343">E279+E280</f>
        <v>0</v>
      </c>
      <c r="L279" s="2218">
        <f t="shared" ref="L279:L281" si="344">F279+F280</f>
        <v>6419.4520000000011</v>
      </c>
      <c r="M279" s="2223">
        <f>K279+L279</f>
        <v>6419.4520000000011</v>
      </c>
      <c r="N279" s="2218">
        <f>H279+H280</f>
        <v>6122.7610000000004</v>
      </c>
      <c r="O279" s="2223">
        <f>M279-N279</f>
        <v>296.69100000000071</v>
      </c>
      <c r="P279" s="2226">
        <f>N279/M279</f>
        <v>0.95378250355326266</v>
      </c>
    </row>
    <row r="280" spans="1:16" ht="17.25" customHeight="1">
      <c r="A280" s="2274"/>
      <c r="B280" s="2210"/>
      <c r="C280" s="900">
        <v>42278</v>
      </c>
      <c r="D280" s="1787">
        <v>42369</v>
      </c>
      <c r="E280" s="948">
        <v>0</v>
      </c>
      <c r="F280" s="1616"/>
      <c r="G280" s="948">
        <f>E280+F280+I279</f>
        <v>296.69100000000071</v>
      </c>
      <c r="H280" s="1616"/>
      <c r="I280" s="948">
        <f t="shared" ref="I280" si="345">G280-H280</f>
        <v>296.69100000000071</v>
      </c>
      <c r="J280" s="1916">
        <f t="shared" ref="J280" si="346">H280/G280</f>
        <v>0</v>
      </c>
      <c r="K280" s="2222"/>
      <c r="L280" s="2219"/>
      <c r="M280" s="2224"/>
      <c r="N280" s="2219"/>
      <c r="O280" s="2224"/>
      <c r="P280" s="2227"/>
    </row>
    <row r="281" spans="1:16" ht="17.25" customHeight="1">
      <c r="A281" s="2274"/>
      <c r="B281" s="2209" t="s">
        <v>369</v>
      </c>
      <c r="C281" s="1754">
        <v>42005</v>
      </c>
      <c r="D281" s="1913">
        <v>42277</v>
      </c>
      <c r="E281" s="1790">
        <v>0</v>
      </c>
      <c r="F281" s="1481">
        <f>1.876-1.876</f>
        <v>0</v>
      </c>
      <c r="G281" s="1790">
        <f>E281+F281</f>
        <v>0</v>
      </c>
      <c r="H281" s="1481"/>
      <c r="I281" s="891">
        <f>G281-H281</f>
        <v>0</v>
      </c>
      <c r="J281" s="916" t="e">
        <f>H281/G281</f>
        <v>#DIV/0!</v>
      </c>
      <c r="K281" s="2221">
        <f t="shared" si="343"/>
        <v>0</v>
      </c>
      <c r="L281" s="2218">
        <f t="shared" si="344"/>
        <v>0</v>
      </c>
      <c r="M281" s="2223">
        <f>K281+L281</f>
        <v>0</v>
      </c>
      <c r="N281" s="2218">
        <f>H281+H282</f>
        <v>0</v>
      </c>
      <c r="O281" s="2223">
        <f>M281-N281</f>
        <v>0</v>
      </c>
      <c r="P281" s="2226" t="e">
        <f>N281/M281</f>
        <v>#DIV/0!</v>
      </c>
    </row>
    <row r="282" spans="1:16" ht="17.25" customHeight="1">
      <c r="A282" s="2274"/>
      <c r="B282" s="2210"/>
      <c r="C282" s="900">
        <v>42278</v>
      </c>
      <c r="D282" s="1787">
        <v>42369</v>
      </c>
      <c r="E282" s="948">
        <v>0</v>
      </c>
      <c r="F282" s="1616"/>
      <c r="G282" s="948">
        <f>E282+F282+I281</f>
        <v>0</v>
      </c>
      <c r="H282" s="1600"/>
      <c r="I282" s="891">
        <f>G282-H282</f>
        <v>0</v>
      </c>
      <c r="J282" s="916" t="e">
        <f>H282/G282</f>
        <v>#DIV/0!</v>
      </c>
      <c r="K282" s="2222"/>
      <c r="L282" s="2219"/>
      <c r="M282" s="2224"/>
      <c r="N282" s="2219"/>
      <c r="O282" s="2224"/>
      <c r="P282" s="2227"/>
    </row>
    <row r="283" spans="1:16" ht="17.25" customHeight="1">
      <c r="A283" s="2274"/>
      <c r="B283" s="2289" t="s">
        <v>178</v>
      </c>
      <c r="C283" s="1754">
        <v>42005</v>
      </c>
      <c r="D283" s="1917">
        <v>42277</v>
      </c>
      <c r="E283" s="1621">
        <v>0</v>
      </c>
      <c r="F283" s="892">
        <f>1.876+1.876</f>
        <v>3.7519999999999998</v>
      </c>
      <c r="G283" s="1790">
        <f>E283+F283</f>
        <v>3.7519999999999998</v>
      </c>
      <c r="H283" s="1481"/>
      <c r="I283" s="1621">
        <f t="shared" si="237"/>
        <v>3.7519999999999998</v>
      </c>
      <c r="J283" s="1815">
        <f t="shared" si="238"/>
        <v>0</v>
      </c>
      <c r="K283" s="2221">
        <f t="shared" ref="K283:K287" si="347">E283+E284</f>
        <v>0</v>
      </c>
      <c r="L283" s="2223">
        <f t="shared" ref="L283:L287" si="348">F283+F284</f>
        <v>3.7519999999999998</v>
      </c>
      <c r="M283" s="2223">
        <f t="shared" si="254"/>
        <v>3.7519999999999998</v>
      </c>
      <c r="N283" s="2223">
        <f>H283+H284</f>
        <v>0</v>
      </c>
      <c r="O283" s="2223">
        <f t="shared" ref="O283:O287" si="349">M283-N283</f>
        <v>3.7519999999999998</v>
      </c>
      <c r="P283" s="2299">
        <f t="shared" ref="P283:P287" si="350">N283/M283</f>
        <v>0</v>
      </c>
    </row>
    <row r="284" spans="1:16" ht="17.25" customHeight="1">
      <c r="A284" s="2274"/>
      <c r="B284" s="2290"/>
      <c r="C284" s="900">
        <v>42278</v>
      </c>
      <c r="D284" s="1918">
        <v>42369</v>
      </c>
      <c r="E284" s="1750">
        <v>0</v>
      </c>
      <c r="F284" s="892"/>
      <c r="G284" s="948">
        <f>E284+F284+I283</f>
        <v>3.7519999999999998</v>
      </c>
      <c r="H284" s="1601"/>
      <c r="I284" s="1750">
        <f t="shared" si="237"/>
        <v>3.7519999999999998</v>
      </c>
      <c r="J284" s="910">
        <f t="shared" si="238"/>
        <v>0</v>
      </c>
      <c r="K284" s="2222"/>
      <c r="L284" s="2224"/>
      <c r="M284" s="2224"/>
      <c r="N284" s="2224"/>
      <c r="O284" s="2224"/>
      <c r="P284" s="2301"/>
    </row>
    <row r="285" spans="1:16" ht="17.25" customHeight="1">
      <c r="A285" s="2274"/>
      <c r="B285" s="2220" t="s">
        <v>467</v>
      </c>
      <c r="C285" s="903">
        <v>42005</v>
      </c>
      <c r="D285" s="938">
        <v>42277</v>
      </c>
      <c r="E285" s="891">
        <v>0</v>
      </c>
      <c r="F285" s="1481">
        <v>1.8759999999999999</v>
      </c>
      <c r="G285" s="891">
        <f>E285+F285</f>
        <v>1.8759999999999999</v>
      </c>
      <c r="H285" s="1524"/>
      <c r="I285" s="891">
        <f>G285-H285</f>
        <v>1.8759999999999999</v>
      </c>
      <c r="J285" s="916">
        <f>H285/G285</f>
        <v>0</v>
      </c>
      <c r="K285" s="2221">
        <f t="shared" si="347"/>
        <v>0</v>
      </c>
      <c r="L285" s="2223">
        <f t="shared" si="348"/>
        <v>1.8759999999999999</v>
      </c>
      <c r="M285" s="2223">
        <f t="shared" si="254"/>
        <v>1.8759999999999999</v>
      </c>
      <c r="N285" s="2223">
        <f>H285+H286</f>
        <v>0</v>
      </c>
      <c r="O285" s="2223">
        <f t="shared" si="349"/>
        <v>1.8759999999999999</v>
      </c>
      <c r="P285" s="2299">
        <f t="shared" si="350"/>
        <v>0</v>
      </c>
    </row>
    <row r="286" spans="1:16" ht="17.25" customHeight="1">
      <c r="A286" s="2274"/>
      <c r="B286" s="2220"/>
      <c r="C286" s="903">
        <v>42278</v>
      </c>
      <c r="D286" s="938">
        <v>42369</v>
      </c>
      <c r="E286" s="891">
        <v>0</v>
      </c>
      <c r="F286" s="892"/>
      <c r="G286" s="891">
        <f>E286+F286+I285</f>
        <v>1.8759999999999999</v>
      </c>
      <c r="H286" s="1616"/>
      <c r="I286" s="891">
        <f>G286-H286</f>
        <v>1.8759999999999999</v>
      </c>
      <c r="J286" s="916">
        <f>H286/G286</f>
        <v>0</v>
      </c>
      <c r="K286" s="2225"/>
      <c r="L286" s="2232"/>
      <c r="M286" s="2232"/>
      <c r="N286" s="2232"/>
      <c r="O286" s="2232"/>
      <c r="P286" s="2300"/>
    </row>
    <row r="287" spans="1:16" ht="17.25" customHeight="1">
      <c r="A287" s="2274"/>
      <c r="B287" s="2209" t="s">
        <v>225</v>
      </c>
      <c r="C287" s="1754">
        <v>42005</v>
      </c>
      <c r="D287" s="1913">
        <v>42277</v>
      </c>
      <c r="E287" s="1790">
        <v>31.84</v>
      </c>
      <c r="F287" s="1481">
        <v>-31.84</v>
      </c>
      <c r="G287" s="1790">
        <f>E287+F287</f>
        <v>0</v>
      </c>
      <c r="H287" s="1481"/>
      <c r="I287" s="1621">
        <f>G287-H287</f>
        <v>0</v>
      </c>
      <c r="J287" s="1816" t="e">
        <f>H287/G287</f>
        <v>#DIV/0!</v>
      </c>
      <c r="K287" s="2221">
        <f t="shared" si="347"/>
        <v>33.515999999999998</v>
      </c>
      <c r="L287" s="2223">
        <f t="shared" si="348"/>
        <v>-33.515999999999998</v>
      </c>
      <c r="M287" s="2223">
        <f t="shared" si="254"/>
        <v>0</v>
      </c>
      <c r="N287" s="2223">
        <f>H287+H288</f>
        <v>0</v>
      </c>
      <c r="O287" s="2223">
        <f t="shared" si="349"/>
        <v>0</v>
      </c>
      <c r="P287" s="2299" t="e">
        <f t="shared" si="350"/>
        <v>#DIV/0!</v>
      </c>
    </row>
    <row r="288" spans="1:16" ht="17.25" customHeight="1" thickBot="1">
      <c r="A288" s="2275"/>
      <c r="B288" s="2379"/>
      <c r="C288" s="939">
        <v>42278</v>
      </c>
      <c r="D288" s="1798">
        <v>42369</v>
      </c>
      <c r="E288" s="1919">
        <v>1.6759999999999999</v>
      </c>
      <c r="F288" s="1920">
        <v>-1.6759999999999999</v>
      </c>
      <c r="G288" s="1919">
        <f>E288+F288+I287</f>
        <v>0</v>
      </c>
      <c r="H288" s="1920"/>
      <c r="I288" s="1921">
        <f>G288-H288</f>
        <v>0</v>
      </c>
      <c r="J288" s="1922" t="e">
        <f>H288/G288</f>
        <v>#DIV/0!</v>
      </c>
      <c r="K288" s="2326"/>
      <c r="L288" s="2229"/>
      <c r="M288" s="2229"/>
      <c r="N288" s="2229"/>
      <c r="O288" s="2229"/>
      <c r="P288" s="2380"/>
    </row>
    <row r="289" spans="1:16" ht="17.25" customHeight="1" thickBot="1">
      <c r="C289" s="859"/>
      <c r="D289" s="859"/>
      <c r="E289" s="1602">
        <f>SUM(E223:E288)</f>
        <v>187555.00800000003</v>
      </c>
      <c r="F289" s="859"/>
      <c r="G289" s="859"/>
      <c r="H289" s="1612"/>
      <c r="I289" s="859"/>
      <c r="J289" s="859"/>
      <c r="K289" s="1911">
        <f>SUM(K223:K288)</f>
        <v>187555.00799999997</v>
      </c>
      <c r="L289" s="1912">
        <f>SUM(L223:L288)</f>
        <v>14063.417000000001</v>
      </c>
      <c r="M289" s="1912">
        <f>SUM(M223:M288)</f>
        <v>201618.42499999999</v>
      </c>
      <c r="N289" s="1912">
        <f>SUM(N223:N288)</f>
        <v>200066.04099999997</v>
      </c>
      <c r="O289" s="1912">
        <f>SUM(O223:O288)</f>
        <v>1552.3840000000018</v>
      </c>
      <c r="P289" s="1607">
        <f>N289/M289</f>
        <v>0.99230038623702166</v>
      </c>
    </row>
    <row r="290" spans="1:16" ht="17.25" customHeight="1" thickBot="1">
      <c r="C290" s="859"/>
      <c r="D290" s="859"/>
      <c r="E290" s="1602"/>
      <c r="F290" s="859"/>
      <c r="G290" s="859"/>
      <c r="H290" s="1612"/>
      <c r="I290" s="859"/>
      <c r="J290" s="859"/>
      <c r="K290" s="954"/>
      <c r="L290" s="954"/>
      <c r="M290" s="954"/>
      <c r="N290" s="954"/>
      <c r="O290" s="954"/>
      <c r="P290" s="927"/>
    </row>
    <row r="291" spans="1:16" ht="17.25" customHeight="1">
      <c r="A291" s="2279" t="s">
        <v>748</v>
      </c>
      <c r="B291" s="2285" t="s">
        <v>216</v>
      </c>
      <c r="C291" s="898">
        <v>42005</v>
      </c>
      <c r="D291" s="1947">
        <v>42277</v>
      </c>
      <c r="E291" s="873">
        <v>2796.703</v>
      </c>
      <c r="F291" s="899">
        <f>350+1300+57.797+130+62</f>
        <v>1899.797</v>
      </c>
      <c r="G291" s="873">
        <f>E291+F291</f>
        <v>4696.5</v>
      </c>
      <c r="H291" s="1272">
        <v>4752.5429999999997</v>
      </c>
      <c r="I291" s="875">
        <f>G291-H291</f>
        <v>-56.042999999999665</v>
      </c>
      <c r="J291" s="876">
        <f>H291/G291</f>
        <v>1.0119329287767487</v>
      </c>
      <c r="K291" s="2244">
        <f t="shared" ref="K291" si="351">E291+E292</f>
        <v>2943.7910000000002</v>
      </c>
      <c r="L291" s="2234">
        <f>F291+F292</f>
        <v>1899.797</v>
      </c>
      <c r="M291" s="2211">
        <f>K291+L291</f>
        <v>4843.5879999999997</v>
      </c>
      <c r="N291" s="2234">
        <f>H291+H292</f>
        <v>4752.5429999999997</v>
      </c>
      <c r="O291" s="2211">
        <f>M291-N291</f>
        <v>91.045000000000073</v>
      </c>
      <c r="P291" s="2360">
        <f>N291/M291</f>
        <v>0.98120298423400176</v>
      </c>
    </row>
    <row r="292" spans="1:16" ht="17.25" customHeight="1">
      <c r="A292" s="2280"/>
      <c r="B292" s="2246"/>
      <c r="C292" s="900">
        <v>42278</v>
      </c>
      <c r="D292" s="1918">
        <v>42369</v>
      </c>
      <c r="E292" s="1948">
        <v>147.08799999999999</v>
      </c>
      <c r="F292" s="1616"/>
      <c r="G292" s="1948">
        <f>E292+F292+I291</f>
        <v>91.045000000000329</v>
      </c>
      <c r="H292" s="1616"/>
      <c r="I292" s="1750">
        <f t="shared" ref="I292:I326" si="352">G292-H292</f>
        <v>91.045000000000329</v>
      </c>
      <c r="J292" s="1949">
        <f t="shared" ref="J292:J326" si="353">H292/G292</f>
        <v>0</v>
      </c>
      <c r="K292" s="2222"/>
      <c r="L292" s="2230"/>
      <c r="M292" s="2224"/>
      <c r="N292" s="2230"/>
      <c r="O292" s="2224"/>
      <c r="P292" s="2227"/>
    </row>
    <row r="293" spans="1:16" ht="17.25" customHeight="1">
      <c r="A293" s="2280"/>
      <c r="B293" s="2245" t="s">
        <v>217</v>
      </c>
      <c r="C293" s="1754">
        <v>42005</v>
      </c>
      <c r="D293" s="1917">
        <v>42277</v>
      </c>
      <c r="E293" s="1622">
        <v>25.215</v>
      </c>
      <c r="F293" s="1481"/>
      <c r="G293" s="1622">
        <f>E293+F293</f>
        <v>25.215</v>
      </c>
      <c r="H293" s="1481"/>
      <c r="I293" s="1621">
        <f>G293-H293</f>
        <v>25.215</v>
      </c>
      <c r="J293" s="1623">
        <f>H293/G293</f>
        <v>0</v>
      </c>
      <c r="K293" s="2221">
        <f>E293+E294</f>
        <v>26.541</v>
      </c>
      <c r="L293" s="2228">
        <f t="shared" ref="L293" si="354">F293+F294</f>
        <v>0</v>
      </c>
      <c r="M293" s="2223">
        <f t="shared" ref="M293" si="355">K293+L293</f>
        <v>26.541</v>
      </c>
      <c r="N293" s="2228">
        <f>H293+H294</f>
        <v>0</v>
      </c>
      <c r="O293" s="2223">
        <f t="shared" ref="O293" si="356">M293-N293</f>
        <v>26.541</v>
      </c>
      <c r="P293" s="2226">
        <f t="shared" ref="P293" si="357">N293/M293</f>
        <v>0</v>
      </c>
    </row>
    <row r="294" spans="1:16" ht="17.25" customHeight="1">
      <c r="A294" s="2280"/>
      <c r="B294" s="2246"/>
      <c r="C294" s="900">
        <v>42278</v>
      </c>
      <c r="D294" s="1918">
        <v>42369</v>
      </c>
      <c r="E294" s="1948">
        <v>1.3260000000000001</v>
      </c>
      <c r="F294" s="1616"/>
      <c r="G294" s="1948">
        <f>E294+F294+I293</f>
        <v>26.541</v>
      </c>
      <c r="H294" s="1616"/>
      <c r="I294" s="1750">
        <f>G294-H294</f>
        <v>26.541</v>
      </c>
      <c r="J294" s="1949">
        <f>H294/G294</f>
        <v>0</v>
      </c>
      <c r="K294" s="2222"/>
      <c r="L294" s="2230"/>
      <c r="M294" s="2224"/>
      <c r="N294" s="2230"/>
      <c r="O294" s="2224"/>
      <c r="P294" s="2227"/>
    </row>
    <row r="295" spans="1:16" ht="17.25" customHeight="1">
      <c r="A295" s="2280"/>
      <c r="B295" s="2245" t="s">
        <v>221</v>
      </c>
      <c r="C295" s="1754">
        <v>42005</v>
      </c>
      <c r="D295" s="1917">
        <v>42277</v>
      </c>
      <c r="E295" s="1622">
        <v>0</v>
      </c>
      <c r="F295" s="892"/>
      <c r="G295" s="1622">
        <f>E295+F295</f>
        <v>0</v>
      </c>
      <c r="H295" s="1481"/>
      <c r="I295" s="1621">
        <f t="shared" si="352"/>
        <v>0</v>
      </c>
      <c r="J295" s="1623" t="e">
        <f t="shared" si="353"/>
        <v>#DIV/0!</v>
      </c>
      <c r="K295" s="2221">
        <f t="shared" ref="K295" si="358">E295+E296</f>
        <v>0</v>
      </c>
      <c r="L295" s="2228">
        <f t="shared" ref="L295" si="359">F295+F296</f>
        <v>0</v>
      </c>
      <c r="M295" s="2223">
        <f t="shared" ref="M295" si="360">K295+L295</f>
        <v>0</v>
      </c>
      <c r="N295" s="2228">
        <f>H295+H296</f>
        <v>0</v>
      </c>
      <c r="O295" s="2223">
        <f t="shared" ref="O295" si="361">M295-N295</f>
        <v>0</v>
      </c>
      <c r="P295" s="2226" t="e">
        <f t="shared" ref="P295" si="362">N295/M295</f>
        <v>#DIV/0!</v>
      </c>
    </row>
    <row r="296" spans="1:16" ht="17.25" customHeight="1">
      <c r="A296" s="2280"/>
      <c r="B296" s="2246"/>
      <c r="C296" s="900">
        <v>42278</v>
      </c>
      <c r="D296" s="1918">
        <v>42369</v>
      </c>
      <c r="E296" s="1948">
        <v>0</v>
      </c>
      <c r="F296" s="1616"/>
      <c r="G296" s="1948">
        <f>E296+F296+I295</f>
        <v>0</v>
      </c>
      <c r="H296" s="1616"/>
      <c r="I296" s="1750">
        <f t="shared" si="352"/>
        <v>0</v>
      </c>
      <c r="J296" s="1949" t="e">
        <f t="shared" si="353"/>
        <v>#DIV/0!</v>
      </c>
      <c r="K296" s="2222"/>
      <c r="L296" s="2230"/>
      <c r="M296" s="2224"/>
      <c r="N296" s="2230"/>
      <c r="O296" s="2224"/>
      <c r="P296" s="2227"/>
    </row>
    <row r="297" spans="1:16" ht="17.25" customHeight="1">
      <c r="A297" s="2280"/>
      <c r="B297" s="2245" t="s">
        <v>248</v>
      </c>
      <c r="C297" s="1754">
        <v>42005</v>
      </c>
      <c r="D297" s="1917">
        <v>42277</v>
      </c>
      <c r="E297" s="891">
        <v>201.166</v>
      </c>
      <c r="F297" s="892">
        <v>-0.26100000000000001</v>
      </c>
      <c r="G297" s="891">
        <f>E297+F297</f>
        <v>200.905</v>
      </c>
      <c r="H297" s="892"/>
      <c r="I297" s="901">
        <f t="shared" si="352"/>
        <v>200.905</v>
      </c>
      <c r="J297" s="893">
        <f t="shared" si="353"/>
        <v>0</v>
      </c>
      <c r="K297" s="2221">
        <f t="shared" ref="K297" si="363">E297+E298</f>
        <v>211.74600000000001</v>
      </c>
      <c r="L297" s="2228">
        <f t="shared" ref="L297" si="364">F297+F298</f>
        <v>-0.26100000000000001</v>
      </c>
      <c r="M297" s="2223">
        <f t="shared" ref="M297" si="365">K297+L297</f>
        <v>211.48500000000001</v>
      </c>
      <c r="N297" s="2217">
        <f>H297+H298</f>
        <v>0</v>
      </c>
      <c r="O297" s="2223">
        <f t="shared" ref="O297" si="366">M297-N297</f>
        <v>211.48500000000001</v>
      </c>
      <c r="P297" s="2226">
        <f t="shared" ref="P297" si="367">N297/M297</f>
        <v>0</v>
      </c>
    </row>
    <row r="298" spans="1:16" ht="17.25" customHeight="1">
      <c r="A298" s="2280"/>
      <c r="B298" s="2246"/>
      <c r="C298" s="900">
        <v>42278</v>
      </c>
      <c r="D298" s="1918">
        <v>42369</v>
      </c>
      <c r="E298" s="1948">
        <v>10.58</v>
      </c>
      <c r="F298" s="1616"/>
      <c r="G298" s="1948">
        <f>E298+F298+I297</f>
        <v>211.48500000000001</v>
      </c>
      <c r="H298" s="1616"/>
      <c r="I298" s="1750">
        <f t="shared" si="352"/>
        <v>211.48500000000001</v>
      </c>
      <c r="J298" s="1949">
        <f t="shared" si="353"/>
        <v>0</v>
      </c>
      <c r="K298" s="2222"/>
      <c r="L298" s="2230"/>
      <c r="M298" s="2224"/>
      <c r="N298" s="2230"/>
      <c r="O298" s="2224"/>
      <c r="P298" s="2227"/>
    </row>
    <row r="299" spans="1:16" ht="17.25" customHeight="1">
      <c r="A299" s="2280"/>
      <c r="B299" s="2245" t="s">
        <v>167</v>
      </c>
      <c r="C299" s="1754">
        <v>42005</v>
      </c>
      <c r="D299" s="1917">
        <v>42277</v>
      </c>
      <c r="E299" s="1622">
        <v>6060.6030000000001</v>
      </c>
      <c r="F299" s="1481">
        <f>-0.261-2500-400</f>
        <v>-2900.261</v>
      </c>
      <c r="G299" s="1622">
        <f>E299+F299</f>
        <v>3160.3420000000001</v>
      </c>
      <c r="H299" s="1257">
        <v>3424.71</v>
      </c>
      <c r="I299" s="1621">
        <f t="shared" si="352"/>
        <v>-264.36799999999994</v>
      </c>
      <c r="J299" s="1623">
        <f t="shared" si="353"/>
        <v>1.0836517060495352</v>
      </c>
      <c r="K299" s="2221">
        <f t="shared" ref="K299" si="368">E299+E300</f>
        <v>6379.3509999999997</v>
      </c>
      <c r="L299" s="2228">
        <f t="shared" ref="L299" si="369">F299+F300</f>
        <v>-2900.261</v>
      </c>
      <c r="M299" s="2223">
        <f t="shared" ref="M299" si="370">K299+L299</f>
        <v>3479.0899999999997</v>
      </c>
      <c r="N299" s="2228">
        <f>H299+H300</f>
        <v>3424.71</v>
      </c>
      <c r="O299" s="2223">
        <f t="shared" ref="O299" si="371">M299-N299</f>
        <v>54.379999999999654</v>
      </c>
      <c r="P299" s="2226">
        <f t="shared" ref="P299" si="372">N299/M299</f>
        <v>0.98436947592617619</v>
      </c>
    </row>
    <row r="300" spans="1:16" ht="17.25" customHeight="1">
      <c r="A300" s="2280"/>
      <c r="B300" s="2246"/>
      <c r="C300" s="903">
        <v>42278</v>
      </c>
      <c r="D300" s="955">
        <v>42369</v>
      </c>
      <c r="E300" s="891">
        <v>318.74799999999999</v>
      </c>
      <c r="F300" s="892"/>
      <c r="G300" s="891">
        <f>E300+F300+I299</f>
        <v>54.380000000000052</v>
      </c>
      <c r="H300" s="892"/>
      <c r="I300" s="901">
        <f t="shared" si="352"/>
        <v>54.380000000000052</v>
      </c>
      <c r="J300" s="893">
        <f t="shared" si="353"/>
        <v>0</v>
      </c>
      <c r="K300" s="2225"/>
      <c r="L300" s="2217"/>
      <c r="M300" s="2232"/>
      <c r="N300" s="2217"/>
      <c r="O300" s="2232"/>
      <c r="P300" s="2262"/>
    </row>
    <row r="301" spans="1:16" ht="17.25" customHeight="1">
      <c r="A301" s="2280"/>
      <c r="B301" s="2245" t="s">
        <v>219</v>
      </c>
      <c r="C301" s="1754">
        <v>42005</v>
      </c>
      <c r="D301" s="1917">
        <v>42277</v>
      </c>
      <c r="E301" s="1622">
        <v>3130.6840000000002</v>
      </c>
      <c r="F301" s="1481">
        <f>-999.806+560+150</f>
        <v>-289.80600000000004</v>
      </c>
      <c r="G301" s="1622">
        <f>E301+F301</f>
        <v>2840.8780000000002</v>
      </c>
      <c r="H301" s="1484">
        <v>3000.8570000000004</v>
      </c>
      <c r="I301" s="1621">
        <f t="shared" si="352"/>
        <v>-159.97900000000027</v>
      </c>
      <c r="J301" s="1623">
        <f>H301/G301</f>
        <v>1.0563132242919266</v>
      </c>
      <c r="K301" s="2221">
        <f t="shared" ref="K301" si="373">E301+E302</f>
        <v>3295.337</v>
      </c>
      <c r="L301" s="2228">
        <f t="shared" ref="L301" si="374">F301+F302</f>
        <v>-289.80600000000004</v>
      </c>
      <c r="M301" s="2223">
        <f t="shared" ref="M301" si="375">K301+L301</f>
        <v>3005.5309999999999</v>
      </c>
      <c r="N301" s="2228">
        <f>H301+H302</f>
        <v>3000.8570000000004</v>
      </c>
      <c r="O301" s="2223">
        <f>M301-N301</f>
        <v>4.6739999999995234</v>
      </c>
      <c r="P301" s="2226">
        <f t="shared" ref="P301" si="376">N301/M301</f>
        <v>0.99844486714660419</v>
      </c>
    </row>
    <row r="302" spans="1:16" ht="17.25" customHeight="1">
      <c r="A302" s="2280"/>
      <c r="B302" s="2246"/>
      <c r="C302" s="900">
        <v>42278</v>
      </c>
      <c r="D302" s="1918">
        <v>42369</v>
      </c>
      <c r="E302" s="948">
        <v>164.65299999999999</v>
      </c>
      <c r="F302" s="1616"/>
      <c r="G302" s="948">
        <f>E302+F302+I301</f>
        <v>4.6739999999997224</v>
      </c>
      <c r="H302" s="1616"/>
      <c r="I302" s="1950">
        <f t="shared" si="352"/>
        <v>4.6739999999997224</v>
      </c>
      <c r="J302" s="910">
        <f t="shared" si="353"/>
        <v>0</v>
      </c>
      <c r="K302" s="2222"/>
      <c r="L302" s="2219"/>
      <c r="M302" s="2224"/>
      <c r="N302" s="2219"/>
      <c r="O302" s="2224"/>
      <c r="P302" s="2227"/>
    </row>
    <row r="303" spans="1:16" ht="17.25" customHeight="1">
      <c r="A303" s="2280"/>
      <c r="B303" s="2245" t="s">
        <v>213</v>
      </c>
      <c r="C303" s="903">
        <v>42005</v>
      </c>
      <c r="D303" s="955">
        <v>42277</v>
      </c>
      <c r="E303" s="891">
        <v>141.68700000000001</v>
      </c>
      <c r="F303" s="892">
        <v>-141.68700000000001</v>
      </c>
      <c r="G303" s="891">
        <f>E303+F303</f>
        <v>0</v>
      </c>
      <c r="H303" s="892"/>
      <c r="I303" s="901">
        <f t="shared" si="352"/>
        <v>0</v>
      </c>
      <c r="J303" s="893" t="e">
        <f t="shared" si="353"/>
        <v>#DIV/0!</v>
      </c>
      <c r="K303" s="2225">
        <f t="shared" ref="K303" si="377">E303+E304</f>
        <v>149.13900000000001</v>
      </c>
      <c r="L303" s="2217">
        <f t="shared" ref="L303" si="378">F303+F304</f>
        <v>-149.13900000000001</v>
      </c>
      <c r="M303" s="2232">
        <f t="shared" ref="M303" si="379">K303+L303</f>
        <v>0</v>
      </c>
      <c r="N303" s="2217">
        <f>H303+H304</f>
        <v>0</v>
      </c>
      <c r="O303" s="2232">
        <f t="shared" ref="O303" si="380">M303-N303</f>
        <v>0</v>
      </c>
      <c r="P303" s="2262" t="e">
        <f t="shared" ref="P303" si="381">N303/M303</f>
        <v>#DIV/0!</v>
      </c>
    </row>
    <row r="304" spans="1:16" ht="17.25" customHeight="1">
      <c r="A304" s="2280"/>
      <c r="B304" s="2246"/>
      <c r="C304" s="900">
        <v>42278</v>
      </c>
      <c r="D304" s="1918">
        <v>42369</v>
      </c>
      <c r="E304" s="891">
        <v>7.452</v>
      </c>
      <c r="F304" s="1616">
        <v>-7.452</v>
      </c>
      <c r="G304" s="948">
        <f>E304+F304+I303</f>
        <v>0</v>
      </c>
      <c r="H304" s="1616"/>
      <c r="I304" s="1950">
        <f t="shared" si="352"/>
        <v>0</v>
      </c>
      <c r="J304" s="910" t="e">
        <f t="shared" si="353"/>
        <v>#DIV/0!</v>
      </c>
      <c r="K304" s="2222"/>
      <c r="L304" s="2219"/>
      <c r="M304" s="2224"/>
      <c r="N304" s="2219"/>
      <c r="O304" s="2224"/>
      <c r="P304" s="2227"/>
    </row>
    <row r="305" spans="1:16" ht="17.25" customHeight="1">
      <c r="A305" s="2280"/>
      <c r="B305" s="2245" t="s">
        <v>247</v>
      </c>
      <c r="C305" s="1754">
        <v>42005</v>
      </c>
      <c r="D305" s="1917">
        <v>42277</v>
      </c>
      <c r="E305" s="1622">
        <v>453.15199999999999</v>
      </c>
      <c r="F305" s="1481">
        <v>-453.15199999999999</v>
      </c>
      <c r="G305" s="891">
        <f>E305+F305</f>
        <v>0</v>
      </c>
      <c r="H305" s="892"/>
      <c r="I305" s="901">
        <f t="shared" si="352"/>
        <v>0</v>
      </c>
      <c r="J305" s="893" t="e">
        <f t="shared" si="353"/>
        <v>#DIV/0!</v>
      </c>
      <c r="K305" s="2221">
        <f t="shared" ref="K305" si="382">E305+E306</f>
        <v>476.98500000000001</v>
      </c>
      <c r="L305" s="2228">
        <f t="shared" ref="L305:L339" si="383">F305+F306</f>
        <v>-476.98500000000001</v>
      </c>
      <c r="M305" s="2223">
        <f t="shared" ref="M305" si="384">K305+L305</f>
        <v>0</v>
      </c>
      <c r="N305" s="2217">
        <f>H305+H306</f>
        <v>0</v>
      </c>
      <c r="O305" s="2223">
        <f t="shared" ref="O305" si="385">M305-N305</f>
        <v>0</v>
      </c>
      <c r="P305" s="2226" t="e">
        <f t="shared" ref="P305" si="386">N305/M305</f>
        <v>#DIV/0!</v>
      </c>
    </row>
    <row r="306" spans="1:16" ht="17.25" customHeight="1">
      <c r="A306" s="2280"/>
      <c r="B306" s="2246"/>
      <c r="C306" s="900">
        <v>42278</v>
      </c>
      <c r="D306" s="1918">
        <v>42369</v>
      </c>
      <c r="E306" s="948">
        <v>23.832999999999998</v>
      </c>
      <c r="F306" s="1616">
        <v>-23.832999999999998</v>
      </c>
      <c r="G306" s="948">
        <f>E306+F306+I305</f>
        <v>0</v>
      </c>
      <c r="H306" s="1616"/>
      <c r="I306" s="1950">
        <f t="shared" si="352"/>
        <v>0</v>
      </c>
      <c r="J306" s="910" t="e">
        <f t="shared" si="353"/>
        <v>#DIV/0!</v>
      </c>
      <c r="K306" s="2222"/>
      <c r="L306" s="2219"/>
      <c r="M306" s="2224"/>
      <c r="N306" s="2219"/>
      <c r="O306" s="2224"/>
      <c r="P306" s="2227"/>
    </row>
    <row r="307" spans="1:16" ht="17.25" customHeight="1">
      <c r="A307" s="2280"/>
      <c r="B307" s="2245" t="s">
        <v>235</v>
      </c>
      <c r="C307" s="1754">
        <v>42005</v>
      </c>
      <c r="D307" s="1917">
        <v>42277</v>
      </c>
      <c r="E307" s="1622">
        <v>2.161</v>
      </c>
      <c r="F307" s="892">
        <v>-2.161</v>
      </c>
      <c r="G307" s="1622">
        <f>E307+F307</f>
        <v>0</v>
      </c>
      <c r="H307" s="1481"/>
      <c r="I307" s="1621">
        <f t="shared" si="352"/>
        <v>0</v>
      </c>
      <c r="J307" s="1623" t="e">
        <f t="shared" si="353"/>
        <v>#DIV/0!</v>
      </c>
      <c r="K307" s="2221">
        <f t="shared" ref="K307" si="387">E307+E308</f>
        <v>2.2749999999999999</v>
      </c>
      <c r="L307" s="2228">
        <f t="shared" si="383"/>
        <v>-2.2749999999999999</v>
      </c>
      <c r="M307" s="2223">
        <f t="shared" ref="M307" si="388">K307+L307</f>
        <v>0</v>
      </c>
      <c r="N307" s="2228">
        <f>H307+H308</f>
        <v>0</v>
      </c>
      <c r="O307" s="2223">
        <f t="shared" ref="O307" si="389">M307-N307</f>
        <v>0</v>
      </c>
      <c r="P307" s="2226" t="e">
        <f t="shared" ref="P307" si="390">N307/M307</f>
        <v>#DIV/0!</v>
      </c>
    </row>
    <row r="308" spans="1:16" ht="17.25" customHeight="1">
      <c r="A308" s="2280"/>
      <c r="B308" s="2246"/>
      <c r="C308" s="900">
        <v>42278</v>
      </c>
      <c r="D308" s="1918">
        <v>42369</v>
      </c>
      <c r="E308" s="948">
        <v>0.114</v>
      </c>
      <c r="F308" s="1616">
        <v>-0.114</v>
      </c>
      <c r="G308" s="948">
        <f>E308+F308+I307</f>
        <v>0</v>
      </c>
      <c r="H308" s="1616"/>
      <c r="I308" s="1950">
        <f t="shared" si="352"/>
        <v>0</v>
      </c>
      <c r="J308" s="910" t="e">
        <f t="shared" si="353"/>
        <v>#DIV/0!</v>
      </c>
      <c r="K308" s="2222"/>
      <c r="L308" s="2219"/>
      <c r="M308" s="2224"/>
      <c r="N308" s="2219"/>
      <c r="O308" s="2224"/>
      <c r="P308" s="2227"/>
    </row>
    <row r="309" spans="1:16" ht="17.25" customHeight="1">
      <c r="A309" s="2280"/>
      <c r="B309" s="2245" t="s">
        <v>236</v>
      </c>
      <c r="C309" s="1754">
        <v>42005</v>
      </c>
      <c r="D309" s="1917">
        <v>42277</v>
      </c>
      <c r="E309" s="1622">
        <v>6.4390000000000001</v>
      </c>
      <c r="F309" s="1481">
        <v>-6.4390000000000001</v>
      </c>
      <c r="G309" s="1622">
        <f>E309+F309</f>
        <v>0</v>
      </c>
      <c r="H309" s="1481"/>
      <c r="I309" s="1621">
        <f t="shared" si="352"/>
        <v>0</v>
      </c>
      <c r="J309" s="1623" t="e">
        <f t="shared" si="353"/>
        <v>#DIV/0!</v>
      </c>
      <c r="K309" s="2221">
        <f t="shared" ref="K309" si="391">E309+E310</f>
        <v>6.7780000000000005</v>
      </c>
      <c r="L309" s="2228">
        <f t="shared" si="383"/>
        <v>-6.7780000000000005</v>
      </c>
      <c r="M309" s="2223">
        <f t="shared" ref="M309:M339" si="392">K309+L309</f>
        <v>0</v>
      </c>
      <c r="N309" s="2228">
        <f>H309+H310</f>
        <v>0</v>
      </c>
      <c r="O309" s="2223">
        <f t="shared" ref="O309" si="393">M309-N309</f>
        <v>0</v>
      </c>
      <c r="P309" s="2226" t="e">
        <f t="shared" ref="P309" si="394">N309/M309</f>
        <v>#DIV/0!</v>
      </c>
    </row>
    <row r="310" spans="1:16" ht="17.25" customHeight="1">
      <c r="A310" s="2280"/>
      <c r="B310" s="2246"/>
      <c r="C310" s="900">
        <v>42278</v>
      </c>
      <c r="D310" s="1918">
        <v>42369</v>
      </c>
      <c r="E310" s="948">
        <v>0.33900000000000002</v>
      </c>
      <c r="F310" s="1616">
        <v>-0.33900000000000002</v>
      </c>
      <c r="G310" s="948">
        <f>E310+F310+I309</f>
        <v>0</v>
      </c>
      <c r="H310" s="1616"/>
      <c r="I310" s="1950">
        <f t="shared" si="352"/>
        <v>0</v>
      </c>
      <c r="J310" s="910" t="e">
        <f t="shared" si="353"/>
        <v>#DIV/0!</v>
      </c>
      <c r="K310" s="2222"/>
      <c r="L310" s="2219"/>
      <c r="M310" s="2224"/>
      <c r="N310" s="2219"/>
      <c r="O310" s="2224"/>
      <c r="P310" s="2227"/>
    </row>
    <row r="311" spans="1:16" ht="17.25" customHeight="1">
      <c r="A311" s="2280"/>
      <c r="B311" s="2245" t="s">
        <v>223</v>
      </c>
      <c r="C311" s="1754">
        <v>42005</v>
      </c>
      <c r="D311" s="1917">
        <v>42277</v>
      </c>
      <c r="E311" s="1622">
        <v>2386.3530000000001</v>
      </c>
      <c r="F311" s="1481"/>
      <c r="G311" s="1622">
        <f>E311+F311</f>
        <v>2386.3530000000001</v>
      </c>
      <c r="H311" s="1259">
        <v>2511.5839999999998</v>
      </c>
      <c r="I311" s="1621">
        <f t="shared" si="352"/>
        <v>-125.23099999999977</v>
      </c>
      <c r="J311" s="1623">
        <f>H311/G311</f>
        <v>1.052477986282834</v>
      </c>
      <c r="K311" s="2221">
        <f t="shared" ref="K311" si="395">E311+E312</f>
        <v>2511.8589999999999</v>
      </c>
      <c r="L311" s="2228">
        <f t="shared" si="383"/>
        <v>0</v>
      </c>
      <c r="M311" s="2223">
        <f t="shared" si="392"/>
        <v>2511.8589999999999</v>
      </c>
      <c r="N311" s="2228">
        <f>H311+H312</f>
        <v>2511.5839999999998</v>
      </c>
      <c r="O311" s="2223">
        <f t="shared" ref="O311" si="396">M311-N311</f>
        <v>0.27500000000009095</v>
      </c>
      <c r="P311" s="2226">
        <f t="shared" ref="P311" si="397">N311/M311</f>
        <v>0.9998905193324944</v>
      </c>
    </row>
    <row r="312" spans="1:16" ht="17.25" customHeight="1">
      <c r="A312" s="2280"/>
      <c r="B312" s="2246"/>
      <c r="C312" s="900">
        <v>42278</v>
      </c>
      <c r="D312" s="1918">
        <v>42369</v>
      </c>
      <c r="E312" s="948">
        <v>125.506</v>
      </c>
      <c r="F312" s="1616"/>
      <c r="G312" s="948">
        <f>E312+F312+I311</f>
        <v>0.27500000000023306</v>
      </c>
      <c r="H312" s="1616"/>
      <c r="I312" s="1950">
        <f t="shared" si="352"/>
        <v>0.27500000000023306</v>
      </c>
      <c r="J312" s="910">
        <f t="shared" si="353"/>
        <v>0</v>
      </c>
      <c r="K312" s="2222"/>
      <c r="L312" s="2219"/>
      <c r="M312" s="2224"/>
      <c r="N312" s="2219"/>
      <c r="O312" s="2224"/>
      <c r="P312" s="2227"/>
    </row>
    <row r="313" spans="1:16" ht="17.25" customHeight="1">
      <c r="A313" s="2280"/>
      <c r="B313" s="2245" t="s">
        <v>224</v>
      </c>
      <c r="C313" s="1754">
        <v>42005</v>
      </c>
      <c r="D313" s="1917">
        <v>42277</v>
      </c>
      <c r="E313" s="892">
        <v>6.9969999999999999</v>
      </c>
      <c r="F313" s="892">
        <v>-6.9969999999999999</v>
      </c>
      <c r="G313" s="891">
        <f>E313+F313</f>
        <v>0</v>
      </c>
      <c r="H313" s="892"/>
      <c r="I313" s="901">
        <f t="shared" si="352"/>
        <v>0</v>
      </c>
      <c r="J313" s="893" t="e">
        <f t="shared" si="353"/>
        <v>#DIV/0!</v>
      </c>
      <c r="K313" s="2221">
        <f t="shared" ref="K313" si="398">E313+E314</f>
        <v>7.3650000000000002</v>
      </c>
      <c r="L313" s="2228">
        <f t="shared" si="383"/>
        <v>-7.3650000000000002</v>
      </c>
      <c r="M313" s="2223">
        <f t="shared" si="392"/>
        <v>0</v>
      </c>
      <c r="N313" s="2217">
        <f>H313+H314</f>
        <v>0</v>
      </c>
      <c r="O313" s="2223">
        <f t="shared" ref="O313" si="399">M313-N313</f>
        <v>0</v>
      </c>
      <c r="P313" s="2226" t="e">
        <f t="shared" ref="P313" si="400">N313/M313</f>
        <v>#DIV/0!</v>
      </c>
    </row>
    <row r="314" spans="1:16" ht="17.25" customHeight="1">
      <c r="A314" s="2280"/>
      <c r="B314" s="2246"/>
      <c r="C314" s="900">
        <v>42278</v>
      </c>
      <c r="D314" s="1918">
        <v>42369</v>
      </c>
      <c r="E314" s="1616">
        <v>0.36799999999999999</v>
      </c>
      <c r="F314" s="1616">
        <v>-0.36799999999999999</v>
      </c>
      <c r="G314" s="948">
        <f>E314+F314+I313</f>
        <v>0</v>
      </c>
      <c r="H314" s="1616"/>
      <c r="I314" s="1950">
        <f t="shared" si="352"/>
        <v>0</v>
      </c>
      <c r="J314" s="910" t="e">
        <f>H314/G314</f>
        <v>#DIV/0!</v>
      </c>
      <c r="K314" s="2222"/>
      <c r="L314" s="2219"/>
      <c r="M314" s="2224"/>
      <c r="N314" s="2219"/>
      <c r="O314" s="2224"/>
      <c r="P314" s="2227"/>
    </row>
    <row r="315" spans="1:16" ht="17.25" customHeight="1">
      <c r="A315" s="2280"/>
      <c r="B315" s="2245" t="s">
        <v>225</v>
      </c>
      <c r="C315" s="1754">
        <v>42005</v>
      </c>
      <c r="D315" s="1917">
        <v>42277</v>
      </c>
      <c r="E315" s="1481">
        <v>7.4359999999999999</v>
      </c>
      <c r="F315" s="1481">
        <v>-7.4359999999999999</v>
      </c>
      <c r="G315" s="1622">
        <f>E315+F315</f>
        <v>0</v>
      </c>
      <c r="H315" s="1481"/>
      <c r="I315" s="1621">
        <f>G315-H315</f>
        <v>0</v>
      </c>
      <c r="J315" s="1623" t="e">
        <f>H315/G315</f>
        <v>#DIV/0!</v>
      </c>
      <c r="K315" s="2221">
        <f t="shared" ref="K315" si="401">E315+E316</f>
        <v>7.827</v>
      </c>
      <c r="L315" s="2228">
        <f>F315+F316</f>
        <v>-7.827</v>
      </c>
      <c r="M315" s="2223">
        <f>K315+L315</f>
        <v>0</v>
      </c>
      <c r="N315" s="2228">
        <f>H315+H316</f>
        <v>0</v>
      </c>
      <c r="O315" s="2223">
        <f t="shared" ref="O315" si="402">M315-N315</f>
        <v>0</v>
      </c>
      <c r="P315" s="2226" t="e">
        <f t="shared" ref="P315" si="403">N315/M315</f>
        <v>#DIV/0!</v>
      </c>
    </row>
    <row r="316" spans="1:16" ht="17.25" customHeight="1">
      <c r="A316" s="2280"/>
      <c r="B316" s="2246"/>
      <c r="C316" s="900">
        <v>42278</v>
      </c>
      <c r="D316" s="1918">
        <v>42369</v>
      </c>
      <c r="E316" s="892">
        <v>0.39100000000000001</v>
      </c>
      <c r="F316" s="1616">
        <v>-0.39100000000000001</v>
      </c>
      <c r="G316" s="948">
        <f>E316+F316+I315</f>
        <v>0</v>
      </c>
      <c r="H316" s="1616"/>
      <c r="I316" s="1950">
        <f>G316-H316</f>
        <v>0</v>
      </c>
      <c r="J316" s="910" t="e">
        <f>H316/G316</f>
        <v>#DIV/0!</v>
      </c>
      <c r="K316" s="2222"/>
      <c r="L316" s="2219"/>
      <c r="M316" s="2224"/>
      <c r="N316" s="2219"/>
      <c r="O316" s="2224"/>
      <c r="P316" s="2227"/>
    </row>
    <row r="317" spans="1:16" ht="17.25" customHeight="1">
      <c r="A317" s="2280"/>
      <c r="B317" s="2245" t="s">
        <v>218</v>
      </c>
      <c r="C317" s="1754">
        <v>42005</v>
      </c>
      <c r="D317" s="1917">
        <v>42277</v>
      </c>
      <c r="E317" s="1481">
        <v>126.90900000000001</v>
      </c>
      <c r="F317" s="1481">
        <v>-126.90900000000001</v>
      </c>
      <c r="G317" s="1622">
        <f>E317+F317</f>
        <v>0</v>
      </c>
      <c r="H317" s="1481"/>
      <c r="I317" s="1621">
        <f>G317-H317</f>
        <v>0</v>
      </c>
      <c r="J317" s="1623" t="e">
        <f>H317/G317</f>
        <v>#DIV/0!</v>
      </c>
      <c r="K317" s="2221">
        <f t="shared" ref="K317" si="404">E317+E318</f>
        <v>133.584</v>
      </c>
      <c r="L317" s="2228">
        <f>F317+F318</f>
        <v>-133.584</v>
      </c>
      <c r="M317" s="2223">
        <f>K317+L317</f>
        <v>0</v>
      </c>
      <c r="N317" s="2228">
        <f>H317+H318</f>
        <v>0</v>
      </c>
      <c r="O317" s="2223">
        <f t="shared" ref="O317" si="405">M317-N317</f>
        <v>0</v>
      </c>
      <c r="P317" s="2226" t="e">
        <f>N317/M317</f>
        <v>#DIV/0!</v>
      </c>
    </row>
    <row r="318" spans="1:16" ht="17.25" customHeight="1">
      <c r="A318" s="2280"/>
      <c r="B318" s="2246"/>
      <c r="C318" s="900">
        <v>42278</v>
      </c>
      <c r="D318" s="1918">
        <v>42369</v>
      </c>
      <c r="E318" s="1616">
        <v>6.6749999999999998</v>
      </c>
      <c r="F318" s="1616">
        <v>-6.6749999999999998</v>
      </c>
      <c r="G318" s="948">
        <f>E318+F318+I317</f>
        <v>0</v>
      </c>
      <c r="H318" s="1616"/>
      <c r="I318" s="1950">
        <f>G318-H318</f>
        <v>0</v>
      </c>
      <c r="J318" s="910" t="e">
        <f>H318/G318</f>
        <v>#DIV/0!</v>
      </c>
      <c r="K318" s="2222"/>
      <c r="L318" s="2219"/>
      <c r="M318" s="2224"/>
      <c r="N318" s="2219"/>
      <c r="O318" s="2224"/>
      <c r="P318" s="2227"/>
    </row>
    <row r="319" spans="1:16" ht="17.25" customHeight="1">
      <c r="A319" s="2280"/>
      <c r="B319" s="2245" t="s">
        <v>227</v>
      </c>
      <c r="C319" s="1754">
        <v>42005</v>
      </c>
      <c r="D319" s="1917">
        <v>42277</v>
      </c>
      <c r="E319" s="1622">
        <v>1359.3579999999999</v>
      </c>
      <c r="F319" s="1481">
        <f>-120.15</f>
        <v>-120.15</v>
      </c>
      <c r="G319" s="1622">
        <f>E319+F319</f>
        <v>1239.2079999999999</v>
      </c>
      <c r="H319" s="1257">
        <v>1305.345</v>
      </c>
      <c r="I319" s="1621">
        <f t="shared" si="352"/>
        <v>-66.137000000000171</v>
      </c>
      <c r="J319" s="1623">
        <f t="shared" si="353"/>
        <v>1.0533703784998161</v>
      </c>
      <c r="K319" s="2221">
        <f t="shared" ref="K319" si="406">E319+E320</f>
        <v>1430.8509999999999</v>
      </c>
      <c r="L319" s="2228">
        <f t="shared" si="383"/>
        <v>-120.15</v>
      </c>
      <c r="M319" s="2223">
        <f t="shared" si="392"/>
        <v>1310.7009999999998</v>
      </c>
      <c r="N319" s="2228">
        <f>H319+H320</f>
        <v>1305.345</v>
      </c>
      <c r="O319" s="2223">
        <f t="shared" ref="O319" si="407">M319-N319</f>
        <v>5.3559999999997672</v>
      </c>
      <c r="P319" s="2226">
        <f t="shared" ref="P319:P339" si="408">N319/M319</f>
        <v>0.9959136370537599</v>
      </c>
    </row>
    <row r="320" spans="1:16" ht="17.25" customHeight="1">
      <c r="A320" s="2280"/>
      <c r="B320" s="2246"/>
      <c r="C320" s="900">
        <v>42278</v>
      </c>
      <c r="D320" s="1918">
        <v>42369</v>
      </c>
      <c r="E320" s="948">
        <v>71.492999999999995</v>
      </c>
      <c r="F320" s="1616"/>
      <c r="G320" s="948">
        <f>E320+F320+I319</f>
        <v>5.355999999999824</v>
      </c>
      <c r="H320" s="1616"/>
      <c r="I320" s="1950">
        <f t="shared" si="352"/>
        <v>5.355999999999824</v>
      </c>
      <c r="J320" s="910">
        <f t="shared" si="353"/>
        <v>0</v>
      </c>
      <c r="K320" s="2222"/>
      <c r="L320" s="2219"/>
      <c r="M320" s="2224"/>
      <c r="N320" s="2219"/>
      <c r="O320" s="2224"/>
      <c r="P320" s="2227"/>
    </row>
    <row r="321" spans="1:16" ht="17.25" customHeight="1">
      <c r="A321" s="2280"/>
      <c r="B321" s="2245" t="s">
        <v>228</v>
      </c>
      <c r="C321" s="1754">
        <v>42005</v>
      </c>
      <c r="D321" s="1917">
        <v>42277</v>
      </c>
      <c r="E321" s="1622">
        <v>1167.2850000000001</v>
      </c>
      <c r="F321" s="1481">
        <f>7.365+7.828+5.276+2.275+6.778+134.63+476.985+476.985+173.977</f>
        <v>1292.0989999999999</v>
      </c>
      <c r="G321" s="1622">
        <f>E321+F321</f>
        <v>2459.384</v>
      </c>
      <c r="H321" s="1270">
        <v>2513.1619999999998</v>
      </c>
      <c r="I321" s="1621">
        <f t="shared" si="352"/>
        <v>-53.777999999999793</v>
      </c>
      <c r="J321" s="1623">
        <f t="shared" si="353"/>
        <v>1.0218664511113351</v>
      </c>
      <c r="K321" s="2221">
        <f t="shared" ref="K321" si="409">E321+E322</f>
        <v>1228.6770000000001</v>
      </c>
      <c r="L321" s="2228">
        <f t="shared" si="383"/>
        <v>1292.0989999999999</v>
      </c>
      <c r="M321" s="2223">
        <f t="shared" si="392"/>
        <v>2520.7759999999998</v>
      </c>
      <c r="N321" s="2228">
        <f>H321+H322</f>
        <v>2513.1619999999998</v>
      </c>
      <c r="O321" s="2223">
        <f t="shared" ref="O321" si="410">M321-N321</f>
        <v>7.6140000000000327</v>
      </c>
      <c r="P321" s="2226">
        <f>N321/M321</f>
        <v>0.99697950155031623</v>
      </c>
    </row>
    <row r="322" spans="1:16" ht="17.25" customHeight="1">
      <c r="A322" s="2280"/>
      <c r="B322" s="2246"/>
      <c r="C322" s="900">
        <v>42278</v>
      </c>
      <c r="D322" s="1918">
        <v>42369</v>
      </c>
      <c r="E322" s="948">
        <v>61.392000000000003</v>
      </c>
      <c r="F322" s="1616"/>
      <c r="G322" s="948">
        <f>E322+F322+I321</f>
        <v>7.6140000000002104</v>
      </c>
      <c r="H322" s="1616"/>
      <c r="I322" s="1950">
        <f t="shared" si="352"/>
        <v>7.6140000000002104</v>
      </c>
      <c r="J322" s="910">
        <f t="shared" si="353"/>
        <v>0</v>
      </c>
      <c r="K322" s="2222"/>
      <c r="L322" s="2219"/>
      <c r="M322" s="2224"/>
      <c r="N322" s="2219"/>
      <c r="O322" s="2224"/>
      <c r="P322" s="2227"/>
    </row>
    <row r="323" spans="1:16" ht="17.25" customHeight="1">
      <c r="A323" s="2280"/>
      <c r="B323" s="2245" t="s">
        <v>237</v>
      </c>
      <c r="C323" s="1754">
        <v>42005</v>
      </c>
      <c r="D323" s="1917">
        <v>42277</v>
      </c>
      <c r="E323" s="1481">
        <v>4.968</v>
      </c>
      <c r="F323" s="1481">
        <v>-4.968</v>
      </c>
      <c r="G323" s="1622">
        <f>E323+F323</f>
        <v>0</v>
      </c>
      <c r="H323" s="1481"/>
      <c r="I323" s="1621">
        <f t="shared" si="352"/>
        <v>0</v>
      </c>
      <c r="J323" s="1623" t="e">
        <f t="shared" si="353"/>
        <v>#DIV/0!</v>
      </c>
      <c r="K323" s="2221">
        <f t="shared" ref="K323" si="411">E323+E324</f>
        <v>5.2290000000000001</v>
      </c>
      <c r="L323" s="2228">
        <f t="shared" si="383"/>
        <v>-5.2290000000000001</v>
      </c>
      <c r="M323" s="2223">
        <f t="shared" si="392"/>
        <v>0</v>
      </c>
      <c r="N323" s="2228">
        <f>H323+H324</f>
        <v>0</v>
      </c>
      <c r="O323" s="2223">
        <f t="shared" ref="O323" si="412">M323-N323</f>
        <v>0</v>
      </c>
      <c r="P323" s="2226" t="e">
        <f t="shared" si="408"/>
        <v>#DIV/0!</v>
      </c>
    </row>
    <row r="324" spans="1:16" ht="17.25" customHeight="1">
      <c r="A324" s="2280"/>
      <c r="B324" s="2246"/>
      <c r="C324" s="900">
        <v>42278</v>
      </c>
      <c r="D324" s="1918">
        <v>42369</v>
      </c>
      <c r="E324" s="1616">
        <v>0.26100000000000001</v>
      </c>
      <c r="F324" s="1616">
        <v>-0.26100000000000001</v>
      </c>
      <c r="G324" s="948">
        <f>E324+F324+I323</f>
        <v>0</v>
      </c>
      <c r="H324" s="1616"/>
      <c r="I324" s="1950">
        <f t="shared" si="352"/>
        <v>0</v>
      </c>
      <c r="J324" s="910" t="e">
        <f t="shared" si="353"/>
        <v>#DIV/0!</v>
      </c>
      <c r="K324" s="2222"/>
      <c r="L324" s="2219"/>
      <c r="M324" s="2224"/>
      <c r="N324" s="2219"/>
      <c r="O324" s="2224"/>
      <c r="P324" s="2227"/>
    </row>
    <row r="325" spans="1:16" ht="17.25" customHeight="1">
      <c r="A325" s="2280"/>
      <c r="B325" s="2245" t="s">
        <v>215</v>
      </c>
      <c r="C325" s="1754">
        <v>42005</v>
      </c>
      <c r="D325" s="1917">
        <v>42277</v>
      </c>
      <c r="E325" s="1622">
        <v>6085.6189999999997</v>
      </c>
      <c r="F325" s="1481">
        <f>3000-2000-1900-100+35</f>
        <v>-965</v>
      </c>
      <c r="G325" s="1622">
        <f>E325+F325</f>
        <v>5120.6189999999997</v>
      </c>
      <c r="H325" s="1259">
        <v>5386.9929999999995</v>
      </c>
      <c r="I325" s="1621">
        <f t="shared" si="352"/>
        <v>-266.3739999999998</v>
      </c>
      <c r="J325" s="1623">
        <f t="shared" si="353"/>
        <v>1.0520198827524563</v>
      </c>
      <c r="K325" s="2221">
        <f t="shared" ref="K325" si="413">E325+E326</f>
        <v>6405.6819999999998</v>
      </c>
      <c r="L325" s="2228">
        <f t="shared" si="383"/>
        <v>-965</v>
      </c>
      <c r="M325" s="2223">
        <f t="shared" si="392"/>
        <v>5440.6819999999998</v>
      </c>
      <c r="N325" s="2228">
        <f>H325+H326</f>
        <v>5386.9929999999995</v>
      </c>
      <c r="O325" s="2223">
        <f t="shared" ref="O325" si="414">M325-N325</f>
        <v>53.689000000000306</v>
      </c>
      <c r="P325" s="2226">
        <f t="shared" si="408"/>
        <v>0.99013193566541835</v>
      </c>
    </row>
    <row r="326" spans="1:16" ht="17.25" customHeight="1">
      <c r="A326" s="2280"/>
      <c r="B326" s="2246"/>
      <c r="C326" s="900">
        <v>42278</v>
      </c>
      <c r="D326" s="1918">
        <v>42369</v>
      </c>
      <c r="E326" s="948">
        <v>320.06299999999999</v>
      </c>
      <c r="F326" s="1616"/>
      <c r="G326" s="948">
        <f>E326+F326+I325</f>
        <v>53.689000000000192</v>
      </c>
      <c r="H326" s="1616"/>
      <c r="I326" s="1950">
        <f t="shared" si="352"/>
        <v>53.689000000000192</v>
      </c>
      <c r="J326" s="910">
        <f t="shared" si="353"/>
        <v>0</v>
      </c>
      <c r="K326" s="2222"/>
      <c r="L326" s="2219"/>
      <c r="M326" s="2224"/>
      <c r="N326" s="2219"/>
      <c r="O326" s="2224"/>
      <c r="P326" s="2227"/>
    </row>
    <row r="327" spans="1:16" ht="17.25" customHeight="1">
      <c r="A327" s="2280"/>
      <c r="B327" s="2245" t="s">
        <v>231</v>
      </c>
      <c r="C327" s="1754">
        <v>42005</v>
      </c>
      <c r="D327" s="1917">
        <v>42277</v>
      </c>
      <c r="E327" s="1622">
        <v>54.908999999999999</v>
      </c>
      <c r="F327" s="1481">
        <v>-54.908999999999999</v>
      </c>
      <c r="G327" s="1622">
        <f>E327+F327</f>
        <v>0</v>
      </c>
      <c r="H327" s="1481"/>
      <c r="I327" s="1621">
        <f t="shared" ref="I327:I336" si="415">G327-H327</f>
        <v>0</v>
      </c>
      <c r="J327" s="1623" t="e">
        <f t="shared" ref="J327:J336" si="416">H327/G327</f>
        <v>#DIV/0!</v>
      </c>
      <c r="K327" s="2221">
        <f t="shared" ref="K327" si="417">E327+E328</f>
        <v>57.796999999999997</v>
      </c>
      <c r="L327" s="2228">
        <f>F327+F328</f>
        <v>-57.796999999999997</v>
      </c>
      <c r="M327" s="2223">
        <f>K327+L327</f>
        <v>0</v>
      </c>
      <c r="N327" s="2228">
        <f>H327+H328</f>
        <v>0</v>
      </c>
      <c r="O327" s="2223">
        <f t="shared" ref="O327" si="418">M327-N327</f>
        <v>0</v>
      </c>
      <c r="P327" s="2226" t="e">
        <f>N327/M327</f>
        <v>#DIV/0!</v>
      </c>
    </row>
    <row r="328" spans="1:16" ht="21" customHeight="1">
      <c r="A328" s="2280"/>
      <c r="B328" s="2246"/>
      <c r="C328" s="900">
        <v>42278</v>
      </c>
      <c r="D328" s="1918">
        <v>42369</v>
      </c>
      <c r="E328" s="948">
        <v>2.8879999999999999</v>
      </c>
      <c r="F328" s="1616">
        <v>-2.8879999999999999</v>
      </c>
      <c r="G328" s="948">
        <f>E328+F328+I327</f>
        <v>0</v>
      </c>
      <c r="H328" s="1616"/>
      <c r="I328" s="1950">
        <f t="shared" si="415"/>
        <v>0</v>
      </c>
      <c r="J328" s="910" t="e">
        <f t="shared" si="416"/>
        <v>#DIV/0!</v>
      </c>
      <c r="K328" s="2222"/>
      <c r="L328" s="2219"/>
      <c r="M328" s="2224"/>
      <c r="N328" s="2219"/>
      <c r="O328" s="2224"/>
      <c r="P328" s="2227"/>
    </row>
    <row r="329" spans="1:16" ht="17.25" customHeight="1">
      <c r="A329" s="2280"/>
      <c r="B329" s="2245" t="s">
        <v>238</v>
      </c>
      <c r="C329" s="1754">
        <v>42005</v>
      </c>
      <c r="D329" s="1917">
        <v>42277</v>
      </c>
      <c r="E329" s="1622">
        <v>49.012999999999998</v>
      </c>
      <c r="F329" s="1481"/>
      <c r="G329" s="1622">
        <f>E329+F329</f>
        <v>49.012999999999998</v>
      </c>
      <c r="H329" s="1259">
        <v>0</v>
      </c>
      <c r="I329" s="1621">
        <f t="shared" si="415"/>
        <v>49.012999999999998</v>
      </c>
      <c r="J329" s="1623">
        <f t="shared" si="416"/>
        <v>0</v>
      </c>
      <c r="K329" s="2221">
        <f>E329+E330</f>
        <v>51.591000000000001</v>
      </c>
      <c r="L329" s="2228">
        <f>F329+F330</f>
        <v>0</v>
      </c>
      <c r="M329" s="2223">
        <f>K329+L329</f>
        <v>51.591000000000001</v>
      </c>
      <c r="N329" s="2228">
        <f>H329+H330</f>
        <v>0</v>
      </c>
      <c r="O329" s="2223">
        <f>M329-N329</f>
        <v>51.591000000000001</v>
      </c>
      <c r="P329" s="2226">
        <f>N329/M329</f>
        <v>0</v>
      </c>
    </row>
    <row r="330" spans="1:16" ht="17.25" customHeight="1">
      <c r="A330" s="2280"/>
      <c r="B330" s="2246"/>
      <c r="C330" s="900">
        <v>42278</v>
      </c>
      <c r="D330" s="1918">
        <v>42369</v>
      </c>
      <c r="E330" s="948">
        <v>2.5779999999999998</v>
      </c>
      <c r="F330" s="1616"/>
      <c r="G330" s="948">
        <f>E330+F330+I329</f>
        <v>51.591000000000001</v>
      </c>
      <c r="H330" s="892"/>
      <c r="I330" s="1950">
        <f t="shared" si="415"/>
        <v>51.591000000000001</v>
      </c>
      <c r="J330" s="910">
        <f t="shared" si="416"/>
        <v>0</v>
      </c>
      <c r="K330" s="2222"/>
      <c r="L330" s="2219"/>
      <c r="M330" s="2224"/>
      <c r="N330" s="2219"/>
      <c r="O330" s="2224"/>
      <c r="P330" s="2227"/>
    </row>
    <row r="331" spans="1:16" ht="17.25" customHeight="1">
      <c r="A331" s="2280"/>
      <c r="B331" s="2245" t="s">
        <v>249</v>
      </c>
      <c r="C331" s="1754">
        <v>42005</v>
      </c>
      <c r="D331" s="1917">
        <v>42277</v>
      </c>
      <c r="E331" s="1622">
        <v>165.28399999999999</v>
      </c>
      <c r="F331" s="1481">
        <v>-165.28399999999999</v>
      </c>
      <c r="G331" s="1622">
        <f>E331+F331</f>
        <v>0</v>
      </c>
      <c r="H331" s="1481"/>
      <c r="I331" s="1621">
        <f t="shared" si="415"/>
        <v>0</v>
      </c>
      <c r="J331" s="1623" t="e">
        <f t="shared" si="416"/>
        <v>#DIV/0!</v>
      </c>
      <c r="K331" s="2221">
        <f t="shared" ref="K331" si="419">E331+E332</f>
        <v>173.977</v>
      </c>
      <c r="L331" s="2228">
        <f>F331+F332</f>
        <v>-173.977</v>
      </c>
      <c r="M331" s="2223">
        <f>K331+L331</f>
        <v>0</v>
      </c>
      <c r="N331" s="2228">
        <f>H331+H332</f>
        <v>0</v>
      </c>
      <c r="O331" s="2223">
        <f t="shared" ref="O331" si="420">M331-N331</f>
        <v>0</v>
      </c>
      <c r="P331" s="2226" t="e">
        <f>N331/M331</f>
        <v>#DIV/0!</v>
      </c>
    </row>
    <row r="332" spans="1:16" ht="17.25" customHeight="1">
      <c r="A332" s="2280"/>
      <c r="B332" s="2246"/>
      <c r="C332" s="900">
        <v>42278</v>
      </c>
      <c r="D332" s="1918">
        <v>42369</v>
      </c>
      <c r="E332" s="948">
        <v>8.6929999999999996</v>
      </c>
      <c r="F332" s="1616">
        <v>-8.6929999999999996</v>
      </c>
      <c r="G332" s="948">
        <f>E332+F332+I331</f>
        <v>0</v>
      </c>
      <c r="H332" s="1616"/>
      <c r="I332" s="1950">
        <f t="shared" si="415"/>
        <v>0</v>
      </c>
      <c r="J332" s="910" t="e">
        <f t="shared" si="416"/>
        <v>#DIV/0!</v>
      </c>
      <c r="K332" s="2222"/>
      <c r="L332" s="2219"/>
      <c r="M332" s="2224"/>
      <c r="N332" s="2219"/>
      <c r="O332" s="2224"/>
      <c r="P332" s="2227"/>
    </row>
    <row r="333" spans="1:16" ht="17.25" customHeight="1">
      <c r="A333" s="2280"/>
      <c r="B333" s="2245" t="s">
        <v>251</v>
      </c>
      <c r="C333" s="1754">
        <v>42005</v>
      </c>
      <c r="D333" s="1917">
        <v>42277</v>
      </c>
      <c r="E333" s="1622">
        <v>453.15199999999999</v>
      </c>
      <c r="F333" s="1481">
        <v>-453.15199999999999</v>
      </c>
      <c r="G333" s="1622">
        <f>E333+F333</f>
        <v>0</v>
      </c>
      <c r="H333" s="1481"/>
      <c r="I333" s="1621">
        <f t="shared" si="415"/>
        <v>0</v>
      </c>
      <c r="J333" s="1623" t="e">
        <f t="shared" si="416"/>
        <v>#DIV/0!</v>
      </c>
      <c r="K333" s="2221">
        <f t="shared" ref="K333" si="421">E333+E334</f>
        <v>476.98500000000001</v>
      </c>
      <c r="L333" s="2228">
        <f>F333+F334</f>
        <v>-476.98500000000001</v>
      </c>
      <c r="M333" s="2223">
        <f t="shared" ref="M333" si="422">K333+L333</f>
        <v>0</v>
      </c>
      <c r="N333" s="2228">
        <f>H333+H334</f>
        <v>0</v>
      </c>
      <c r="O333" s="2223">
        <f t="shared" ref="O333" si="423">M333-N333</f>
        <v>0</v>
      </c>
      <c r="P333" s="2226" t="e">
        <f t="shared" ref="P333" si="424">N333/M333</f>
        <v>#DIV/0!</v>
      </c>
    </row>
    <row r="334" spans="1:16" ht="17.25" customHeight="1">
      <c r="A334" s="2280"/>
      <c r="B334" s="2246"/>
      <c r="C334" s="900">
        <v>42278</v>
      </c>
      <c r="D334" s="1918">
        <v>42369</v>
      </c>
      <c r="E334" s="948">
        <v>23.832999999999998</v>
      </c>
      <c r="F334" s="1616">
        <v>-23.832999999999998</v>
      </c>
      <c r="G334" s="948">
        <f>E334+F334+I333</f>
        <v>0</v>
      </c>
      <c r="H334" s="1616"/>
      <c r="I334" s="1950">
        <f t="shared" si="415"/>
        <v>0</v>
      </c>
      <c r="J334" s="910" t="e">
        <f t="shared" si="416"/>
        <v>#DIV/0!</v>
      </c>
      <c r="K334" s="2222"/>
      <c r="L334" s="2219"/>
      <c r="M334" s="2224"/>
      <c r="N334" s="2219"/>
      <c r="O334" s="2224"/>
      <c r="P334" s="2227"/>
    </row>
    <row r="335" spans="1:16" ht="17.25" customHeight="1">
      <c r="A335" s="2280"/>
      <c r="B335" s="2245" t="s">
        <v>250</v>
      </c>
      <c r="C335" s="1754">
        <v>42005</v>
      </c>
      <c r="D335" s="1814">
        <v>42277</v>
      </c>
      <c r="E335" s="1481">
        <v>127.904</v>
      </c>
      <c r="F335" s="1481">
        <v>-127.904</v>
      </c>
      <c r="G335" s="1622">
        <f>E335+F335</f>
        <v>0</v>
      </c>
      <c r="H335" s="1481"/>
      <c r="I335" s="1621">
        <f t="shared" si="415"/>
        <v>0</v>
      </c>
      <c r="J335" s="1623" t="e">
        <f t="shared" si="416"/>
        <v>#DIV/0!</v>
      </c>
      <c r="K335" s="2221">
        <f t="shared" ref="K335" si="425">E335+E336</f>
        <v>134.631</v>
      </c>
      <c r="L335" s="2228">
        <f>F335+F336</f>
        <v>-134.631</v>
      </c>
      <c r="M335" s="2223">
        <f>K335+L335</f>
        <v>0</v>
      </c>
      <c r="N335" s="2228">
        <f>H335+H336</f>
        <v>0</v>
      </c>
      <c r="O335" s="2223">
        <f>M335-N335</f>
        <v>0</v>
      </c>
      <c r="P335" s="2226" t="e">
        <f>N335/M335</f>
        <v>#DIV/0!</v>
      </c>
    </row>
    <row r="336" spans="1:16" ht="17.25" customHeight="1">
      <c r="A336" s="2280"/>
      <c r="B336" s="2246"/>
      <c r="C336" s="900">
        <v>42278</v>
      </c>
      <c r="D336" s="1812">
        <v>42369</v>
      </c>
      <c r="E336" s="1616">
        <v>6.7270000000000003</v>
      </c>
      <c r="F336" s="1616">
        <v>-6.7270000000000003</v>
      </c>
      <c r="G336" s="948">
        <f>E336+F336+I335</f>
        <v>0</v>
      </c>
      <c r="H336" s="1616"/>
      <c r="I336" s="1950">
        <f t="shared" si="415"/>
        <v>0</v>
      </c>
      <c r="J336" s="910" t="e">
        <f t="shared" si="416"/>
        <v>#DIV/0!</v>
      </c>
      <c r="K336" s="2222"/>
      <c r="L336" s="2219"/>
      <c r="M336" s="2224"/>
      <c r="N336" s="2219"/>
      <c r="O336" s="2224"/>
      <c r="P336" s="2227"/>
    </row>
    <row r="337" spans="1:16" ht="17.25" customHeight="1">
      <c r="A337" s="2280"/>
      <c r="B337" s="2245" t="s">
        <v>178</v>
      </c>
      <c r="C337" s="1754">
        <v>42005</v>
      </c>
      <c r="D337" s="1917">
        <v>42277</v>
      </c>
      <c r="E337" s="1481">
        <v>0</v>
      </c>
      <c r="F337" s="892">
        <f>0.261+0.261</f>
        <v>0.52200000000000002</v>
      </c>
      <c r="G337" s="1622">
        <f>E337+F337</f>
        <v>0.52200000000000002</v>
      </c>
      <c r="H337" s="1481"/>
      <c r="I337" s="1621">
        <f t="shared" ref="I337:I338" si="426">G337-H337</f>
        <v>0.52200000000000002</v>
      </c>
      <c r="J337" s="1623">
        <f t="shared" ref="J337:J338" si="427">H337/G337</f>
        <v>0</v>
      </c>
      <c r="K337" s="2221">
        <f t="shared" ref="K337" si="428">E337+E338</f>
        <v>0</v>
      </c>
      <c r="L337" s="2228">
        <f t="shared" ref="L337" si="429">F337+F338</f>
        <v>0.52200000000000002</v>
      </c>
      <c r="M337" s="2223">
        <f t="shared" ref="M337" si="430">K337+L337</f>
        <v>0.52200000000000002</v>
      </c>
      <c r="N337" s="2228">
        <f>H337+H338</f>
        <v>0</v>
      </c>
      <c r="O337" s="2223">
        <f t="shared" ref="O337" si="431">M337-N337</f>
        <v>0.52200000000000002</v>
      </c>
      <c r="P337" s="2226">
        <f t="shared" ref="P337" si="432">N337/M337</f>
        <v>0</v>
      </c>
    </row>
    <row r="338" spans="1:16" ht="17.25" customHeight="1">
      <c r="A338" s="2280"/>
      <c r="B338" s="2246"/>
      <c r="C338" s="900">
        <v>42278</v>
      </c>
      <c r="D338" s="1918">
        <v>42369</v>
      </c>
      <c r="E338" s="1616">
        <v>0</v>
      </c>
      <c r="F338" s="892"/>
      <c r="G338" s="948">
        <f>E338+F338+I337</f>
        <v>0.52200000000000002</v>
      </c>
      <c r="H338" s="1616"/>
      <c r="I338" s="1950">
        <f t="shared" si="426"/>
        <v>0.52200000000000002</v>
      </c>
      <c r="J338" s="910">
        <f t="shared" si="427"/>
        <v>0</v>
      </c>
      <c r="K338" s="2222"/>
      <c r="L338" s="2219"/>
      <c r="M338" s="2224"/>
      <c r="N338" s="2219"/>
      <c r="O338" s="2224"/>
      <c r="P338" s="2227"/>
    </row>
    <row r="339" spans="1:16" ht="17.25" customHeight="1">
      <c r="A339" s="2280"/>
      <c r="B339" s="2245" t="s">
        <v>220</v>
      </c>
      <c r="C339" s="1754">
        <v>42005</v>
      </c>
      <c r="D339" s="1917">
        <v>42277</v>
      </c>
      <c r="E339" s="1481">
        <v>0</v>
      </c>
      <c r="F339" s="1481">
        <f>133.583+247.703+(134.63+476.985+476.985+173.977)-(134.63+476.985+476.985+173.977)</f>
        <v>381.28600000000006</v>
      </c>
      <c r="G339" s="1622">
        <f>E339+F339</f>
        <v>381.28600000000006</v>
      </c>
      <c r="H339" s="1656">
        <v>365.54600000000005</v>
      </c>
      <c r="I339" s="1621">
        <f t="shared" ref="I339" si="433">G339-H339</f>
        <v>15.740000000000009</v>
      </c>
      <c r="J339" s="1623">
        <f t="shared" ref="J339" si="434">H339/G339</f>
        <v>0.95871865214038798</v>
      </c>
      <c r="K339" s="2221">
        <f t="shared" ref="K339" si="435">E339+E340</f>
        <v>0</v>
      </c>
      <c r="L339" s="2228">
        <f t="shared" si="383"/>
        <v>381.28600000000006</v>
      </c>
      <c r="M339" s="2223">
        <f t="shared" si="392"/>
        <v>381.28600000000006</v>
      </c>
      <c r="N339" s="2228">
        <f>H339+H340</f>
        <v>365.54600000000005</v>
      </c>
      <c r="O339" s="2223">
        <f>M339-N339</f>
        <v>15.740000000000009</v>
      </c>
      <c r="P339" s="2226">
        <f t="shared" si="408"/>
        <v>0.95871865214038798</v>
      </c>
    </row>
    <row r="340" spans="1:16" ht="17.25" customHeight="1" thickBot="1">
      <c r="A340" s="2281"/>
      <c r="B340" s="2399"/>
      <c r="C340" s="939">
        <v>42278</v>
      </c>
      <c r="D340" s="956">
        <v>42369</v>
      </c>
      <c r="E340" s="888">
        <v>0</v>
      </c>
      <c r="F340" s="888"/>
      <c r="G340" s="1919">
        <f>E340+F340+I339</f>
        <v>15.740000000000009</v>
      </c>
      <c r="H340" s="888"/>
      <c r="I340" s="1921">
        <f>G340-H340</f>
        <v>15.740000000000009</v>
      </c>
      <c r="J340" s="1951">
        <f>H340/G340</f>
        <v>0</v>
      </c>
      <c r="K340" s="2326"/>
      <c r="L340" s="2346"/>
      <c r="M340" s="2229"/>
      <c r="N340" s="2346"/>
      <c r="O340" s="2229"/>
      <c r="P340" s="2344"/>
    </row>
    <row r="341" spans="1:16" ht="17.25" customHeight="1" thickBot="1">
      <c r="B341" s="957"/>
      <c r="C341" s="920"/>
      <c r="D341" s="920"/>
      <c r="E341" s="958">
        <f>SUM(E291:E340)</f>
        <v>26117.997999999985</v>
      </c>
      <c r="F341" s="958"/>
      <c r="G341" s="920"/>
      <c r="H341" s="2063">
        <f>SUM(H183:H340)</f>
        <v>258564.25900000002</v>
      </c>
      <c r="I341" s="959"/>
      <c r="J341" s="922"/>
      <c r="K341" s="1946">
        <f>SUM(K291:K340)</f>
        <v>26117.998</v>
      </c>
      <c r="L341" s="1856">
        <f>SUM(L291:L340)</f>
        <v>-2334.3460000000005</v>
      </c>
      <c r="M341" s="1856">
        <f>SUM(M291:M340)</f>
        <v>23783.652000000002</v>
      </c>
      <c r="N341" s="1856">
        <f>SUM(N291:N340)</f>
        <v>23260.739999999994</v>
      </c>
      <c r="O341" s="1856">
        <f>SUM(O291:O340)</f>
        <v>522.91199999999947</v>
      </c>
      <c r="P341" s="1607">
        <f>+N341/M341</f>
        <v>0.97801380544922167</v>
      </c>
    </row>
    <row r="342" spans="1:16" ht="17.25" customHeight="1" thickBot="1">
      <c r="B342" s="957"/>
      <c r="C342" s="920"/>
      <c r="D342" s="920"/>
      <c r="E342" s="958"/>
      <c r="F342" s="958"/>
      <c r="G342" s="920"/>
      <c r="H342" s="2064"/>
      <c r="I342" s="959"/>
      <c r="J342" s="893"/>
      <c r="K342" s="1534"/>
      <c r="L342" s="1534"/>
      <c r="M342" s="1534"/>
      <c r="N342" s="1534"/>
      <c r="O342" s="1534"/>
      <c r="P342" s="927"/>
    </row>
    <row r="343" spans="1:16" ht="17.25" customHeight="1">
      <c r="A343" s="2270" t="s">
        <v>16</v>
      </c>
      <c r="B343" s="2242" t="s">
        <v>15</v>
      </c>
      <c r="C343" s="898">
        <v>42005</v>
      </c>
      <c r="D343" s="931">
        <v>42185</v>
      </c>
      <c r="E343" s="873">
        <v>1.827</v>
      </c>
      <c r="F343" s="899"/>
      <c r="G343" s="873">
        <f>E343+F343</f>
        <v>1.827</v>
      </c>
      <c r="H343" s="899"/>
      <c r="I343" s="875">
        <f>G343-H343</f>
        <v>1.827</v>
      </c>
      <c r="J343" s="876">
        <f>H343/G343</f>
        <v>0</v>
      </c>
      <c r="K343" s="2244">
        <f>E343+E344</f>
        <v>2.4379999999999997</v>
      </c>
      <c r="L343" s="2234">
        <f>F343+F344</f>
        <v>0</v>
      </c>
      <c r="M343" s="2211">
        <f>K343+L343</f>
        <v>2.4379999999999997</v>
      </c>
      <c r="N343" s="2364">
        <f>H343+H344</f>
        <v>0</v>
      </c>
      <c r="O343" s="2234">
        <f>M343-N343</f>
        <v>2.4379999999999997</v>
      </c>
      <c r="P343" s="2348">
        <f>N343/M343</f>
        <v>0</v>
      </c>
    </row>
    <row r="344" spans="1:16" ht="17.25" customHeight="1">
      <c r="A344" s="2271"/>
      <c r="B344" s="2243"/>
      <c r="C344" s="900">
        <v>42186</v>
      </c>
      <c r="D344" s="947">
        <v>42369</v>
      </c>
      <c r="E344" s="878">
        <v>0.61099999999999999</v>
      </c>
      <c r="F344" s="879"/>
      <c r="G344" s="878">
        <f>E344+F344+I343</f>
        <v>2.4379999999999997</v>
      </c>
      <c r="H344" s="924"/>
      <c r="I344" s="880">
        <f t="shared" ref="I344:I348" si="436">G344-H344</f>
        <v>2.4379999999999997</v>
      </c>
      <c r="J344" s="881">
        <f t="shared" ref="J344:J348" si="437">H344/G344</f>
        <v>0</v>
      </c>
      <c r="K344" s="2222"/>
      <c r="L344" s="2378"/>
      <c r="M344" s="2392"/>
      <c r="N344" s="2382"/>
      <c r="O344" s="2378"/>
      <c r="P344" s="2301"/>
    </row>
    <row r="345" spans="1:16" ht="17.25" customHeight="1">
      <c r="A345" s="2271"/>
      <c r="B345" s="2419" t="s">
        <v>0</v>
      </c>
      <c r="C345" s="902">
        <v>42005</v>
      </c>
      <c r="D345" s="949">
        <v>42185</v>
      </c>
      <c r="E345" s="950">
        <v>117.224</v>
      </c>
      <c r="F345" s="960"/>
      <c r="G345" s="950">
        <f>E345+F345</f>
        <v>117.224</v>
      </c>
      <c r="H345" s="923"/>
      <c r="I345" s="951">
        <f t="shared" si="436"/>
        <v>117.224</v>
      </c>
      <c r="J345" s="912">
        <f t="shared" si="437"/>
        <v>0</v>
      </c>
      <c r="K345" s="2233">
        <f t="shared" ref="K345" si="438">E345+E346</f>
        <v>156.43900000000002</v>
      </c>
      <c r="L345" s="2215">
        <f>F345+F346</f>
        <v>0</v>
      </c>
      <c r="M345" s="2432">
        <f t="shared" ref="M345" si="439">K345+L345</f>
        <v>156.43900000000002</v>
      </c>
      <c r="N345" s="2383">
        <f>H345+H346</f>
        <v>0</v>
      </c>
      <c r="O345" s="2215">
        <f>M345-N345</f>
        <v>156.43900000000002</v>
      </c>
      <c r="P345" s="2357">
        <f t="shared" ref="P345" si="440">N345/M345</f>
        <v>0</v>
      </c>
    </row>
    <row r="346" spans="1:16" ht="17.25" customHeight="1">
      <c r="A346" s="2271"/>
      <c r="B346" s="2243"/>
      <c r="C346" s="900">
        <v>42186</v>
      </c>
      <c r="D346" s="947">
        <v>42369</v>
      </c>
      <c r="E346" s="878">
        <v>39.215000000000003</v>
      </c>
      <c r="F346" s="879"/>
      <c r="G346" s="878">
        <f>E346+F346+I345</f>
        <v>156.43900000000002</v>
      </c>
      <c r="H346" s="924"/>
      <c r="I346" s="880">
        <f t="shared" si="436"/>
        <v>156.43900000000002</v>
      </c>
      <c r="J346" s="881">
        <f t="shared" si="437"/>
        <v>0</v>
      </c>
      <c r="K346" s="2222"/>
      <c r="L346" s="2378"/>
      <c r="M346" s="2392"/>
      <c r="N346" s="2382"/>
      <c r="O346" s="2378"/>
      <c r="P346" s="2301"/>
    </row>
    <row r="347" spans="1:16" ht="17.25" customHeight="1">
      <c r="A347" s="2271"/>
      <c r="B347" s="2394" t="s">
        <v>38</v>
      </c>
      <c r="C347" s="902">
        <v>42005</v>
      </c>
      <c r="D347" s="949">
        <v>42185</v>
      </c>
      <c r="E347" s="950">
        <v>436.94900000000001</v>
      </c>
      <c r="F347" s="960"/>
      <c r="G347" s="950">
        <f>E347+F347</f>
        <v>436.94900000000001</v>
      </c>
      <c r="H347" s="923"/>
      <c r="I347" s="951">
        <f t="shared" si="436"/>
        <v>436.94900000000001</v>
      </c>
      <c r="J347" s="912">
        <f t="shared" si="437"/>
        <v>0</v>
      </c>
      <c r="K347" s="2233">
        <f t="shared" ref="K347" si="441">E347+E348</f>
        <v>583.12300000000005</v>
      </c>
      <c r="L347" s="2215">
        <f>F347+F348</f>
        <v>0</v>
      </c>
      <c r="M347" s="2432">
        <f t="shared" ref="M347" si="442">K347+L347</f>
        <v>583.12300000000005</v>
      </c>
      <c r="N347" s="2383">
        <f>H347+H348</f>
        <v>0</v>
      </c>
      <c r="O347" s="2215">
        <f t="shared" ref="O347" si="443">M347-N347</f>
        <v>583.12300000000005</v>
      </c>
      <c r="P347" s="2357">
        <f>N347/M347</f>
        <v>0</v>
      </c>
    </row>
    <row r="348" spans="1:16" ht="17.25" customHeight="1" thickBot="1">
      <c r="A348" s="2272"/>
      <c r="B348" s="2395"/>
      <c r="C348" s="939">
        <v>42186</v>
      </c>
      <c r="D348" s="940">
        <v>42369</v>
      </c>
      <c r="E348" s="887">
        <v>146.17400000000001</v>
      </c>
      <c r="F348" s="888"/>
      <c r="G348" s="887">
        <f>E348+F348+I347</f>
        <v>583.12300000000005</v>
      </c>
      <c r="H348" s="888"/>
      <c r="I348" s="889">
        <f t="shared" si="436"/>
        <v>583.12300000000005</v>
      </c>
      <c r="J348" s="904">
        <f t="shared" si="437"/>
        <v>0</v>
      </c>
      <c r="K348" s="2326"/>
      <c r="L348" s="2261"/>
      <c r="M348" s="2229"/>
      <c r="N348" s="2384"/>
      <c r="O348" s="2261"/>
      <c r="P348" s="2380"/>
    </row>
    <row r="349" spans="1:16" ht="17.25" customHeight="1" thickBot="1">
      <c r="B349" s="961"/>
      <c r="C349" s="890"/>
      <c r="D349" s="890"/>
      <c r="E349" s="891"/>
      <c r="F349" s="891"/>
      <c r="G349" s="891"/>
      <c r="H349" s="891"/>
      <c r="I349" s="891"/>
      <c r="J349" s="893"/>
      <c r="K349" s="1603">
        <f>SUM(K343:K348)</f>
        <v>742</v>
      </c>
      <c r="L349" s="1604">
        <f t="shared" ref="L349:O349" si="444">SUM(L343:L348)</f>
        <v>0</v>
      </c>
      <c r="M349" s="1604">
        <f t="shared" si="444"/>
        <v>742</v>
      </c>
      <c r="N349" s="1604">
        <f t="shared" si="444"/>
        <v>0</v>
      </c>
      <c r="O349" s="1604">
        <f t="shared" si="444"/>
        <v>742</v>
      </c>
      <c r="P349" s="1613">
        <f>+N349/M349</f>
        <v>0</v>
      </c>
    </row>
    <row r="350" spans="1:16" ht="17.25" customHeight="1" thickBot="1">
      <c r="B350" s="962"/>
      <c r="C350" s="895"/>
      <c r="D350" s="895"/>
      <c r="E350" s="891"/>
      <c r="F350" s="891"/>
      <c r="G350" s="891"/>
      <c r="H350" s="891"/>
      <c r="I350" s="891"/>
      <c r="J350" s="893"/>
      <c r="K350" s="896"/>
      <c r="L350" s="1534"/>
      <c r="M350" s="1534"/>
      <c r="N350" s="1534"/>
      <c r="O350" s="1534"/>
      <c r="P350" s="897"/>
    </row>
    <row r="351" spans="1:16" ht="17.25" customHeight="1">
      <c r="A351" s="2270" t="s">
        <v>17</v>
      </c>
      <c r="B351" s="2416" t="s">
        <v>35</v>
      </c>
      <c r="C351" s="898">
        <v>42005</v>
      </c>
      <c r="D351" s="931">
        <v>42308</v>
      </c>
      <c r="E351" s="873">
        <v>113.541</v>
      </c>
      <c r="F351" s="874"/>
      <c r="G351" s="873">
        <f>E351+F351</f>
        <v>113.541</v>
      </c>
      <c r="H351" s="899"/>
      <c r="I351" s="875">
        <f>G351-H351</f>
        <v>113.541</v>
      </c>
      <c r="J351" s="876">
        <f>H351/G351</f>
        <v>0</v>
      </c>
      <c r="K351" s="2244">
        <f>E351+E352</f>
        <v>119.553</v>
      </c>
      <c r="L351" s="2234">
        <f>F351+F352</f>
        <v>0</v>
      </c>
      <c r="M351" s="2393">
        <f>K351+L351</f>
        <v>119.553</v>
      </c>
      <c r="N351" s="2364">
        <f>H351+H352</f>
        <v>0</v>
      </c>
      <c r="O351" s="2234">
        <f>M351-N351</f>
        <v>119.553</v>
      </c>
      <c r="P351" s="2348">
        <f>N351/M351</f>
        <v>0</v>
      </c>
    </row>
    <row r="352" spans="1:16" ht="17.25" customHeight="1">
      <c r="A352" s="2271"/>
      <c r="B352" s="2417"/>
      <c r="C352" s="900">
        <v>42309</v>
      </c>
      <c r="D352" s="947">
        <v>42369</v>
      </c>
      <c r="E352" s="878">
        <v>6.0119999999999996</v>
      </c>
      <c r="F352" s="879"/>
      <c r="G352" s="878">
        <f>E352+F352+I351</f>
        <v>119.553</v>
      </c>
      <c r="H352" s="924"/>
      <c r="I352" s="880">
        <f t="shared" ref="I352:I364" si="445">G352-H352</f>
        <v>119.553</v>
      </c>
      <c r="J352" s="881">
        <f t="shared" ref="J352:J364" si="446">H352/G352</f>
        <v>0</v>
      </c>
      <c r="K352" s="2222"/>
      <c r="L352" s="2378"/>
      <c r="M352" s="2392"/>
      <c r="N352" s="2382"/>
      <c r="O352" s="2378"/>
      <c r="P352" s="2301"/>
    </row>
    <row r="353" spans="1:16" ht="17.25" customHeight="1">
      <c r="A353" s="2271"/>
      <c r="B353" s="2406" t="s">
        <v>32</v>
      </c>
      <c r="C353" s="902">
        <v>42005</v>
      </c>
      <c r="D353" s="949">
        <v>42308</v>
      </c>
      <c r="E353" s="891">
        <v>358.041</v>
      </c>
      <c r="F353" s="892">
        <v>143.601</v>
      </c>
      <c r="G353" s="891">
        <f>E353+F353</f>
        <v>501.642</v>
      </c>
      <c r="H353" s="892"/>
      <c r="I353" s="901">
        <f t="shared" si="445"/>
        <v>501.642</v>
      </c>
      <c r="J353" s="893">
        <f t="shared" si="446"/>
        <v>0</v>
      </c>
      <c r="K353" s="2249">
        <f t="shared" ref="K353" si="447">E353+E354</f>
        <v>376.99900000000002</v>
      </c>
      <c r="L353" s="2372">
        <f t="shared" ref="L353" si="448">F353+F354</f>
        <v>143.601</v>
      </c>
      <c r="M353" s="2373">
        <f t="shared" ref="M353" si="449">K353+L353</f>
        <v>520.6</v>
      </c>
      <c r="N353" s="2407">
        <f>H353+H354</f>
        <v>0</v>
      </c>
      <c r="O353" s="2372">
        <f t="shared" ref="O353" si="450">M353-N353</f>
        <v>520.6</v>
      </c>
      <c r="P353" s="2371">
        <f t="shared" ref="P353" si="451">N353/M353</f>
        <v>0</v>
      </c>
    </row>
    <row r="354" spans="1:16" ht="17.25" customHeight="1">
      <c r="A354" s="2271"/>
      <c r="B354" s="2406"/>
      <c r="C354" s="900">
        <v>42309</v>
      </c>
      <c r="D354" s="947">
        <v>42369</v>
      </c>
      <c r="E354" s="891">
        <v>18.957999999999998</v>
      </c>
      <c r="F354" s="892"/>
      <c r="G354" s="891">
        <f>E354+F354+I353</f>
        <v>520.6</v>
      </c>
      <c r="H354" s="892"/>
      <c r="I354" s="901">
        <f t="shared" si="445"/>
        <v>520.6</v>
      </c>
      <c r="J354" s="893">
        <f t="shared" si="446"/>
        <v>0</v>
      </c>
      <c r="K354" s="2222"/>
      <c r="L354" s="2378"/>
      <c r="M354" s="2392"/>
      <c r="N354" s="2407"/>
      <c r="O354" s="2378"/>
      <c r="P354" s="2301"/>
    </row>
    <row r="355" spans="1:16" ht="17.25" customHeight="1">
      <c r="A355" s="2271"/>
      <c r="B355" s="2418" t="s">
        <v>8</v>
      </c>
      <c r="C355" s="902">
        <v>42005</v>
      </c>
      <c r="D355" s="949">
        <v>42308</v>
      </c>
      <c r="E355" s="882">
        <v>140.536</v>
      </c>
      <c r="F355" s="883">
        <f>-1.023-1.024+1.023-143.601</f>
        <v>-144.625</v>
      </c>
      <c r="G355" s="882">
        <f>E355+F355</f>
        <v>-4.0889999999999986</v>
      </c>
      <c r="H355" s="923"/>
      <c r="I355" s="884">
        <f t="shared" si="445"/>
        <v>-4.0889999999999986</v>
      </c>
      <c r="J355" s="885">
        <f t="shared" si="446"/>
        <v>0</v>
      </c>
      <c r="K355" s="2249">
        <f t="shared" ref="K355" si="452">E355+E356</f>
        <v>147.977</v>
      </c>
      <c r="L355" s="2372">
        <f t="shared" ref="L355" si="453">F355+F356</f>
        <v>-144.625</v>
      </c>
      <c r="M355" s="2373">
        <f t="shared" ref="M355" si="454">K355+L355</f>
        <v>3.3520000000000039</v>
      </c>
      <c r="N355" s="2381">
        <f>H355+H356</f>
        <v>0</v>
      </c>
      <c r="O355" s="2372">
        <f t="shared" ref="O355" si="455">M355-N355</f>
        <v>3.3520000000000039</v>
      </c>
      <c r="P355" s="2371">
        <f t="shared" ref="P355" si="456">N355/M355</f>
        <v>0</v>
      </c>
    </row>
    <row r="356" spans="1:16" ht="17.25" customHeight="1">
      <c r="A356" s="2271"/>
      <c r="B356" s="2417"/>
      <c r="C356" s="900">
        <v>42309</v>
      </c>
      <c r="D356" s="947">
        <v>42369</v>
      </c>
      <c r="E356" s="878">
        <v>7.4409999999999998</v>
      </c>
      <c r="F356" s="879"/>
      <c r="G356" s="878">
        <f>E356+F356+I355</f>
        <v>3.3520000000000012</v>
      </c>
      <c r="H356" s="924"/>
      <c r="I356" s="880">
        <f t="shared" si="445"/>
        <v>3.3520000000000012</v>
      </c>
      <c r="J356" s="881">
        <f t="shared" si="446"/>
        <v>0</v>
      </c>
      <c r="K356" s="2222"/>
      <c r="L356" s="2378"/>
      <c r="M356" s="2392"/>
      <c r="N356" s="2382"/>
      <c r="O356" s="2378"/>
      <c r="P356" s="2301"/>
    </row>
    <row r="357" spans="1:16" ht="17.25" customHeight="1">
      <c r="A357" s="2271"/>
      <c r="B357" s="2418" t="s">
        <v>0</v>
      </c>
      <c r="C357" s="902">
        <v>42005</v>
      </c>
      <c r="D357" s="949">
        <v>42308</v>
      </c>
      <c r="E357" s="882">
        <v>3.5979999999999999</v>
      </c>
      <c r="F357" s="883"/>
      <c r="G357" s="882">
        <f>E357+F357</f>
        <v>3.5979999999999999</v>
      </c>
      <c r="H357" s="923"/>
      <c r="I357" s="884">
        <f t="shared" si="445"/>
        <v>3.5979999999999999</v>
      </c>
      <c r="J357" s="885">
        <f t="shared" si="446"/>
        <v>0</v>
      </c>
      <c r="K357" s="2249">
        <f t="shared" ref="K357" si="457">E357+E358</f>
        <v>3.7889999999999997</v>
      </c>
      <c r="L357" s="2372">
        <f t="shared" ref="L357" si="458">F357+F358</f>
        <v>0</v>
      </c>
      <c r="M357" s="2373">
        <f t="shared" ref="M357" si="459">K357+L357</f>
        <v>3.7889999999999997</v>
      </c>
      <c r="N357" s="2381">
        <f>H357+H358</f>
        <v>0</v>
      </c>
      <c r="O357" s="2372">
        <f t="shared" ref="O357" si="460">M357-N357</f>
        <v>3.7889999999999997</v>
      </c>
      <c r="P357" s="2371">
        <f t="shared" ref="P357" si="461">N357/M357</f>
        <v>0</v>
      </c>
    </row>
    <row r="358" spans="1:16" ht="17.25" customHeight="1">
      <c r="A358" s="2271"/>
      <c r="B358" s="2417"/>
      <c r="C358" s="900">
        <v>42309</v>
      </c>
      <c r="D358" s="947">
        <v>42369</v>
      </c>
      <c r="E358" s="878">
        <v>0.191</v>
      </c>
      <c r="F358" s="879"/>
      <c r="G358" s="878">
        <f>E358+F358+I357</f>
        <v>3.7889999999999997</v>
      </c>
      <c r="H358" s="924"/>
      <c r="I358" s="880">
        <f t="shared" si="445"/>
        <v>3.7889999999999997</v>
      </c>
      <c r="J358" s="881">
        <f t="shared" si="446"/>
        <v>0</v>
      </c>
      <c r="K358" s="2222"/>
      <c r="L358" s="2378"/>
      <c r="M358" s="2392"/>
      <c r="N358" s="2382"/>
      <c r="O358" s="2378"/>
      <c r="P358" s="2301"/>
    </row>
    <row r="359" spans="1:16" ht="17.25" customHeight="1">
      <c r="A359" s="2271"/>
      <c r="B359" s="2375" t="s">
        <v>124</v>
      </c>
      <c r="C359" s="902">
        <v>42005</v>
      </c>
      <c r="D359" s="949">
        <v>42308</v>
      </c>
      <c r="E359" s="891">
        <v>1.649</v>
      </c>
      <c r="F359" s="892">
        <f>-1.649</f>
        <v>-1.649</v>
      </c>
      <c r="G359" s="891">
        <f>E359+F359</f>
        <v>0</v>
      </c>
      <c r="H359" s="892"/>
      <c r="I359" s="901">
        <f t="shared" si="445"/>
        <v>0</v>
      </c>
      <c r="J359" s="893" t="e">
        <f t="shared" si="446"/>
        <v>#DIV/0!</v>
      </c>
      <c r="K359" s="2249">
        <f t="shared" ref="K359" si="462">E359+E360</f>
        <v>1.736</v>
      </c>
      <c r="L359" s="2372">
        <f t="shared" ref="L359" si="463">F359+F360</f>
        <v>-1.736</v>
      </c>
      <c r="M359" s="2373">
        <f t="shared" ref="M359" si="464">K359+L359</f>
        <v>0</v>
      </c>
      <c r="N359" s="2407">
        <f>H359+H360</f>
        <v>0</v>
      </c>
      <c r="O359" s="2372">
        <f t="shared" ref="O359" si="465">M359-N359</f>
        <v>0</v>
      </c>
      <c r="P359" s="2371" t="e">
        <f t="shared" ref="P359" si="466">N359/M359</f>
        <v>#DIV/0!</v>
      </c>
    </row>
    <row r="360" spans="1:16" ht="17.25" customHeight="1">
      <c r="A360" s="2271"/>
      <c r="B360" s="2375"/>
      <c r="C360" s="900">
        <v>42309</v>
      </c>
      <c r="D360" s="947">
        <v>42369</v>
      </c>
      <c r="E360" s="891">
        <v>8.6999999999999994E-2</v>
      </c>
      <c r="F360" s="892">
        <f>-0.087</f>
        <v>-8.6999999999999994E-2</v>
      </c>
      <c r="G360" s="891">
        <f>E360+F360+I359</f>
        <v>0</v>
      </c>
      <c r="H360" s="892"/>
      <c r="I360" s="901">
        <f t="shared" si="445"/>
        <v>0</v>
      </c>
      <c r="J360" s="893" t="e">
        <f t="shared" si="446"/>
        <v>#DIV/0!</v>
      </c>
      <c r="K360" s="2222"/>
      <c r="L360" s="2378"/>
      <c r="M360" s="2392"/>
      <c r="N360" s="2407"/>
      <c r="O360" s="2378"/>
      <c r="P360" s="2301"/>
    </row>
    <row r="361" spans="1:16" ht="17.25" customHeight="1">
      <c r="A361" s="2271"/>
      <c r="B361" s="2374" t="s">
        <v>11</v>
      </c>
      <c r="C361" s="902">
        <v>42005</v>
      </c>
      <c r="D361" s="949">
        <v>42308</v>
      </c>
      <c r="E361" s="882">
        <v>212.19900000000001</v>
      </c>
      <c r="F361" s="883">
        <v>-100</v>
      </c>
      <c r="G361" s="882">
        <f>E361+F361</f>
        <v>112.19900000000001</v>
      </c>
      <c r="H361" s="923"/>
      <c r="I361" s="884">
        <f t="shared" si="445"/>
        <v>112.19900000000001</v>
      </c>
      <c r="J361" s="885">
        <f t="shared" si="446"/>
        <v>0</v>
      </c>
      <c r="K361" s="2249">
        <f t="shared" ref="K361" si="467">E361+E362</f>
        <v>223.435</v>
      </c>
      <c r="L361" s="2372">
        <f t="shared" ref="L361" si="468">F361+F362</f>
        <v>-100</v>
      </c>
      <c r="M361" s="2373">
        <f t="shared" ref="M361" si="469">K361+L361</f>
        <v>123.435</v>
      </c>
      <c r="N361" s="2381">
        <f>H361+H362</f>
        <v>0</v>
      </c>
      <c r="O361" s="2372">
        <f t="shared" ref="O361" si="470">M361-N361</f>
        <v>123.435</v>
      </c>
      <c r="P361" s="2371">
        <f t="shared" ref="P361" si="471">N361/M361</f>
        <v>0</v>
      </c>
    </row>
    <row r="362" spans="1:16" ht="17.25" customHeight="1">
      <c r="A362" s="2271"/>
      <c r="B362" s="2377"/>
      <c r="C362" s="900">
        <v>42309</v>
      </c>
      <c r="D362" s="947">
        <v>42369</v>
      </c>
      <c r="E362" s="878">
        <v>11.236000000000001</v>
      </c>
      <c r="F362" s="879"/>
      <c r="G362" s="878">
        <f>E362+F362+I361</f>
        <v>123.43500000000002</v>
      </c>
      <c r="H362" s="924"/>
      <c r="I362" s="880">
        <f t="shared" si="445"/>
        <v>123.43500000000002</v>
      </c>
      <c r="J362" s="881">
        <f t="shared" si="446"/>
        <v>0</v>
      </c>
      <c r="K362" s="2222"/>
      <c r="L362" s="2378"/>
      <c r="M362" s="2392"/>
      <c r="N362" s="2382"/>
      <c r="O362" s="2378"/>
      <c r="P362" s="2301"/>
    </row>
    <row r="363" spans="1:16" ht="17.25" customHeight="1">
      <c r="A363" s="2271"/>
      <c r="B363" s="2375" t="s">
        <v>7</v>
      </c>
      <c r="C363" s="902">
        <v>42005</v>
      </c>
      <c r="D363" s="949">
        <v>42308</v>
      </c>
      <c r="E363" s="891">
        <v>1.4370000000000001</v>
      </c>
      <c r="F363" s="892"/>
      <c r="G363" s="891">
        <f>E363+F363</f>
        <v>1.4370000000000001</v>
      </c>
      <c r="H363" s="892"/>
      <c r="I363" s="901">
        <f t="shared" si="445"/>
        <v>1.4370000000000001</v>
      </c>
      <c r="J363" s="893">
        <f t="shared" si="446"/>
        <v>0</v>
      </c>
      <c r="K363" s="2249">
        <f t="shared" ref="K363" si="472">E363+E364</f>
        <v>1.5130000000000001</v>
      </c>
      <c r="L363" s="2372">
        <f t="shared" ref="L363" si="473">F363+F364</f>
        <v>0</v>
      </c>
      <c r="M363" s="2373">
        <f t="shared" ref="M363" si="474">K363+L363</f>
        <v>1.5130000000000001</v>
      </c>
      <c r="N363" s="2407">
        <f>H363+H364</f>
        <v>0</v>
      </c>
      <c r="O363" s="2372">
        <f t="shared" ref="O363" si="475">M363-N363</f>
        <v>1.5130000000000001</v>
      </c>
      <c r="P363" s="2371">
        <f t="shared" ref="P363" si="476">N363/M363</f>
        <v>0</v>
      </c>
    </row>
    <row r="364" spans="1:16" ht="17.25" customHeight="1">
      <c r="A364" s="2271"/>
      <c r="B364" s="2377"/>
      <c r="C364" s="900">
        <v>42309</v>
      </c>
      <c r="D364" s="947">
        <v>42369</v>
      </c>
      <c r="E364" s="878">
        <v>7.5999999999999998E-2</v>
      </c>
      <c r="F364" s="879"/>
      <c r="G364" s="878">
        <f>E364+F364+I363</f>
        <v>1.5130000000000001</v>
      </c>
      <c r="H364" s="924"/>
      <c r="I364" s="880">
        <f t="shared" si="445"/>
        <v>1.5130000000000001</v>
      </c>
      <c r="J364" s="881">
        <f t="shared" si="446"/>
        <v>0</v>
      </c>
      <c r="K364" s="2222"/>
      <c r="L364" s="2378"/>
      <c r="M364" s="2392"/>
      <c r="N364" s="2382"/>
      <c r="O364" s="2378"/>
      <c r="P364" s="2301"/>
    </row>
    <row r="365" spans="1:16" ht="17.25" customHeight="1">
      <c r="A365" s="2271"/>
      <c r="B365" s="2374" t="s">
        <v>164</v>
      </c>
      <c r="C365" s="902">
        <v>42005</v>
      </c>
      <c r="D365" s="949">
        <v>42308</v>
      </c>
      <c r="E365" s="882">
        <v>0</v>
      </c>
      <c r="F365" s="883">
        <f>1.649</f>
        <v>1.649</v>
      </c>
      <c r="G365" s="882">
        <f>E365+F365</f>
        <v>1.649</v>
      </c>
      <c r="H365" s="923"/>
      <c r="I365" s="884">
        <f t="shared" ref="I365:I368" si="477">G365-H365</f>
        <v>1.649</v>
      </c>
      <c r="J365" s="885">
        <f t="shared" ref="J365:J368" si="478">H365/G365</f>
        <v>0</v>
      </c>
      <c r="K365" s="2249">
        <f t="shared" ref="K365" si="479">E365+E366</f>
        <v>0</v>
      </c>
      <c r="L365" s="2372">
        <f t="shared" ref="L365" si="480">F365+F366</f>
        <v>1.736</v>
      </c>
      <c r="M365" s="2373">
        <f t="shared" ref="M365" si="481">K365+L365</f>
        <v>1.736</v>
      </c>
      <c r="N365" s="2381">
        <f>H365+H366</f>
        <v>0</v>
      </c>
      <c r="O365" s="2372">
        <f t="shared" ref="O365" si="482">M365-N365</f>
        <v>1.736</v>
      </c>
      <c r="P365" s="2371">
        <f t="shared" ref="P365" si="483">N365/M365</f>
        <v>0</v>
      </c>
    </row>
    <row r="366" spans="1:16" ht="18.75" customHeight="1">
      <c r="A366" s="2271"/>
      <c r="B366" s="2375"/>
      <c r="C366" s="903">
        <v>42309</v>
      </c>
      <c r="D366" s="938">
        <v>42369</v>
      </c>
      <c r="E366" s="891">
        <v>0</v>
      </c>
      <c r="F366" s="892">
        <f>0.087</f>
        <v>8.6999999999999994E-2</v>
      </c>
      <c r="G366" s="891">
        <f>E366+F366+I365</f>
        <v>1.736</v>
      </c>
      <c r="H366" s="892"/>
      <c r="I366" s="901">
        <f t="shared" si="477"/>
        <v>1.736</v>
      </c>
      <c r="J366" s="893">
        <f t="shared" si="478"/>
        <v>0</v>
      </c>
      <c r="K366" s="2225"/>
      <c r="L366" s="2217"/>
      <c r="M366" s="2232"/>
      <c r="N366" s="2407"/>
      <c r="O366" s="2217"/>
      <c r="P366" s="2300"/>
    </row>
    <row r="367" spans="1:16" ht="17.25" customHeight="1">
      <c r="A367" s="2271"/>
      <c r="B367" s="2385" t="s">
        <v>227</v>
      </c>
      <c r="C367" s="902">
        <v>42005</v>
      </c>
      <c r="D367" s="949">
        <v>42277</v>
      </c>
      <c r="E367" s="882">
        <v>0</v>
      </c>
      <c r="F367" s="883">
        <f>1.023+1.024-1.023</f>
        <v>1.0239999999999998</v>
      </c>
      <c r="G367" s="882">
        <f>E367+F367</f>
        <v>1.0239999999999998</v>
      </c>
      <c r="H367" s="923"/>
      <c r="I367" s="884">
        <f t="shared" si="477"/>
        <v>1.0239999999999998</v>
      </c>
      <c r="J367" s="885">
        <f t="shared" si="478"/>
        <v>0</v>
      </c>
      <c r="K367" s="2249">
        <f t="shared" ref="K367" si="484">E367+E368</f>
        <v>0</v>
      </c>
      <c r="L367" s="2372">
        <f t="shared" ref="L367" si="485">F367+F368</f>
        <v>1.0239999999999998</v>
      </c>
      <c r="M367" s="2373">
        <f t="shared" ref="M367" si="486">K367+L367</f>
        <v>1.0239999999999998</v>
      </c>
      <c r="N367" s="2372">
        <f>H367+H368</f>
        <v>0</v>
      </c>
      <c r="O367" s="2373">
        <f t="shared" ref="O367" si="487">M367-N367</f>
        <v>1.0239999999999998</v>
      </c>
      <c r="P367" s="2448">
        <f t="shared" ref="P367" si="488">N367/M367</f>
        <v>0</v>
      </c>
    </row>
    <row r="368" spans="1:16" ht="17.25" customHeight="1" thickBot="1">
      <c r="A368" s="2272"/>
      <c r="B368" s="2386"/>
      <c r="C368" s="939">
        <v>42278</v>
      </c>
      <c r="D368" s="940">
        <v>42369</v>
      </c>
      <c r="E368" s="887">
        <v>0</v>
      </c>
      <c r="F368" s="888"/>
      <c r="G368" s="887">
        <f>E368+F368+I367</f>
        <v>1.0239999999999998</v>
      </c>
      <c r="H368" s="888"/>
      <c r="I368" s="889">
        <f t="shared" si="477"/>
        <v>1.0239999999999998</v>
      </c>
      <c r="J368" s="904">
        <f t="shared" si="478"/>
        <v>0</v>
      </c>
      <c r="K368" s="2225"/>
      <c r="L368" s="2217"/>
      <c r="M368" s="2232"/>
      <c r="N368" s="2217"/>
      <c r="O368" s="2232"/>
      <c r="P368" s="2262"/>
    </row>
    <row r="369" spans="1:16" ht="17.25" customHeight="1" thickBot="1">
      <c r="A369" s="963"/>
      <c r="B369" s="957"/>
      <c r="C369" s="890"/>
      <c r="D369" s="890"/>
      <c r="E369" s="891"/>
      <c r="F369" s="891"/>
      <c r="G369" s="891"/>
      <c r="H369" s="891"/>
      <c r="I369" s="891"/>
      <c r="J369" s="893"/>
      <c r="K369" s="1603">
        <f>SUM(K351:K368)</f>
        <v>875.00200000000007</v>
      </c>
      <c r="L369" s="1604">
        <f t="shared" ref="L369:O369" si="489">SUM(L351:L368)</f>
        <v>-100</v>
      </c>
      <c r="M369" s="1604">
        <f t="shared" si="489"/>
        <v>775.00200000000007</v>
      </c>
      <c r="N369" s="1604">
        <f t="shared" si="489"/>
        <v>0</v>
      </c>
      <c r="O369" s="1604">
        <f t="shared" si="489"/>
        <v>775.00200000000007</v>
      </c>
      <c r="P369" s="1605">
        <f>+N369/M369</f>
        <v>0</v>
      </c>
    </row>
    <row r="370" spans="1:16" ht="17.25" customHeight="1" thickBot="1">
      <c r="A370" s="963"/>
      <c r="B370" s="894"/>
      <c r="C370" s="964"/>
      <c r="D370" s="964"/>
      <c r="E370" s="891"/>
      <c r="F370" s="891"/>
      <c r="G370" s="891"/>
      <c r="H370" s="965"/>
      <c r="I370" s="946"/>
      <c r="J370" s="946"/>
      <c r="K370" s="966"/>
      <c r="L370" s="967"/>
      <c r="M370" s="967"/>
      <c r="N370" s="967"/>
      <c r="O370" s="967"/>
      <c r="P370" s="967"/>
    </row>
    <row r="371" spans="1:16" ht="17.25" customHeight="1" thickBot="1">
      <c r="A371" s="963"/>
      <c r="B371" s="894"/>
      <c r="C371" s="964"/>
      <c r="D371" s="964"/>
      <c r="E371" s="891"/>
      <c r="F371" s="891"/>
      <c r="G371" s="891"/>
      <c r="H371" s="965"/>
      <c r="I371" s="2390" t="s">
        <v>149</v>
      </c>
      <c r="J371" s="2391"/>
      <c r="K371" s="2396" t="s">
        <v>137</v>
      </c>
      <c r="L371" s="2397"/>
      <c r="M371" s="2397"/>
      <c r="N371" s="2397"/>
      <c r="O371" s="2397"/>
      <c r="P371" s="2398"/>
    </row>
    <row r="372" spans="1:16" ht="17.25" customHeight="1" thickBot="1">
      <c r="A372" s="963"/>
      <c r="B372" s="894"/>
      <c r="C372" s="964"/>
      <c r="D372" s="964"/>
      <c r="E372" s="891"/>
      <c r="F372" s="891"/>
      <c r="G372" s="891"/>
      <c r="H372" s="968" t="s">
        <v>121</v>
      </c>
      <c r="I372" s="969" t="s">
        <v>112</v>
      </c>
      <c r="J372" s="970" t="s">
        <v>148</v>
      </c>
      <c r="K372" s="971" t="s">
        <v>139</v>
      </c>
      <c r="L372" s="972" t="s">
        <v>116</v>
      </c>
      <c r="M372" s="972" t="s">
        <v>117</v>
      </c>
      <c r="N372" s="972" t="s">
        <v>2</v>
      </c>
      <c r="O372" s="973" t="s">
        <v>3</v>
      </c>
      <c r="P372" s="974" t="s">
        <v>4</v>
      </c>
    </row>
    <row r="373" spans="1:16" ht="17.25" customHeight="1">
      <c r="A373" s="963"/>
      <c r="B373" s="975"/>
      <c r="C373" s="964"/>
      <c r="D373" s="964"/>
      <c r="E373" s="891"/>
      <c r="F373" s="891"/>
      <c r="G373" s="2387" t="s">
        <v>147</v>
      </c>
      <c r="H373" s="2428" t="s">
        <v>35</v>
      </c>
      <c r="I373" s="976">
        <v>42005</v>
      </c>
      <c r="J373" s="976">
        <v>42124</v>
      </c>
      <c r="K373" s="2244">
        <f>K99+K34</f>
        <v>7158.9549999999999</v>
      </c>
      <c r="L373" s="2393">
        <f>L99+L34</f>
        <v>-745.33200000000011</v>
      </c>
      <c r="M373" s="2440">
        <f>K373+L373</f>
        <v>6413.6229999999996</v>
      </c>
      <c r="N373" s="2211">
        <f>N99+N34</f>
        <v>6278.0609999999997</v>
      </c>
      <c r="O373" s="2364">
        <f>M373-N373</f>
        <v>135.5619999999999</v>
      </c>
      <c r="P373" s="2409">
        <f>N373/M373</f>
        <v>0.97886342867362175</v>
      </c>
    </row>
    <row r="374" spans="1:16" ht="17.25" customHeight="1">
      <c r="B374" s="975"/>
      <c r="C374" s="964"/>
      <c r="D374" s="964"/>
      <c r="E374" s="891"/>
      <c r="F374" s="891"/>
      <c r="G374" s="2388"/>
      <c r="H374" s="2421"/>
      <c r="I374" s="890">
        <v>42125</v>
      </c>
      <c r="J374" s="890">
        <v>42247</v>
      </c>
      <c r="K374" s="2225"/>
      <c r="L374" s="2232"/>
      <c r="M374" s="2362"/>
      <c r="N374" s="2232"/>
      <c r="O374" s="2407"/>
      <c r="P374" s="2404"/>
    </row>
    <row r="375" spans="1:16" ht="17.25" customHeight="1">
      <c r="B375" s="975"/>
      <c r="C375" s="964"/>
      <c r="D375" s="964"/>
      <c r="E375" s="891"/>
      <c r="F375" s="891"/>
      <c r="G375" s="2388"/>
      <c r="H375" s="2425"/>
      <c r="I375" s="944">
        <v>42248</v>
      </c>
      <c r="J375" s="944">
        <v>42369</v>
      </c>
      <c r="K375" s="2222"/>
      <c r="L375" s="2392"/>
      <c r="M375" s="2356"/>
      <c r="N375" s="2212"/>
      <c r="O375" s="2382"/>
      <c r="P375" s="2405"/>
    </row>
    <row r="376" spans="1:16" ht="17.25" customHeight="1">
      <c r="B376" s="975"/>
      <c r="C376" s="964"/>
      <c r="D376" s="964"/>
      <c r="E376" s="891"/>
      <c r="F376" s="891"/>
      <c r="G376" s="2388"/>
      <c r="H376" s="2422" t="s">
        <v>36</v>
      </c>
      <c r="I376" s="977">
        <v>42005</v>
      </c>
      <c r="J376" s="977">
        <v>42124</v>
      </c>
      <c r="K376" s="2413">
        <f>K102+K37</f>
        <v>0</v>
      </c>
      <c r="L376" s="2426">
        <f>L102+L37</f>
        <v>0</v>
      </c>
      <c r="M376" s="2429">
        <f t="shared" ref="M376" si="490">K376+L376</f>
        <v>0</v>
      </c>
      <c r="N376" s="2410">
        <f>N102+N37</f>
        <v>0</v>
      </c>
      <c r="O376" s="2381">
        <f t="shared" ref="O376" si="491">M376-N376</f>
        <v>0</v>
      </c>
      <c r="P376" s="2400" t="e">
        <f t="shared" ref="P376" si="492">N376/M376</f>
        <v>#DIV/0!</v>
      </c>
    </row>
    <row r="377" spans="1:16" ht="17.25" customHeight="1">
      <c r="B377" s="975"/>
      <c r="C377" s="964"/>
      <c r="D377" s="964"/>
      <c r="E377" s="891"/>
      <c r="F377" s="891"/>
      <c r="G377" s="2388"/>
      <c r="H377" s="2423"/>
      <c r="I377" s="978">
        <v>42125</v>
      </c>
      <c r="J377" s="978">
        <v>42247</v>
      </c>
      <c r="K377" s="2414"/>
      <c r="L377" s="2411"/>
      <c r="M377" s="2430"/>
      <c r="N377" s="2411"/>
      <c r="O377" s="2407"/>
      <c r="P377" s="2401"/>
    </row>
    <row r="378" spans="1:16" ht="17.25" customHeight="1">
      <c r="B378" s="975"/>
      <c r="C378" s="964"/>
      <c r="D378" s="964"/>
      <c r="E378" s="891"/>
      <c r="F378" s="891"/>
      <c r="G378" s="2388"/>
      <c r="H378" s="2424"/>
      <c r="I378" s="979">
        <v>42248</v>
      </c>
      <c r="J378" s="979">
        <v>42369</v>
      </c>
      <c r="K378" s="2415"/>
      <c r="L378" s="2427"/>
      <c r="M378" s="2431"/>
      <c r="N378" s="2412"/>
      <c r="O378" s="2382"/>
      <c r="P378" s="2402"/>
    </row>
    <row r="379" spans="1:16" ht="17.25" customHeight="1">
      <c r="B379" s="975"/>
      <c r="C379" s="964"/>
      <c r="D379" s="964"/>
      <c r="E379" s="891"/>
      <c r="F379" s="891"/>
      <c r="G379" s="2388"/>
      <c r="H379" s="2420" t="s">
        <v>8</v>
      </c>
      <c r="I379" s="943">
        <v>42005</v>
      </c>
      <c r="J379" s="943">
        <v>42124</v>
      </c>
      <c r="K379" s="2249">
        <f>K105+K40</f>
        <v>17083.832999999999</v>
      </c>
      <c r="L379" s="2373">
        <f>L105+L40</f>
        <v>-7137</v>
      </c>
      <c r="M379" s="2408">
        <f t="shared" ref="M379" si="493">K379+L379</f>
        <v>9946.8329999999987</v>
      </c>
      <c r="N379" s="2237">
        <f>N105+N40</f>
        <v>9500.7610000000004</v>
      </c>
      <c r="O379" s="2381">
        <f t="shared" ref="O379" si="494">M379-N379</f>
        <v>446.0719999999983</v>
      </c>
      <c r="P379" s="2403">
        <f t="shared" ref="P379" si="495">N379/M379</f>
        <v>0.95515436923491137</v>
      </c>
    </row>
    <row r="380" spans="1:16" ht="17.25" customHeight="1">
      <c r="B380" s="975"/>
      <c r="C380" s="964"/>
      <c r="D380" s="964"/>
      <c r="E380" s="891"/>
      <c r="F380" s="891"/>
      <c r="G380" s="2388"/>
      <c r="H380" s="2421"/>
      <c r="I380" s="890">
        <v>42125</v>
      </c>
      <c r="J380" s="890">
        <v>42247</v>
      </c>
      <c r="K380" s="2225"/>
      <c r="L380" s="2232"/>
      <c r="M380" s="2362"/>
      <c r="N380" s="2232"/>
      <c r="O380" s="2407"/>
      <c r="P380" s="2404"/>
    </row>
    <row r="381" spans="1:16" ht="17.25" customHeight="1">
      <c r="B381" s="975"/>
      <c r="C381" s="964"/>
      <c r="D381" s="964"/>
      <c r="E381" s="891"/>
      <c r="F381" s="891"/>
      <c r="G381" s="2388"/>
      <c r="H381" s="2425"/>
      <c r="I381" s="944">
        <v>42248</v>
      </c>
      <c r="J381" s="944">
        <v>42369</v>
      </c>
      <c r="K381" s="2222"/>
      <c r="L381" s="2392"/>
      <c r="M381" s="2356"/>
      <c r="N381" s="2212"/>
      <c r="O381" s="2382"/>
      <c r="P381" s="2405"/>
    </row>
    <row r="382" spans="1:16" ht="17.25" customHeight="1">
      <c r="B382" s="975"/>
      <c r="C382" s="964"/>
      <c r="D382" s="964"/>
      <c r="E382" s="891"/>
      <c r="F382" s="891"/>
      <c r="G382" s="2388"/>
      <c r="H382" s="2420" t="s">
        <v>7</v>
      </c>
      <c r="I382" s="943">
        <v>42005</v>
      </c>
      <c r="J382" s="943">
        <v>42124</v>
      </c>
      <c r="K382" s="2249">
        <f>K108+K43</f>
        <v>14367.479000000001</v>
      </c>
      <c r="L382" s="2373">
        <f>L108+L43</f>
        <v>6300.7069999999994</v>
      </c>
      <c r="M382" s="2408">
        <f t="shared" ref="M382" si="496">K382+L382</f>
        <v>20668.186000000002</v>
      </c>
      <c r="N382" s="2237">
        <f>N108+N43</f>
        <v>20258.394</v>
      </c>
      <c r="O382" s="2381">
        <f t="shared" ref="O382" si="497">M382-N382</f>
        <v>409.79200000000128</v>
      </c>
      <c r="P382" s="2403">
        <f t="shared" ref="P382" si="498">N382/M382</f>
        <v>0.98017281245678745</v>
      </c>
    </row>
    <row r="383" spans="1:16" ht="17.25" customHeight="1">
      <c r="B383" s="975"/>
      <c r="C383" s="964"/>
      <c r="D383" s="964"/>
      <c r="E383" s="891"/>
      <c r="F383" s="891"/>
      <c r="G383" s="2388"/>
      <c r="H383" s="2421"/>
      <c r="I383" s="890">
        <v>42125</v>
      </c>
      <c r="J383" s="890">
        <v>42247</v>
      </c>
      <c r="K383" s="2225"/>
      <c r="L383" s="2232"/>
      <c r="M383" s="2362"/>
      <c r="N383" s="2232"/>
      <c r="O383" s="2407"/>
      <c r="P383" s="2404"/>
    </row>
    <row r="384" spans="1:16" ht="17.25" customHeight="1">
      <c r="B384" s="975"/>
      <c r="C384" s="964"/>
      <c r="D384" s="964"/>
      <c r="E384" s="891"/>
      <c r="F384" s="891"/>
      <c r="G384" s="2388"/>
      <c r="H384" s="2425"/>
      <c r="I384" s="944">
        <v>42248</v>
      </c>
      <c r="J384" s="944">
        <v>42369</v>
      </c>
      <c r="K384" s="2222"/>
      <c r="L384" s="2392"/>
      <c r="M384" s="2356"/>
      <c r="N384" s="2212"/>
      <c r="O384" s="2382"/>
      <c r="P384" s="2405"/>
    </row>
    <row r="385" spans="2:16" ht="17.25" customHeight="1">
      <c r="B385" s="975"/>
      <c r="C385" s="964"/>
      <c r="D385" s="964"/>
      <c r="E385" s="891"/>
      <c r="F385" s="891"/>
      <c r="G385" s="2388"/>
      <c r="H385" s="2422" t="s">
        <v>37</v>
      </c>
      <c r="I385" s="977">
        <v>42005</v>
      </c>
      <c r="J385" s="977">
        <v>42124</v>
      </c>
      <c r="K385" s="2413">
        <f>K111+K52</f>
        <v>660.00900000000001</v>
      </c>
      <c r="L385" s="2426">
        <f>L111+L52</f>
        <v>-660.00900000000001</v>
      </c>
      <c r="M385" s="2429">
        <f t="shared" ref="M385" si="499">K385+L385</f>
        <v>0</v>
      </c>
      <c r="N385" s="2410">
        <f>N111+N52</f>
        <v>0</v>
      </c>
      <c r="O385" s="2381">
        <f t="shared" ref="O385" si="500">M385-N385</f>
        <v>0</v>
      </c>
      <c r="P385" s="2400" t="e">
        <f t="shared" ref="P385" si="501">N385/M385</f>
        <v>#DIV/0!</v>
      </c>
    </row>
    <row r="386" spans="2:16" ht="17.25" customHeight="1">
      <c r="B386" s="975"/>
      <c r="C386" s="964"/>
      <c r="D386" s="964"/>
      <c r="E386" s="891"/>
      <c r="F386" s="891"/>
      <c r="G386" s="2388"/>
      <c r="H386" s="2423"/>
      <c r="I386" s="978">
        <v>42125</v>
      </c>
      <c r="J386" s="978">
        <v>42247</v>
      </c>
      <c r="K386" s="2414"/>
      <c r="L386" s="2411"/>
      <c r="M386" s="2430"/>
      <c r="N386" s="2411"/>
      <c r="O386" s="2407"/>
      <c r="P386" s="2401"/>
    </row>
    <row r="387" spans="2:16" ht="17.25" customHeight="1">
      <c r="B387" s="975"/>
      <c r="C387" s="964"/>
      <c r="D387" s="964"/>
      <c r="E387" s="891"/>
      <c r="F387" s="891"/>
      <c r="G387" s="2388"/>
      <c r="H387" s="2424"/>
      <c r="I387" s="979">
        <v>42248</v>
      </c>
      <c r="J387" s="979">
        <v>42369</v>
      </c>
      <c r="K387" s="2415"/>
      <c r="L387" s="2427"/>
      <c r="M387" s="2431"/>
      <c r="N387" s="2412"/>
      <c r="O387" s="2382"/>
      <c r="P387" s="2402"/>
    </row>
    <row r="388" spans="2:16" ht="17.25" customHeight="1">
      <c r="B388" s="975"/>
      <c r="C388" s="964"/>
      <c r="D388" s="964"/>
      <c r="E388" s="891"/>
      <c r="F388" s="891"/>
      <c r="G388" s="2388"/>
      <c r="H388" s="2420" t="s">
        <v>33</v>
      </c>
      <c r="I388" s="943">
        <v>42005</v>
      </c>
      <c r="J388" s="943">
        <v>42124</v>
      </c>
      <c r="K388" s="2249">
        <f>K114+K55</f>
        <v>2084.9499999999998</v>
      </c>
      <c r="L388" s="2373">
        <f>L114+L55</f>
        <v>-1624</v>
      </c>
      <c r="M388" s="2408">
        <f t="shared" ref="M388" si="502">K388+L388</f>
        <v>460.94999999999982</v>
      </c>
      <c r="N388" s="2237">
        <f>N114+N55</f>
        <v>448.77000000000004</v>
      </c>
      <c r="O388" s="2381">
        <f t="shared" ref="O388" si="503">M388-N388</f>
        <v>12.179999999999779</v>
      </c>
      <c r="P388" s="2403">
        <f t="shared" ref="P388" si="504">N388/M388</f>
        <v>0.9735763097949891</v>
      </c>
    </row>
    <row r="389" spans="2:16" ht="17.25" customHeight="1">
      <c r="B389" s="975"/>
      <c r="C389" s="964"/>
      <c r="D389" s="964"/>
      <c r="E389" s="891"/>
      <c r="F389" s="891"/>
      <c r="G389" s="2388"/>
      <c r="H389" s="2421"/>
      <c r="I389" s="890">
        <v>42125</v>
      </c>
      <c r="J389" s="890">
        <v>42247</v>
      </c>
      <c r="K389" s="2225"/>
      <c r="L389" s="2232"/>
      <c r="M389" s="2362"/>
      <c r="N389" s="2232"/>
      <c r="O389" s="2407"/>
      <c r="P389" s="2404"/>
    </row>
    <row r="390" spans="2:16" ht="17.25" customHeight="1">
      <c r="B390" s="975"/>
      <c r="C390" s="964"/>
      <c r="D390" s="964"/>
      <c r="E390" s="891"/>
      <c r="F390" s="891"/>
      <c r="G390" s="2388"/>
      <c r="H390" s="2425"/>
      <c r="I390" s="944">
        <v>42248</v>
      </c>
      <c r="J390" s="944">
        <v>42369</v>
      </c>
      <c r="K390" s="2222"/>
      <c r="L390" s="2392"/>
      <c r="M390" s="2356"/>
      <c r="N390" s="2212"/>
      <c r="O390" s="2382"/>
      <c r="P390" s="2405"/>
    </row>
    <row r="391" spans="2:16" ht="17.25" customHeight="1">
      <c r="B391" s="975"/>
      <c r="C391" s="964"/>
      <c r="D391" s="964"/>
      <c r="E391" s="891"/>
      <c r="F391" s="891"/>
      <c r="G391" s="2388"/>
      <c r="H391" s="2422" t="s">
        <v>9</v>
      </c>
      <c r="I391" s="978">
        <v>42005</v>
      </c>
      <c r="J391" s="978">
        <v>42124</v>
      </c>
      <c r="K391" s="2413">
        <f>K117+K58</f>
        <v>23.01</v>
      </c>
      <c r="L391" s="2426">
        <f>L117+L58</f>
        <v>-23.01</v>
      </c>
      <c r="M391" s="2429">
        <f t="shared" ref="M391" si="505">K391+L391</f>
        <v>0</v>
      </c>
      <c r="N391" s="2410">
        <f>N117+N58</f>
        <v>0</v>
      </c>
      <c r="O391" s="2381">
        <f t="shared" ref="O391" si="506">M391-N391</f>
        <v>0</v>
      </c>
      <c r="P391" s="2400" t="e">
        <f t="shared" ref="P391" si="507">N391/M391</f>
        <v>#DIV/0!</v>
      </c>
    </row>
    <row r="392" spans="2:16" ht="17.25" customHeight="1">
      <c r="B392" s="975"/>
      <c r="C392" s="964"/>
      <c r="D392" s="964"/>
      <c r="E392" s="891"/>
      <c r="F392" s="891"/>
      <c r="G392" s="2388"/>
      <c r="H392" s="2423"/>
      <c r="I392" s="978">
        <v>42125</v>
      </c>
      <c r="J392" s="978">
        <v>42247</v>
      </c>
      <c r="K392" s="2414"/>
      <c r="L392" s="2411"/>
      <c r="M392" s="2430"/>
      <c r="N392" s="2411"/>
      <c r="O392" s="2407"/>
      <c r="P392" s="2401"/>
    </row>
    <row r="393" spans="2:16" ht="17.25" customHeight="1">
      <c r="B393" s="975"/>
      <c r="C393" s="964"/>
      <c r="D393" s="964"/>
      <c r="E393" s="891"/>
      <c r="F393" s="891"/>
      <c r="G393" s="2388"/>
      <c r="H393" s="2424"/>
      <c r="I393" s="979">
        <v>42248</v>
      </c>
      <c r="J393" s="979">
        <v>42369</v>
      </c>
      <c r="K393" s="2415"/>
      <c r="L393" s="2427"/>
      <c r="M393" s="2431"/>
      <c r="N393" s="2412"/>
      <c r="O393" s="2382"/>
      <c r="P393" s="2402"/>
    </row>
    <row r="394" spans="2:16" ht="17.25" customHeight="1">
      <c r="B394" s="975"/>
      <c r="C394" s="964"/>
      <c r="D394" s="964"/>
      <c r="E394" s="891"/>
      <c r="F394" s="891"/>
      <c r="G394" s="2388"/>
      <c r="H394" s="2422" t="s">
        <v>28</v>
      </c>
      <c r="I394" s="977">
        <v>42005</v>
      </c>
      <c r="J394" s="977">
        <v>42124</v>
      </c>
      <c r="K394" s="2413">
        <f>K120+K61</f>
        <v>116.82499999999999</v>
      </c>
      <c r="L394" s="2426">
        <f>L120+L61</f>
        <v>-116.825</v>
      </c>
      <c r="M394" s="2429">
        <f t="shared" ref="M394" si="508">K394+L394</f>
        <v>0</v>
      </c>
      <c r="N394" s="2410">
        <f>N120+N61</f>
        <v>0</v>
      </c>
      <c r="O394" s="2381">
        <f t="shared" ref="O394" si="509">M394-N394</f>
        <v>0</v>
      </c>
      <c r="P394" s="2400" t="e">
        <f t="shared" ref="P394" si="510">N394/M394</f>
        <v>#DIV/0!</v>
      </c>
    </row>
    <row r="395" spans="2:16" ht="17.25" customHeight="1">
      <c r="B395" s="975"/>
      <c r="C395" s="964"/>
      <c r="D395" s="964"/>
      <c r="E395" s="891"/>
      <c r="F395" s="891"/>
      <c r="G395" s="2388"/>
      <c r="H395" s="2423"/>
      <c r="I395" s="978">
        <v>42125</v>
      </c>
      <c r="J395" s="978">
        <v>42247</v>
      </c>
      <c r="K395" s="2414"/>
      <c r="L395" s="2411"/>
      <c r="M395" s="2430"/>
      <c r="N395" s="2411"/>
      <c r="O395" s="2407"/>
      <c r="P395" s="2401"/>
    </row>
    <row r="396" spans="2:16" ht="17.25" customHeight="1">
      <c r="B396" s="975"/>
      <c r="C396" s="964"/>
      <c r="D396" s="964"/>
      <c r="E396" s="891"/>
      <c r="F396" s="891"/>
      <c r="G396" s="2388"/>
      <c r="H396" s="2424"/>
      <c r="I396" s="979">
        <v>42248</v>
      </c>
      <c r="J396" s="979">
        <v>42369</v>
      </c>
      <c r="K396" s="2415"/>
      <c r="L396" s="2427"/>
      <c r="M396" s="2431"/>
      <c r="N396" s="2412"/>
      <c r="O396" s="2382"/>
      <c r="P396" s="2402"/>
    </row>
    <row r="397" spans="2:16" ht="17.25" customHeight="1">
      <c r="B397" s="975"/>
      <c r="C397" s="964"/>
      <c r="D397" s="964"/>
      <c r="E397" s="891"/>
      <c r="F397" s="891"/>
      <c r="G397" s="2388"/>
      <c r="H397" s="2422" t="s">
        <v>124</v>
      </c>
      <c r="I397" s="977">
        <v>42005</v>
      </c>
      <c r="J397" s="977">
        <v>42124</v>
      </c>
      <c r="K397" s="2413">
        <f>K135+K64</f>
        <v>649.48</v>
      </c>
      <c r="L397" s="2426">
        <f>L135+L64</f>
        <v>-649.48</v>
      </c>
      <c r="M397" s="2429">
        <f t="shared" ref="M397" si="511">K397+L397</f>
        <v>0</v>
      </c>
      <c r="N397" s="2410">
        <f>N135+N64</f>
        <v>0</v>
      </c>
      <c r="O397" s="2381">
        <f t="shared" ref="O397" si="512">M397-N397</f>
        <v>0</v>
      </c>
      <c r="P397" s="2400" t="e">
        <f t="shared" ref="P397" si="513">N397/M397</f>
        <v>#DIV/0!</v>
      </c>
    </row>
    <row r="398" spans="2:16" ht="17.25" customHeight="1">
      <c r="B398" s="975"/>
      <c r="C398" s="964"/>
      <c r="D398" s="964"/>
      <c r="E398" s="891"/>
      <c r="F398" s="891"/>
      <c r="G398" s="2388"/>
      <c r="H398" s="2423"/>
      <c r="I398" s="978">
        <v>42125</v>
      </c>
      <c r="J398" s="978">
        <v>42247</v>
      </c>
      <c r="K398" s="2414"/>
      <c r="L398" s="2411"/>
      <c r="M398" s="2430"/>
      <c r="N398" s="2411"/>
      <c r="O398" s="2407"/>
      <c r="P398" s="2401"/>
    </row>
    <row r="399" spans="2:16" ht="17.25" customHeight="1">
      <c r="B399" s="975"/>
      <c r="C399" s="964"/>
      <c r="D399" s="964"/>
      <c r="E399" s="980"/>
      <c r="F399" s="980"/>
      <c r="G399" s="2388"/>
      <c r="H399" s="2424"/>
      <c r="I399" s="979">
        <v>42248</v>
      </c>
      <c r="J399" s="979">
        <v>42369</v>
      </c>
      <c r="K399" s="2415"/>
      <c r="L399" s="2427"/>
      <c r="M399" s="2431"/>
      <c r="N399" s="2412"/>
      <c r="O399" s="2382"/>
      <c r="P399" s="2402"/>
    </row>
    <row r="400" spans="2:16" ht="17.25" customHeight="1">
      <c r="B400" s="975"/>
      <c r="C400" s="964"/>
      <c r="D400" s="964"/>
      <c r="E400" s="980"/>
      <c r="F400" s="980"/>
      <c r="G400" s="2388"/>
      <c r="H400" s="2420" t="s">
        <v>34</v>
      </c>
      <c r="I400" s="943">
        <v>42005</v>
      </c>
      <c r="J400" s="943">
        <v>42124</v>
      </c>
      <c r="K400" s="2249">
        <f>K138+K70</f>
        <v>333.33600000000001</v>
      </c>
      <c r="L400" s="2373">
        <f>L138+L70</f>
        <v>-333.33600000000001</v>
      </c>
      <c r="M400" s="2408">
        <f t="shared" ref="M400" si="514">K400+L400</f>
        <v>0</v>
      </c>
      <c r="N400" s="2237">
        <f>N138+N70</f>
        <v>0</v>
      </c>
      <c r="O400" s="2381">
        <f t="shared" ref="O400" si="515">M400-N400</f>
        <v>0</v>
      </c>
      <c r="P400" s="2403" t="e">
        <f t="shared" ref="P400" si="516">N400/M400</f>
        <v>#DIV/0!</v>
      </c>
    </row>
    <row r="401" spans="2:16" ht="17.25" customHeight="1">
      <c r="B401" s="975"/>
      <c r="C401" s="964"/>
      <c r="D401" s="964"/>
      <c r="E401" s="980"/>
      <c r="F401" s="980"/>
      <c r="G401" s="2388"/>
      <c r="H401" s="2421"/>
      <c r="I401" s="890">
        <v>42125</v>
      </c>
      <c r="J401" s="890">
        <v>42247</v>
      </c>
      <c r="K401" s="2225"/>
      <c r="L401" s="2232"/>
      <c r="M401" s="2362"/>
      <c r="N401" s="2232"/>
      <c r="O401" s="2407"/>
      <c r="P401" s="2404"/>
    </row>
    <row r="402" spans="2:16" ht="17.25" customHeight="1">
      <c r="B402" s="975"/>
      <c r="C402" s="964"/>
      <c r="D402" s="964"/>
      <c r="E402" s="980"/>
      <c r="F402" s="980"/>
      <c r="G402" s="2388"/>
      <c r="H402" s="2425"/>
      <c r="I402" s="944">
        <v>42248</v>
      </c>
      <c r="J402" s="944">
        <v>42369</v>
      </c>
      <c r="K402" s="2222"/>
      <c r="L402" s="2392"/>
      <c r="M402" s="2356"/>
      <c r="N402" s="2212"/>
      <c r="O402" s="2382"/>
      <c r="P402" s="2405"/>
    </row>
    <row r="403" spans="2:16" ht="17.25" customHeight="1">
      <c r="B403" s="975"/>
      <c r="C403" s="964"/>
      <c r="D403" s="964"/>
      <c r="E403" s="980"/>
      <c r="F403" s="980"/>
      <c r="G403" s="2388"/>
      <c r="H403" s="2420" t="s">
        <v>10</v>
      </c>
      <c r="I403" s="943">
        <v>42005</v>
      </c>
      <c r="J403" s="943">
        <v>42124</v>
      </c>
      <c r="K403" s="2249">
        <f>K141+K73</f>
        <v>10497.313</v>
      </c>
      <c r="L403" s="2373">
        <f>L141+L73</f>
        <v>12677.193000000001</v>
      </c>
      <c r="M403" s="2408">
        <f t="shared" ref="M403" si="517">K403+L403</f>
        <v>23174.506000000001</v>
      </c>
      <c r="N403" s="2237">
        <f>N141+N73</f>
        <v>23080.547999999999</v>
      </c>
      <c r="O403" s="2381">
        <f t="shared" ref="O403" si="518">M403-N403</f>
        <v>93.958000000002357</v>
      </c>
      <c r="P403" s="2403">
        <f t="shared" ref="P403" si="519">N403/M403</f>
        <v>0.99594563094462496</v>
      </c>
    </row>
    <row r="404" spans="2:16" ht="17.25" customHeight="1">
      <c r="B404" s="975"/>
      <c r="C404" s="964"/>
      <c r="D404" s="964"/>
      <c r="E404" s="980"/>
      <c r="F404" s="980"/>
      <c r="G404" s="2388"/>
      <c r="H404" s="2421"/>
      <c r="I404" s="890">
        <v>42125</v>
      </c>
      <c r="J404" s="890">
        <v>42247</v>
      </c>
      <c r="K404" s="2225"/>
      <c r="L404" s="2232"/>
      <c r="M404" s="2362"/>
      <c r="N404" s="2232"/>
      <c r="O404" s="2407"/>
      <c r="P404" s="2404"/>
    </row>
    <row r="405" spans="2:16" ht="17.25" customHeight="1">
      <c r="B405" s="975"/>
      <c r="C405" s="964"/>
      <c r="D405" s="964"/>
      <c r="E405" s="980"/>
      <c r="F405" s="980"/>
      <c r="G405" s="2388"/>
      <c r="H405" s="2425"/>
      <c r="I405" s="944">
        <v>42248</v>
      </c>
      <c r="J405" s="944">
        <v>42369</v>
      </c>
      <c r="K405" s="2222"/>
      <c r="L405" s="2392"/>
      <c r="M405" s="2356"/>
      <c r="N405" s="2212"/>
      <c r="O405" s="2382"/>
      <c r="P405" s="2405"/>
    </row>
    <row r="406" spans="2:16" ht="17.25" customHeight="1">
      <c r="B406" s="975"/>
      <c r="C406" s="964"/>
      <c r="D406" s="964"/>
      <c r="E406" s="980"/>
      <c r="F406" s="980"/>
      <c r="G406" s="2388"/>
      <c r="H406" s="2420" t="s">
        <v>6</v>
      </c>
      <c r="I406" s="943">
        <v>42005</v>
      </c>
      <c r="J406" s="943">
        <v>42124</v>
      </c>
      <c r="K406" s="2249">
        <f>K144+K76</f>
        <v>2557.3029999999999</v>
      </c>
      <c r="L406" s="2373">
        <f>L144+L76</f>
        <v>1152.0819999999999</v>
      </c>
      <c r="M406" s="2408">
        <f t="shared" ref="M406" si="520">K406+L406</f>
        <v>3709.3849999999998</v>
      </c>
      <c r="N406" s="2237">
        <f>N144+N76</f>
        <v>3430.1620000000003</v>
      </c>
      <c r="O406" s="2381">
        <f t="shared" ref="O406" si="521">M406-N406</f>
        <v>279.2229999999995</v>
      </c>
      <c r="P406" s="2403">
        <f t="shared" ref="P406" si="522">N406/M406</f>
        <v>0.92472525769096503</v>
      </c>
    </row>
    <row r="407" spans="2:16" ht="17.25" customHeight="1">
      <c r="B407" s="975"/>
      <c r="C407" s="964"/>
      <c r="D407" s="964"/>
      <c r="E407" s="980"/>
      <c r="F407" s="980"/>
      <c r="G407" s="2388"/>
      <c r="H407" s="2421"/>
      <c r="I407" s="890">
        <v>42125</v>
      </c>
      <c r="J407" s="890">
        <v>42247</v>
      </c>
      <c r="K407" s="2225"/>
      <c r="L407" s="2232"/>
      <c r="M407" s="2362"/>
      <c r="N407" s="2232"/>
      <c r="O407" s="2407"/>
      <c r="P407" s="2404"/>
    </row>
    <row r="408" spans="2:16" ht="17.25" customHeight="1">
      <c r="B408" s="975"/>
      <c r="C408" s="964"/>
      <c r="D408" s="964"/>
      <c r="E408" s="980"/>
      <c r="F408" s="980"/>
      <c r="G408" s="2388"/>
      <c r="H408" s="2425"/>
      <c r="I408" s="944">
        <v>42248</v>
      </c>
      <c r="J408" s="944">
        <v>42369</v>
      </c>
      <c r="K408" s="2222"/>
      <c r="L408" s="2392"/>
      <c r="M408" s="2356"/>
      <c r="N408" s="2212"/>
      <c r="O408" s="2382"/>
      <c r="P408" s="2405"/>
    </row>
    <row r="409" spans="2:16" ht="17.25" customHeight="1">
      <c r="B409" s="975"/>
      <c r="C409" s="964"/>
      <c r="D409" s="964"/>
      <c r="E409" s="980"/>
      <c r="F409" s="980"/>
      <c r="G409" s="2388"/>
      <c r="H409" s="2420" t="s">
        <v>40</v>
      </c>
      <c r="I409" s="943">
        <v>42005</v>
      </c>
      <c r="J409" s="943">
        <v>42124</v>
      </c>
      <c r="K409" s="2249">
        <f>K147+K79</f>
        <v>249.18700000000001</v>
      </c>
      <c r="L409" s="2373">
        <f>L147+L79</f>
        <v>-249.18700000000001</v>
      </c>
      <c r="M409" s="2408">
        <f t="shared" ref="M409" si="523">K409+L409</f>
        <v>0</v>
      </c>
      <c r="N409" s="2237">
        <f>N147+N79</f>
        <v>0</v>
      </c>
      <c r="O409" s="2381">
        <f t="shared" ref="O409" si="524">M409-N409</f>
        <v>0</v>
      </c>
      <c r="P409" s="2403" t="e">
        <f t="shared" ref="P409" si="525">N409/M409</f>
        <v>#DIV/0!</v>
      </c>
    </row>
    <row r="410" spans="2:16" ht="17.25" customHeight="1">
      <c r="B410" s="975"/>
      <c r="C410" s="964"/>
      <c r="D410" s="964"/>
      <c r="E410" s="980"/>
      <c r="F410" s="980"/>
      <c r="G410" s="2388"/>
      <c r="H410" s="2421"/>
      <c r="I410" s="890">
        <v>42125</v>
      </c>
      <c r="J410" s="890">
        <v>42247</v>
      </c>
      <c r="K410" s="2225"/>
      <c r="L410" s="2232"/>
      <c r="M410" s="2362"/>
      <c r="N410" s="2232"/>
      <c r="O410" s="2407"/>
      <c r="P410" s="2404"/>
    </row>
    <row r="411" spans="2:16" ht="17.25" customHeight="1">
      <c r="B411" s="975"/>
      <c r="C411" s="964"/>
      <c r="D411" s="964"/>
      <c r="E411" s="980"/>
      <c r="F411" s="980"/>
      <c r="G411" s="2388"/>
      <c r="H411" s="2425"/>
      <c r="I411" s="944">
        <v>42248</v>
      </c>
      <c r="J411" s="944">
        <v>42369</v>
      </c>
      <c r="K411" s="2222"/>
      <c r="L411" s="2392"/>
      <c r="M411" s="2356"/>
      <c r="N411" s="2212"/>
      <c r="O411" s="2382"/>
      <c r="P411" s="2405"/>
    </row>
    <row r="412" spans="2:16">
      <c r="B412" s="975"/>
      <c r="C412" s="964"/>
      <c r="D412" s="964"/>
      <c r="E412" s="980"/>
      <c r="F412" s="980"/>
      <c r="G412" s="2388"/>
      <c r="H412" s="2420" t="s">
        <v>11</v>
      </c>
      <c r="I412" s="943">
        <v>42005</v>
      </c>
      <c r="J412" s="943">
        <v>42124</v>
      </c>
      <c r="K412" s="2249">
        <f>K150+K82</f>
        <v>13840.856000000002</v>
      </c>
      <c r="L412" s="2373">
        <f>L150+L82</f>
        <v>8500.1240000000016</v>
      </c>
      <c r="M412" s="2408">
        <f t="shared" ref="M412" si="526">K412+L412</f>
        <v>22340.980000000003</v>
      </c>
      <c r="N412" s="2237">
        <f>N150+N82</f>
        <v>21887.490999999998</v>
      </c>
      <c r="O412" s="2381">
        <f t="shared" ref="O412" si="527">M412-N412</f>
        <v>453.48900000000503</v>
      </c>
      <c r="P412" s="2403">
        <f t="shared" ref="P412" si="528">N412/M412</f>
        <v>0.97970147236155236</v>
      </c>
    </row>
    <row r="413" spans="2:16">
      <c r="B413" s="975"/>
      <c r="C413" s="964"/>
      <c r="D413" s="964"/>
      <c r="E413" s="980"/>
      <c r="F413" s="980"/>
      <c r="G413" s="2388"/>
      <c r="H413" s="2421"/>
      <c r="I413" s="890">
        <v>42125</v>
      </c>
      <c r="J413" s="890">
        <v>42247</v>
      </c>
      <c r="K413" s="2225"/>
      <c r="L413" s="2232"/>
      <c r="M413" s="2362"/>
      <c r="N413" s="2232"/>
      <c r="O413" s="2407"/>
      <c r="P413" s="2404"/>
    </row>
    <row r="414" spans="2:16">
      <c r="B414" s="975"/>
      <c r="C414" s="964"/>
      <c r="D414" s="964"/>
      <c r="E414" s="980"/>
      <c r="F414" s="980"/>
      <c r="G414" s="2388"/>
      <c r="H414" s="2425"/>
      <c r="I414" s="944">
        <v>42248</v>
      </c>
      <c r="J414" s="944">
        <v>42369</v>
      </c>
      <c r="K414" s="2222"/>
      <c r="L414" s="2392"/>
      <c r="M414" s="2356"/>
      <c r="N414" s="2212"/>
      <c r="O414" s="2382"/>
      <c r="P414" s="2405"/>
    </row>
    <row r="415" spans="2:16">
      <c r="B415" s="975"/>
      <c r="C415" s="964"/>
      <c r="D415" s="964"/>
      <c r="E415" s="980"/>
      <c r="F415" s="980"/>
      <c r="G415" s="2388"/>
      <c r="H415" s="2420" t="s">
        <v>39</v>
      </c>
      <c r="I415" s="943">
        <v>42005</v>
      </c>
      <c r="J415" s="943">
        <v>42124</v>
      </c>
      <c r="K415" s="2249">
        <f>K153+K88</f>
        <v>420.10800000000006</v>
      </c>
      <c r="L415" s="2373">
        <f>L153+L88</f>
        <v>-420.10800000000006</v>
      </c>
      <c r="M415" s="2408">
        <f t="shared" ref="M415" si="529">K415+L415</f>
        <v>0</v>
      </c>
      <c r="N415" s="2237">
        <f>N153+N88</f>
        <v>0</v>
      </c>
      <c r="O415" s="2381">
        <f t="shared" ref="O415" si="530">M415-N415</f>
        <v>0</v>
      </c>
      <c r="P415" s="2403" t="e">
        <f t="shared" ref="P415" si="531">N415/M415</f>
        <v>#DIV/0!</v>
      </c>
    </row>
    <row r="416" spans="2:16">
      <c r="B416" s="975"/>
      <c r="C416" s="964"/>
      <c r="D416" s="964"/>
      <c r="E416" s="980"/>
      <c r="F416" s="980"/>
      <c r="G416" s="2388"/>
      <c r="H416" s="2421"/>
      <c r="I416" s="890">
        <v>42125</v>
      </c>
      <c r="J416" s="890">
        <v>42247</v>
      </c>
      <c r="K416" s="2225"/>
      <c r="L416" s="2232"/>
      <c r="M416" s="2362"/>
      <c r="N416" s="2232"/>
      <c r="O416" s="2407"/>
      <c r="P416" s="2404"/>
    </row>
    <row r="417" spans="1:16">
      <c r="B417" s="975"/>
      <c r="C417" s="964"/>
      <c r="D417" s="964"/>
      <c r="E417" s="980"/>
      <c r="F417" s="980"/>
      <c r="G417" s="2388"/>
      <c r="H417" s="2421"/>
      <c r="I417" s="890">
        <v>42248</v>
      </c>
      <c r="J417" s="890">
        <v>42369</v>
      </c>
      <c r="K417" s="2225"/>
      <c r="L417" s="2232"/>
      <c r="M417" s="2362"/>
      <c r="N417" s="2232"/>
      <c r="O417" s="2407"/>
      <c r="P417" s="2404"/>
    </row>
    <row r="418" spans="1:16">
      <c r="B418" s="859"/>
      <c r="C418" s="920"/>
      <c r="D418" s="920"/>
      <c r="E418" s="964"/>
      <c r="F418" s="964"/>
      <c r="G418" s="2388"/>
      <c r="H418" s="2441" t="s">
        <v>164</v>
      </c>
      <c r="I418" s="1223">
        <v>42005</v>
      </c>
      <c r="J418" s="949">
        <v>42124</v>
      </c>
      <c r="K418" s="2233">
        <f>+K156+K91</f>
        <v>2900.9279999999999</v>
      </c>
      <c r="L418" s="2237">
        <f>+L156+L91</f>
        <v>2002.9930000000002</v>
      </c>
      <c r="M418" s="2355">
        <f>K418+L418</f>
        <v>4903.9210000000003</v>
      </c>
      <c r="N418" s="2237">
        <f>+N156+N91</f>
        <v>4781.5789999999997</v>
      </c>
      <c r="O418" s="2383">
        <f>M418-N418</f>
        <v>122.34200000000055</v>
      </c>
      <c r="P418" s="2447">
        <f>N418/M418</f>
        <v>0.97505220822276695</v>
      </c>
    </row>
    <row r="419" spans="1:16">
      <c r="B419" s="859"/>
      <c r="C419" s="920"/>
      <c r="D419" s="920"/>
      <c r="E419" s="964"/>
      <c r="F419" s="964"/>
      <c r="G419" s="2388"/>
      <c r="H419" s="2421"/>
      <c r="I419" s="890">
        <v>42125</v>
      </c>
      <c r="J419" s="938">
        <v>42247</v>
      </c>
      <c r="K419" s="2225"/>
      <c r="L419" s="2232"/>
      <c r="M419" s="2362"/>
      <c r="N419" s="2232"/>
      <c r="O419" s="2407"/>
      <c r="P419" s="2404"/>
    </row>
    <row r="420" spans="1:16" ht="15.75" thickBot="1">
      <c r="B420" s="859"/>
      <c r="C420" s="920"/>
      <c r="D420" s="920"/>
      <c r="E420" s="964"/>
      <c r="F420" s="920"/>
      <c r="G420" s="2389"/>
      <c r="H420" s="2442"/>
      <c r="I420" s="1224">
        <v>42248</v>
      </c>
      <c r="J420" s="1225">
        <v>42369</v>
      </c>
      <c r="K420" s="2225"/>
      <c r="L420" s="2232"/>
      <c r="M420" s="2362"/>
      <c r="N420" s="2229"/>
      <c r="O420" s="2407"/>
      <c r="P420" s="2404"/>
    </row>
    <row r="421" spans="1:16" ht="15.75" thickBot="1">
      <c r="B421" s="859"/>
      <c r="C421" s="920"/>
      <c r="D421" s="920"/>
      <c r="E421" s="920"/>
      <c r="F421" s="920"/>
      <c r="G421" s="920"/>
      <c r="H421" s="921"/>
      <c r="I421" s="920"/>
      <c r="J421" s="920"/>
      <c r="K421" s="1226">
        <f>SUM(K373:K420)</f>
        <v>72943.572</v>
      </c>
      <c r="L421" s="1227">
        <f t="shared" ref="L421:O421" si="532">SUM(L373:L420)</f>
        <v>18674.812000000002</v>
      </c>
      <c r="M421" s="1227">
        <f t="shared" si="532"/>
        <v>91618.384000000005</v>
      </c>
      <c r="N421" s="1227">
        <f t="shared" si="532"/>
        <v>89665.765999999989</v>
      </c>
      <c r="O421" s="1227">
        <f t="shared" si="532"/>
        <v>1952.6180000000068</v>
      </c>
      <c r="P421" s="953">
        <f>+N421/M421</f>
        <v>0.9786874870004254</v>
      </c>
    </row>
    <row r="422" spans="1:16">
      <c r="B422" s="859"/>
      <c r="C422" s="920"/>
      <c r="D422" s="920"/>
      <c r="E422" s="920"/>
      <c r="F422" s="920"/>
      <c r="G422" s="920"/>
      <c r="H422" s="921"/>
      <c r="I422" s="920"/>
      <c r="J422" s="920"/>
      <c r="K422" s="981"/>
      <c r="L422" s="920"/>
      <c r="M422" s="920"/>
      <c r="N422" s="920"/>
      <c r="O422" s="920"/>
      <c r="P422" s="920"/>
    </row>
    <row r="423" spans="1:16">
      <c r="B423" s="859"/>
      <c r="C423" s="920"/>
      <c r="D423" s="920"/>
      <c r="E423" s="920"/>
      <c r="F423" s="920"/>
      <c r="G423" s="920"/>
      <c r="H423" s="921"/>
      <c r="I423" s="920"/>
      <c r="J423" s="920"/>
      <c r="K423" s="981"/>
      <c r="L423" s="920"/>
      <c r="M423" s="920"/>
      <c r="N423" s="920"/>
      <c r="O423" s="920"/>
      <c r="P423" s="920"/>
    </row>
    <row r="424" spans="1:16">
      <c r="B424" s="859"/>
      <c r="C424" s="920"/>
      <c r="D424" s="920"/>
      <c r="E424" s="920"/>
      <c r="F424" s="920"/>
      <c r="G424" s="920"/>
      <c r="H424" s="921"/>
      <c r="I424" s="920"/>
      <c r="J424" s="920"/>
      <c r="K424" s="981"/>
      <c r="L424" s="920"/>
      <c r="M424" s="920"/>
      <c r="N424" s="920"/>
      <c r="O424" s="920"/>
      <c r="P424" s="920"/>
    </row>
    <row r="425" spans="1:16">
      <c r="A425" s="859"/>
      <c r="B425" s="859"/>
      <c r="C425" s="920"/>
      <c r="D425" s="920"/>
      <c r="E425" s="920"/>
      <c r="F425" s="920"/>
      <c r="G425" s="920"/>
      <c r="H425" s="921"/>
      <c r="I425" s="920"/>
      <c r="J425" s="920"/>
      <c r="K425" s="981"/>
      <c r="L425" s="920"/>
      <c r="M425" s="920"/>
      <c r="N425" s="920"/>
      <c r="O425" s="920"/>
      <c r="P425" s="920"/>
    </row>
    <row r="426" spans="1:16">
      <c r="B426" s="859"/>
      <c r="C426" s="920"/>
      <c r="D426" s="920"/>
      <c r="E426" s="920"/>
      <c r="F426" s="920"/>
      <c r="G426" s="920"/>
      <c r="H426" s="921"/>
      <c r="I426" s="920"/>
      <c r="J426" s="920"/>
      <c r="K426" s="981"/>
      <c r="L426" s="920"/>
      <c r="M426" s="920"/>
      <c r="N426" s="920"/>
      <c r="O426" s="920"/>
      <c r="P426" s="920"/>
    </row>
    <row r="427" spans="1:16">
      <c r="B427" s="859"/>
      <c r="C427" s="920"/>
      <c r="D427" s="920"/>
      <c r="E427" s="920"/>
      <c r="F427" s="920"/>
      <c r="G427" s="920"/>
      <c r="H427" s="921"/>
      <c r="I427" s="920"/>
      <c r="J427" s="920"/>
      <c r="K427" s="981"/>
      <c r="L427" s="920"/>
      <c r="M427" s="920"/>
      <c r="N427" s="920"/>
      <c r="O427" s="920"/>
      <c r="P427" s="920"/>
    </row>
    <row r="428" spans="1:16">
      <c r="B428" s="859"/>
      <c r="C428" s="920"/>
      <c r="D428" s="920"/>
      <c r="E428" s="920"/>
      <c r="F428" s="920"/>
      <c r="G428" s="920"/>
      <c r="H428" s="921"/>
      <c r="I428" s="920"/>
      <c r="J428" s="920"/>
      <c r="K428" s="981"/>
      <c r="L428" s="920"/>
      <c r="M428" s="920"/>
      <c r="N428" s="920"/>
      <c r="O428" s="920"/>
      <c r="P428" s="920"/>
    </row>
    <row r="429" spans="1:16">
      <c r="B429" s="859"/>
      <c r="C429" s="920"/>
      <c r="D429" s="920"/>
      <c r="E429" s="920"/>
      <c r="F429" s="920"/>
      <c r="G429" s="920"/>
      <c r="H429" s="921"/>
      <c r="I429" s="920"/>
      <c r="J429" s="920"/>
      <c r="K429" s="981"/>
      <c r="L429" s="920"/>
      <c r="M429" s="920"/>
      <c r="N429" s="920"/>
      <c r="O429" s="920"/>
      <c r="P429" s="920"/>
    </row>
    <row r="430" spans="1:16">
      <c r="B430" s="859"/>
      <c r="C430" s="920"/>
      <c r="D430" s="920"/>
      <c r="E430" s="920"/>
      <c r="F430" s="920"/>
      <c r="G430" s="920"/>
      <c r="H430" s="921"/>
      <c r="I430" s="920"/>
      <c r="J430" s="920"/>
      <c r="K430" s="981"/>
      <c r="L430" s="920"/>
      <c r="M430" s="920"/>
      <c r="N430" s="920"/>
      <c r="O430" s="920"/>
      <c r="P430" s="920"/>
    </row>
    <row r="431" spans="1:16">
      <c r="B431" s="859"/>
      <c r="C431" s="920"/>
      <c r="D431" s="920"/>
      <c r="E431" s="920"/>
      <c r="F431" s="920"/>
      <c r="G431" s="920"/>
      <c r="H431" s="921"/>
      <c r="I431" s="920"/>
      <c r="J431" s="920"/>
      <c r="K431" s="981"/>
      <c r="L431" s="920"/>
      <c r="M431" s="920"/>
      <c r="N431" s="920"/>
      <c r="O431" s="920"/>
      <c r="P431" s="920"/>
    </row>
    <row r="432" spans="1:16">
      <c r="B432" s="859"/>
      <c r="C432" s="920"/>
      <c r="D432" s="920"/>
      <c r="E432" s="920"/>
      <c r="F432" s="920"/>
      <c r="G432" s="920"/>
      <c r="H432" s="921"/>
      <c r="I432" s="920"/>
      <c r="J432" s="920"/>
      <c r="K432" s="981"/>
      <c r="L432" s="920"/>
      <c r="M432" s="920"/>
      <c r="N432" s="920"/>
      <c r="O432" s="920"/>
      <c r="P432" s="920"/>
    </row>
    <row r="433" spans="1:16">
      <c r="B433" s="859"/>
      <c r="C433" s="920"/>
      <c r="D433" s="920"/>
      <c r="E433" s="920"/>
      <c r="F433" s="920"/>
      <c r="G433" s="920"/>
      <c r="H433" s="921"/>
      <c r="I433" s="920"/>
      <c r="J433" s="920"/>
      <c r="K433" s="981"/>
      <c r="L433" s="920"/>
      <c r="M433" s="920"/>
      <c r="N433" s="920"/>
      <c r="O433" s="920"/>
      <c r="P433" s="920"/>
    </row>
    <row r="434" spans="1:16">
      <c r="B434" s="859"/>
      <c r="C434" s="920"/>
      <c r="D434" s="920"/>
      <c r="E434" s="920"/>
      <c r="F434" s="920"/>
      <c r="G434" s="920"/>
      <c r="H434" s="921"/>
      <c r="I434" s="920"/>
      <c r="J434" s="920"/>
      <c r="K434" s="981"/>
      <c r="L434" s="920"/>
      <c r="M434" s="920"/>
      <c r="N434" s="920"/>
      <c r="O434" s="920"/>
      <c r="P434" s="920"/>
    </row>
    <row r="435" spans="1:16">
      <c r="B435" s="859"/>
      <c r="C435" s="920"/>
      <c r="D435" s="920"/>
      <c r="E435" s="920"/>
      <c r="F435" s="920"/>
      <c r="G435" s="920"/>
      <c r="H435" s="921"/>
      <c r="I435" s="920"/>
      <c r="J435" s="920"/>
      <c r="K435" s="981"/>
      <c r="L435" s="920"/>
      <c r="M435" s="920"/>
      <c r="N435" s="920"/>
      <c r="O435" s="920"/>
      <c r="P435" s="920"/>
    </row>
    <row r="436" spans="1:16">
      <c r="B436" s="859"/>
      <c r="C436" s="920"/>
      <c r="D436" s="920"/>
      <c r="E436" s="920"/>
      <c r="F436" s="920"/>
      <c r="G436" s="920"/>
      <c r="H436" s="921"/>
      <c r="I436" s="920"/>
      <c r="J436" s="920"/>
      <c r="K436" s="981"/>
      <c r="L436" s="920"/>
      <c r="M436" s="920"/>
      <c r="N436" s="920"/>
      <c r="O436" s="920"/>
      <c r="P436" s="920"/>
    </row>
    <row r="437" spans="1:16">
      <c r="B437" s="859"/>
      <c r="C437" s="920"/>
      <c r="D437" s="920"/>
      <c r="E437" s="920"/>
      <c r="F437" s="920"/>
      <c r="G437" s="920"/>
      <c r="H437" s="921"/>
      <c r="I437" s="920"/>
      <c r="J437" s="920"/>
      <c r="K437" s="981"/>
      <c r="L437" s="920"/>
      <c r="M437" s="920"/>
      <c r="N437" s="920"/>
      <c r="O437" s="920"/>
      <c r="P437" s="920"/>
    </row>
    <row r="438" spans="1:16">
      <c r="B438" s="859"/>
      <c r="C438" s="920"/>
      <c r="D438" s="920"/>
      <c r="E438" s="920"/>
      <c r="F438" s="920"/>
      <c r="G438" s="920"/>
      <c r="H438" s="921"/>
      <c r="I438" s="920"/>
      <c r="J438" s="920"/>
      <c r="K438" s="981"/>
      <c r="L438" s="920"/>
      <c r="M438" s="920"/>
      <c r="N438" s="920"/>
      <c r="O438" s="920"/>
      <c r="P438" s="920"/>
    </row>
    <row r="439" spans="1:16">
      <c r="B439" s="859"/>
      <c r="C439" s="920"/>
      <c r="D439" s="920"/>
      <c r="E439" s="920"/>
      <c r="F439" s="920"/>
      <c r="G439" s="920"/>
      <c r="H439" s="921"/>
      <c r="I439" s="920"/>
      <c r="J439" s="920"/>
      <c r="K439" s="981"/>
      <c r="L439" s="920"/>
      <c r="M439" s="920"/>
      <c r="N439" s="920"/>
      <c r="O439" s="920"/>
      <c r="P439" s="920"/>
    </row>
    <row r="440" spans="1:16">
      <c r="B440" s="859"/>
      <c r="C440" s="920"/>
      <c r="D440" s="920"/>
      <c r="E440" s="920"/>
      <c r="F440" s="920"/>
      <c r="G440" s="920"/>
      <c r="H440" s="921"/>
      <c r="I440" s="920"/>
      <c r="J440" s="920"/>
      <c r="K440" s="981"/>
      <c r="L440" s="920"/>
      <c r="M440" s="920"/>
      <c r="N440" s="920"/>
      <c r="O440" s="920"/>
      <c r="P440" s="920"/>
    </row>
    <row r="441" spans="1:16">
      <c r="B441" s="859"/>
      <c r="C441" s="920"/>
      <c r="D441" s="920"/>
      <c r="E441" s="920"/>
      <c r="F441" s="920"/>
      <c r="G441" s="920"/>
      <c r="H441" s="921"/>
      <c r="I441" s="920"/>
      <c r="J441" s="920"/>
      <c r="K441" s="981"/>
      <c r="L441" s="920"/>
      <c r="M441" s="920"/>
      <c r="N441" s="920"/>
      <c r="O441" s="920"/>
      <c r="P441" s="920"/>
    </row>
    <row r="442" spans="1:16">
      <c r="B442" s="859"/>
      <c r="C442" s="920"/>
      <c r="D442" s="920"/>
      <c r="E442" s="920"/>
      <c r="F442" s="920"/>
      <c r="G442" s="920"/>
      <c r="H442" s="921"/>
      <c r="I442" s="920"/>
      <c r="J442" s="920"/>
      <c r="K442" s="981"/>
      <c r="L442" s="920"/>
      <c r="M442" s="920"/>
      <c r="N442" s="920"/>
      <c r="O442" s="920"/>
      <c r="P442" s="920"/>
    </row>
    <row r="443" spans="1:16">
      <c r="B443" s="859"/>
      <c r="C443" s="920"/>
      <c r="D443" s="920"/>
      <c r="E443" s="920"/>
      <c r="F443" s="920"/>
      <c r="G443" s="920"/>
      <c r="H443" s="921"/>
      <c r="I443" s="920"/>
      <c r="J443" s="920"/>
      <c r="K443" s="981"/>
      <c r="L443" s="920"/>
      <c r="M443" s="920"/>
      <c r="N443" s="920"/>
      <c r="O443" s="920"/>
      <c r="P443" s="920"/>
    </row>
    <row r="444" spans="1:16">
      <c r="A444" s="859"/>
      <c r="B444" s="859"/>
      <c r="C444" s="920"/>
      <c r="D444" s="920"/>
      <c r="E444" s="920"/>
      <c r="F444" s="920"/>
      <c r="G444" s="920"/>
      <c r="H444" s="921"/>
      <c r="I444" s="920"/>
      <c r="J444" s="920"/>
      <c r="K444" s="981"/>
      <c r="L444" s="920"/>
      <c r="M444" s="920"/>
      <c r="N444" s="920"/>
      <c r="O444" s="920"/>
      <c r="P444" s="920"/>
    </row>
    <row r="445" spans="1:16">
      <c r="A445" s="859"/>
      <c r="B445" s="859"/>
      <c r="C445" s="920"/>
      <c r="D445" s="920"/>
      <c r="E445" s="920"/>
      <c r="F445" s="920"/>
      <c r="G445" s="920"/>
      <c r="H445" s="921"/>
      <c r="I445" s="920"/>
      <c r="J445" s="920"/>
      <c r="K445" s="981"/>
      <c r="L445" s="920"/>
      <c r="M445" s="920"/>
      <c r="N445" s="920"/>
      <c r="O445" s="920"/>
      <c r="P445" s="920"/>
    </row>
    <row r="446" spans="1:16">
      <c r="B446" s="859"/>
      <c r="C446" s="920"/>
      <c r="D446" s="920"/>
      <c r="E446" s="920"/>
      <c r="F446" s="920"/>
      <c r="G446" s="920"/>
      <c r="H446" s="921"/>
      <c r="I446" s="920"/>
      <c r="J446" s="920"/>
      <c r="K446" s="981"/>
      <c r="L446" s="920"/>
      <c r="M446" s="920"/>
      <c r="N446" s="920"/>
      <c r="O446" s="920"/>
      <c r="P446" s="920"/>
    </row>
    <row r="447" spans="1:16">
      <c r="B447" s="859"/>
      <c r="C447" s="920"/>
      <c r="D447" s="920"/>
      <c r="E447" s="920"/>
      <c r="F447" s="920"/>
      <c r="G447" s="920"/>
      <c r="H447" s="921"/>
      <c r="I447" s="920"/>
      <c r="J447" s="920"/>
      <c r="K447" s="981"/>
      <c r="L447" s="920"/>
      <c r="M447" s="920"/>
      <c r="N447" s="920"/>
      <c r="O447" s="920"/>
      <c r="P447" s="920"/>
    </row>
    <row r="448" spans="1:16">
      <c r="B448" s="859"/>
      <c r="C448" s="920"/>
      <c r="D448" s="920"/>
      <c r="E448" s="920"/>
      <c r="F448" s="920"/>
      <c r="G448" s="920"/>
      <c r="H448" s="921"/>
      <c r="I448" s="920"/>
      <c r="J448" s="920"/>
      <c r="K448" s="981"/>
      <c r="L448" s="920"/>
      <c r="M448" s="920"/>
      <c r="N448" s="920"/>
      <c r="O448" s="920"/>
      <c r="P448" s="920"/>
    </row>
    <row r="449" spans="1:16">
      <c r="B449" s="859"/>
      <c r="C449" s="920"/>
      <c r="D449" s="920"/>
      <c r="E449" s="920"/>
      <c r="F449" s="920"/>
      <c r="G449" s="920"/>
      <c r="H449" s="921"/>
      <c r="I449" s="920"/>
      <c r="J449" s="920"/>
      <c r="K449" s="981"/>
      <c r="L449" s="920"/>
      <c r="M449" s="920"/>
      <c r="N449" s="920"/>
      <c r="O449" s="920"/>
      <c r="P449" s="920"/>
    </row>
    <row r="450" spans="1:16">
      <c r="B450" s="859"/>
      <c r="C450" s="920"/>
      <c r="D450" s="920"/>
      <c r="E450" s="920"/>
      <c r="F450" s="920"/>
      <c r="G450" s="920"/>
      <c r="H450" s="921"/>
      <c r="I450" s="920"/>
      <c r="J450" s="920"/>
      <c r="K450" s="981"/>
      <c r="L450" s="920"/>
      <c r="M450" s="920"/>
      <c r="N450" s="920"/>
      <c r="O450" s="920"/>
      <c r="P450" s="920"/>
    </row>
    <row r="451" spans="1:16">
      <c r="B451" s="859"/>
      <c r="C451" s="920"/>
      <c r="D451" s="920"/>
      <c r="E451" s="920"/>
      <c r="F451" s="920"/>
      <c r="G451" s="920"/>
      <c r="H451" s="921"/>
      <c r="I451" s="920"/>
      <c r="J451" s="920"/>
      <c r="K451" s="981"/>
      <c r="L451" s="920"/>
      <c r="M451" s="920"/>
      <c r="N451" s="920"/>
      <c r="O451" s="920"/>
      <c r="P451" s="920"/>
    </row>
    <row r="452" spans="1:16">
      <c r="A452" s="859"/>
      <c r="B452" s="859"/>
      <c r="C452" s="920"/>
      <c r="D452" s="920"/>
      <c r="E452" s="920"/>
      <c r="F452" s="920"/>
      <c r="G452" s="920"/>
      <c r="H452" s="921"/>
      <c r="I452" s="920"/>
      <c r="J452" s="920"/>
      <c r="K452" s="981"/>
      <c r="L452" s="920"/>
      <c r="M452" s="920"/>
      <c r="N452" s="920"/>
      <c r="O452" s="920"/>
      <c r="P452" s="920"/>
    </row>
    <row r="453" spans="1:16">
      <c r="A453" s="859"/>
      <c r="B453" s="859"/>
      <c r="C453" s="920"/>
      <c r="D453" s="920"/>
      <c r="E453" s="920"/>
      <c r="F453" s="920"/>
      <c r="G453" s="920"/>
      <c r="H453" s="921"/>
      <c r="I453" s="920"/>
      <c r="J453" s="920"/>
      <c r="K453" s="981"/>
      <c r="L453" s="920"/>
      <c r="M453" s="920"/>
      <c r="N453" s="920"/>
      <c r="O453" s="920"/>
      <c r="P453" s="920"/>
    </row>
    <row r="454" spans="1:16">
      <c r="A454" s="859"/>
      <c r="B454" s="859"/>
      <c r="C454" s="920"/>
      <c r="D454" s="920"/>
      <c r="E454" s="920"/>
      <c r="F454" s="920"/>
      <c r="G454" s="920"/>
      <c r="H454" s="921"/>
      <c r="I454" s="920"/>
      <c r="J454" s="920"/>
      <c r="K454" s="981"/>
      <c r="L454" s="920"/>
      <c r="M454" s="920"/>
      <c r="N454" s="920"/>
      <c r="O454" s="920"/>
      <c r="P454" s="920"/>
    </row>
    <row r="455" spans="1:16">
      <c r="A455" s="859"/>
      <c r="B455" s="859"/>
      <c r="C455" s="920"/>
      <c r="D455" s="920"/>
      <c r="E455" s="920"/>
      <c r="F455" s="920"/>
      <c r="G455" s="920"/>
      <c r="H455" s="921"/>
      <c r="I455" s="920"/>
      <c r="J455" s="920"/>
      <c r="K455" s="981"/>
      <c r="L455" s="920"/>
      <c r="M455" s="920"/>
      <c r="N455" s="920"/>
      <c r="O455" s="920"/>
      <c r="P455" s="920"/>
    </row>
    <row r="456" spans="1:16">
      <c r="A456" s="859"/>
      <c r="B456" s="859"/>
      <c r="C456" s="920"/>
      <c r="D456" s="920"/>
      <c r="E456" s="920"/>
      <c r="F456" s="920"/>
      <c r="G456" s="920"/>
      <c r="H456" s="921"/>
      <c r="I456" s="920"/>
      <c r="J456" s="920"/>
      <c r="K456" s="981"/>
      <c r="L456" s="920"/>
      <c r="M456" s="920"/>
      <c r="N456" s="920"/>
      <c r="O456" s="920"/>
      <c r="P456" s="920"/>
    </row>
    <row r="457" spans="1:16">
      <c r="A457" s="859"/>
      <c r="B457" s="859"/>
      <c r="C457" s="920"/>
      <c r="D457" s="920"/>
      <c r="E457" s="920"/>
      <c r="F457" s="920"/>
      <c r="G457" s="920"/>
      <c r="H457" s="921"/>
      <c r="I457" s="920"/>
      <c r="J457" s="920"/>
      <c r="K457" s="981"/>
      <c r="L457" s="920"/>
      <c r="M457" s="920"/>
      <c r="N457" s="920"/>
      <c r="O457" s="920"/>
      <c r="P457" s="920"/>
    </row>
    <row r="458" spans="1:16">
      <c r="A458" s="859"/>
      <c r="B458" s="859"/>
      <c r="C458" s="920"/>
      <c r="D458" s="920"/>
      <c r="E458" s="920"/>
      <c r="F458" s="920"/>
      <c r="G458" s="920"/>
      <c r="H458" s="921"/>
      <c r="I458" s="920"/>
      <c r="J458" s="920"/>
      <c r="K458" s="981"/>
      <c r="L458" s="920"/>
      <c r="M458" s="920"/>
      <c r="N458" s="920"/>
      <c r="O458" s="920"/>
      <c r="P458" s="920"/>
    </row>
    <row r="459" spans="1:16">
      <c r="A459" s="859"/>
      <c r="B459" s="859"/>
      <c r="C459" s="920"/>
      <c r="D459" s="920"/>
      <c r="E459" s="920"/>
      <c r="F459" s="920"/>
      <c r="G459" s="920"/>
      <c r="H459" s="921"/>
      <c r="I459" s="920"/>
      <c r="J459" s="920"/>
      <c r="K459" s="981"/>
      <c r="L459" s="920"/>
      <c r="M459" s="920"/>
      <c r="N459" s="920"/>
      <c r="O459" s="920"/>
      <c r="P459" s="920"/>
    </row>
    <row r="460" spans="1:16">
      <c r="A460" s="859"/>
      <c r="B460" s="859"/>
      <c r="C460" s="920"/>
      <c r="D460" s="920"/>
      <c r="E460" s="920"/>
      <c r="F460" s="920"/>
      <c r="G460" s="920"/>
      <c r="H460" s="921"/>
      <c r="I460" s="920"/>
      <c r="J460" s="920"/>
      <c r="K460" s="981"/>
      <c r="L460" s="920"/>
      <c r="M460" s="920"/>
      <c r="N460" s="920"/>
      <c r="O460" s="920"/>
      <c r="P460" s="920"/>
    </row>
    <row r="461" spans="1:16">
      <c r="A461" s="859"/>
      <c r="B461" s="859"/>
      <c r="C461" s="920"/>
      <c r="D461" s="920"/>
      <c r="E461" s="920"/>
      <c r="F461" s="920"/>
      <c r="G461" s="920"/>
      <c r="H461" s="921"/>
      <c r="I461" s="920"/>
      <c r="J461" s="920"/>
      <c r="K461" s="981"/>
      <c r="L461" s="920"/>
      <c r="M461" s="920"/>
      <c r="N461" s="920"/>
      <c r="O461" s="920"/>
      <c r="P461" s="920"/>
    </row>
    <row r="462" spans="1:16">
      <c r="A462" s="859"/>
      <c r="B462" s="859"/>
      <c r="C462" s="920"/>
      <c r="D462" s="920"/>
      <c r="E462" s="920"/>
      <c r="F462" s="920"/>
      <c r="G462" s="920"/>
      <c r="H462" s="921"/>
      <c r="I462" s="920"/>
      <c r="J462" s="920"/>
      <c r="K462" s="981"/>
      <c r="L462" s="920"/>
      <c r="M462" s="920"/>
      <c r="N462" s="920"/>
      <c r="O462" s="920"/>
      <c r="P462" s="920"/>
    </row>
    <row r="463" spans="1:16">
      <c r="A463" s="859"/>
      <c r="B463" s="859"/>
      <c r="C463" s="920"/>
      <c r="D463" s="920"/>
      <c r="E463" s="920"/>
      <c r="F463" s="920"/>
      <c r="G463" s="920"/>
      <c r="H463" s="921"/>
      <c r="I463" s="920"/>
      <c r="J463" s="920"/>
      <c r="K463" s="981"/>
      <c r="L463" s="920"/>
      <c r="M463" s="920"/>
      <c r="N463" s="920"/>
      <c r="O463" s="920"/>
      <c r="P463" s="920"/>
    </row>
    <row r="464" spans="1:16">
      <c r="A464" s="859"/>
      <c r="B464" s="859"/>
      <c r="C464" s="920"/>
      <c r="D464" s="920"/>
      <c r="E464" s="920"/>
      <c r="F464" s="920"/>
      <c r="G464" s="920"/>
      <c r="H464" s="921"/>
      <c r="I464" s="920"/>
      <c r="J464" s="920"/>
      <c r="K464" s="981"/>
      <c r="L464" s="920"/>
      <c r="M464" s="920"/>
      <c r="N464" s="920"/>
      <c r="O464" s="920"/>
      <c r="P464" s="920"/>
    </row>
    <row r="465" spans="1:16">
      <c r="A465" s="859"/>
      <c r="B465" s="859"/>
      <c r="C465" s="920"/>
      <c r="D465" s="920"/>
      <c r="E465" s="920"/>
      <c r="F465" s="920"/>
      <c r="G465" s="920"/>
      <c r="H465" s="921"/>
      <c r="I465" s="920"/>
      <c r="J465" s="920"/>
      <c r="K465" s="981"/>
      <c r="L465" s="920"/>
      <c r="M465" s="920"/>
      <c r="N465" s="920"/>
      <c r="O465" s="920"/>
      <c r="P465" s="920"/>
    </row>
    <row r="466" spans="1:16">
      <c r="A466" s="859"/>
      <c r="B466" s="859"/>
      <c r="C466" s="920"/>
      <c r="D466" s="920"/>
      <c r="E466" s="920"/>
      <c r="F466" s="920"/>
      <c r="G466" s="920"/>
      <c r="H466" s="921"/>
      <c r="I466" s="920"/>
      <c r="J466" s="920"/>
      <c r="K466" s="981"/>
      <c r="L466" s="920"/>
      <c r="M466" s="920"/>
      <c r="N466" s="920"/>
      <c r="O466" s="920"/>
      <c r="P466" s="920"/>
    </row>
    <row r="467" spans="1:16">
      <c r="A467" s="859"/>
      <c r="B467" s="859"/>
      <c r="C467" s="920"/>
      <c r="D467" s="920"/>
      <c r="E467" s="920"/>
      <c r="F467" s="920"/>
      <c r="G467" s="920"/>
      <c r="H467" s="921"/>
      <c r="I467" s="920"/>
      <c r="J467" s="920"/>
      <c r="K467" s="981"/>
      <c r="L467" s="920"/>
      <c r="M467" s="920"/>
      <c r="N467" s="920"/>
      <c r="O467" s="920"/>
      <c r="P467" s="920"/>
    </row>
    <row r="468" spans="1:16">
      <c r="A468" s="859"/>
      <c r="B468" s="859"/>
      <c r="C468" s="920"/>
      <c r="D468" s="920"/>
      <c r="E468" s="920"/>
      <c r="F468" s="920"/>
      <c r="G468" s="920"/>
      <c r="H468" s="921"/>
      <c r="I468" s="920"/>
      <c r="J468" s="920"/>
      <c r="K468" s="981"/>
      <c r="L468" s="920"/>
      <c r="M468" s="920"/>
      <c r="N468" s="920"/>
      <c r="O468" s="920"/>
      <c r="P468" s="920"/>
    </row>
    <row r="469" spans="1:16">
      <c r="A469" s="859"/>
      <c r="B469" s="859"/>
      <c r="C469" s="920"/>
      <c r="D469" s="920"/>
      <c r="E469" s="920"/>
      <c r="F469" s="920"/>
      <c r="G469" s="920"/>
      <c r="H469" s="921"/>
      <c r="I469" s="920"/>
      <c r="J469" s="920"/>
      <c r="K469" s="981"/>
      <c r="L469" s="920"/>
      <c r="M469" s="920"/>
      <c r="N469" s="920"/>
      <c r="O469" s="920"/>
      <c r="P469" s="920"/>
    </row>
    <row r="470" spans="1:16">
      <c r="A470" s="859"/>
      <c r="B470" s="859"/>
      <c r="C470" s="920"/>
      <c r="D470" s="920"/>
      <c r="E470" s="920"/>
      <c r="F470" s="920"/>
      <c r="G470" s="920"/>
      <c r="H470" s="921"/>
      <c r="I470" s="920"/>
      <c r="J470" s="920"/>
      <c r="K470" s="981"/>
      <c r="L470" s="920"/>
      <c r="M470" s="920"/>
      <c r="N470" s="920"/>
      <c r="O470" s="920"/>
      <c r="P470" s="920"/>
    </row>
    <row r="471" spans="1:16">
      <c r="A471" s="859"/>
      <c r="B471" s="859"/>
      <c r="C471" s="920"/>
      <c r="D471" s="920"/>
      <c r="E471" s="920"/>
      <c r="F471" s="920"/>
      <c r="G471" s="920"/>
      <c r="H471" s="921"/>
      <c r="I471" s="920"/>
      <c r="J471" s="920"/>
      <c r="K471" s="981"/>
      <c r="L471" s="920"/>
      <c r="M471" s="920"/>
      <c r="N471" s="920"/>
      <c r="O471" s="920"/>
      <c r="P471" s="920"/>
    </row>
    <row r="472" spans="1:16">
      <c r="A472" s="859"/>
      <c r="B472" s="859"/>
      <c r="C472" s="920"/>
      <c r="D472" s="920"/>
      <c r="E472" s="920"/>
      <c r="F472" s="920"/>
      <c r="G472" s="920"/>
      <c r="H472" s="921"/>
      <c r="I472" s="920"/>
      <c r="J472" s="920"/>
      <c r="K472" s="981"/>
      <c r="L472" s="920"/>
      <c r="M472" s="920"/>
      <c r="N472" s="920"/>
      <c r="O472" s="920"/>
      <c r="P472" s="920"/>
    </row>
    <row r="473" spans="1:16">
      <c r="A473" s="859"/>
      <c r="B473" s="859"/>
      <c r="C473" s="920"/>
      <c r="D473" s="920"/>
      <c r="E473" s="920"/>
      <c r="F473" s="920"/>
      <c r="G473" s="920"/>
      <c r="H473" s="921"/>
      <c r="I473" s="920"/>
      <c r="J473" s="920"/>
      <c r="K473" s="981"/>
      <c r="L473" s="920"/>
      <c r="M473" s="920"/>
      <c r="N473" s="920"/>
      <c r="O473" s="920"/>
      <c r="P473" s="920"/>
    </row>
    <row r="474" spans="1:16">
      <c r="A474" s="859"/>
      <c r="B474" s="859"/>
      <c r="C474" s="920"/>
      <c r="D474" s="920"/>
      <c r="E474" s="920"/>
      <c r="F474" s="920"/>
      <c r="G474" s="920"/>
      <c r="H474" s="921"/>
      <c r="I474" s="920"/>
      <c r="J474" s="920"/>
      <c r="K474" s="981"/>
      <c r="L474" s="920"/>
      <c r="M474" s="920"/>
      <c r="N474" s="920"/>
      <c r="O474" s="920"/>
      <c r="P474" s="920"/>
    </row>
    <row r="475" spans="1:16">
      <c r="A475" s="859"/>
      <c r="B475" s="859"/>
      <c r="C475" s="920"/>
      <c r="D475" s="920"/>
      <c r="E475" s="920"/>
      <c r="F475" s="920"/>
      <c r="G475" s="920"/>
      <c r="H475" s="921"/>
      <c r="I475" s="920"/>
      <c r="J475" s="920"/>
      <c r="K475" s="981"/>
      <c r="L475" s="920"/>
      <c r="M475" s="920"/>
      <c r="N475" s="920"/>
      <c r="O475" s="920"/>
      <c r="P475" s="920"/>
    </row>
    <row r="476" spans="1:16">
      <c r="A476" s="859"/>
      <c r="B476" s="859"/>
      <c r="C476" s="920"/>
      <c r="D476" s="920"/>
      <c r="E476" s="920"/>
      <c r="F476" s="920"/>
      <c r="G476" s="920"/>
      <c r="H476" s="921"/>
      <c r="I476" s="920"/>
      <c r="J476" s="920"/>
      <c r="K476" s="981"/>
      <c r="L476" s="920"/>
      <c r="M476" s="920"/>
      <c r="N476" s="920"/>
      <c r="O476" s="920"/>
      <c r="P476" s="920"/>
    </row>
    <row r="477" spans="1:16">
      <c r="A477" s="859"/>
      <c r="B477" s="859"/>
      <c r="C477" s="920"/>
      <c r="D477" s="920"/>
      <c r="E477" s="920"/>
      <c r="F477" s="920"/>
      <c r="G477" s="920"/>
      <c r="H477" s="921"/>
      <c r="I477" s="920"/>
      <c r="J477" s="920"/>
      <c r="K477" s="981"/>
      <c r="L477" s="920"/>
      <c r="M477" s="920"/>
      <c r="N477" s="920"/>
      <c r="O477" s="920"/>
      <c r="P477" s="920"/>
    </row>
    <row r="478" spans="1:16">
      <c r="A478" s="859"/>
      <c r="B478" s="859"/>
      <c r="C478" s="920"/>
      <c r="D478" s="920"/>
      <c r="E478" s="920"/>
      <c r="F478" s="920"/>
      <c r="G478" s="920"/>
      <c r="H478" s="921"/>
      <c r="I478" s="920"/>
      <c r="J478" s="920"/>
      <c r="K478" s="981"/>
      <c r="L478" s="920"/>
      <c r="M478" s="920"/>
      <c r="N478" s="920"/>
      <c r="O478" s="920"/>
      <c r="P478" s="920"/>
    </row>
    <row r="479" spans="1:16">
      <c r="A479" s="859"/>
      <c r="B479" s="859"/>
      <c r="C479" s="920"/>
      <c r="D479" s="920"/>
      <c r="E479" s="920"/>
      <c r="F479" s="920"/>
      <c r="G479" s="920"/>
      <c r="H479" s="921"/>
      <c r="I479" s="920"/>
      <c r="J479" s="920"/>
      <c r="K479" s="981"/>
      <c r="L479" s="920"/>
      <c r="M479" s="920"/>
      <c r="N479" s="920"/>
      <c r="O479" s="920"/>
      <c r="P479" s="920"/>
    </row>
    <row r="480" spans="1:16">
      <c r="A480" s="859"/>
      <c r="B480" s="859"/>
      <c r="C480" s="920"/>
      <c r="D480" s="920"/>
      <c r="E480" s="920"/>
      <c r="F480" s="920"/>
      <c r="G480" s="920"/>
      <c r="H480" s="921"/>
      <c r="I480" s="920"/>
      <c r="J480" s="920"/>
      <c r="K480" s="981"/>
      <c r="L480" s="920"/>
      <c r="M480" s="920"/>
      <c r="N480" s="920"/>
      <c r="O480" s="920"/>
      <c r="P480" s="920"/>
    </row>
    <row r="481" spans="1:16">
      <c r="A481" s="859"/>
      <c r="B481" s="859"/>
      <c r="C481" s="920"/>
      <c r="D481" s="920"/>
      <c r="E481" s="920"/>
      <c r="F481" s="920"/>
      <c r="G481" s="920"/>
      <c r="H481" s="921"/>
      <c r="I481" s="920"/>
      <c r="J481" s="920"/>
      <c r="K481" s="981"/>
      <c r="L481" s="920"/>
      <c r="M481" s="920"/>
      <c r="N481" s="920"/>
      <c r="O481" s="920"/>
      <c r="P481" s="920"/>
    </row>
    <row r="482" spans="1:16">
      <c r="A482" s="859"/>
      <c r="B482" s="859"/>
      <c r="C482" s="920"/>
      <c r="D482" s="920"/>
      <c r="E482" s="920"/>
      <c r="F482" s="920"/>
      <c r="G482" s="920"/>
      <c r="H482" s="921"/>
      <c r="I482" s="920"/>
      <c r="J482" s="920"/>
      <c r="K482" s="981"/>
      <c r="L482" s="920"/>
      <c r="M482" s="920"/>
      <c r="N482" s="920"/>
      <c r="O482" s="920"/>
      <c r="P482" s="920"/>
    </row>
    <row r="483" spans="1:16">
      <c r="A483" s="859"/>
      <c r="B483" s="859"/>
      <c r="C483" s="920"/>
      <c r="D483" s="920"/>
      <c r="E483" s="920"/>
      <c r="F483" s="920"/>
      <c r="G483" s="920"/>
      <c r="H483" s="921"/>
      <c r="I483" s="920"/>
      <c r="J483" s="920"/>
      <c r="K483" s="981"/>
      <c r="L483" s="920"/>
      <c r="M483" s="920"/>
      <c r="N483" s="920"/>
      <c r="O483" s="920"/>
      <c r="P483" s="920"/>
    </row>
    <row r="484" spans="1:16">
      <c r="A484" s="859"/>
      <c r="B484" s="859"/>
      <c r="C484" s="920"/>
      <c r="D484" s="920"/>
      <c r="E484" s="920"/>
      <c r="F484" s="920"/>
      <c r="G484" s="920"/>
      <c r="H484" s="921"/>
      <c r="I484" s="920"/>
      <c r="J484" s="920"/>
      <c r="K484" s="981"/>
      <c r="L484" s="920"/>
      <c r="M484" s="920"/>
      <c r="N484" s="920"/>
      <c r="O484" s="920"/>
      <c r="P484" s="920"/>
    </row>
    <row r="485" spans="1:16">
      <c r="A485" s="859"/>
      <c r="B485" s="859"/>
      <c r="C485" s="920"/>
      <c r="D485" s="920"/>
      <c r="E485" s="920"/>
      <c r="F485" s="920"/>
      <c r="G485" s="920"/>
      <c r="H485" s="921"/>
      <c r="I485" s="920"/>
      <c r="J485" s="920"/>
      <c r="K485" s="981"/>
      <c r="L485" s="920"/>
      <c r="M485" s="920"/>
      <c r="N485" s="920"/>
      <c r="O485" s="920"/>
      <c r="P485" s="920"/>
    </row>
    <row r="486" spans="1:16">
      <c r="A486" s="859"/>
      <c r="B486" s="859"/>
      <c r="C486" s="920"/>
      <c r="D486" s="920"/>
      <c r="E486" s="920"/>
      <c r="F486" s="920"/>
      <c r="G486" s="920"/>
      <c r="H486" s="921"/>
      <c r="I486" s="920"/>
      <c r="J486" s="920"/>
      <c r="K486" s="981"/>
      <c r="L486" s="920"/>
      <c r="M486" s="920"/>
      <c r="N486" s="920"/>
      <c r="O486" s="920"/>
      <c r="P486" s="920"/>
    </row>
    <row r="487" spans="1:16">
      <c r="A487" s="859"/>
      <c r="B487" s="859"/>
      <c r="C487" s="920"/>
      <c r="D487" s="920"/>
      <c r="E487" s="920"/>
      <c r="F487" s="920"/>
      <c r="G487" s="920"/>
      <c r="H487" s="921"/>
      <c r="I487" s="920"/>
      <c r="J487" s="920"/>
      <c r="K487" s="981"/>
      <c r="L487" s="920"/>
      <c r="M487" s="920"/>
      <c r="N487" s="920"/>
      <c r="O487" s="920"/>
      <c r="P487" s="920"/>
    </row>
    <row r="488" spans="1:16">
      <c r="A488" s="859"/>
      <c r="B488" s="859"/>
      <c r="C488" s="920"/>
      <c r="D488" s="920"/>
      <c r="E488" s="920"/>
      <c r="F488" s="920"/>
      <c r="G488" s="920"/>
      <c r="H488" s="921"/>
      <c r="I488" s="920"/>
      <c r="J488" s="920"/>
      <c r="K488" s="981"/>
      <c r="L488" s="920"/>
      <c r="M488" s="920"/>
      <c r="N488" s="920"/>
      <c r="O488" s="920"/>
      <c r="P488" s="920"/>
    </row>
    <row r="489" spans="1:16">
      <c r="A489" s="859"/>
      <c r="B489" s="859"/>
      <c r="C489" s="920"/>
      <c r="D489" s="920"/>
      <c r="E489" s="920"/>
      <c r="F489" s="920"/>
      <c r="G489" s="920"/>
      <c r="H489" s="921"/>
      <c r="I489" s="920"/>
      <c r="J489" s="920"/>
      <c r="K489" s="981"/>
      <c r="L489" s="920"/>
      <c r="M489" s="920"/>
      <c r="N489" s="920"/>
      <c r="O489" s="920"/>
      <c r="P489" s="920"/>
    </row>
    <row r="490" spans="1:16">
      <c r="A490" s="859"/>
      <c r="B490" s="859"/>
      <c r="C490" s="920"/>
      <c r="D490" s="920"/>
      <c r="E490" s="920"/>
      <c r="F490" s="920"/>
      <c r="G490" s="920"/>
      <c r="H490" s="921"/>
      <c r="I490" s="920"/>
      <c r="J490" s="920"/>
      <c r="K490" s="981"/>
      <c r="L490" s="920"/>
      <c r="M490" s="920"/>
      <c r="N490" s="920"/>
      <c r="O490" s="920"/>
      <c r="P490" s="920"/>
    </row>
    <row r="491" spans="1:16">
      <c r="A491" s="859"/>
      <c r="B491" s="859"/>
      <c r="C491" s="920"/>
      <c r="D491" s="920"/>
      <c r="E491" s="920"/>
      <c r="F491" s="920"/>
      <c r="G491" s="920"/>
      <c r="H491" s="921"/>
      <c r="I491" s="920"/>
      <c r="J491" s="920"/>
      <c r="K491" s="981"/>
      <c r="L491" s="920"/>
      <c r="M491" s="920"/>
      <c r="N491" s="920"/>
      <c r="O491" s="920"/>
      <c r="P491" s="920"/>
    </row>
    <row r="492" spans="1:16">
      <c r="A492" s="859"/>
      <c r="B492" s="859"/>
      <c r="C492" s="920"/>
      <c r="D492" s="920"/>
      <c r="E492" s="920"/>
      <c r="F492" s="920"/>
      <c r="G492" s="920"/>
      <c r="H492" s="921"/>
      <c r="I492" s="920"/>
      <c r="J492" s="920"/>
      <c r="K492" s="981"/>
      <c r="L492" s="920"/>
      <c r="M492" s="920"/>
      <c r="N492" s="920"/>
      <c r="O492" s="920"/>
      <c r="P492" s="920"/>
    </row>
    <row r="493" spans="1:16">
      <c r="A493" s="859"/>
      <c r="B493" s="859"/>
      <c r="C493" s="920"/>
      <c r="D493" s="920"/>
      <c r="E493" s="920"/>
      <c r="F493" s="920"/>
      <c r="G493" s="920"/>
      <c r="H493" s="921"/>
      <c r="I493" s="920"/>
      <c r="J493" s="920"/>
      <c r="K493" s="981"/>
      <c r="L493" s="920"/>
      <c r="M493" s="920"/>
      <c r="N493" s="920"/>
      <c r="O493" s="920"/>
      <c r="P493" s="920"/>
    </row>
    <row r="494" spans="1:16">
      <c r="A494" s="859"/>
      <c r="B494" s="859"/>
      <c r="C494" s="920"/>
      <c r="D494" s="920"/>
      <c r="E494" s="920"/>
      <c r="F494" s="920"/>
      <c r="G494" s="920"/>
      <c r="H494" s="921"/>
      <c r="I494" s="920"/>
      <c r="J494" s="920"/>
      <c r="K494" s="981"/>
      <c r="L494" s="920"/>
      <c r="M494" s="920"/>
      <c r="N494" s="920"/>
      <c r="O494" s="920"/>
      <c r="P494" s="920"/>
    </row>
    <row r="495" spans="1:16">
      <c r="A495" s="859"/>
      <c r="B495" s="859"/>
      <c r="C495" s="920"/>
      <c r="D495" s="920"/>
      <c r="E495" s="920"/>
      <c r="F495" s="920"/>
      <c r="G495" s="920"/>
      <c r="H495" s="921"/>
      <c r="I495" s="920"/>
      <c r="J495" s="920"/>
      <c r="K495" s="981"/>
      <c r="L495" s="920"/>
      <c r="M495" s="920"/>
      <c r="N495" s="920"/>
      <c r="O495" s="920"/>
      <c r="P495" s="920"/>
    </row>
    <row r="496" spans="1:16">
      <c r="A496" s="859"/>
      <c r="B496" s="859"/>
      <c r="C496" s="920"/>
      <c r="D496" s="920"/>
      <c r="E496" s="920"/>
      <c r="F496" s="920"/>
      <c r="G496" s="920"/>
      <c r="H496" s="921"/>
      <c r="I496" s="920"/>
      <c r="J496" s="920"/>
      <c r="K496" s="981"/>
      <c r="L496" s="920"/>
      <c r="M496" s="920"/>
      <c r="N496" s="920"/>
      <c r="O496" s="920"/>
      <c r="P496" s="920"/>
    </row>
    <row r="497" spans="1:16">
      <c r="A497" s="859"/>
      <c r="B497" s="859"/>
      <c r="C497" s="920"/>
      <c r="D497" s="920"/>
      <c r="E497" s="920"/>
      <c r="F497" s="920"/>
      <c r="G497" s="920"/>
      <c r="H497" s="921"/>
      <c r="I497" s="920"/>
      <c r="J497" s="920"/>
      <c r="K497" s="981"/>
      <c r="L497" s="920"/>
      <c r="M497" s="920"/>
      <c r="N497" s="920"/>
      <c r="O497" s="920"/>
      <c r="P497" s="920"/>
    </row>
    <row r="498" spans="1:16">
      <c r="A498" s="859"/>
      <c r="B498" s="859"/>
      <c r="C498" s="920"/>
      <c r="D498" s="920"/>
      <c r="E498" s="920"/>
      <c r="F498" s="920"/>
      <c r="G498" s="920"/>
      <c r="H498" s="921"/>
      <c r="I498" s="920"/>
      <c r="J498" s="920"/>
      <c r="K498" s="981"/>
      <c r="L498" s="920"/>
      <c r="M498" s="920"/>
      <c r="N498" s="920"/>
      <c r="O498" s="920"/>
      <c r="P498" s="920"/>
    </row>
    <row r="499" spans="1:16">
      <c r="A499" s="859"/>
      <c r="B499" s="859"/>
      <c r="C499" s="920"/>
      <c r="D499" s="920"/>
      <c r="E499" s="920"/>
      <c r="F499" s="920"/>
      <c r="G499" s="920"/>
      <c r="H499" s="921"/>
      <c r="I499" s="920"/>
      <c r="J499" s="920"/>
      <c r="K499" s="981"/>
      <c r="L499" s="920"/>
      <c r="M499" s="920"/>
      <c r="N499" s="920"/>
      <c r="O499" s="920"/>
      <c r="P499" s="920"/>
    </row>
    <row r="500" spans="1:16">
      <c r="A500" s="859"/>
      <c r="B500" s="859"/>
      <c r="C500" s="920"/>
      <c r="D500" s="920"/>
      <c r="E500" s="920"/>
      <c r="F500" s="920"/>
      <c r="G500" s="920"/>
      <c r="H500" s="921"/>
      <c r="I500" s="920"/>
      <c r="J500" s="920"/>
      <c r="K500" s="981"/>
      <c r="L500" s="920"/>
      <c r="M500" s="920"/>
      <c r="N500" s="920"/>
      <c r="O500" s="920"/>
      <c r="P500" s="920"/>
    </row>
    <row r="501" spans="1:16">
      <c r="A501" s="859"/>
      <c r="B501" s="859"/>
      <c r="C501" s="920"/>
      <c r="D501" s="920"/>
      <c r="E501" s="920"/>
      <c r="F501" s="920"/>
      <c r="G501" s="920"/>
      <c r="H501" s="921"/>
      <c r="I501" s="920"/>
      <c r="J501" s="920"/>
      <c r="K501" s="981"/>
      <c r="L501" s="920"/>
      <c r="M501" s="920"/>
      <c r="N501" s="920"/>
      <c r="O501" s="920"/>
      <c r="P501" s="920"/>
    </row>
    <row r="502" spans="1:16">
      <c r="A502" s="859"/>
      <c r="B502" s="859"/>
      <c r="C502" s="920"/>
      <c r="D502" s="920"/>
      <c r="E502" s="920"/>
      <c r="F502" s="920"/>
      <c r="G502" s="920"/>
      <c r="H502" s="921"/>
      <c r="I502" s="920"/>
      <c r="J502" s="920"/>
      <c r="K502" s="981"/>
      <c r="L502" s="920"/>
      <c r="M502" s="920"/>
      <c r="N502" s="920"/>
      <c r="O502" s="920"/>
      <c r="P502" s="920"/>
    </row>
    <row r="503" spans="1:16">
      <c r="A503" s="859"/>
      <c r="B503" s="859"/>
      <c r="C503" s="920"/>
      <c r="D503" s="920"/>
      <c r="E503" s="920"/>
      <c r="F503" s="920"/>
      <c r="G503" s="920"/>
      <c r="H503" s="921"/>
      <c r="I503" s="920"/>
      <c r="J503" s="920"/>
      <c r="K503" s="981"/>
      <c r="L503" s="920"/>
      <c r="M503" s="920"/>
      <c r="N503" s="920"/>
      <c r="O503" s="920"/>
      <c r="P503" s="920"/>
    </row>
    <row r="504" spans="1:16">
      <c r="A504" s="859"/>
      <c r="B504" s="859"/>
      <c r="C504" s="920"/>
      <c r="D504" s="920"/>
      <c r="E504" s="920"/>
      <c r="F504" s="920"/>
      <c r="G504" s="920"/>
      <c r="H504" s="921"/>
      <c r="I504" s="920"/>
      <c r="J504" s="920"/>
      <c r="K504" s="981"/>
      <c r="L504" s="920"/>
      <c r="M504" s="920"/>
      <c r="N504" s="920"/>
      <c r="O504" s="920"/>
      <c r="P504" s="920"/>
    </row>
    <row r="505" spans="1:16">
      <c r="A505" s="859"/>
      <c r="B505" s="859"/>
      <c r="C505" s="920"/>
      <c r="D505" s="920"/>
      <c r="E505" s="920"/>
      <c r="F505" s="920"/>
      <c r="G505" s="920"/>
      <c r="H505" s="921"/>
      <c r="I505" s="920"/>
      <c r="J505" s="920"/>
      <c r="K505" s="981"/>
      <c r="L505" s="920"/>
      <c r="M505" s="920"/>
      <c r="N505" s="920"/>
      <c r="O505" s="920"/>
      <c r="P505" s="920"/>
    </row>
    <row r="506" spans="1:16">
      <c r="A506" s="859"/>
      <c r="B506" s="859"/>
      <c r="C506" s="920"/>
      <c r="D506" s="920"/>
      <c r="E506" s="920"/>
      <c r="F506" s="920"/>
      <c r="G506" s="920"/>
      <c r="H506" s="921"/>
      <c r="I506" s="920"/>
      <c r="J506" s="920"/>
      <c r="K506" s="981"/>
      <c r="L506" s="920"/>
      <c r="M506" s="920"/>
      <c r="N506" s="920"/>
      <c r="O506" s="920"/>
      <c r="P506" s="920"/>
    </row>
    <row r="507" spans="1:16">
      <c r="A507" s="859"/>
      <c r="B507" s="859"/>
      <c r="C507" s="920"/>
      <c r="D507" s="920"/>
      <c r="E507" s="920"/>
      <c r="F507" s="920"/>
      <c r="G507" s="920"/>
      <c r="H507" s="921"/>
      <c r="I507" s="920"/>
      <c r="J507" s="920"/>
      <c r="K507" s="981"/>
      <c r="L507" s="920"/>
      <c r="M507" s="920"/>
      <c r="N507" s="920"/>
      <c r="O507" s="920"/>
      <c r="P507" s="920"/>
    </row>
    <row r="508" spans="1:16">
      <c r="A508" s="859"/>
      <c r="B508" s="859"/>
      <c r="C508" s="920"/>
      <c r="D508" s="920"/>
      <c r="E508" s="920"/>
      <c r="F508" s="920"/>
      <c r="G508" s="920"/>
      <c r="H508" s="921"/>
      <c r="I508" s="920"/>
      <c r="J508" s="920"/>
      <c r="K508" s="981"/>
      <c r="L508" s="920"/>
      <c r="M508" s="920"/>
      <c r="N508" s="920"/>
      <c r="O508" s="920"/>
      <c r="P508" s="920"/>
    </row>
    <row r="509" spans="1:16">
      <c r="A509" s="859"/>
      <c r="B509" s="859"/>
      <c r="C509" s="920"/>
      <c r="D509" s="920"/>
      <c r="E509" s="920"/>
      <c r="F509" s="920"/>
      <c r="G509" s="920"/>
      <c r="H509" s="921"/>
      <c r="I509" s="920"/>
      <c r="J509" s="920"/>
      <c r="K509" s="981"/>
      <c r="L509" s="920"/>
      <c r="M509" s="920"/>
      <c r="N509" s="920"/>
      <c r="O509" s="920"/>
      <c r="P509" s="920"/>
    </row>
    <row r="510" spans="1:16">
      <c r="A510" s="859"/>
      <c r="B510" s="859"/>
      <c r="C510" s="920"/>
      <c r="D510" s="920"/>
      <c r="E510" s="920"/>
      <c r="F510" s="920"/>
      <c r="G510" s="920"/>
      <c r="H510" s="921"/>
      <c r="I510" s="920"/>
      <c r="J510" s="920"/>
      <c r="K510" s="981"/>
      <c r="L510" s="920"/>
      <c r="M510" s="920"/>
      <c r="N510" s="920"/>
      <c r="O510" s="920"/>
      <c r="P510" s="920"/>
    </row>
    <row r="511" spans="1:16">
      <c r="A511" s="859"/>
      <c r="B511" s="859"/>
      <c r="C511" s="920"/>
      <c r="D511" s="920"/>
      <c r="E511" s="920"/>
      <c r="F511" s="920"/>
      <c r="G511" s="920"/>
      <c r="H511" s="921"/>
      <c r="I511" s="920"/>
      <c r="J511" s="920"/>
      <c r="K511" s="981"/>
      <c r="L511" s="920"/>
      <c r="M511" s="920"/>
      <c r="N511" s="920"/>
      <c r="O511" s="920"/>
      <c r="P511" s="920"/>
    </row>
    <row r="512" spans="1:16">
      <c r="A512" s="859"/>
      <c r="B512" s="859"/>
      <c r="C512" s="920"/>
      <c r="D512" s="920"/>
      <c r="E512" s="920"/>
      <c r="F512" s="920"/>
      <c r="G512" s="920"/>
      <c r="H512" s="921"/>
      <c r="I512" s="920"/>
      <c r="J512" s="920"/>
      <c r="K512" s="981"/>
      <c r="L512" s="920"/>
      <c r="M512" s="920"/>
      <c r="N512" s="920"/>
      <c r="O512" s="920"/>
      <c r="P512" s="920"/>
    </row>
    <row r="513" spans="1:16">
      <c r="A513" s="859"/>
      <c r="B513" s="859"/>
      <c r="C513" s="920"/>
      <c r="D513" s="920"/>
      <c r="E513" s="920"/>
      <c r="F513" s="920"/>
      <c r="G513" s="920"/>
      <c r="H513" s="921"/>
      <c r="I513" s="920"/>
      <c r="J513" s="920"/>
      <c r="K513" s="981"/>
      <c r="L513" s="920"/>
      <c r="M513" s="920"/>
      <c r="N513" s="920"/>
      <c r="O513" s="920"/>
      <c r="P513" s="920"/>
    </row>
    <row r="514" spans="1:16">
      <c r="A514" s="859"/>
      <c r="B514" s="859"/>
      <c r="C514" s="920"/>
      <c r="D514" s="920"/>
      <c r="E514" s="920"/>
      <c r="F514" s="920"/>
      <c r="G514" s="920"/>
      <c r="H514" s="921"/>
      <c r="I514" s="920"/>
      <c r="J514" s="920"/>
      <c r="K514" s="981"/>
      <c r="L514" s="920"/>
      <c r="M514" s="920"/>
      <c r="N514" s="920"/>
      <c r="O514" s="920"/>
      <c r="P514" s="920"/>
    </row>
    <row r="515" spans="1:16">
      <c r="A515" s="859"/>
      <c r="B515" s="859"/>
      <c r="C515" s="920"/>
      <c r="D515" s="920"/>
      <c r="E515" s="920"/>
      <c r="F515" s="920"/>
      <c r="G515" s="920"/>
      <c r="H515" s="921"/>
      <c r="I515" s="920"/>
      <c r="J515" s="920"/>
      <c r="K515" s="981"/>
      <c r="L515" s="920"/>
      <c r="M515" s="920"/>
      <c r="N515" s="920"/>
      <c r="O515" s="920"/>
      <c r="P515" s="920"/>
    </row>
    <row r="516" spans="1:16">
      <c r="A516" s="859"/>
      <c r="B516" s="859"/>
      <c r="C516" s="920"/>
      <c r="D516" s="920"/>
      <c r="E516" s="920"/>
      <c r="F516" s="920"/>
      <c r="G516" s="920"/>
      <c r="H516" s="921"/>
      <c r="I516" s="920"/>
      <c r="J516" s="920"/>
      <c r="K516" s="981"/>
      <c r="L516" s="920"/>
      <c r="M516" s="920"/>
      <c r="N516" s="920"/>
      <c r="O516" s="920"/>
      <c r="P516" s="920"/>
    </row>
    <row r="517" spans="1:16">
      <c r="A517" s="859"/>
      <c r="B517" s="859"/>
      <c r="C517" s="920"/>
      <c r="D517" s="920"/>
      <c r="E517" s="920"/>
      <c r="F517" s="920"/>
      <c r="G517" s="920"/>
      <c r="H517" s="921"/>
      <c r="I517" s="920"/>
      <c r="J517" s="920"/>
      <c r="K517" s="981"/>
      <c r="L517" s="920"/>
      <c r="M517" s="920"/>
      <c r="N517" s="920"/>
      <c r="O517" s="920"/>
      <c r="P517" s="920"/>
    </row>
    <row r="518" spans="1:16">
      <c r="A518" s="859"/>
      <c r="B518" s="859"/>
      <c r="C518" s="920"/>
      <c r="D518" s="920"/>
      <c r="E518" s="920"/>
      <c r="F518" s="920"/>
      <c r="G518" s="920"/>
      <c r="H518" s="921"/>
      <c r="I518" s="920"/>
      <c r="J518" s="920"/>
      <c r="K518" s="981"/>
      <c r="L518" s="920"/>
      <c r="M518" s="920"/>
      <c r="N518" s="920"/>
      <c r="O518" s="920"/>
      <c r="P518" s="920"/>
    </row>
    <row r="519" spans="1:16">
      <c r="A519" s="859"/>
      <c r="B519" s="859"/>
      <c r="C519" s="920"/>
      <c r="D519" s="920"/>
      <c r="E519" s="920"/>
      <c r="F519" s="920"/>
      <c r="G519" s="920"/>
      <c r="H519" s="921"/>
      <c r="I519" s="920"/>
      <c r="J519" s="920"/>
      <c r="K519" s="981"/>
      <c r="L519" s="920"/>
      <c r="M519" s="920"/>
      <c r="N519" s="920"/>
      <c r="O519" s="920"/>
      <c r="P519" s="920"/>
    </row>
    <row r="520" spans="1:16">
      <c r="A520" s="859"/>
      <c r="B520" s="859"/>
      <c r="C520" s="920"/>
      <c r="D520" s="920"/>
      <c r="E520" s="920"/>
      <c r="F520" s="920"/>
      <c r="G520" s="920"/>
      <c r="H520" s="921"/>
      <c r="I520" s="920"/>
      <c r="J520" s="920"/>
      <c r="K520" s="981"/>
      <c r="L520" s="920"/>
      <c r="M520" s="920"/>
      <c r="N520" s="920"/>
      <c r="O520" s="920"/>
      <c r="P520" s="920"/>
    </row>
    <row r="521" spans="1:16">
      <c r="A521" s="859"/>
      <c r="B521" s="859"/>
      <c r="C521" s="920"/>
      <c r="D521" s="920"/>
      <c r="E521" s="920"/>
      <c r="F521" s="920"/>
      <c r="G521" s="920"/>
      <c r="H521" s="921"/>
      <c r="I521" s="920"/>
      <c r="J521" s="920"/>
      <c r="K521" s="981"/>
      <c r="L521" s="920"/>
      <c r="M521" s="920"/>
      <c r="N521" s="920"/>
      <c r="O521" s="920"/>
      <c r="P521" s="920"/>
    </row>
    <row r="522" spans="1:16">
      <c r="A522" s="859"/>
      <c r="B522" s="859"/>
      <c r="C522" s="859"/>
      <c r="D522" s="859"/>
      <c r="E522" s="859"/>
      <c r="F522" s="859"/>
      <c r="G522" s="859"/>
      <c r="H522" s="861"/>
      <c r="I522" s="859"/>
      <c r="J522" s="859"/>
      <c r="K522" s="862"/>
      <c r="L522" s="859"/>
      <c r="M522" s="859"/>
      <c r="N522" s="859"/>
      <c r="P522" s="859"/>
    </row>
    <row r="523" spans="1:16">
      <c r="A523" s="859"/>
      <c r="B523" s="859"/>
      <c r="C523" s="859"/>
      <c r="D523" s="859"/>
      <c r="E523" s="859"/>
      <c r="F523" s="859"/>
      <c r="G523" s="859"/>
      <c r="H523" s="861"/>
      <c r="I523" s="859"/>
      <c r="J523" s="859"/>
      <c r="K523" s="862"/>
      <c r="L523" s="859"/>
      <c r="M523" s="859"/>
      <c r="N523" s="859"/>
      <c r="P523" s="859"/>
    </row>
    <row r="524" spans="1:16">
      <c r="A524" s="859"/>
      <c r="B524" s="859"/>
      <c r="C524" s="859"/>
      <c r="D524" s="859"/>
      <c r="E524" s="859"/>
      <c r="F524" s="859"/>
      <c r="G524" s="859"/>
      <c r="H524" s="861"/>
      <c r="I524" s="859"/>
      <c r="J524" s="859"/>
      <c r="K524" s="862"/>
      <c r="L524" s="859"/>
      <c r="M524" s="859"/>
      <c r="N524" s="859"/>
      <c r="P524" s="859"/>
    </row>
    <row r="525" spans="1:16">
      <c r="A525" s="859"/>
      <c r="B525" s="859"/>
      <c r="C525" s="859"/>
      <c r="D525" s="859"/>
      <c r="E525" s="859"/>
      <c r="F525" s="859"/>
      <c r="G525" s="859"/>
      <c r="H525" s="861"/>
      <c r="I525" s="859"/>
      <c r="J525" s="859"/>
      <c r="K525" s="862"/>
      <c r="L525" s="859"/>
      <c r="M525" s="859"/>
      <c r="N525" s="859"/>
      <c r="P525" s="859"/>
    </row>
    <row r="526" spans="1:16">
      <c r="A526" s="859"/>
      <c r="B526" s="859"/>
      <c r="C526" s="859"/>
      <c r="D526" s="859"/>
      <c r="E526" s="859"/>
      <c r="F526" s="859"/>
      <c r="G526" s="859"/>
      <c r="H526" s="861"/>
      <c r="I526" s="859"/>
      <c r="J526" s="859"/>
      <c r="K526" s="862"/>
      <c r="L526" s="859"/>
      <c r="M526" s="859"/>
      <c r="N526" s="859"/>
      <c r="P526" s="859"/>
    </row>
    <row r="527" spans="1:16">
      <c r="A527" s="859"/>
      <c r="B527" s="859"/>
      <c r="C527" s="859"/>
      <c r="D527" s="859"/>
      <c r="E527" s="859"/>
      <c r="F527" s="859"/>
      <c r="G527" s="859"/>
      <c r="H527" s="861"/>
      <c r="I527" s="859"/>
      <c r="J527" s="859"/>
      <c r="K527" s="862"/>
      <c r="L527" s="859"/>
      <c r="M527" s="859"/>
      <c r="N527" s="859"/>
      <c r="P527" s="859"/>
    </row>
    <row r="528" spans="1:16">
      <c r="A528" s="859"/>
      <c r="B528" s="859"/>
      <c r="C528" s="859"/>
      <c r="D528" s="859"/>
      <c r="E528" s="859"/>
      <c r="F528" s="859"/>
      <c r="G528" s="859"/>
      <c r="H528" s="861"/>
      <c r="I528" s="859"/>
      <c r="J528" s="859"/>
      <c r="K528" s="862"/>
      <c r="L528" s="859"/>
      <c r="M528" s="859"/>
      <c r="N528" s="859"/>
      <c r="P528" s="859"/>
    </row>
    <row r="529" spans="1:16">
      <c r="A529" s="859"/>
      <c r="B529" s="859"/>
      <c r="C529" s="859"/>
      <c r="D529" s="859"/>
      <c r="E529" s="859"/>
      <c r="F529" s="859"/>
      <c r="G529" s="859"/>
      <c r="H529" s="861"/>
      <c r="I529" s="859"/>
      <c r="J529" s="859"/>
      <c r="K529" s="862"/>
      <c r="L529" s="859"/>
      <c r="M529" s="859"/>
      <c r="N529" s="859"/>
      <c r="P529" s="859"/>
    </row>
    <row r="530" spans="1:16">
      <c r="A530" s="859"/>
      <c r="B530" s="859"/>
      <c r="C530" s="859"/>
      <c r="D530" s="859"/>
      <c r="E530" s="859"/>
      <c r="F530" s="859"/>
      <c r="G530" s="859"/>
      <c r="H530" s="861"/>
      <c r="I530" s="859"/>
      <c r="J530" s="859"/>
      <c r="K530" s="862"/>
      <c r="L530" s="859"/>
      <c r="M530" s="859"/>
      <c r="N530" s="859"/>
      <c r="P530" s="859"/>
    </row>
    <row r="531" spans="1:16">
      <c r="A531" s="859"/>
      <c r="B531" s="859"/>
      <c r="C531" s="859"/>
      <c r="D531" s="859"/>
      <c r="E531" s="859"/>
      <c r="F531" s="859"/>
      <c r="G531" s="859"/>
      <c r="H531" s="861"/>
      <c r="I531" s="859"/>
      <c r="J531" s="859"/>
      <c r="K531" s="862"/>
      <c r="L531" s="859"/>
      <c r="M531" s="859"/>
      <c r="N531" s="859"/>
      <c r="P531" s="859"/>
    </row>
    <row r="532" spans="1:16">
      <c r="A532" s="859"/>
      <c r="B532" s="859"/>
      <c r="C532" s="859"/>
      <c r="D532" s="859"/>
      <c r="E532" s="859"/>
      <c r="F532" s="859"/>
      <c r="G532" s="859"/>
      <c r="H532" s="861"/>
      <c r="I532" s="859"/>
      <c r="J532" s="859"/>
      <c r="K532" s="862"/>
      <c r="L532" s="859"/>
      <c r="M532" s="859"/>
      <c r="N532" s="859"/>
      <c r="P532" s="859"/>
    </row>
    <row r="533" spans="1:16">
      <c r="A533" s="859"/>
      <c r="B533" s="859"/>
      <c r="C533" s="859"/>
      <c r="D533" s="859"/>
      <c r="E533" s="859"/>
      <c r="F533" s="859"/>
      <c r="G533" s="859"/>
      <c r="H533" s="861"/>
      <c r="I533" s="859"/>
      <c r="J533" s="859"/>
      <c r="K533" s="862"/>
      <c r="L533" s="859"/>
      <c r="M533" s="859"/>
      <c r="N533" s="859"/>
      <c r="P533" s="859"/>
    </row>
    <row r="534" spans="1:16">
      <c r="A534" s="859"/>
      <c r="B534" s="859"/>
      <c r="C534" s="859"/>
      <c r="D534" s="859"/>
      <c r="E534" s="859"/>
      <c r="F534" s="859"/>
      <c r="G534" s="859"/>
      <c r="H534" s="861"/>
      <c r="I534" s="859"/>
      <c r="J534" s="859"/>
      <c r="K534" s="862"/>
      <c r="L534" s="859"/>
      <c r="M534" s="859"/>
      <c r="N534" s="859"/>
      <c r="P534" s="859"/>
    </row>
    <row r="535" spans="1:16">
      <c r="A535" s="859"/>
      <c r="B535" s="859"/>
      <c r="C535" s="859"/>
      <c r="D535" s="859"/>
      <c r="E535" s="859"/>
      <c r="F535" s="859"/>
      <c r="G535" s="859"/>
      <c r="H535" s="861"/>
      <c r="I535" s="859"/>
      <c r="J535" s="859"/>
      <c r="K535" s="862"/>
      <c r="L535" s="859"/>
      <c r="M535" s="859"/>
      <c r="N535" s="859"/>
      <c r="P535" s="859"/>
    </row>
    <row r="536" spans="1:16">
      <c r="A536" s="859"/>
      <c r="B536" s="859"/>
      <c r="C536" s="859"/>
      <c r="D536" s="859"/>
      <c r="E536" s="859"/>
      <c r="F536" s="859"/>
      <c r="G536" s="859"/>
      <c r="H536" s="861"/>
      <c r="I536" s="859"/>
      <c r="J536" s="859"/>
      <c r="K536" s="862"/>
      <c r="L536" s="859"/>
      <c r="M536" s="859"/>
      <c r="N536" s="859"/>
      <c r="P536" s="859"/>
    </row>
    <row r="537" spans="1:16">
      <c r="A537" s="859"/>
      <c r="B537" s="859"/>
      <c r="C537" s="859"/>
      <c r="D537" s="859"/>
      <c r="E537" s="859"/>
      <c r="F537" s="859"/>
      <c r="G537" s="859"/>
      <c r="H537" s="861"/>
      <c r="I537" s="859"/>
      <c r="J537" s="859"/>
      <c r="K537" s="862"/>
      <c r="L537" s="859"/>
      <c r="M537" s="859"/>
      <c r="N537" s="859"/>
      <c r="P537" s="859"/>
    </row>
    <row r="538" spans="1:16">
      <c r="A538" s="859"/>
      <c r="B538" s="859"/>
      <c r="C538" s="859"/>
      <c r="D538" s="859"/>
      <c r="E538" s="859"/>
      <c r="F538" s="859"/>
      <c r="G538" s="859"/>
      <c r="H538" s="861"/>
      <c r="I538" s="859"/>
      <c r="J538" s="859"/>
      <c r="K538" s="862"/>
      <c r="L538" s="859"/>
      <c r="M538" s="859"/>
      <c r="N538" s="859"/>
      <c r="P538" s="859"/>
    </row>
    <row r="539" spans="1:16">
      <c r="A539" s="859"/>
      <c r="B539" s="859"/>
      <c r="C539" s="859"/>
      <c r="D539" s="859"/>
      <c r="E539" s="859"/>
      <c r="F539" s="859"/>
      <c r="G539" s="859"/>
      <c r="H539" s="861"/>
      <c r="I539" s="859"/>
      <c r="J539" s="859"/>
      <c r="K539" s="862"/>
      <c r="L539" s="859"/>
      <c r="M539" s="859"/>
      <c r="N539" s="859"/>
      <c r="P539" s="859"/>
    </row>
    <row r="540" spans="1:16">
      <c r="A540" s="859"/>
      <c r="B540" s="859"/>
      <c r="C540" s="859"/>
      <c r="D540" s="859"/>
      <c r="E540" s="859"/>
      <c r="F540" s="859"/>
      <c r="G540" s="859"/>
      <c r="H540" s="861"/>
      <c r="I540" s="859"/>
      <c r="J540" s="859"/>
      <c r="K540" s="862"/>
      <c r="L540" s="859"/>
      <c r="M540" s="859"/>
      <c r="N540" s="859"/>
      <c r="P540" s="859"/>
    </row>
    <row r="541" spans="1:16">
      <c r="A541" s="859"/>
      <c r="B541" s="859"/>
      <c r="C541" s="859"/>
      <c r="D541" s="859"/>
      <c r="E541" s="859"/>
      <c r="F541" s="859"/>
      <c r="G541" s="859"/>
      <c r="H541" s="861"/>
      <c r="I541" s="859"/>
      <c r="J541" s="859"/>
      <c r="K541" s="862"/>
      <c r="L541" s="859"/>
      <c r="M541" s="859"/>
      <c r="N541" s="859"/>
      <c r="P541" s="859"/>
    </row>
    <row r="542" spans="1:16">
      <c r="A542" s="859"/>
      <c r="B542" s="859"/>
      <c r="C542" s="859"/>
      <c r="D542" s="859"/>
      <c r="E542" s="859"/>
      <c r="F542" s="859"/>
      <c r="G542" s="859"/>
      <c r="H542" s="861"/>
      <c r="I542" s="859"/>
      <c r="J542" s="859"/>
      <c r="K542" s="862"/>
      <c r="L542" s="859"/>
      <c r="M542" s="859"/>
      <c r="N542" s="859"/>
      <c r="P542" s="859"/>
    </row>
    <row r="543" spans="1:16">
      <c r="A543" s="859"/>
      <c r="B543" s="859"/>
      <c r="C543" s="859"/>
      <c r="D543" s="859"/>
      <c r="E543" s="859"/>
      <c r="F543" s="859"/>
      <c r="G543" s="859"/>
      <c r="H543" s="861"/>
      <c r="I543" s="859"/>
      <c r="J543" s="859"/>
      <c r="K543" s="862"/>
      <c r="L543" s="859"/>
      <c r="M543" s="859"/>
      <c r="N543" s="859"/>
      <c r="P543" s="859"/>
    </row>
    <row r="544" spans="1:16">
      <c r="A544" s="859"/>
      <c r="B544" s="859"/>
      <c r="C544" s="859"/>
      <c r="D544" s="859"/>
      <c r="E544" s="859"/>
      <c r="F544" s="859"/>
      <c r="G544" s="859"/>
      <c r="H544" s="861"/>
      <c r="I544" s="859"/>
      <c r="J544" s="859"/>
      <c r="K544" s="862"/>
      <c r="L544" s="859"/>
      <c r="M544" s="859"/>
      <c r="N544" s="859"/>
      <c r="P544" s="859"/>
    </row>
    <row r="545" spans="1:16">
      <c r="A545" s="859"/>
      <c r="B545" s="859"/>
      <c r="C545" s="859"/>
      <c r="D545" s="859"/>
      <c r="E545" s="859"/>
      <c r="F545" s="859"/>
      <c r="G545" s="859"/>
      <c r="H545" s="861"/>
      <c r="I545" s="859"/>
      <c r="J545" s="859"/>
      <c r="K545" s="862"/>
      <c r="L545" s="859"/>
      <c r="M545" s="859"/>
      <c r="N545" s="859"/>
      <c r="P545" s="859"/>
    </row>
    <row r="546" spans="1:16">
      <c r="A546" s="859"/>
      <c r="B546" s="859"/>
      <c r="C546" s="859"/>
      <c r="D546" s="859"/>
      <c r="E546" s="859"/>
      <c r="F546" s="859"/>
      <c r="G546" s="859"/>
      <c r="H546" s="861"/>
      <c r="I546" s="859"/>
      <c r="J546" s="859"/>
      <c r="K546" s="862"/>
      <c r="L546" s="859"/>
      <c r="M546" s="859"/>
      <c r="N546" s="859"/>
      <c r="P546" s="859"/>
    </row>
    <row r="547" spans="1:16">
      <c r="A547" s="859"/>
      <c r="B547" s="859"/>
      <c r="C547" s="859"/>
      <c r="D547" s="859"/>
      <c r="E547" s="859"/>
      <c r="F547" s="859"/>
      <c r="G547" s="859"/>
      <c r="H547" s="861"/>
      <c r="I547" s="859"/>
      <c r="J547" s="859"/>
      <c r="K547" s="862"/>
      <c r="L547" s="859"/>
      <c r="M547" s="859"/>
      <c r="N547" s="859"/>
      <c r="P547" s="859"/>
    </row>
    <row r="548" spans="1:16">
      <c r="A548" s="859"/>
      <c r="B548" s="859"/>
      <c r="C548" s="859"/>
      <c r="D548" s="859"/>
      <c r="E548" s="859"/>
      <c r="F548" s="859"/>
      <c r="G548" s="859"/>
      <c r="H548" s="861"/>
      <c r="I548" s="859"/>
      <c r="J548" s="859"/>
      <c r="K548" s="862"/>
      <c r="L548" s="859"/>
      <c r="M548" s="859"/>
      <c r="N548" s="859"/>
      <c r="P548" s="859"/>
    </row>
    <row r="549" spans="1:16">
      <c r="A549" s="859"/>
      <c r="B549" s="859"/>
      <c r="C549" s="859"/>
      <c r="D549" s="859"/>
      <c r="E549" s="859"/>
      <c r="F549" s="859"/>
      <c r="G549" s="859"/>
      <c r="H549" s="861"/>
      <c r="I549" s="859"/>
      <c r="J549" s="859"/>
      <c r="K549" s="862"/>
      <c r="L549" s="859"/>
      <c r="M549" s="859"/>
      <c r="N549" s="859"/>
      <c r="P549" s="859"/>
    </row>
    <row r="550" spans="1:16">
      <c r="A550" s="859"/>
      <c r="B550" s="859"/>
      <c r="C550" s="859"/>
      <c r="D550" s="859"/>
      <c r="E550" s="859"/>
      <c r="F550" s="859"/>
      <c r="G550" s="859"/>
      <c r="H550" s="861"/>
      <c r="I550" s="859"/>
      <c r="J550" s="859"/>
      <c r="K550" s="862"/>
      <c r="L550" s="859"/>
      <c r="M550" s="859"/>
      <c r="N550" s="859"/>
      <c r="P550" s="859"/>
    </row>
    <row r="551" spans="1:16">
      <c r="A551" s="859"/>
      <c r="B551" s="859"/>
      <c r="C551" s="859"/>
      <c r="D551" s="859"/>
      <c r="E551" s="859"/>
      <c r="F551" s="859"/>
      <c r="G551" s="859"/>
      <c r="H551" s="861"/>
      <c r="I551" s="859"/>
      <c r="J551" s="859"/>
      <c r="K551" s="862"/>
      <c r="L551" s="859"/>
      <c r="M551" s="859"/>
      <c r="N551" s="859"/>
      <c r="P551" s="859"/>
    </row>
    <row r="552" spans="1:16">
      <c r="A552" s="859"/>
      <c r="B552" s="859"/>
      <c r="C552" s="859"/>
      <c r="D552" s="859"/>
      <c r="E552" s="859"/>
      <c r="F552" s="859"/>
      <c r="G552" s="859"/>
      <c r="H552" s="861"/>
      <c r="I552" s="859"/>
      <c r="J552" s="859"/>
      <c r="K552" s="862"/>
      <c r="L552" s="859"/>
      <c r="M552" s="859"/>
      <c r="N552" s="859"/>
      <c r="P552" s="859"/>
    </row>
    <row r="553" spans="1:16">
      <c r="A553" s="859"/>
      <c r="B553" s="859"/>
      <c r="C553" s="859"/>
      <c r="D553" s="859"/>
      <c r="E553" s="859"/>
      <c r="F553" s="859"/>
      <c r="G553" s="859"/>
      <c r="H553" s="861"/>
      <c r="I553" s="859"/>
      <c r="J553" s="859"/>
      <c r="K553" s="862"/>
      <c r="L553" s="859"/>
      <c r="M553" s="859"/>
      <c r="N553" s="859"/>
      <c r="P553" s="859"/>
    </row>
    <row r="554" spans="1:16">
      <c r="A554" s="859"/>
      <c r="B554" s="859"/>
      <c r="C554" s="859"/>
      <c r="D554" s="859"/>
      <c r="E554" s="859"/>
      <c r="F554" s="859"/>
      <c r="G554" s="859"/>
      <c r="H554" s="861"/>
      <c r="I554" s="859"/>
      <c r="J554" s="859"/>
      <c r="K554" s="862"/>
      <c r="L554" s="859"/>
      <c r="M554" s="859"/>
      <c r="N554" s="859"/>
      <c r="P554" s="859"/>
    </row>
    <row r="555" spans="1:16">
      <c r="A555" s="859"/>
      <c r="B555" s="859"/>
      <c r="C555" s="859"/>
      <c r="D555" s="859"/>
      <c r="E555" s="859"/>
      <c r="F555" s="859"/>
      <c r="G555" s="859"/>
      <c r="H555" s="861"/>
      <c r="I555" s="859"/>
      <c r="J555" s="859"/>
      <c r="K555" s="862"/>
      <c r="L555" s="859"/>
      <c r="M555" s="859"/>
      <c r="N555" s="859"/>
      <c r="P555" s="859"/>
    </row>
    <row r="556" spans="1:16">
      <c r="A556" s="859"/>
      <c r="B556" s="859"/>
      <c r="C556" s="859"/>
      <c r="D556" s="859"/>
      <c r="E556" s="859"/>
      <c r="F556" s="859"/>
      <c r="G556" s="859"/>
      <c r="H556" s="861"/>
      <c r="I556" s="859"/>
      <c r="J556" s="859"/>
      <c r="K556" s="862"/>
      <c r="L556" s="859"/>
      <c r="M556" s="859"/>
      <c r="N556" s="859"/>
      <c r="P556" s="859"/>
    </row>
    <row r="557" spans="1:16">
      <c r="A557" s="859"/>
      <c r="B557" s="859"/>
      <c r="C557" s="859"/>
      <c r="D557" s="859"/>
      <c r="E557" s="859"/>
      <c r="F557" s="859"/>
      <c r="G557" s="859"/>
      <c r="H557" s="861"/>
      <c r="I557" s="859"/>
      <c r="J557" s="859"/>
      <c r="K557" s="862"/>
      <c r="L557" s="859"/>
      <c r="M557" s="859"/>
      <c r="N557" s="859"/>
      <c r="P557" s="859"/>
    </row>
    <row r="558" spans="1:16">
      <c r="A558" s="859"/>
      <c r="B558" s="859"/>
      <c r="C558" s="859"/>
      <c r="D558" s="859"/>
      <c r="E558" s="859"/>
      <c r="F558" s="859"/>
      <c r="G558" s="859"/>
      <c r="H558" s="861"/>
      <c r="I558" s="859"/>
      <c r="J558" s="859"/>
      <c r="K558" s="862"/>
      <c r="L558" s="859"/>
      <c r="M558" s="859"/>
      <c r="N558" s="859"/>
      <c r="P558" s="859"/>
    </row>
    <row r="559" spans="1:16">
      <c r="A559" s="859"/>
      <c r="B559" s="859"/>
      <c r="C559" s="859"/>
      <c r="D559" s="859"/>
      <c r="E559" s="859"/>
      <c r="F559" s="859"/>
      <c r="G559" s="859"/>
      <c r="H559" s="861"/>
      <c r="I559" s="859"/>
      <c r="J559" s="859"/>
      <c r="K559" s="862"/>
      <c r="L559" s="859"/>
      <c r="M559" s="859"/>
      <c r="N559" s="859"/>
      <c r="P559" s="859"/>
    </row>
    <row r="560" spans="1:16">
      <c r="A560" s="859"/>
      <c r="B560" s="859"/>
      <c r="C560" s="859"/>
      <c r="D560" s="859"/>
      <c r="E560" s="859"/>
      <c r="F560" s="859"/>
      <c r="G560" s="859"/>
      <c r="H560" s="861"/>
      <c r="I560" s="859"/>
      <c r="J560" s="859"/>
      <c r="K560" s="862"/>
      <c r="L560" s="859"/>
      <c r="M560" s="859"/>
      <c r="N560" s="859"/>
      <c r="P560" s="859"/>
    </row>
    <row r="561" spans="1:16">
      <c r="A561" s="859"/>
      <c r="B561" s="859"/>
      <c r="C561" s="859"/>
      <c r="D561" s="859"/>
      <c r="E561" s="859"/>
      <c r="F561" s="859"/>
      <c r="G561" s="859"/>
      <c r="H561" s="861"/>
      <c r="I561" s="859"/>
      <c r="J561" s="859"/>
      <c r="K561" s="862"/>
      <c r="L561" s="859"/>
      <c r="M561" s="859"/>
      <c r="N561" s="859"/>
      <c r="P561" s="859"/>
    </row>
    <row r="562" spans="1:16">
      <c r="A562" s="859"/>
      <c r="B562" s="859"/>
      <c r="C562" s="859"/>
      <c r="D562" s="859"/>
      <c r="E562" s="859"/>
      <c r="F562" s="859"/>
      <c r="G562" s="859"/>
      <c r="H562" s="861"/>
      <c r="I562" s="859"/>
      <c r="J562" s="859"/>
      <c r="K562" s="862"/>
      <c r="L562" s="859"/>
      <c r="M562" s="859"/>
      <c r="N562" s="859"/>
      <c r="P562" s="859"/>
    </row>
    <row r="563" spans="1:16">
      <c r="A563" s="859"/>
      <c r="B563" s="859"/>
      <c r="C563" s="859"/>
      <c r="D563" s="859"/>
      <c r="E563" s="859"/>
      <c r="F563" s="859"/>
      <c r="G563" s="859"/>
      <c r="H563" s="861"/>
      <c r="I563" s="859"/>
      <c r="J563" s="859"/>
      <c r="K563" s="862"/>
      <c r="L563" s="859"/>
      <c r="M563" s="859"/>
      <c r="N563" s="859"/>
      <c r="P563" s="859"/>
    </row>
    <row r="564" spans="1:16">
      <c r="A564" s="859"/>
      <c r="B564" s="859"/>
      <c r="C564" s="859"/>
      <c r="D564" s="859"/>
      <c r="E564" s="859"/>
      <c r="F564" s="859"/>
      <c r="G564" s="859"/>
      <c r="H564" s="861"/>
      <c r="I564" s="859"/>
      <c r="J564" s="859"/>
      <c r="K564" s="862"/>
      <c r="L564" s="859"/>
      <c r="M564" s="859"/>
      <c r="N564" s="859"/>
      <c r="P564" s="859"/>
    </row>
    <row r="565" spans="1:16">
      <c r="A565" s="859"/>
      <c r="B565" s="859"/>
      <c r="C565" s="859"/>
      <c r="D565" s="859"/>
      <c r="E565" s="859"/>
      <c r="F565" s="859"/>
      <c r="G565" s="859"/>
      <c r="H565" s="861"/>
      <c r="I565" s="859"/>
      <c r="J565" s="859"/>
      <c r="K565" s="862"/>
      <c r="L565" s="859"/>
      <c r="M565" s="859"/>
      <c r="N565" s="859"/>
      <c r="P565" s="859"/>
    </row>
    <row r="566" spans="1:16">
      <c r="A566" s="859"/>
      <c r="B566" s="859"/>
      <c r="C566" s="859"/>
      <c r="D566" s="859"/>
      <c r="E566" s="859"/>
      <c r="F566" s="859"/>
      <c r="G566" s="859"/>
      <c r="H566" s="861"/>
      <c r="I566" s="859"/>
      <c r="J566" s="859"/>
      <c r="K566" s="862"/>
      <c r="L566" s="859"/>
      <c r="M566" s="859"/>
      <c r="N566" s="859"/>
      <c r="P566" s="859"/>
    </row>
    <row r="567" spans="1:16">
      <c r="A567" s="859"/>
      <c r="B567" s="859"/>
      <c r="C567" s="859"/>
      <c r="D567" s="859"/>
      <c r="E567" s="859"/>
      <c r="F567" s="859"/>
      <c r="G567" s="859"/>
      <c r="H567" s="861"/>
      <c r="I567" s="859"/>
      <c r="J567" s="859"/>
      <c r="K567" s="862"/>
      <c r="L567" s="859"/>
      <c r="M567" s="859"/>
      <c r="N567" s="859"/>
      <c r="P567" s="859"/>
    </row>
    <row r="568" spans="1:16">
      <c r="A568" s="859"/>
      <c r="B568" s="859"/>
      <c r="C568" s="859"/>
      <c r="D568" s="859"/>
      <c r="E568" s="859"/>
      <c r="F568" s="859"/>
      <c r="G568" s="859"/>
      <c r="H568" s="861"/>
      <c r="I568" s="859"/>
      <c r="J568" s="859"/>
      <c r="K568" s="862"/>
      <c r="L568" s="859"/>
      <c r="M568" s="859"/>
      <c r="N568" s="859"/>
      <c r="P568" s="859"/>
    </row>
    <row r="569" spans="1:16">
      <c r="A569" s="859"/>
      <c r="B569" s="859"/>
      <c r="C569" s="859"/>
      <c r="D569" s="859"/>
      <c r="E569" s="859"/>
      <c r="F569" s="859"/>
      <c r="G569" s="859"/>
      <c r="H569" s="861"/>
      <c r="I569" s="859"/>
      <c r="J569" s="859"/>
      <c r="K569" s="862"/>
      <c r="L569" s="859"/>
      <c r="M569" s="859"/>
      <c r="N569" s="859"/>
      <c r="P569" s="859"/>
    </row>
    <row r="570" spans="1:16">
      <c r="A570" s="859"/>
      <c r="B570" s="859"/>
      <c r="C570" s="859"/>
      <c r="D570" s="859"/>
      <c r="E570" s="859"/>
      <c r="F570" s="859"/>
      <c r="G570" s="859"/>
      <c r="H570" s="861"/>
      <c r="I570" s="859"/>
      <c r="J570" s="859"/>
      <c r="K570" s="862"/>
      <c r="L570" s="859"/>
      <c r="M570" s="859"/>
      <c r="N570" s="859"/>
      <c r="P570" s="859"/>
    </row>
    <row r="571" spans="1:16">
      <c r="A571" s="859"/>
      <c r="B571" s="859"/>
      <c r="C571" s="859"/>
      <c r="D571" s="859"/>
      <c r="E571" s="859"/>
      <c r="F571" s="859"/>
      <c r="G571" s="859"/>
      <c r="H571" s="861"/>
      <c r="I571" s="859"/>
      <c r="J571" s="859"/>
      <c r="K571" s="862"/>
      <c r="L571" s="859"/>
      <c r="M571" s="859"/>
      <c r="N571" s="859"/>
      <c r="P571" s="859"/>
    </row>
    <row r="572" spans="1:16">
      <c r="A572" s="859"/>
      <c r="B572" s="859"/>
      <c r="C572" s="859"/>
      <c r="D572" s="859"/>
      <c r="E572" s="859"/>
      <c r="F572" s="859"/>
      <c r="G572" s="859"/>
      <c r="H572" s="861"/>
      <c r="I572" s="859"/>
      <c r="J572" s="859"/>
      <c r="K572" s="862"/>
      <c r="L572" s="859"/>
      <c r="M572" s="859"/>
      <c r="N572" s="859"/>
      <c r="P572" s="859"/>
    </row>
    <row r="573" spans="1:16">
      <c r="A573" s="859"/>
      <c r="B573" s="859"/>
      <c r="C573" s="859"/>
      <c r="D573" s="859"/>
      <c r="E573" s="859"/>
      <c r="F573" s="859"/>
      <c r="G573" s="859"/>
      <c r="H573" s="861"/>
      <c r="I573" s="859"/>
      <c r="J573" s="859"/>
      <c r="K573" s="862"/>
      <c r="L573" s="859"/>
      <c r="M573" s="859"/>
      <c r="N573" s="859"/>
      <c r="P573" s="859"/>
    </row>
    <row r="574" spans="1:16">
      <c r="A574" s="859"/>
      <c r="B574" s="859"/>
      <c r="C574" s="859"/>
      <c r="D574" s="859"/>
      <c r="E574" s="859"/>
      <c r="F574" s="859"/>
      <c r="G574" s="859"/>
      <c r="H574" s="861"/>
      <c r="I574" s="859"/>
      <c r="J574" s="859"/>
      <c r="K574" s="862"/>
      <c r="L574" s="859"/>
      <c r="M574" s="859"/>
      <c r="N574" s="859"/>
      <c r="P574" s="859"/>
    </row>
    <row r="575" spans="1:16">
      <c r="A575" s="859"/>
      <c r="B575" s="859"/>
      <c r="C575" s="859"/>
      <c r="D575" s="859"/>
      <c r="E575" s="859"/>
      <c r="F575" s="859"/>
      <c r="G575" s="859"/>
      <c r="H575" s="861"/>
      <c r="I575" s="859"/>
      <c r="J575" s="859"/>
      <c r="K575" s="862"/>
      <c r="L575" s="859"/>
      <c r="M575" s="859"/>
      <c r="N575" s="859"/>
      <c r="P575" s="859"/>
    </row>
    <row r="576" spans="1:16">
      <c r="A576" s="859"/>
      <c r="B576" s="859"/>
      <c r="C576" s="859"/>
      <c r="D576" s="859"/>
      <c r="E576" s="859"/>
      <c r="F576" s="859"/>
      <c r="G576" s="859"/>
      <c r="H576" s="861"/>
      <c r="I576" s="859"/>
      <c r="J576" s="859"/>
      <c r="K576" s="862"/>
      <c r="L576" s="859"/>
      <c r="M576" s="859"/>
      <c r="N576" s="859"/>
      <c r="P576" s="859"/>
    </row>
    <row r="577" spans="1:16">
      <c r="A577" s="859"/>
      <c r="B577" s="859"/>
      <c r="C577" s="859"/>
      <c r="D577" s="859"/>
      <c r="E577" s="859"/>
      <c r="F577" s="859"/>
      <c r="G577" s="859"/>
      <c r="H577" s="861"/>
      <c r="I577" s="859"/>
      <c r="J577" s="859"/>
      <c r="K577" s="862"/>
      <c r="L577" s="859"/>
      <c r="M577" s="859"/>
      <c r="N577" s="859"/>
      <c r="P577" s="859"/>
    </row>
    <row r="578" spans="1:16">
      <c r="A578" s="859"/>
      <c r="B578" s="859"/>
      <c r="C578" s="859"/>
      <c r="D578" s="859"/>
      <c r="E578" s="859"/>
      <c r="F578" s="859"/>
      <c r="G578" s="859"/>
      <c r="H578" s="861"/>
      <c r="I578" s="859"/>
      <c r="J578" s="859"/>
      <c r="K578" s="862"/>
      <c r="L578" s="859"/>
      <c r="M578" s="859"/>
      <c r="N578" s="859"/>
      <c r="P578" s="859"/>
    </row>
    <row r="579" spans="1:16">
      <c r="A579" s="859"/>
      <c r="B579" s="859"/>
      <c r="C579" s="859"/>
      <c r="D579" s="859"/>
      <c r="E579" s="859"/>
      <c r="F579" s="859"/>
      <c r="G579" s="859"/>
      <c r="H579" s="861"/>
      <c r="I579" s="859"/>
      <c r="J579" s="859"/>
      <c r="K579" s="862"/>
      <c r="L579" s="859"/>
      <c r="M579" s="859"/>
      <c r="N579" s="859"/>
      <c r="P579" s="859"/>
    </row>
    <row r="580" spans="1:16">
      <c r="A580" s="859"/>
      <c r="B580" s="859"/>
      <c r="C580" s="859"/>
      <c r="D580" s="859"/>
      <c r="E580" s="859"/>
      <c r="F580" s="859"/>
      <c r="G580" s="859"/>
      <c r="H580" s="861"/>
      <c r="I580" s="859"/>
      <c r="J580" s="859"/>
      <c r="K580" s="862"/>
      <c r="L580" s="859"/>
      <c r="M580" s="859"/>
      <c r="N580" s="859"/>
      <c r="P580" s="859"/>
    </row>
    <row r="581" spans="1:16">
      <c r="A581" s="859"/>
      <c r="B581" s="859"/>
      <c r="C581" s="859"/>
      <c r="D581" s="859"/>
      <c r="E581" s="859"/>
      <c r="F581" s="859"/>
      <c r="G581" s="859"/>
      <c r="H581" s="861"/>
      <c r="I581" s="859"/>
      <c r="J581" s="859"/>
      <c r="K581" s="862"/>
      <c r="L581" s="859"/>
      <c r="M581" s="859"/>
      <c r="N581" s="859"/>
      <c r="P581" s="859"/>
    </row>
    <row r="582" spans="1:16">
      <c r="A582" s="859"/>
      <c r="B582" s="859"/>
      <c r="C582" s="859"/>
      <c r="D582" s="859"/>
      <c r="E582" s="859"/>
      <c r="F582" s="859"/>
      <c r="G582" s="859"/>
      <c r="H582" s="861"/>
      <c r="I582" s="859"/>
      <c r="J582" s="859"/>
      <c r="K582" s="862"/>
      <c r="L582" s="859"/>
      <c r="M582" s="859"/>
      <c r="N582" s="859"/>
      <c r="P582" s="859"/>
    </row>
    <row r="583" spans="1:16">
      <c r="A583" s="859"/>
      <c r="B583" s="859"/>
      <c r="C583" s="859"/>
      <c r="D583" s="859"/>
      <c r="E583" s="859"/>
      <c r="F583" s="859"/>
      <c r="G583" s="859"/>
      <c r="H583" s="861"/>
      <c r="I583" s="859"/>
      <c r="J583" s="859"/>
      <c r="K583" s="862"/>
      <c r="L583" s="859"/>
      <c r="M583" s="859"/>
      <c r="N583" s="859"/>
      <c r="P583" s="859"/>
    </row>
    <row r="584" spans="1:16">
      <c r="A584" s="859"/>
      <c r="B584" s="859"/>
      <c r="C584" s="859"/>
      <c r="D584" s="859"/>
      <c r="E584" s="859"/>
      <c r="F584" s="859"/>
      <c r="G584" s="859"/>
      <c r="H584" s="861"/>
      <c r="I584" s="859"/>
      <c r="J584" s="859"/>
      <c r="K584" s="862"/>
      <c r="L584" s="859"/>
      <c r="M584" s="859"/>
      <c r="N584" s="859"/>
      <c r="P584" s="859"/>
    </row>
    <row r="585" spans="1:16">
      <c r="A585" s="859"/>
      <c r="B585" s="859"/>
      <c r="C585" s="859"/>
      <c r="D585" s="859"/>
      <c r="E585" s="859"/>
      <c r="F585" s="859"/>
      <c r="G585" s="859"/>
      <c r="H585" s="861"/>
      <c r="I585" s="859"/>
      <c r="J585" s="859"/>
      <c r="K585" s="862"/>
      <c r="L585" s="859"/>
      <c r="M585" s="859"/>
      <c r="N585" s="859"/>
      <c r="P585" s="859"/>
    </row>
    <row r="586" spans="1:16">
      <c r="A586" s="859"/>
      <c r="B586" s="859"/>
      <c r="C586" s="859"/>
      <c r="D586" s="859"/>
      <c r="E586" s="859"/>
      <c r="F586" s="859"/>
      <c r="G586" s="859"/>
      <c r="H586" s="861"/>
      <c r="I586" s="859"/>
      <c r="J586" s="859"/>
      <c r="K586" s="862"/>
      <c r="L586" s="859"/>
      <c r="M586" s="859"/>
      <c r="N586" s="859"/>
      <c r="P586" s="859"/>
    </row>
    <row r="587" spans="1:16">
      <c r="A587" s="859"/>
      <c r="B587" s="859"/>
      <c r="C587" s="859"/>
      <c r="D587" s="859"/>
      <c r="E587" s="859"/>
      <c r="F587" s="859"/>
      <c r="G587" s="859"/>
      <c r="H587" s="861"/>
      <c r="I587" s="859"/>
      <c r="J587" s="859"/>
      <c r="K587" s="862"/>
      <c r="L587" s="859"/>
      <c r="M587" s="859"/>
      <c r="N587" s="859"/>
      <c r="P587" s="859"/>
    </row>
    <row r="588" spans="1:16">
      <c r="A588" s="859"/>
      <c r="B588" s="859"/>
      <c r="C588" s="859"/>
      <c r="D588" s="859"/>
      <c r="E588" s="859"/>
      <c r="F588" s="859"/>
      <c r="G588" s="859"/>
      <c r="H588" s="861"/>
      <c r="I588" s="859"/>
      <c r="J588" s="859"/>
      <c r="K588" s="862"/>
      <c r="L588" s="859"/>
      <c r="M588" s="859"/>
      <c r="N588" s="859"/>
      <c r="P588" s="859"/>
    </row>
    <row r="589" spans="1:16">
      <c r="A589" s="859"/>
      <c r="B589" s="859"/>
      <c r="C589" s="859"/>
      <c r="D589" s="859"/>
      <c r="E589" s="859"/>
      <c r="F589" s="859"/>
      <c r="G589" s="859"/>
      <c r="H589" s="861"/>
      <c r="I589" s="859"/>
      <c r="J589" s="859"/>
      <c r="K589" s="862"/>
      <c r="L589" s="859"/>
      <c r="M589" s="859"/>
      <c r="N589" s="859"/>
      <c r="P589" s="859"/>
    </row>
    <row r="590" spans="1:16">
      <c r="A590" s="859"/>
      <c r="B590" s="859"/>
      <c r="C590" s="859"/>
      <c r="D590" s="859"/>
      <c r="E590" s="859"/>
      <c r="F590" s="859"/>
      <c r="G590" s="859"/>
      <c r="H590" s="861"/>
      <c r="I590" s="859"/>
      <c r="J590" s="859"/>
      <c r="K590" s="862"/>
      <c r="L590" s="859"/>
      <c r="M590" s="859"/>
      <c r="N590" s="859"/>
      <c r="P590" s="859"/>
    </row>
    <row r="591" spans="1:16">
      <c r="A591" s="859"/>
      <c r="B591" s="859"/>
      <c r="C591" s="859"/>
      <c r="D591" s="859"/>
      <c r="E591" s="859"/>
      <c r="F591" s="859"/>
      <c r="G591" s="859"/>
      <c r="H591" s="861"/>
      <c r="I591" s="859"/>
      <c r="J591" s="859"/>
      <c r="K591" s="862"/>
      <c r="L591" s="859"/>
      <c r="M591" s="859"/>
      <c r="N591" s="859"/>
      <c r="P591" s="859"/>
    </row>
    <row r="592" spans="1:16">
      <c r="A592" s="859"/>
      <c r="B592" s="859"/>
      <c r="C592" s="859"/>
      <c r="D592" s="859"/>
      <c r="E592" s="859"/>
      <c r="F592" s="859"/>
      <c r="G592" s="859"/>
      <c r="H592" s="861"/>
      <c r="I592" s="859"/>
      <c r="J592" s="859"/>
      <c r="K592" s="862"/>
      <c r="L592" s="859"/>
      <c r="M592" s="859"/>
      <c r="N592" s="859"/>
      <c r="P592" s="859"/>
    </row>
    <row r="593" spans="1:16">
      <c r="A593" s="859"/>
      <c r="B593" s="859"/>
      <c r="C593" s="859"/>
      <c r="D593" s="859"/>
      <c r="E593" s="859"/>
      <c r="F593" s="859"/>
      <c r="G593" s="859"/>
      <c r="H593" s="861"/>
      <c r="I593" s="859"/>
      <c r="J593" s="859"/>
      <c r="K593" s="862"/>
      <c r="L593" s="859"/>
      <c r="M593" s="859"/>
      <c r="N593" s="859"/>
      <c r="P593" s="859"/>
    </row>
    <row r="594" spans="1:16">
      <c r="A594" s="859"/>
      <c r="B594" s="859"/>
      <c r="C594" s="859"/>
      <c r="D594" s="859"/>
      <c r="E594" s="859"/>
      <c r="F594" s="859"/>
      <c r="G594" s="859"/>
      <c r="H594" s="861"/>
      <c r="I594" s="859"/>
      <c r="J594" s="859"/>
      <c r="K594" s="862"/>
      <c r="L594" s="859"/>
      <c r="M594" s="859"/>
      <c r="N594" s="859"/>
      <c r="P594" s="859"/>
    </row>
    <row r="595" spans="1:16">
      <c r="A595" s="859"/>
      <c r="B595" s="859"/>
      <c r="C595" s="859"/>
      <c r="D595" s="859"/>
      <c r="E595" s="859"/>
      <c r="F595" s="859"/>
      <c r="G595" s="859"/>
      <c r="H595" s="861"/>
      <c r="I595" s="859"/>
      <c r="J595" s="859"/>
      <c r="K595" s="862"/>
      <c r="L595" s="859"/>
      <c r="M595" s="859"/>
      <c r="N595" s="859"/>
      <c r="P595" s="859"/>
    </row>
    <row r="596" spans="1:16">
      <c r="A596" s="859"/>
      <c r="B596" s="859"/>
      <c r="C596" s="859"/>
      <c r="D596" s="859"/>
      <c r="E596" s="859"/>
      <c r="F596" s="859"/>
      <c r="G596" s="859"/>
      <c r="H596" s="861"/>
      <c r="I596" s="859"/>
      <c r="J596" s="859"/>
      <c r="K596" s="862"/>
      <c r="L596" s="859"/>
      <c r="M596" s="859"/>
      <c r="N596" s="859"/>
      <c r="P596" s="859"/>
    </row>
    <row r="597" spans="1:16">
      <c r="A597" s="859"/>
      <c r="B597" s="859"/>
      <c r="C597" s="859"/>
      <c r="D597" s="859"/>
      <c r="E597" s="859"/>
      <c r="F597" s="859"/>
      <c r="G597" s="859"/>
      <c r="H597" s="861"/>
      <c r="I597" s="859"/>
      <c r="J597" s="859"/>
      <c r="K597" s="862"/>
      <c r="L597" s="859"/>
      <c r="M597" s="859"/>
      <c r="N597" s="859"/>
      <c r="P597" s="859"/>
    </row>
    <row r="598" spans="1:16">
      <c r="A598" s="859"/>
      <c r="B598" s="859"/>
      <c r="C598" s="859"/>
      <c r="D598" s="859"/>
      <c r="E598" s="859"/>
      <c r="F598" s="859"/>
      <c r="G598" s="859"/>
      <c r="H598" s="861"/>
      <c r="I598" s="859"/>
      <c r="J598" s="859"/>
      <c r="K598" s="862"/>
      <c r="L598" s="859"/>
      <c r="M598" s="859"/>
      <c r="N598" s="859"/>
      <c r="P598" s="859"/>
    </row>
    <row r="599" spans="1:16">
      <c r="A599" s="859"/>
      <c r="B599" s="859"/>
      <c r="C599" s="859"/>
      <c r="D599" s="859"/>
      <c r="E599" s="859"/>
      <c r="F599" s="859"/>
      <c r="G599" s="859"/>
      <c r="H599" s="861"/>
      <c r="I599" s="859"/>
      <c r="J599" s="859"/>
      <c r="K599" s="862"/>
      <c r="L599" s="859"/>
      <c r="M599" s="859"/>
      <c r="N599" s="859"/>
      <c r="P599" s="859"/>
    </row>
    <row r="600" spans="1:16">
      <c r="A600" s="859"/>
      <c r="B600" s="859"/>
      <c r="C600" s="859"/>
      <c r="D600" s="859"/>
      <c r="E600" s="859"/>
      <c r="F600" s="859"/>
      <c r="G600" s="859"/>
      <c r="H600" s="861"/>
      <c r="I600" s="859"/>
      <c r="J600" s="859"/>
      <c r="K600" s="862"/>
      <c r="L600" s="859"/>
      <c r="M600" s="859"/>
      <c r="N600" s="859"/>
      <c r="P600" s="859"/>
    </row>
    <row r="601" spans="1:16">
      <c r="A601" s="859"/>
      <c r="B601" s="859"/>
      <c r="C601" s="859"/>
      <c r="D601" s="859"/>
      <c r="E601" s="859"/>
      <c r="F601" s="859"/>
      <c r="G601" s="859"/>
      <c r="H601" s="861"/>
      <c r="I601" s="859"/>
      <c r="J601" s="859"/>
      <c r="K601" s="862"/>
      <c r="L601" s="859"/>
      <c r="M601" s="859"/>
      <c r="N601" s="859"/>
      <c r="P601" s="859"/>
    </row>
    <row r="602" spans="1:16">
      <c r="A602" s="859"/>
      <c r="B602" s="859"/>
      <c r="C602" s="859"/>
      <c r="D602" s="859"/>
      <c r="E602" s="859"/>
      <c r="F602" s="859"/>
      <c r="G602" s="859"/>
      <c r="H602" s="861"/>
      <c r="I602" s="859"/>
      <c r="J602" s="859"/>
      <c r="K602" s="862"/>
      <c r="L602" s="859"/>
      <c r="M602" s="859"/>
      <c r="N602" s="859"/>
      <c r="P602" s="859"/>
    </row>
    <row r="603" spans="1:16">
      <c r="A603" s="859"/>
      <c r="B603" s="859"/>
      <c r="C603" s="859"/>
      <c r="D603" s="859"/>
      <c r="E603" s="859"/>
      <c r="F603" s="859"/>
      <c r="G603" s="859"/>
      <c r="H603" s="861"/>
      <c r="I603" s="859"/>
      <c r="J603" s="859"/>
      <c r="K603" s="862"/>
      <c r="L603" s="859"/>
      <c r="M603" s="859"/>
      <c r="N603" s="859"/>
      <c r="P603" s="859"/>
    </row>
    <row r="604" spans="1:16">
      <c r="A604" s="859"/>
      <c r="B604" s="859"/>
      <c r="C604" s="859"/>
      <c r="D604" s="859"/>
      <c r="E604" s="859"/>
      <c r="F604" s="859"/>
      <c r="G604" s="859"/>
      <c r="H604" s="861"/>
      <c r="I604" s="859"/>
      <c r="J604" s="859"/>
      <c r="K604" s="862"/>
      <c r="L604" s="859"/>
      <c r="M604" s="859"/>
      <c r="N604" s="859"/>
      <c r="P604" s="859"/>
    </row>
    <row r="605" spans="1:16">
      <c r="A605" s="859"/>
      <c r="B605" s="859"/>
      <c r="C605" s="859"/>
      <c r="D605" s="859"/>
      <c r="E605" s="859"/>
      <c r="F605" s="859"/>
      <c r="G605" s="859"/>
      <c r="H605" s="861"/>
      <c r="I605" s="859"/>
      <c r="J605" s="859"/>
      <c r="K605" s="862"/>
      <c r="L605" s="859"/>
      <c r="M605" s="859"/>
      <c r="N605" s="859"/>
      <c r="P605" s="859"/>
    </row>
    <row r="606" spans="1:16">
      <c r="A606" s="859"/>
      <c r="B606" s="859"/>
      <c r="C606" s="859"/>
      <c r="D606" s="859"/>
      <c r="E606" s="859"/>
      <c r="F606" s="859"/>
      <c r="G606" s="859"/>
      <c r="H606" s="861"/>
      <c r="I606" s="859"/>
      <c r="J606" s="859"/>
      <c r="K606" s="862"/>
      <c r="L606" s="859"/>
      <c r="M606" s="859"/>
      <c r="N606" s="859"/>
      <c r="P606" s="859"/>
    </row>
    <row r="607" spans="1:16">
      <c r="A607" s="859"/>
      <c r="B607" s="859"/>
      <c r="C607" s="859"/>
      <c r="D607" s="859"/>
      <c r="E607" s="859"/>
      <c r="F607" s="859"/>
      <c r="G607" s="859"/>
      <c r="H607" s="861"/>
      <c r="I607" s="859"/>
      <c r="J607" s="859"/>
      <c r="K607" s="862"/>
      <c r="L607" s="859"/>
      <c r="M607" s="859"/>
      <c r="N607" s="859"/>
      <c r="P607" s="859"/>
    </row>
    <row r="608" spans="1:16">
      <c r="A608" s="859"/>
      <c r="B608" s="859"/>
      <c r="C608" s="859"/>
      <c r="D608" s="859"/>
      <c r="E608" s="859"/>
      <c r="F608" s="859"/>
      <c r="G608" s="859"/>
      <c r="H608" s="861"/>
      <c r="I608" s="859"/>
      <c r="J608" s="859"/>
      <c r="K608" s="862"/>
      <c r="L608" s="859"/>
      <c r="M608" s="859"/>
      <c r="N608" s="859"/>
      <c r="P608" s="859"/>
    </row>
    <row r="609" spans="1:16">
      <c r="A609" s="859"/>
      <c r="B609" s="859"/>
      <c r="C609" s="859"/>
      <c r="D609" s="859"/>
      <c r="E609" s="859"/>
      <c r="F609" s="859"/>
      <c r="G609" s="859"/>
      <c r="H609" s="861"/>
      <c r="I609" s="859"/>
      <c r="J609" s="859"/>
      <c r="K609" s="862"/>
      <c r="L609" s="859"/>
      <c r="M609" s="859"/>
      <c r="N609" s="859"/>
      <c r="P609" s="859"/>
    </row>
    <row r="610" spans="1:16">
      <c r="A610" s="859"/>
      <c r="B610" s="859"/>
      <c r="C610" s="859"/>
      <c r="D610" s="859"/>
      <c r="E610" s="859"/>
      <c r="F610" s="859"/>
      <c r="G610" s="859"/>
      <c r="H610" s="861"/>
      <c r="I610" s="859"/>
      <c r="J610" s="859"/>
      <c r="K610" s="862"/>
      <c r="L610" s="859"/>
      <c r="M610" s="859"/>
      <c r="N610" s="859"/>
      <c r="P610" s="859"/>
    </row>
    <row r="611" spans="1:16">
      <c r="A611" s="859"/>
      <c r="B611" s="859"/>
      <c r="C611" s="859"/>
      <c r="D611" s="859"/>
      <c r="E611" s="859"/>
      <c r="F611" s="859"/>
      <c r="G611" s="859"/>
      <c r="H611" s="861"/>
      <c r="I611" s="859"/>
      <c r="J611" s="859"/>
      <c r="K611" s="862"/>
      <c r="L611" s="859"/>
      <c r="M611" s="859"/>
      <c r="N611" s="859"/>
      <c r="P611" s="859"/>
    </row>
    <row r="612" spans="1:16">
      <c r="A612" s="859"/>
      <c r="B612" s="859"/>
      <c r="C612" s="859"/>
      <c r="D612" s="859"/>
      <c r="E612" s="859"/>
      <c r="F612" s="859"/>
      <c r="G612" s="859"/>
      <c r="H612" s="861"/>
      <c r="I612" s="859"/>
      <c r="J612" s="859"/>
      <c r="K612" s="862"/>
      <c r="L612" s="859"/>
      <c r="M612" s="859"/>
      <c r="N612" s="859"/>
      <c r="P612" s="859"/>
    </row>
    <row r="613" spans="1:16">
      <c r="A613" s="859"/>
      <c r="B613" s="859"/>
      <c r="C613" s="859"/>
      <c r="D613" s="859"/>
      <c r="E613" s="859"/>
      <c r="F613" s="859"/>
      <c r="G613" s="859"/>
      <c r="H613" s="861"/>
      <c r="I613" s="859"/>
      <c r="J613" s="859"/>
      <c r="K613" s="862"/>
      <c r="L613" s="859"/>
      <c r="M613" s="859"/>
      <c r="N613" s="859"/>
      <c r="P613" s="859"/>
    </row>
    <row r="614" spans="1:16">
      <c r="A614" s="859"/>
      <c r="B614" s="859"/>
      <c r="C614" s="859"/>
      <c r="D614" s="859"/>
      <c r="E614" s="859"/>
      <c r="F614" s="859"/>
      <c r="G614" s="859"/>
      <c r="H614" s="861"/>
      <c r="I614" s="859"/>
      <c r="J614" s="859"/>
      <c r="K614" s="862"/>
      <c r="L614" s="859"/>
      <c r="M614" s="859"/>
      <c r="N614" s="859"/>
      <c r="P614" s="859"/>
    </row>
    <row r="615" spans="1:16">
      <c r="A615" s="859"/>
      <c r="B615" s="859"/>
      <c r="C615" s="859"/>
      <c r="D615" s="859"/>
      <c r="E615" s="859"/>
      <c r="F615" s="859"/>
      <c r="G615" s="859"/>
      <c r="H615" s="861"/>
      <c r="I615" s="859"/>
      <c r="J615" s="859"/>
      <c r="K615" s="862"/>
      <c r="L615" s="859"/>
      <c r="M615" s="859"/>
      <c r="N615" s="859"/>
      <c r="P615" s="859"/>
    </row>
    <row r="616" spans="1:16">
      <c r="A616" s="859"/>
      <c r="B616" s="859"/>
      <c r="C616" s="859"/>
      <c r="D616" s="859"/>
      <c r="E616" s="859"/>
      <c r="F616" s="859"/>
      <c r="G616" s="859"/>
      <c r="H616" s="861"/>
      <c r="I616" s="859"/>
      <c r="J616" s="859"/>
      <c r="K616" s="862"/>
      <c r="L616" s="859"/>
      <c r="M616" s="859"/>
      <c r="N616" s="859"/>
      <c r="P616" s="859"/>
    </row>
    <row r="617" spans="1:16">
      <c r="A617" s="859"/>
      <c r="B617" s="859"/>
      <c r="C617" s="859"/>
      <c r="D617" s="859"/>
      <c r="E617" s="859"/>
      <c r="F617" s="859"/>
      <c r="G617" s="859"/>
      <c r="H617" s="861"/>
      <c r="I617" s="859"/>
      <c r="J617" s="859"/>
      <c r="K617" s="862"/>
      <c r="L617" s="859"/>
      <c r="M617" s="859"/>
      <c r="N617" s="859"/>
      <c r="P617" s="859"/>
    </row>
    <row r="618" spans="1:16">
      <c r="A618" s="859"/>
      <c r="B618" s="859"/>
      <c r="C618" s="859"/>
      <c r="D618" s="859"/>
      <c r="E618" s="859"/>
      <c r="F618" s="859"/>
      <c r="G618" s="859"/>
      <c r="H618" s="861"/>
      <c r="I618" s="859"/>
      <c r="J618" s="859"/>
      <c r="K618" s="862"/>
      <c r="L618" s="859"/>
      <c r="M618" s="859"/>
      <c r="N618" s="859"/>
      <c r="P618" s="859"/>
    </row>
    <row r="619" spans="1:16">
      <c r="A619" s="859"/>
      <c r="B619" s="859"/>
      <c r="C619" s="859"/>
      <c r="D619" s="859"/>
      <c r="E619" s="859"/>
      <c r="F619" s="859"/>
      <c r="G619" s="859"/>
      <c r="H619" s="861"/>
      <c r="I619" s="859"/>
      <c r="J619" s="859"/>
      <c r="K619" s="862"/>
      <c r="L619" s="859"/>
      <c r="M619" s="859"/>
      <c r="N619" s="859"/>
      <c r="P619" s="859"/>
    </row>
    <row r="620" spans="1:16">
      <c r="A620" s="859"/>
      <c r="B620" s="859"/>
      <c r="C620" s="859"/>
      <c r="D620" s="859"/>
      <c r="E620" s="859"/>
      <c r="F620" s="859"/>
      <c r="G620" s="859"/>
      <c r="H620" s="861"/>
      <c r="I620" s="859"/>
      <c r="J620" s="859"/>
      <c r="K620" s="862"/>
      <c r="L620" s="859"/>
      <c r="M620" s="859"/>
      <c r="N620" s="859"/>
      <c r="P620" s="859"/>
    </row>
    <row r="621" spans="1:16">
      <c r="A621" s="859"/>
      <c r="B621" s="859"/>
      <c r="C621" s="859"/>
      <c r="D621" s="859"/>
      <c r="E621" s="859"/>
      <c r="F621" s="859"/>
      <c r="G621" s="859"/>
      <c r="H621" s="861"/>
      <c r="I621" s="859"/>
      <c r="J621" s="859"/>
      <c r="K621" s="862"/>
      <c r="L621" s="859"/>
      <c r="M621" s="859"/>
      <c r="N621" s="859"/>
      <c r="P621" s="859"/>
    </row>
    <row r="622" spans="1:16">
      <c r="A622" s="859"/>
      <c r="B622" s="859"/>
      <c r="C622" s="859"/>
      <c r="D622" s="859"/>
      <c r="E622" s="859"/>
      <c r="F622" s="859"/>
      <c r="G622" s="859"/>
      <c r="H622" s="861"/>
      <c r="I622" s="859"/>
      <c r="J622" s="859"/>
      <c r="K622" s="862"/>
      <c r="L622" s="859"/>
      <c r="M622" s="859"/>
      <c r="N622" s="859"/>
      <c r="P622" s="859"/>
    </row>
    <row r="623" spans="1:16">
      <c r="A623" s="859"/>
      <c r="B623" s="859"/>
      <c r="C623" s="859"/>
      <c r="D623" s="859"/>
      <c r="E623" s="859"/>
      <c r="F623" s="859"/>
      <c r="G623" s="859"/>
      <c r="H623" s="861"/>
      <c r="I623" s="859"/>
      <c r="J623" s="859"/>
      <c r="K623" s="862"/>
      <c r="L623" s="859"/>
      <c r="M623" s="859"/>
      <c r="N623" s="859"/>
      <c r="P623" s="859"/>
    </row>
    <row r="624" spans="1:16">
      <c r="A624" s="859"/>
      <c r="B624" s="859"/>
      <c r="C624" s="859"/>
      <c r="D624" s="859"/>
      <c r="E624" s="859"/>
      <c r="F624" s="859"/>
      <c r="G624" s="859"/>
      <c r="H624" s="861"/>
      <c r="I624" s="859"/>
      <c r="J624" s="859"/>
      <c r="K624" s="862"/>
      <c r="L624" s="859"/>
      <c r="M624" s="859"/>
      <c r="N624" s="859"/>
      <c r="P624" s="859"/>
    </row>
    <row r="625" spans="1:16">
      <c r="A625" s="859"/>
      <c r="B625" s="859"/>
      <c r="C625" s="859"/>
      <c r="D625" s="859"/>
      <c r="E625" s="859"/>
      <c r="F625" s="859"/>
      <c r="G625" s="859"/>
      <c r="H625" s="861"/>
      <c r="I625" s="859"/>
      <c r="J625" s="859"/>
      <c r="K625" s="862"/>
      <c r="L625" s="859"/>
      <c r="M625" s="859"/>
      <c r="N625" s="859"/>
      <c r="P625" s="859"/>
    </row>
    <row r="626" spans="1:16">
      <c r="A626" s="859"/>
      <c r="B626" s="859"/>
      <c r="C626" s="859"/>
      <c r="D626" s="859"/>
      <c r="E626" s="859"/>
      <c r="F626" s="859"/>
      <c r="G626" s="859"/>
      <c r="H626" s="861"/>
      <c r="I626" s="859"/>
      <c r="J626" s="859"/>
      <c r="K626" s="862"/>
      <c r="L626" s="859"/>
      <c r="M626" s="859"/>
      <c r="N626" s="859"/>
      <c r="P626" s="859"/>
    </row>
    <row r="627" spans="1:16">
      <c r="A627" s="859"/>
      <c r="B627" s="859"/>
      <c r="C627" s="859"/>
      <c r="D627" s="859"/>
      <c r="E627" s="859"/>
      <c r="F627" s="859"/>
      <c r="G627" s="859"/>
      <c r="H627" s="861"/>
      <c r="I627" s="859"/>
      <c r="J627" s="859"/>
      <c r="K627" s="862"/>
      <c r="L627" s="859"/>
      <c r="M627" s="859"/>
      <c r="N627" s="859"/>
      <c r="P627" s="859"/>
    </row>
    <row r="628" spans="1:16">
      <c r="A628" s="859"/>
      <c r="B628" s="859"/>
      <c r="C628" s="859"/>
      <c r="D628" s="859"/>
      <c r="E628" s="859"/>
      <c r="F628" s="859"/>
      <c r="G628" s="859"/>
      <c r="H628" s="861"/>
      <c r="I628" s="859"/>
      <c r="J628" s="859"/>
      <c r="K628" s="862"/>
      <c r="L628" s="859"/>
      <c r="M628" s="859"/>
      <c r="N628" s="859"/>
      <c r="P628" s="859"/>
    </row>
    <row r="629" spans="1:16">
      <c r="A629" s="859"/>
      <c r="B629" s="859"/>
      <c r="C629" s="859"/>
      <c r="D629" s="859"/>
      <c r="E629" s="859"/>
      <c r="F629" s="859"/>
      <c r="G629" s="859"/>
      <c r="H629" s="861"/>
      <c r="I629" s="859"/>
      <c r="J629" s="859"/>
      <c r="K629" s="862"/>
      <c r="L629" s="859"/>
      <c r="M629" s="859"/>
      <c r="N629" s="859"/>
      <c r="P629" s="859"/>
    </row>
    <row r="630" spans="1:16">
      <c r="A630" s="859"/>
      <c r="B630" s="859"/>
      <c r="C630" s="859"/>
      <c r="D630" s="859"/>
      <c r="E630" s="859"/>
      <c r="F630" s="859"/>
      <c r="G630" s="859"/>
      <c r="H630" s="861"/>
      <c r="I630" s="859"/>
      <c r="J630" s="859"/>
      <c r="K630" s="862"/>
      <c r="L630" s="859"/>
      <c r="M630" s="859"/>
      <c r="N630" s="859"/>
      <c r="P630" s="859"/>
    </row>
    <row r="631" spans="1:16">
      <c r="A631" s="859"/>
      <c r="B631" s="859"/>
      <c r="C631" s="859"/>
      <c r="D631" s="859"/>
      <c r="E631" s="859"/>
      <c r="F631" s="859"/>
      <c r="G631" s="859"/>
      <c r="H631" s="861"/>
      <c r="I631" s="859"/>
      <c r="J631" s="859"/>
      <c r="K631" s="862"/>
      <c r="L631" s="859"/>
      <c r="M631" s="859"/>
      <c r="N631" s="859"/>
      <c r="P631" s="859"/>
    </row>
    <row r="632" spans="1:16">
      <c r="A632" s="859"/>
      <c r="B632" s="859"/>
      <c r="C632" s="859"/>
      <c r="D632" s="859"/>
      <c r="E632" s="859"/>
      <c r="F632" s="859"/>
      <c r="G632" s="859"/>
      <c r="H632" s="861"/>
      <c r="I632" s="859"/>
      <c r="J632" s="859"/>
      <c r="K632" s="862"/>
      <c r="L632" s="859"/>
      <c r="M632" s="859"/>
      <c r="N632" s="859"/>
      <c r="P632" s="859"/>
    </row>
    <row r="633" spans="1:16">
      <c r="A633" s="859"/>
      <c r="B633" s="859"/>
      <c r="C633" s="859"/>
      <c r="D633" s="859"/>
      <c r="E633" s="859"/>
      <c r="F633" s="859"/>
      <c r="G633" s="859"/>
      <c r="H633" s="861"/>
      <c r="I633" s="859"/>
      <c r="J633" s="859"/>
      <c r="K633" s="862"/>
      <c r="L633" s="859"/>
      <c r="M633" s="859"/>
      <c r="N633" s="859"/>
      <c r="P633" s="859"/>
    </row>
    <row r="634" spans="1:16">
      <c r="A634" s="859"/>
      <c r="B634" s="859"/>
      <c r="C634" s="859"/>
      <c r="D634" s="859"/>
      <c r="E634" s="859"/>
      <c r="F634" s="859"/>
      <c r="G634" s="859"/>
      <c r="H634" s="861"/>
      <c r="I634" s="859"/>
      <c r="J634" s="859"/>
      <c r="K634" s="862"/>
      <c r="L634" s="859"/>
      <c r="M634" s="859"/>
      <c r="N634" s="859"/>
      <c r="P634" s="859"/>
    </row>
    <row r="635" spans="1:16">
      <c r="A635" s="859"/>
      <c r="B635" s="859"/>
      <c r="C635" s="859"/>
      <c r="D635" s="859"/>
      <c r="E635" s="859"/>
      <c r="F635" s="859"/>
      <c r="G635" s="859"/>
      <c r="H635" s="861"/>
      <c r="I635" s="859"/>
      <c r="J635" s="859"/>
      <c r="K635" s="862"/>
      <c r="L635" s="859"/>
      <c r="M635" s="859"/>
      <c r="N635" s="859"/>
      <c r="P635" s="859"/>
    </row>
    <row r="636" spans="1:16">
      <c r="A636" s="859"/>
      <c r="B636" s="859"/>
      <c r="C636" s="859"/>
      <c r="D636" s="859"/>
      <c r="E636" s="859"/>
      <c r="F636" s="859"/>
      <c r="G636" s="859"/>
      <c r="H636" s="861"/>
      <c r="I636" s="859"/>
      <c r="J636" s="859"/>
      <c r="K636" s="862"/>
      <c r="L636" s="859"/>
      <c r="M636" s="859"/>
      <c r="N636" s="859"/>
      <c r="P636" s="859"/>
    </row>
    <row r="637" spans="1:16">
      <c r="A637" s="859"/>
      <c r="B637" s="859"/>
      <c r="C637" s="859"/>
      <c r="D637" s="859"/>
      <c r="E637" s="859"/>
      <c r="F637" s="859"/>
      <c r="G637" s="859"/>
      <c r="H637" s="861"/>
      <c r="I637" s="859"/>
      <c r="J637" s="859"/>
      <c r="K637" s="862"/>
      <c r="L637" s="859"/>
      <c r="M637" s="859"/>
      <c r="N637" s="859"/>
      <c r="P637" s="859"/>
    </row>
    <row r="638" spans="1:16">
      <c r="A638" s="859"/>
      <c r="B638" s="859"/>
      <c r="C638" s="859"/>
      <c r="D638" s="859"/>
      <c r="E638" s="859"/>
      <c r="F638" s="859"/>
      <c r="G638" s="859"/>
      <c r="H638" s="861"/>
      <c r="I638" s="859"/>
      <c r="J638" s="859"/>
      <c r="K638" s="862"/>
      <c r="L638" s="859"/>
      <c r="M638" s="859"/>
      <c r="N638" s="859"/>
      <c r="P638" s="859"/>
    </row>
    <row r="639" spans="1:16">
      <c r="A639" s="859"/>
      <c r="B639" s="859"/>
      <c r="C639" s="859"/>
      <c r="D639" s="859"/>
      <c r="E639" s="859"/>
      <c r="F639" s="859"/>
      <c r="G639" s="859"/>
      <c r="H639" s="861"/>
      <c r="I639" s="859"/>
      <c r="J639" s="859"/>
      <c r="K639" s="862"/>
      <c r="L639" s="859"/>
      <c r="M639" s="859"/>
      <c r="N639" s="859"/>
      <c r="P639" s="859"/>
    </row>
    <row r="640" spans="1:16">
      <c r="A640" s="859"/>
      <c r="B640" s="859"/>
      <c r="C640" s="859"/>
      <c r="D640" s="859"/>
      <c r="E640" s="859"/>
      <c r="F640" s="859"/>
      <c r="G640" s="859"/>
      <c r="H640" s="861"/>
      <c r="I640" s="859"/>
      <c r="J640" s="859"/>
      <c r="K640" s="862"/>
      <c r="L640" s="859"/>
      <c r="M640" s="859"/>
      <c r="N640" s="859"/>
      <c r="P640" s="859"/>
    </row>
    <row r="641" spans="1:16">
      <c r="A641" s="859"/>
      <c r="B641" s="859"/>
      <c r="C641" s="859"/>
      <c r="D641" s="859"/>
      <c r="E641" s="859"/>
      <c r="F641" s="859"/>
      <c r="G641" s="859"/>
      <c r="H641" s="861"/>
      <c r="I641" s="859"/>
      <c r="J641" s="859"/>
      <c r="K641" s="862"/>
      <c r="L641" s="859"/>
      <c r="M641" s="859"/>
      <c r="N641" s="859"/>
      <c r="P641" s="859"/>
    </row>
    <row r="642" spans="1:16">
      <c r="A642" s="859"/>
      <c r="B642" s="859"/>
      <c r="C642" s="859"/>
      <c r="D642" s="859"/>
      <c r="E642" s="859"/>
      <c r="F642" s="859"/>
      <c r="G642" s="859"/>
      <c r="H642" s="861"/>
      <c r="I642" s="859"/>
      <c r="J642" s="859"/>
      <c r="K642" s="862"/>
      <c r="L642" s="859"/>
      <c r="M642" s="859"/>
      <c r="N642" s="859"/>
      <c r="P642" s="859"/>
    </row>
    <row r="643" spans="1:16">
      <c r="A643" s="859"/>
      <c r="B643" s="859"/>
      <c r="C643" s="859"/>
      <c r="D643" s="859"/>
      <c r="E643" s="859"/>
      <c r="F643" s="859"/>
      <c r="G643" s="859"/>
      <c r="H643" s="861"/>
      <c r="I643" s="859"/>
      <c r="J643" s="859"/>
      <c r="K643" s="862"/>
      <c r="L643" s="859"/>
      <c r="M643" s="859"/>
      <c r="N643" s="859"/>
      <c r="P643" s="859"/>
    </row>
    <row r="644" spans="1:16">
      <c r="A644" s="859"/>
      <c r="B644" s="859"/>
      <c r="C644" s="859"/>
      <c r="D644" s="859"/>
      <c r="E644" s="859"/>
      <c r="F644" s="859"/>
      <c r="G644" s="859"/>
      <c r="H644" s="861"/>
      <c r="I644" s="859"/>
      <c r="J644" s="859"/>
      <c r="K644" s="862"/>
      <c r="L644" s="859"/>
      <c r="M644" s="859"/>
      <c r="N644" s="859"/>
      <c r="P644" s="859"/>
    </row>
    <row r="645" spans="1:16">
      <c r="A645" s="859"/>
      <c r="B645" s="859"/>
      <c r="C645" s="859"/>
      <c r="D645" s="859"/>
      <c r="E645" s="859"/>
      <c r="F645" s="859"/>
      <c r="G645" s="859"/>
      <c r="H645" s="861"/>
      <c r="I645" s="859"/>
      <c r="J645" s="859"/>
      <c r="K645" s="862"/>
      <c r="L645" s="859"/>
      <c r="M645" s="859"/>
      <c r="N645" s="859"/>
      <c r="P645" s="859"/>
    </row>
    <row r="646" spans="1:16">
      <c r="A646" s="859"/>
      <c r="B646" s="859"/>
      <c r="C646" s="859"/>
      <c r="D646" s="859"/>
      <c r="E646" s="859"/>
      <c r="F646" s="859"/>
      <c r="G646" s="859"/>
      <c r="H646" s="861"/>
      <c r="I646" s="859"/>
      <c r="J646" s="859"/>
      <c r="K646" s="862"/>
      <c r="L646" s="859"/>
      <c r="M646" s="859"/>
      <c r="N646" s="859"/>
      <c r="P646" s="859"/>
    </row>
    <row r="647" spans="1:16">
      <c r="A647" s="859"/>
      <c r="B647" s="859"/>
      <c r="C647" s="859"/>
      <c r="D647" s="859"/>
      <c r="E647" s="859"/>
      <c r="F647" s="859"/>
      <c r="G647" s="859"/>
      <c r="H647" s="861"/>
      <c r="I647" s="859"/>
      <c r="J647" s="859"/>
      <c r="K647" s="862"/>
      <c r="L647" s="859"/>
      <c r="M647" s="859"/>
      <c r="N647" s="859"/>
      <c r="P647" s="859"/>
    </row>
    <row r="648" spans="1:16">
      <c r="A648" s="859"/>
      <c r="B648" s="859"/>
      <c r="C648" s="859"/>
      <c r="D648" s="859"/>
      <c r="E648" s="859"/>
      <c r="F648" s="859"/>
      <c r="G648" s="859"/>
      <c r="H648" s="861"/>
      <c r="I648" s="859"/>
      <c r="J648" s="859"/>
      <c r="K648" s="862"/>
      <c r="L648" s="859"/>
      <c r="M648" s="859"/>
      <c r="N648" s="859"/>
      <c r="P648" s="859"/>
    </row>
    <row r="649" spans="1:16">
      <c r="A649" s="859"/>
      <c r="B649" s="859"/>
      <c r="C649" s="859"/>
      <c r="D649" s="859"/>
      <c r="E649" s="859"/>
      <c r="F649" s="859"/>
      <c r="G649" s="859"/>
      <c r="H649" s="861"/>
      <c r="I649" s="859"/>
      <c r="J649" s="859"/>
      <c r="K649" s="862"/>
      <c r="L649" s="859"/>
      <c r="M649" s="859"/>
      <c r="N649" s="859"/>
      <c r="P649" s="859"/>
    </row>
    <row r="650" spans="1:16">
      <c r="A650" s="859"/>
      <c r="B650" s="859"/>
      <c r="C650" s="859"/>
      <c r="D650" s="859"/>
      <c r="E650" s="859"/>
      <c r="F650" s="859"/>
      <c r="G650" s="859"/>
      <c r="H650" s="861"/>
      <c r="I650" s="859"/>
      <c r="J650" s="859"/>
      <c r="K650" s="862"/>
      <c r="L650" s="859"/>
      <c r="M650" s="859"/>
      <c r="N650" s="859"/>
      <c r="P650" s="859"/>
    </row>
    <row r="651" spans="1:16">
      <c r="A651" s="859"/>
      <c r="B651" s="859"/>
      <c r="C651" s="859"/>
      <c r="D651" s="859"/>
      <c r="E651" s="859"/>
      <c r="F651" s="859"/>
      <c r="G651" s="859"/>
      <c r="H651" s="861"/>
      <c r="I651" s="859"/>
      <c r="J651" s="859"/>
      <c r="K651" s="862"/>
      <c r="L651" s="859"/>
      <c r="M651" s="859"/>
      <c r="N651" s="859"/>
      <c r="P651" s="859"/>
    </row>
    <row r="652" spans="1:16">
      <c r="A652" s="859"/>
      <c r="B652" s="859"/>
      <c r="C652" s="859"/>
      <c r="D652" s="859"/>
      <c r="E652" s="859"/>
      <c r="F652" s="859"/>
      <c r="G652" s="859"/>
      <c r="H652" s="861"/>
      <c r="I652" s="859"/>
      <c r="J652" s="859"/>
      <c r="K652" s="862"/>
      <c r="L652" s="859"/>
      <c r="M652" s="859"/>
      <c r="N652" s="859"/>
      <c r="P652" s="859"/>
    </row>
    <row r="653" spans="1:16">
      <c r="A653" s="859"/>
      <c r="B653" s="859"/>
      <c r="C653" s="859"/>
      <c r="D653" s="859"/>
      <c r="E653" s="859"/>
      <c r="F653" s="859"/>
      <c r="G653" s="859"/>
      <c r="H653" s="861"/>
      <c r="I653" s="859"/>
      <c r="J653" s="859"/>
      <c r="K653" s="862"/>
      <c r="L653" s="859"/>
      <c r="M653" s="859"/>
      <c r="N653" s="859"/>
      <c r="P653" s="859"/>
    </row>
    <row r="654" spans="1:16">
      <c r="A654" s="859"/>
      <c r="B654" s="859"/>
      <c r="C654" s="859"/>
      <c r="D654" s="859"/>
      <c r="E654" s="859"/>
      <c r="F654" s="859"/>
      <c r="G654" s="859"/>
      <c r="H654" s="861"/>
      <c r="I654" s="859"/>
      <c r="J654" s="859"/>
      <c r="K654" s="862"/>
      <c r="L654" s="859"/>
      <c r="M654" s="859"/>
      <c r="N654" s="859"/>
      <c r="P654" s="859"/>
    </row>
    <row r="655" spans="1:16">
      <c r="A655" s="859"/>
      <c r="B655" s="859"/>
      <c r="C655" s="859"/>
      <c r="D655" s="859"/>
      <c r="E655" s="859"/>
      <c r="F655" s="859"/>
      <c r="G655" s="859"/>
      <c r="H655" s="861"/>
      <c r="I655" s="859"/>
      <c r="J655" s="859"/>
      <c r="K655" s="862"/>
      <c r="L655" s="859"/>
      <c r="M655" s="859"/>
      <c r="N655" s="859"/>
      <c r="P655" s="859"/>
    </row>
    <row r="656" spans="1:16">
      <c r="A656" s="859"/>
      <c r="B656" s="859"/>
      <c r="C656" s="859"/>
      <c r="D656" s="859"/>
      <c r="E656" s="859"/>
      <c r="F656" s="859"/>
      <c r="G656" s="859"/>
      <c r="H656" s="861"/>
      <c r="I656" s="859"/>
      <c r="J656" s="859"/>
      <c r="K656" s="862"/>
      <c r="L656" s="859"/>
      <c r="M656" s="859"/>
      <c r="N656" s="859"/>
      <c r="P656" s="859"/>
    </row>
    <row r="657" spans="1:16">
      <c r="A657" s="859"/>
      <c r="B657" s="859"/>
      <c r="C657" s="859"/>
      <c r="D657" s="859"/>
      <c r="E657" s="859"/>
      <c r="F657" s="859"/>
      <c r="G657" s="859"/>
      <c r="H657" s="861"/>
      <c r="I657" s="859"/>
      <c r="J657" s="859"/>
      <c r="K657" s="862"/>
      <c r="L657" s="859"/>
      <c r="M657" s="859"/>
      <c r="N657" s="859"/>
      <c r="P657" s="859"/>
    </row>
    <row r="658" spans="1:16">
      <c r="A658" s="859"/>
      <c r="B658" s="859"/>
      <c r="C658" s="859"/>
      <c r="D658" s="859"/>
      <c r="E658" s="859"/>
      <c r="F658" s="859"/>
      <c r="G658" s="859"/>
      <c r="H658" s="861"/>
      <c r="I658" s="859"/>
      <c r="J658" s="859"/>
      <c r="K658" s="862"/>
      <c r="L658" s="859"/>
      <c r="M658" s="859"/>
      <c r="N658" s="859"/>
      <c r="P658" s="859"/>
    </row>
    <row r="659" spans="1:16">
      <c r="A659" s="859"/>
      <c r="B659" s="859"/>
      <c r="C659" s="859"/>
      <c r="D659" s="859"/>
      <c r="E659" s="859"/>
      <c r="F659" s="859"/>
      <c r="G659" s="859"/>
      <c r="H659" s="861"/>
      <c r="I659" s="859"/>
      <c r="J659" s="859"/>
      <c r="K659" s="862"/>
      <c r="L659" s="859"/>
      <c r="M659" s="859"/>
      <c r="N659" s="859"/>
      <c r="P659" s="859"/>
    </row>
    <row r="660" spans="1:16">
      <c r="A660" s="859"/>
      <c r="B660" s="859"/>
      <c r="C660" s="859"/>
      <c r="D660" s="859"/>
      <c r="E660" s="859"/>
      <c r="F660" s="859"/>
      <c r="G660" s="859"/>
      <c r="H660" s="861"/>
      <c r="I660" s="859"/>
      <c r="J660" s="859"/>
      <c r="K660" s="862"/>
      <c r="L660" s="859"/>
      <c r="M660" s="859"/>
      <c r="N660" s="859"/>
      <c r="P660" s="859"/>
    </row>
    <row r="661" spans="1:16">
      <c r="A661" s="859"/>
      <c r="B661" s="859"/>
      <c r="C661" s="859"/>
      <c r="D661" s="859"/>
      <c r="E661" s="859"/>
      <c r="F661" s="859"/>
      <c r="G661" s="859"/>
      <c r="H661" s="861"/>
      <c r="I661" s="859"/>
      <c r="J661" s="859"/>
      <c r="K661" s="862"/>
      <c r="L661" s="859"/>
      <c r="M661" s="859"/>
      <c r="N661" s="859"/>
      <c r="P661" s="859"/>
    </row>
    <row r="662" spans="1:16">
      <c r="A662" s="859"/>
      <c r="B662" s="859"/>
      <c r="C662" s="859"/>
      <c r="D662" s="859"/>
      <c r="E662" s="859"/>
      <c r="F662" s="859"/>
      <c r="G662" s="859"/>
      <c r="H662" s="861"/>
      <c r="I662" s="859"/>
      <c r="J662" s="859"/>
      <c r="K662" s="862"/>
      <c r="L662" s="859"/>
      <c r="M662" s="859"/>
      <c r="N662" s="859"/>
      <c r="P662" s="859"/>
    </row>
    <row r="663" spans="1:16">
      <c r="A663" s="859"/>
      <c r="B663" s="859"/>
      <c r="C663" s="859"/>
      <c r="D663" s="859"/>
      <c r="E663" s="859"/>
      <c r="F663" s="859"/>
      <c r="G663" s="859"/>
      <c r="H663" s="861"/>
      <c r="I663" s="859"/>
      <c r="J663" s="859"/>
      <c r="K663" s="862"/>
      <c r="L663" s="859"/>
      <c r="M663" s="859"/>
      <c r="N663" s="859"/>
      <c r="P663" s="859"/>
    </row>
    <row r="664" spans="1:16">
      <c r="A664" s="859"/>
      <c r="B664" s="859"/>
      <c r="C664" s="859"/>
      <c r="D664" s="859"/>
      <c r="E664" s="859"/>
      <c r="F664" s="859"/>
      <c r="G664" s="859"/>
      <c r="H664" s="861"/>
      <c r="I664" s="859"/>
      <c r="J664" s="859"/>
      <c r="K664" s="862"/>
      <c r="L664" s="859"/>
      <c r="M664" s="859"/>
      <c r="N664" s="859"/>
      <c r="P664" s="859"/>
    </row>
    <row r="665" spans="1:16">
      <c r="A665" s="859"/>
      <c r="B665" s="859"/>
      <c r="C665" s="859"/>
      <c r="D665" s="859"/>
      <c r="E665" s="859"/>
      <c r="F665" s="859"/>
      <c r="G665" s="859"/>
      <c r="H665" s="861"/>
      <c r="I665" s="859"/>
      <c r="J665" s="859"/>
      <c r="K665" s="862"/>
      <c r="L665" s="859"/>
      <c r="M665" s="859"/>
      <c r="N665" s="859"/>
      <c r="P665" s="859"/>
    </row>
    <row r="666" spans="1:16">
      <c r="A666" s="859"/>
      <c r="B666" s="859"/>
      <c r="C666" s="859"/>
      <c r="D666" s="859"/>
      <c r="E666" s="859"/>
      <c r="F666" s="859"/>
      <c r="G666" s="859"/>
      <c r="H666" s="861"/>
      <c r="I666" s="859"/>
      <c r="J666" s="859"/>
      <c r="K666" s="862"/>
      <c r="L666" s="859"/>
      <c r="M666" s="859"/>
      <c r="N666" s="859"/>
      <c r="P666" s="859"/>
    </row>
    <row r="667" spans="1:16">
      <c r="A667" s="859"/>
      <c r="B667" s="859"/>
      <c r="C667" s="859"/>
      <c r="D667" s="859"/>
      <c r="E667" s="859"/>
      <c r="F667" s="859"/>
      <c r="G667" s="859"/>
      <c r="H667" s="861"/>
      <c r="I667" s="859"/>
      <c r="J667" s="859"/>
      <c r="K667" s="862"/>
      <c r="L667" s="859"/>
      <c r="M667" s="859"/>
      <c r="N667" s="859"/>
      <c r="P667" s="859"/>
    </row>
    <row r="668" spans="1:16">
      <c r="A668" s="859"/>
      <c r="B668" s="859"/>
      <c r="C668" s="859"/>
      <c r="D668" s="859"/>
      <c r="E668" s="859"/>
      <c r="F668" s="859"/>
      <c r="G668" s="859"/>
      <c r="H668" s="861"/>
      <c r="I668" s="859"/>
      <c r="J668" s="859"/>
      <c r="K668" s="862"/>
      <c r="L668" s="859"/>
      <c r="M668" s="859"/>
      <c r="N668" s="859"/>
      <c r="P668" s="859"/>
    </row>
    <row r="669" spans="1:16">
      <c r="A669" s="859"/>
      <c r="B669" s="859"/>
      <c r="C669" s="859"/>
      <c r="D669" s="859"/>
      <c r="E669" s="859"/>
      <c r="F669" s="859"/>
      <c r="G669" s="859"/>
      <c r="H669" s="861"/>
      <c r="I669" s="859"/>
      <c r="J669" s="859"/>
      <c r="K669" s="862"/>
      <c r="L669" s="859"/>
      <c r="M669" s="859"/>
      <c r="N669" s="859"/>
      <c r="P669" s="859"/>
    </row>
    <row r="670" spans="1:16">
      <c r="A670" s="859"/>
      <c r="B670" s="859"/>
      <c r="C670" s="859"/>
      <c r="D670" s="859"/>
      <c r="E670" s="859"/>
      <c r="F670" s="859"/>
      <c r="G670" s="859"/>
      <c r="H670" s="861"/>
      <c r="I670" s="859"/>
      <c r="J670" s="859"/>
      <c r="K670" s="862"/>
      <c r="L670" s="859"/>
      <c r="M670" s="859"/>
      <c r="N670" s="859"/>
      <c r="P670" s="859"/>
    </row>
    <row r="671" spans="1:16">
      <c r="A671" s="859"/>
      <c r="B671" s="859"/>
      <c r="C671" s="859"/>
      <c r="D671" s="859"/>
      <c r="E671" s="859"/>
      <c r="F671" s="859"/>
      <c r="G671" s="859"/>
      <c r="H671" s="861"/>
      <c r="I671" s="859"/>
      <c r="J671" s="859"/>
      <c r="K671" s="862"/>
      <c r="L671" s="859"/>
      <c r="M671" s="859"/>
      <c r="N671" s="859"/>
      <c r="P671" s="859"/>
    </row>
    <row r="672" spans="1:16">
      <c r="A672" s="859"/>
      <c r="B672" s="859"/>
      <c r="C672" s="859"/>
      <c r="D672" s="859"/>
      <c r="E672" s="859"/>
      <c r="F672" s="859"/>
      <c r="G672" s="859"/>
      <c r="H672" s="861"/>
      <c r="I672" s="859"/>
      <c r="J672" s="859"/>
      <c r="K672" s="862"/>
      <c r="L672" s="859"/>
      <c r="M672" s="859"/>
      <c r="N672" s="859"/>
      <c r="P672" s="859"/>
    </row>
    <row r="673" spans="1:16">
      <c r="A673" s="859"/>
      <c r="B673" s="859"/>
      <c r="C673" s="859"/>
      <c r="D673" s="859"/>
      <c r="E673" s="859"/>
      <c r="F673" s="859"/>
      <c r="G673" s="859"/>
      <c r="H673" s="861"/>
      <c r="I673" s="859"/>
      <c r="J673" s="859"/>
      <c r="K673" s="862"/>
      <c r="L673" s="859"/>
      <c r="M673" s="859"/>
      <c r="N673" s="859"/>
      <c r="P673" s="859"/>
    </row>
    <row r="674" spans="1:16">
      <c r="A674" s="859"/>
      <c r="B674" s="859"/>
      <c r="C674" s="859"/>
      <c r="D674" s="859"/>
      <c r="E674" s="859"/>
      <c r="F674" s="859"/>
      <c r="G674" s="859"/>
      <c r="H674" s="861"/>
      <c r="I674" s="859"/>
      <c r="J674" s="859"/>
      <c r="K674" s="862"/>
      <c r="L674" s="859"/>
      <c r="M674" s="859"/>
      <c r="N674" s="859"/>
      <c r="P674" s="859"/>
    </row>
    <row r="675" spans="1:16">
      <c r="A675" s="859"/>
      <c r="B675" s="859"/>
      <c r="C675" s="859"/>
      <c r="D675" s="859"/>
      <c r="E675" s="859"/>
      <c r="F675" s="859"/>
      <c r="G675" s="859"/>
      <c r="H675" s="861"/>
      <c r="I675" s="859"/>
      <c r="J675" s="859"/>
      <c r="K675" s="862"/>
      <c r="L675" s="859"/>
      <c r="M675" s="859"/>
      <c r="N675" s="859"/>
      <c r="P675" s="859"/>
    </row>
    <row r="676" spans="1:16">
      <c r="A676" s="859"/>
      <c r="B676" s="859"/>
      <c r="C676" s="859"/>
      <c r="D676" s="859"/>
      <c r="E676" s="859"/>
      <c r="F676" s="859"/>
      <c r="G676" s="859"/>
      <c r="H676" s="861"/>
      <c r="I676" s="859"/>
      <c r="J676" s="859"/>
      <c r="K676" s="862"/>
      <c r="L676" s="859"/>
      <c r="M676" s="859"/>
      <c r="N676" s="859"/>
      <c r="P676" s="859"/>
    </row>
    <row r="677" spans="1:16">
      <c r="A677" s="859"/>
      <c r="B677" s="859"/>
      <c r="C677" s="859"/>
      <c r="D677" s="859"/>
      <c r="E677" s="859"/>
      <c r="F677" s="859"/>
      <c r="G677" s="859"/>
      <c r="H677" s="861"/>
      <c r="I677" s="859"/>
      <c r="J677" s="859"/>
      <c r="K677" s="862"/>
      <c r="L677" s="859"/>
      <c r="M677" s="859"/>
      <c r="N677" s="859"/>
      <c r="P677" s="859"/>
    </row>
    <row r="678" spans="1:16">
      <c r="A678" s="859"/>
      <c r="B678" s="859"/>
      <c r="C678" s="859"/>
      <c r="D678" s="859"/>
      <c r="E678" s="859"/>
      <c r="F678" s="859"/>
      <c r="G678" s="859"/>
      <c r="H678" s="861"/>
      <c r="I678" s="859"/>
      <c r="J678" s="859"/>
      <c r="K678" s="862"/>
      <c r="L678" s="859"/>
      <c r="M678" s="859"/>
      <c r="N678" s="859"/>
      <c r="P678" s="859"/>
    </row>
    <row r="679" spans="1:16">
      <c r="A679" s="859"/>
      <c r="B679" s="859"/>
      <c r="C679" s="859"/>
      <c r="D679" s="859"/>
      <c r="E679" s="859"/>
      <c r="F679" s="859"/>
      <c r="G679" s="859"/>
      <c r="H679" s="861"/>
      <c r="I679" s="859"/>
      <c r="J679" s="859"/>
      <c r="K679" s="862"/>
      <c r="L679" s="859"/>
      <c r="M679" s="859"/>
      <c r="N679" s="859"/>
      <c r="P679" s="859"/>
    </row>
    <row r="680" spans="1:16">
      <c r="A680" s="859"/>
      <c r="B680" s="859"/>
      <c r="C680" s="859"/>
      <c r="D680" s="859"/>
      <c r="E680" s="859"/>
      <c r="F680" s="859"/>
      <c r="G680" s="859"/>
      <c r="H680" s="861"/>
      <c r="I680" s="859"/>
      <c r="J680" s="859"/>
      <c r="K680" s="862"/>
      <c r="L680" s="859"/>
      <c r="M680" s="859"/>
      <c r="N680" s="859"/>
      <c r="P680" s="859"/>
    </row>
    <row r="681" spans="1:16">
      <c r="A681" s="859"/>
      <c r="B681" s="859"/>
      <c r="C681" s="859"/>
      <c r="D681" s="859"/>
      <c r="E681" s="859"/>
      <c r="F681" s="859"/>
      <c r="G681" s="859"/>
      <c r="H681" s="861"/>
      <c r="I681" s="859"/>
      <c r="J681" s="859"/>
      <c r="K681" s="862"/>
      <c r="L681" s="859"/>
      <c r="M681" s="859"/>
      <c r="N681" s="859"/>
      <c r="P681" s="859"/>
    </row>
    <row r="682" spans="1:16">
      <c r="A682" s="859"/>
      <c r="B682" s="859"/>
      <c r="C682" s="859"/>
      <c r="D682" s="859"/>
      <c r="E682" s="859"/>
      <c r="F682" s="859"/>
      <c r="G682" s="859"/>
      <c r="H682" s="861"/>
      <c r="I682" s="859"/>
      <c r="J682" s="859"/>
      <c r="K682" s="862"/>
      <c r="L682" s="859"/>
      <c r="M682" s="859"/>
      <c r="N682" s="859"/>
      <c r="P682" s="859"/>
    </row>
    <row r="683" spans="1:16">
      <c r="A683" s="859"/>
      <c r="B683" s="859"/>
      <c r="C683" s="859"/>
      <c r="D683" s="859"/>
      <c r="E683" s="859"/>
      <c r="F683" s="859"/>
      <c r="G683" s="859"/>
      <c r="H683" s="861"/>
      <c r="I683" s="859"/>
      <c r="J683" s="859"/>
      <c r="K683" s="862"/>
      <c r="L683" s="859"/>
      <c r="M683" s="859"/>
      <c r="N683" s="859"/>
      <c r="P683" s="859"/>
    </row>
    <row r="684" spans="1:16">
      <c r="A684" s="859"/>
      <c r="B684" s="859"/>
      <c r="C684" s="859"/>
      <c r="D684" s="859"/>
      <c r="E684" s="859"/>
      <c r="F684" s="859"/>
      <c r="G684" s="859"/>
      <c r="H684" s="861"/>
      <c r="I684" s="859"/>
      <c r="J684" s="859"/>
      <c r="K684" s="862"/>
      <c r="L684" s="859"/>
      <c r="M684" s="859"/>
      <c r="N684" s="859"/>
      <c r="P684" s="859"/>
    </row>
    <row r="685" spans="1:16">
      <c r="A685" s="859"/>
      <c r="B685" s="859"/>
      <c r="C685" s="859"/>
      <c r="D685" s="859"/>
      <c r="E685" s="859"/>
      <c r="F685" s="859"/>
      <c r="G685" s="859"/>
      <c r="H685" s="861"/>
      <c r="I685" s="859"/>
      <c r="J685" s="859"/>
      <c r="K685" s="862"/>
      <c r="L685" s="859"/>
      <c r="M685" s="859"/>
      <c r="N685" s="859"/>
      <c r="P685" s="859"/>
    </row>
    <row r="686" spans="1:16">
      <c r="A686" s="859"/>
      <c r="B686" s="859"/>
      <c r="C686" s="859"/>
      <c r="D686" s="859"/>
      <c r="E686" s="859"/>
      <c r="F686" s="859"/>
      <c r="G686" s="859"/>
      <c r="H686" s="861"/>
      <c r="I686" s="859"/>
      <c r="J686" s="859"/>
      <c r="K686" s="862"/>
      <c r="L686" s="859"/>
      <c r="M686" s="859"/>
      <c r="N686" s="859"/>
      <c r="P686" s="859"/>
    </row>
    <row r="687" spans="1:16">
      <c r="A687" s="859"/>
      <c r="B687" s="859"/>
      <c r="C687" s="859"/>
      <c r="D687" s="859"/>
      <c r="E687" s="859"/>
      <c r="F687" s="859"/>
      <c r="G687" s="859"/>
      <c r="H687" s="861"/>
      <c r="I687" s="859"/>
      <c r="J687" s="859"/>
      <c r="K687" s="862"/>
      <c r="L687" s="859"/>
      <c r="M687" s="859"/>
      <c r="N687" s="859"/>
      <c r="P687" s="859"/>
    </row>
    <row r="688" spans="1:16">
      <c r="A688" s="859"/>
      <c r="B688" s="859"/>
      <c r="C688" s="859"/>
      <c r="D688" s="859"/>
      <c r="E688" s="859"/>
      <c r="F688" s="859"/>
      <c r="G688" s="859"/>
      <c r="H688" s="861"/>
      <c r="I688" s="859"/>
      <c r="J688" s="859"/>
      <c r="K688" s="862"/>
      <c r="L688" s="859"/>
      <c r="M688" s="859"/>
      <c r="N688" s="859"/>
      <c r="P688" s="859"/>
    </row>
    <row r="689" spans="1:16">
      <c r="A689" s="859"/>
      <c r="B689" s="859"/>
      <c r="C689" s="859"/>
      <c r="D689" s="859"/>
      <c r="E689" s="859"/>
      <c r="F689" s="859"/>
      <c r="G689" s="859"/>
      <c r="H689" s="861"/>
      <c r="I689" s="859"/>
      <c r="J689" s="859"/>
      <c r="K689" s="862"/>
      <c r="L689" s="859"/>
      <c r="M689" s="859"/>
      <c r="N689" s="859"/>
      <c r="P689" s="859"/>
    </row>
    <row r="690" spans="1:16">
      <c r="A690" s="859"/>
      <c r="B690" s="859"/>
      <c r="C690" s="859"/>
      <c r="D690" s="859"/>
      <c r="E690" s="859"/>
      <c r="F690" s="859"/>
      <c r="G690" s="859"/>
      <c r="H690" s="861"/>
      <c r="I690" s="859"/>
      <c r="J690" s="859"/>
      <c r="K690" s="862"/>
      <c r="L690" s="859"/>
      <c r="M690" s="859"/>
      <c r="N690" s="859"/>
      <c r="P690" s="859"/>
    </row>
    <row r="691" spans="1:16">
      <c r="A691" s="859"/>
      <c r="B691" s="859"/>
      <c r="C691" s="859"/>
      <c r="D691" s="859"/>
      <c r="E691" s="859"/>
      <c r="F691" s="859"/>
      <c r="G691" s="859"/>
      <c r="H691" s="861"/>
      <c r="I691" s="859"/>
      <c r="J691" s="859"/>
      <c r="K691" s="862"/>
      <c r="L691" s="859"/>
      <c r="M691" s="859"/>
      <c r="N691" s="859"/>
      <c r="P691" s="859"/>
    </row>
    <row r="692" spans="1:16">
      <c r="A692" s="859"/>
      <c r="B692" s="859"/>
      <c r="C692" s="859"/>
      <c r="D692" s="859"/>
      <c r="E692" s="859"/>
      <c r="F692" s="859"/>
      <c r="G692" s="859"/>
      <c r="H692" s="861"/>
      <c r="I692" s="859"/>
      <c r="J692" s="859"/>
      <c r="K692" s="862"/>
      <c r="L692" s="859"/>
      <c r="M692" s="859"/>
      <c r="N692" s="859"/>
      <c r="P692" s="859"/>
    </row>
    <row r="693" spans="1:16">
      <c r="A693" s="859"/>
      <c r="B693" s="859"/>
      <c r="C693" s="859"/>
      <c r="D693" s="859"/>
      <c r="E693" s="859"/>
      <c r="F693" s="859"/>
      <c r="G693" s="859"/>
      <c r="H693" s="861"/>
      <c r="I693" s="859"/>
      <c r="J693" s="859"/>
      <c r="K693" s="862"/>
      <c r="L693" s="859"/>
      <c r="M693" s="859"/>
      <c r="N693" s="859"/>
      <c r="P693" s="859"/>
    </row>
    <row r="694" spans="1:16">
      <c r="A694" s="859"/>
      <c r="B694" s="859"/>
      <c r="C694" s="859"/>
      <c r="D694" s="859"/>
      <c r="E694" s="859"/>
      <c r="F694" s="859"/>
      <c r="G694" s="859"/>
      <c r="H694" s="861"/>
      <c r="I694" s="859"/>
      <c r="J694" s="859"/>
      <c r="K694" s="862"/>
      <c r="L694" s="859"/>
      <c r="M694" s="859"/>
      <c r="N694" s="859"/>
      <c r="P694" s="859"/>
    </row>
    <row r="695" spans="1:16">
      <c r="A695" s="859"/>
      <c r="B695" s="859"/>
      <c r="C695" s="859"/>
      <c r="D695" s="859"/>
      <c r="E695" s="859"/>
      <c r="F695" s="859"/>
      <c r="G695" s="859"/>
      <c r="H695" s="861"/>
      <c r="I695" s="859"/>
      <c r="J695" s="859"/>
      <c r="K695" s="862"/>
      <c r="L695" s="859"/>
      <c r="M695" s="859"/>
      <c r="N695" s="859"/>
      <c r="P695" s="859"/>
    </row>
    <row r="696" spans="1:16">
      <c r="A696" s="859"/>
      <c r="B696" s="859"/>
      <c r="C696" s="859"/>
      <c r="D696" s="859"/>
      <c r="E696" s="859"/>
      <c r="F696" s="859"/>
      <c r="G696" s="859"/>
      <c r="H696" s="861"/>
      <c r="I696" s="859"/>
      <c r="J696" s="859"/>
      <c r="K696" s="862"/>
      <c r="L696" s="859"/>
      <c r="M696" s="859"/>
      <c r="N696" s="859"/>
      <c r="P696" s="859"/>
    </row>
    <row r="697" spans="1:16">
      <c r="A697" s="859"/>
      <c r="B697" s="859"/>
      <c r="C697" s="859"/>
      <c r="D697" s="859"/>
      <c r="E697" s="859"/>
      <c r="F697" s="859"/>
      <c r="G697" s="859"/>
      <c r="H697" s="861"/>
      <c r="I697" s="859"/>
      <c r="J697" s="859"/>
      <c r="K697" s="862"/>
      <c r="L697" s="859"/>
      <c r="M697" s="859"/>
      <c r="N697" s="859"/>
      <c r="P697" s="859"/>
    </row>
    <row r="698" spans="1:16">
      <c r="A698" s="859"/>
      <c r="B698" s="859"/>
      <c r="C698" s="859"/>
      <c r="D698" s="859"/>
      <c r="E698" s="859"/>
      <c r="F698" s="859"/>
      <c r="G698" s="859"/>
      <c r="H698" s="861"/>
      <c r="I698" s="859"/>
      <c r="J698" s="859"/>
      <c r="K698" s="862"/>
      <c r="L698" s="859"/>
      <c r="M698" s="859"/>
      <c r="N698" s="859"/>
      <c r="P698" s="859"/>
    </row>
    <row r="699" spans="1:16">
      <c r="A699" s="859"/>
      <c r="B699" s="859"/>
      <c r="C699" s="859"/>
      <c r="D699" s="859"/>
      <c r="E699" s="859"/>
      <c r="F699" s="859"/>
      <c r="G699" s="859"/>
      <c r="H699" s="861"/>
      <c r="I699" s="859"/>
      <c r="J699" s="859"/>
      <c r="K699" s="862"/>
      <c r="L699" s="859"/>
      <c r="M699" s="859"/>
      <c r="N699" s="859"/>
      <c r="P699" s="859"/>
    </row>
    <row r="700" spans="1:16">
      <c r="A700" s="859"/>
      <c r="B700" s="859"/>
      <c r="C700" s="859"/>
      <c r="D700" s="859"/>
      <c r="E700" s="859"/>
      <c r="F700" s="859"/>
      <c r="G700" s="859"/>
      <c r="H700" s="861"/>
      <c r="I700" s="859"/>
      <c r="J700" s="859"/>
      <c r="K700" s="862"/>
      <c r="L700" s="859"/>
      <c r="M700" s="859"/>
      <c r="N700" s="859"/>
      <c r="P700" s="859"/>
    </row>
    <row r="701" spans="1:16">
      <c r="A701" s="859"/>
      <c r="B701" s="859"/>
      <c r="C701" s="859"/>
      <c r="D701" s="859"/>
      <c r="E701" s="859"/>
      <c r="F701" s="859"/>
      <c r="G701" s="859"/>
      <c r="H701" s="861"/>
      <c r="I701" s="859"/>
      <c r="J701" s="859"/>
      <c r="K701" s="862"/>
      <c r="L701" s="859"/>
      <c r="M701" s="859"/>
      <c r="N701" s="859"/>
      <c r="P701" s="859"/>
    </row>
    <row r="702" spans="1:16">
      <c r="A702" s="859"/>
      <c r="B702" s="859"/>
      <c r="C702" s="859"/>
      <c r="D702" s="859"/>
      <c r="E702" s="859"/>
      <c r="F702" s="859"/>
      <c r="G702" s="859"/>
      <c r="H702" s="861"/>
      <c r="I702" s="859"/>
      <c r="J702" s="859"/>
      <c r="K702" s="862"/>
      <c r="L702" s="859"/>
      <c r="M702" s="859"/>
      <c r="N702" s="859"/>
      <c r="P702" s="859"/>
    </row>
    <row r="703" spans="1:16">
      <c r="A703" s="859"/>
      <c r="B703" s="859"/>
      <c r="C703" s="859"/>
      <c r="D703" s="859"/>
      <c r="E703" s="859"/>
      <c r="F703" s="859"/>
      <c r="G703" s="859"/>
      <c r="H703" s="861"/>
      <c r="I703" s="859"/>
      <c r="J703" s="859"/>
      <c r="K703" s="862"/>
      <c r="L703" s="859"/>
      <c r="M703" s="859"/>
      <c r="N703" s="859"/>
      <c r="P703" s="859"/>
    </row>
    <row r="704" spans="1:16">
      <c r="A704" s="859"/>
      <c r="B704" s="859"/>
      <c r="C704" s="859"/>
      <c r="D704" s="859"/>
      <c r="E704" s="859"/>
      <c r="F704" s="859"/>
      <c r="G704" s="859"/>
      <c r="H704" s="861"/>
      <c r="I704" s="859"/>
      <c r="J704" s="859"/>
      <c r="K704" s="862"/>
      <c r="L704" s="859"/>
      <c r="M704" s="859"/>
      <c r="N704" s="859"/>
      <c r="P704" s="859"/>
    </row>
    <row r="705" spans="1:16">
      <c r="A705" s="859"/>
      <c r="B705" s="859"/>
      <c r="C705" s="859"/>
      <c r="D705" s="859"/>
      <c r="E705" s="859"/>
      <c r="F705" s="859"/>
      <c r="G705" s="859"/>
      <c r="H705" s="861"/>
      <c r="I705" s="859"/>
      <c r="J705" s="859"/>
      <c r="K705" s="862"/>
      <c r="L705" s="859"/>
      <c r="M705" s="859"/>
      <c r="N705" s="859"/>
      <c r="P705" s="859"/>
    </row>
    <row r="706" spans="1:16">
      <c r="A706" s="859"/>
      <c r="B706" s="859"/>
      <c r="C706" s="859"/>
      <c r="D706" s="859"/>
      <c r="E706" s="859"/>
      <c r="F706" s="859"/>
      <c r="G706" s="859"/>
      <c r="H706" s="861"/>
      <c r="I706" s="859"/>
      <c r="J706" s="859"/>
      <c r="K706" s="862"/>
      <c r="L706" s="859"/>
      <c r="M706" s="859"/>
      <c r="N706" s="859"/>
      <c r="P706" s="859"/>
    </row>
    <row r="707" spans="1:16">
      <c r="A707" s="859"/>
      <c r="B707" s="859"/>
      <c r="C707" s="859"/>
      <c r="D707" s="859"/>
      <c r="E707" s="859"/>
      <c r="F707" s="859"/>
      <c r="G707" s="859"/>
      <c r="H707" s="861"/>
      <c r="I707" s="859"/>
      <c r="J707" s="859"/>
      <c r="K707" s="862"/>
      <c r="L707" s="859"/>
      <c r="M707" s="859"/>
      <c r="N707" s="859"/>
      <c r="P707" s="859"/>
    </row>
    <row r="708" spans="1:16">
      <c r="A708" s="859"/>
      <c r="B708" s="859"/>
      <c r="C708" s="859"/>
      <c r="D708" s="859"/>
      <c r="E708" s="859"/>
      <c r="F708" s="859"/>
      <c r="G708" s="859"/>
      <c r="H708" s="861"/>
      <c r="I708" s="859"/>
      <c r="J708" s="859"/>
      <c r="K708" s="862"/>
      <c r="L708" s="859"/>
      <c r="M708" s="859"/>
      <c r="N708" s="859"/>
      <c r="P708" s="859"/>
    </row>
    <row r="709" spans="1:16">
      <c r="A709" s="859"/>
      <c r="B709" s="859"/>
      <c r="C709" s="859"/>
      <c r="D709" s="859"/>
      <c r="E709" s="859"/>
      <c r="F709" s="859"/>
      <c r="G709" s="859"/>
      <c r="H709" s="861"/>
      <c r="I709" s="859"/>
      <c r="J709" s="859"/>
      <c r="K709" s="862"/>
      <c r="L709" s="859"/>
      <c r="M709" s="859"/>
      <c r="N709" s="859"/>
      <c r="P709" s="859"/>
    </row>
    <row r="710" spans="1:16">
      <c r="A710" s="859"/>
      <c r="B710" s="859"/>
      <c r="C710" s="859"/>
      <c r="D710" s="859"/>
      <c r="E710" s="859"/>
      <c r="F710" s="859"/>
      <c r="G710" s="859"/>
      <c r="H710" s="861"/>
      <c r="I710" s="859"/>
      <c r="J710" s="859"/>
      <c r="K710" s="862"/>
      <c r="L710" s="859"/>
      <c r="M710" s="859"/>
      <c r="N710" s="859"/>
      <c r="P710" s="859"/>
    </row>
    <row r="711" spans="1:16">
      <c r="A711" s="859"/>
      <c r="B711" s="859"/>
      <c r="C711" s="859"/>
      <c r="D711" s="859"/>
      <c r="E711" s="859"/>
      <c r="F711" s="859"/>
      <c r="G711" s="859"/>
      <c r="H711" s="861"/>
      <c r="I711" s="859"/>
      <c r="J711" s="859"/>
      <c r="K711" s="862"/>
      <c r="L711" s="859"/>
      <c r="M711" s="859"/>
      <c r="N711" s="859"/>
      <c r="P711" s="859"/>
    </row>
    <row r="712" spans="1:16">
      <c r="A712" s="859"/>
      <c r="B712" s="859"/>
      <c r="C712" s="859"/>
      <c r="D712" s="859"/>
      <c r="E712" s="859"/>
      <c r="F712" s="859"/>
      <c r="G712" s="859"/>
      <c r="H712" s="861"/>
      <c r="I712" s="859"/>
      <c r="J712" s="859"/>
      <c r="K712" s="862"/>
      <c r="L712" s="859"/>
      <c r="M712" s="859"/>
      <c r="N712" s="859"/>
      <c r="P712" s="859"/>
    </row>
    <row r="713" spans="1:16">
      <c r="A713" s="859"/>
      <c r="B713" s="859"/>
      <c r="C713" s="859"/>
      <c r="D713" s="859"/>
      <c r="E713" s="859"/>
      <c r="F713" s="859"/>
      <c r="G713" s="859"/>
      <c r="H713" s="861"/>
      <c r="I713" s="859"/>
      <c r="J713" s="859"/>
      <c r="K713" s="862"/>
      <c r="L713" s="859"/>
      <c r="M713" s="859"/>
      <c r="N713" s="859"/>
      <c r="P713" s="859"/>
    </row>
    <row r="714" spans="1:16">
      <c r="A714" s="859"/>
      <c r="B714" s="859"/>
      <c r="C714" s="859"/>
      <c r="D714" s="859"/>
      <c r="E714" s="859"/>
      <c r="F714" s="859"/>
      <c r="G714" s="859"/>
      <c r="H714" s="861"/>
      <c r="I714" s="859"/>
      <c r="J714" s="859"/>
      <c r="K714" s="862"/>
      <c r="L714" s="859"/>
      <c r="M714" s="859"/>
      <c r="N714" s="859"/>
      <c r="P714" s="859"/>
    </row>
    <row r="715" spans="1:16">
      <c r="A715" s="859"/>
      <c r="B715" s="859"/>
      <c r="C715" s="859"/>
      <c r="D715" s="859"/>
      <c r="E715" s="859"/>
      <c r="F715" s="859"/>
      <c r="G715" s="859"/>
      <c r="H715" s="861"/>
      <c r="I715" s="859"/>
      <c r="J715" s="859"/>
      <c r="K715" s="862"/>
      <c r="L715" s="859"/>
      <c r="M715" s="859"/>
      <c r="N715" s="859"/>
      <c r="P715" s="859"/>
    </row>
    <row r="716" spans="1:16">
      <c r="A716" s="859"/>
      <c r="B716" s="859"/>
      <c r="C716" s="859"/>
      <c r="D716" s="859"/>
      <c r="E716" s="859"/>
      <c r="F716" s="859"/>
      <c r="G716" s="859"/>
      <c r="H716" s="861"/>
      <c r="I716" s="859"/>
      <c r="J716" s="859"/>
      <c r="K716" s="862"/>
      <c r="L716" s="859"/>
      <c r="M716" s="859"/>
      <c r="N716" s="859"/>
      <c r="P716" s="859"/>
    </row>
    <row r="717" spans="1:16">
      <c r="A717" s="859"/>
      <c r="B717" s="859"/>
      <c r="C717" s="859"/>
      <c r="D717" s="859"/>
      <c r="E717" s="859"/>
      <c r="F717" s="859"/>
      <c r="G717" s="859"/>
      <c r="H717" s="861"/>
      <c r="I717" s="859"/>
      <c r="J717" s="859"/>
      <c r="K717" s="862"/>
      <c r="L717" s="859"/>
      <c r="M717" s="859"/>
      <c r="N717" s="859"/>
      <c r="P717" s="859"/>
    </row>
    <row r="718" spans="1:16">
      <c r="A718" s="859"/>
      <c r="B718" s="859"/>
      <c r="C718" s="859"/>
      <c r="D718" s="859"/>
      <c r="E718" s="859"/>
      <c r="F718" s="859"/>
      <c r="G718" s="859"/>
      <c r="H718" s="861"/>
      <c r="I718" s="859"/>
      <c r="J718" s="859"/>
      <c r="K718" s="862"/>
      <c r="L718" s="859"/>
      <c r="M718" s="859"/>
      <c r="N718" s="859"/>
      <c r="P718" s="859"/>
    </row>
    <row r="719" spans="1:16">
      <c r="A719" s="859"/>
      <c r="B719" s="859"/>
      <c r="C719" s="859"/>
      <c r="D719" s="859"/>
      <c r="E719" s="859"/>
      <c r="F719" s="859"/>
      <c r="G719" s="859"/>
      <c r="H719" s="861"/>
      <c r="I719" s="859"/>
      <c r="J719" s="859"/>
      <c r="K719" s="862"/>
      <c r="L719" s="859"/>
      <c r="M719" s="859"/>
      <c r="N719" s="859"/>
      <c r="P719" s="859"/>
    </row>
    <row r="720" spans="1:16">
      <c r="A720" s="859"/>
      <c r="B720" s="859"/>
      <c r="C720" s="859"/>
      <c r="D720" s="859"/>
      <c r="E720" s="859"/>
      <c r="F720" s="859"/>
      <c r="G720" s="859"/>
      <c r="H720" s="861"/>
      <c r="I720" s="859"/>
      <c r="J720" s="859"/>
      <c r="K720" s="862"/>
      <c r="L720" s="859"/>
      <c r="M720" s="859"/>
      <c r="N720" s="859"/>
      <c r="P720" s="859"/>
    </row>
    <row r="721" spans="1:16">
      <c r="A721" s="859"/>
      <c r="B721" s="859"/>
      <c r="C721" s="859"/>
      <c r="D721" s="859"/>
      <c r="E721" s="859"/>
      <c r="F721" s="859"/>
      <c r="G721" s="859"/>
      <c r="H721" s="861"/>
      <c r="I721" s="859"/>
      <c r="J721" s="859"/>
      <c r="K721" s="862"/>
      <c r="L721" s="859"/>
      <c r="M721" s="859"/>
      <c r="N721" s="859"/>
      <c r="P721" s="859"/>
    </row>
    <row r="722" spans="1:16">
      <c r="A722" s="859"/>
      <c r="B722" s="859"/>
      <c r="C722" s="859"/>
      <c r="D722" s="859"/>
      <c r="E722" s="859"/>
      <c r="F722" s="859"/>
      <c r="G722" s="859"/>
      <c r="H722" s="861"/>
      <c r="I722" s="859"/>
      <c r="J722" s="859"/>
      <c r="K722" s="862"/>
      <c r="L722" s="859"/>
      <c r="M722" s="859"/>
      <c r="N722" s="859"/>
      <c r="P722" s="859"/>
    </row>
    <row r="723" spans="1:16">
      <c r="A723" s="859"/>
      <c r="B723" s="859"/>
      <c r="C723" s="859"/>
      <c r="D723" s="859"/>
      <c r="E723" s="859"/>
      <c r="F723" s="859"/>
      <c r="G723" s="859"/>
      <c r="H723" s="861"/>
      <c r="I723" s="859"/>
      <c r="J723" s="859"/>
      <c r="K723" s="862"/>
      <c r="L723" s="859"/>
      <c r="M723" s="859"/>
      <c r="N723" s="859"/>
      <c r="P723" s="859"/>
    </row>
    <row r="724" spans="1:16">
      <c r="A724" s="859"/>
      <c r="B724" s="859"/>
      <c r="C724" s="859"/>
      <c r="D724" s="859"/>
      <c r="E724" s="859"/>
      <c r="F724" s="859"/>
      <c r="G724" s="859"/>
      <c r="H724" s="861"/>
      <c r="I724" s="859"/>
      <c r="J724" s="859"/>
      <c r="K724" s="862"/>
      <c r="L724" s="859"/>
      <c r="M724" s="859"/>
      <c r="N724" s="859"/>
      <c r="P724" s="859"/>
    </row>
    <row r="725" spans="1:16">
      <c r="A725" s="859"/>
      <c r="B725" s="859"/>
      <c r="C725" s="859"/>
      <c r="D725" s="859"/>
      <c r="E725" s="859"/>
      <c r="F725" s="859"/>
      <c r="G725" s="859"/>
      <c r="H725" s="861"/>
      <c r="I725" s="859"/>
      <c r="J725" s="859"/>
      <c r="K725" s="862"/>
      <c r="L725" s="859"/>
      <c r="M725" s="859"/>
      <c r="N725" s="859"/>
      <c r="P725" s="859"/>
    </row>
    <row r="726" spans="1:16">
      <c r="A726" s="859"/>
      <c r="B726" s="859"/>
      <c r="C726" s="859"/>
      <c r="D726" s="859"/>
      <c r="E726" s="859"/>
      <c r="F726" s="859"/>
      <c r="G726" s="859"/>
      <c r="H726" s="861"/>
      <c r="I726" s="859"/>
      <c r="J726" s="859"/>
      <c r="K726" s="862"/>
      <c r="L726" s="859"/>
      <c r="M726" s="859"/>
      <c r="N726" s="859"/>
      <c r="P726" s="859"/>
    </row>
    <row r="727" spans="1:16">
      <c r="A727" s="859"/>
      <c r="B727" s="859"/>
      <c r="C727" s="859"/>
      <c r="D727" s="859"/>
      <c r="E727" s="859"/>
      <c r="F727" s="859"/>
      <c r="G727" s="859"/>
      <c r="H727" s="861"/>
      <c r="I727" s="859"/>
      <c r="J727" s="859"/>
      <c r="K727" s="862"/>
      <c r="L727" s="859"/>
      <c r="M727" s="859"/>
      <c r="N727" s="859"/>
      <c r="P727" s="859"/>
    </row>
    <row r="728" spans="1:16">
      <c r="A728" s="859"/>
      <c r="B728" s="859"/>
      <c r="C728" s="859"/>
      <c r="D728" s="859"/>
      <c r="E728" s="859"/>
      <c r="F728" s="859"/>
      <c r="G728" s="859"/>
      <c r="H728" s="861"/>
      <c r="I728" s="859"/>
      <c r="J728" s="859"/>
      <c r="K728" s="862"/>
      <c r="L728" s="859"/>
      <c r="M728" s="859"/>
      <c r="N728" s="859"/>
      <c r="P728" s="859"/>
    </row>
    <row r="729" spans="1:16">
      <c r="A729" s="859"/>
      <c r="B729" s="859"/>
      <c r="C729" s="859"/>
      <c r="D729" s="859"/>
      <c r="E729" s="859"/>
      <c r="F729" s="859"/>
      <c r="G729" s="859"/>
      <c r="H729" s="861"/>
      <c r="I729" s="859"/>
      <c r="J729" s="859"/>
      <c r="K729" s="862"/>
      <c r="L729" s="859"/>
      <c r="M729" s="859"/>
      <c r="N729" s="859"/>
      <c r="P729" s="859"/>
    </row>
    <row r="730" spans="1:16">
      <c r="A730" s="859"/>
      <c r="B730" s="859"/>
      <c r="C730" s="859"/>
      <c r="D730" s="859"/>
      <c r="E730" s="859"/>
      <c r="F730" s="859"/>
      <c r="G730" s="859"/>
      <c r="H730" s="861"/>
      <c r="I730" s="859"/>
      <c r="J730" s="859"/>
      <c r="K730" s="862"/>
      <c r="L730" s="859"/>
      <c r="M730" s="859"/>
      <c r="N730" s="859"/>
      <c r="P730" s="859"/>
    </row>
    <row r="731" spans="1:16">
      <c r="A731" s="859"/>
      <c r="B731" s="859"/>
      <c r="C731" s="859"/>
      <c r="D731" s="859"/>
      <c r="E731" s="859"/>
      <c r="F731" s="859"/>
      <c r="G731" s="859"/>
      <c r="H731" s="861"/>
      <c r="I731" s="859"/>
      <c r="J731" s="859"/>
      <c r="K731" s="862"/>
      <c r="L731" s="859"/>
      <c r="M731" s="859"/>
      <c r="N731" s="859"/>
      <c r="P731" s="859"/>
    </row>
    <row r="732" spans="1:16">
      <c r="A732" s="859"/>
      <c r="B732" s="859"/>
      <c r="C732" s="859"/>
      <c r="D732" s="859"/>
      <c r="E732" s="859"/>
      <c r="F732" s="859"/>
      <c r="G732" s="859"/>
      <c r="H732" s="861"/>
      <c r="I732" s="859"/>
      <c r="J732" s="859"/>
      <c r="K732" s="862"/>
      <c r="L732" s="859"/>
      <c r="M732" s="859"/>
      <c r="N732" s="859"/>
      <c r="P732" s="859"/>
    </row>
    <row r="733" spans="1:16">
      <c r="A733" s="859"/>
      <c r="B733" s="859"/>
      <c r="C733" s="859"/>
      <c r="D733" s="859"/>
      <c r="E733" s="859"/>
      <c r="F733" s="859"/>
      <c r="G733" s="859"/>
      <c r="H733" s="861"/>
      <c r="I733" s="859"/>
      <c r="J733" s="859"/>
      <c r="K733" s="862"/>
      <c r="L733" s="859"/>
      <c r="M733" s="859"/>
      <c r="N733" s="859"/>
      <c r="P733" s="859"/>
    </row>
    <row r="734" spans="1:16">
      <c r="A734" s="859"/>
      <c r="B734" s="859"/>
      <c r="C734" s="859"/>
      <c r="D734" s="859"/>
      <c r="E734" s="859"/>
      <c r="F734" s="859"/>
      <c r="G734" s="859"/>
      <c r="H734" s="861"/>
      <c r="I734" s="859"/>
      <c r="J734" s="859"/>
      <c r="K734" s="862"/>
      <c r="L734" s="859"/>
      <c r="M734" s="859"/>
      <c r="N734" s="859"/>
      <c r="P734" s="859"/>
    </row>
    <row r="735" spans="1:16">
      <c r="A735" s="859"/>
      <c r="B735" s="859"/>
      <c r="C735" s="859"/>
      <c r="D735" s="859"/>
      <c r="E735" s="859"/>
      <c r="F735" s="859"/>
      <c r="G735" s="859"/>
      <c r="H735" s="861"/>
      <c r="I735" s="859"/>
      <c r="J735" s="859"/>
      <c r="K735" s="862"/>
      <c r="L735" s="859"/>
      <c r="M735" s="859"/>
      <c r="N735" s="859"/>
      <c r="P735" s="859"/>
    </row>
    <row r="736" spans="1:16">
      <c r="A736" s="859"/>
      <c r="B736" s="859"/>
      <c r="C736" s="859"/>
      <c r="D736" s="859"/>
      <c r="E736" s="859"/>
      <c r="F736" s="859"/>
      <c r="G736" s="859"/>
      <c r="H736" s="861"/>
      <c r="I736" s="859"/>
      <c r="J736" s="859"/>
      <c r="K736" s="862"/>
      <c r="L736" s="859"/>
      <c r="M736" s="859"/>
      <c r="N736" s="859"/>
      <c r="P736" s="859"/>
    </row>
    <row r="737" spans="1:16">
      <c r="A737" s="859"/>
      <c r="B737" s="859"/>
      <c r="C737" s="859"/>
      <c r="D737" s="859"/>
      <c r="E737" s="859"/>
      <c r="F737" s="859"/>
      <c r="G737" s="859"/>
      <c r="H737" s="861"/>
      <c r="I737" s="859"/>
      <c r="J737" s="859"/>
      <c r="K737" s="862"/>
      <c r="L737" s="859"/>
      <c r="M737" s="859"/>
      <c r="N737" s="859"/>
      <c r="P737" s="859"/>
    </row>
    <row r="738" spans="1:16">
      <c r="A738" s="859"/>
      <c r="B738" s="859"/>
      <c r="C738" s="859"/>
      <c r="D738" s="859"/>
      <c r="E738" s="859"/>
      <c r="F738" s="859"/>
      <c r="G738" s="859"/>
      <c r="H738" s="861"/>
      <c r="I738" s="859"/>
      <c r="J738" s="859"/>
      <c r="K738" s="862"/>
      <c r="L738" s="859"/>
      <c r="M738" s="859"/>
      <c r="N738" s="859"/>
      <c r="P738" s="859"/>
    </row>
    <row r="739" spans="1:16">
      <c r="A739" s="859"/>
      <c r="B739" s="859"/>
      <c r="C739" s="859"/>
      <c r="D739" s="859"/>
      <c r="E739" s="859"/>
      <c r="F739" s="859"/>
      <c r="G739" s="859"/>
      <c r="H739" s="861"/>
      <c r="I739" s="859"/>
      <c r="J739" s="859"/>
      <c r="K739" s="862"/>
      <c r="L739" s="859"/>
      <c r="M739" s="859"/>
      <c r="N739" s="859"/>
      <c r="P739" s="859"/>
    </row>
    <row r="740" spans="1:16">
      <c r="A740" s="859"/>
      <c r="B740" s="859"/>
      <c r="C740" s="859"/>
      <c r="D740" s="859"/>
      <c r="E740" s="859"/>
      <c r="F740" s="859"/>
      <c r="G740" s="859"/>
      <c r="H740" s="861"/>
      <c r="I740" s="859"/>
      <c r="J740" s="859"/>
      <c r="K740" s="862"/>
      <c r="L740" s="859"/>
      <c r="M740" s="859"/>
      <c r="N740" s="859"/>
      <c r="P740" s="859"/>
    </row>
    <row r="741" spans="1:16">
      <c r="A741" s="859"/>
      <c r="B741" s="859"/>
      <c r="C741" s="859"/>
      <c r="D741" s="859"/>
      <c r="E741" s="859"/>
      <c r="F741" s="859"/>
      <c r="G741" s="859"/>
      <c r="H741" s="861"/>
      <c r="I741" s="859"/>
      <c r="J741" s="859"/>
      <c r="K741" s="862"/>
      <c r="L741" s="859"/>
      <c r="M741" s="859"/>
      <c r="N741" s="859"/>
      <c r="P741" s="859"/>
    </row>
    <row r="742" spans="1:16">
      <c r="A742" s="859"/>
      <c r="B742" s="859"/>
      <c r="C742" s="859"/>
      <c r="D742" s="859"/>
      <c r="E742" s="859"/>
      <c r="F742" s="859"/>
      <c r="G742" s="859"/>
      <c r="H742" s="861"/>
      <c r="I742" s="859"/>
      <c r="J742" s="859"/>
      <c r="K742" s="862"/>
      <c r="L742" s="859"/>
      <c r="M742" s="859"/>
      <c r="N742" s="859"/>
      <c r="P742" s="859"/>
    </row>
    <row r="743" spans="1:16">
      <c r="A743" s="859"/>
      <c r="B743" s="859"/>
      <c r="C743" s="859"/>
      <c r="D743" s="859"/>
      <c r="E743" s="859"/>
      <c r="F743" s="859"/>
      <c r="G743" s="859"/>
      <c r="H743" s="861"/>
      <c r="I743" s="859"/>
      <c r="J743" s="859"/>
      <c r="K743" s="862"/>
      <c r="L743" s="859"/>
      <c r="M743" s="859"/>
      <c r="N743" s="859"/>
      <c r="P743" s="859"/>
    </row>
    <row r="744" spans="1:16">
      <c r="A744" s="859"/>
      <c r="B744" s="859"/>
      <c r="C744" s="859"/>
      <c r="D744" s="859"/>
      <c r="E744" s="859"/>
      <c r="F744" s="859"/>
      <c r="G744" s="859"/>
      <c r="H744" s="861"/>
      <c r="I744" s="859"/>
      <c r="J744" s="859"/>
      <c r="K744" s="862"/>
      <c r="L744" s="859"/>
      <c r="M744" s="859"/>
      <c r="N744" s="859"/>
      <c r="P744" s="859"/>
    </row>
    <row r="745" spans="1:16">
      <c r="A745" s="859"/>
      <c r="B745" s="859"/>
      <c r="C745" s="859"/>
      <c r="D745" s="859"/>
      <c r="E745" s="859"/>
      <c r="F745" s="859"/>
      <c r="G745" s="859"/>
      <c r="H745" s="861"/>
      <c r="I745" s="859"/>
      <c r="J745" s="859"/>
      <c r="K745" s="862"/>
      <c r="L745" s="859"/>
      <c r="M745" s="859"/>
      <c r="N745" s="859"/>
      <c r="P745" s="859"/>
    </row>
    <row r="746" spans="1:16">
      <c r="A746" s="859"/>
      <c r="B746" s="859"/>
      <c r="C746" s="859"/>
      <c r="D746" s="859"/>
      <c r="E746" s="859"/>
      <c r="F746" s="859"/>
      <c r="G746" s="859"/>
      <c r="H746" s="861"/>
      <c r="I746" s="859"/>
      <c r="J746" s="859"/>
      <c r="K746" s="862"/>
      <c r="L746" s="859"/>
      <c r="M746" s="859"/>
      <c r="N746" s="859"/>
      <c r="P746" s="859"/>
    </row>
    <row r="747" spans="1:16">
      <c r="A747" s="859"/>
      <c r="B747" s="859"/>
      <c r="C747" s="859"/>
      <c r="D747" s="859"/>
      <c r="E747" s="859"/>
      <c r="F747" s="859"/>
      <c r="G747" s="859"/>
      <c r="H747" s="861"/>
      <c r="I747" s="859"/>
      <c r="J747" s="859"/>
      <c r="K747" s="862"/>
      <c r="L747" s="859"/>
      <c r="M747" s="859"/>
      <c r="N747" s="859"/>
      <c r="P747" s="859"/>
    </row>
    <row r="748" spans="1:16">
      <c r="A748" s="859"/>
      <c r="B748" s="859"/>
      <c r="C748" s="859"/>
      <c r="D748" s="859"/>
      <c r="E748" s="859"/>
      <c r="F748" s="859"/>
      <c r="G748" s="859"/>
      <c r="H748" s="861"/>
      <c r="I748" s="859"/>
      <c r="J748" s="859"/>
      <c r="K748" s="862"/>
      <c r="L748" s="859"/>
      <c r="M748" s="859"/>
      <c r="N748" s="859"/>
      <c r="P748" s="859"/>
    </row>
    <row r="749" spans="1:16">
      <c r="A749" s="859"/>
      <c r="B749" s="859"/>
      <c r="C749" s="859"/>
      <c r="D749" s="859"/>
      <c r="E749" s="859"/>
      <c r="F749" s="859"/>
      <c r="G749" s="859"/>
      <c r="H749" s="861"/>
      <c r="I749" s="859"/>
      <c r="J749" s="859"/>
      <c r="K749" s="862"/>
      <c r="L749" s="859"/>
      <c r="M749" s="859"/>
      <c r="N749" s="859"/>
      <c r="P749" s="859"/>
    </row>
    <row r="750" spans="1:16">
      <c r="A750" s="859"/>
      <c r="B750" s="859"/>
      <c r="C750" s="859"/>
      <c r="D750" s="859"/>
      <c r="E750" s="859"/>
      <c r="F750" s="859"/>
      <c r="G750" s="859"/>
      <c r="H750" s="861"/>
      <c r="I750" s="859"/>
      <c r="J750" s="859"/>
      <c r="K750" s="862"/>
      <c r="L750" s="859"/>
      <c r="M750" s="859"/>
      <c r="N750" s="859"/>
      <c r="P750" s="859"/>
    </row>
    <row r="751" spans="1:16">
      <c r="A751" s="859"/>
      <c r="B751" s="859"/>
      <c r="C751" s="859"/>
      <c r="D751" s="859"/>
      <c r="E751" s="859"/>
      <c r="F751" s="859"/>
      <c r="G751" s="859"/>
      <c r="H751" s="861"/>
      <c r="I751" s="859"/>
      <c r="J751" s="859"/>
      <c r="K751" s="862"/>
      <c r="L751" s="859"/>
      <c r="M751" s="859"/>
      <c r="N751" s="859"/>
      <c r="P751" s="859"/>
    </row>
    <row r="752" spans="1:16">
      <c r="A752" s="859"/>
      <c r="B752" s="859"/>
      <c r="C752" s="859"/>
      <c r="D752" s="859"/>
      <c r="E752" s="859"/>
      <c r="F752" s="859"/>
      <c r="G752" s="859"/>
      <c r="H752" s="861"/>
      <c r="I752" s="859"/>
      <c r="J752" s="859"/>
      <c r="K752" s="862"/>
      <c r="L752" s="859"/>
      <c r="M752" s="859"/>
      <c r="N752" s="859"/>
      <c r="P752" s="859"/>
    </row>
    <row r="753" spans="1:16">
      <c r="A753" s="859"/>
      <c r="B753" s="859"/>
      <c r="C753" s="859"/>
      <c r="D753" s="859"/>
      <c r="E753" s="859"/>
      <c r="F753" s="859"/>
      <c r="G753" s="859"/>
      <c r="H753" s="861"/>
      <c r="I753" s="859"/>
      <c r="J753" s="859"/>
      <c r="K753" s="862"/>
      <c r="L753" s="859"/>
      <c r="M753" s="859"/>
      <c r="N753" s="859"/>
      <c r="P753" s="859"/>
    </row>
    <row r="754" spans="1:16">
      <c r="A754" s="859"/>
      <c r="B754" s="859"/>
      <c r="C754" s="859"/>
      <c r="D754" s="859"/>
      <c r="E754" s="859"/>
      <c r="F754" s="859"/>
      <c r="G754" s="859"/>
      <c r="H754" s="861"/>
      <c r="I754" s="859"/>
      <c r="J754" s="859"/>
      <c r="K754" s="862"/>
      <c r="L754" s="859"/>
      <c r="M754" s="859"/>
      <c r="N754" s="859"/>
      <c r="P754" s="859"/>
    </row>
    <row r="755" spans="1:16">
      <c r="A755" s="859"/>
      <c r="B755" s="859"/>
      <c r="C755" s="859"/>
      <c r="D755" s="859"/>
      <c r="E755" s="859"/>
      <c r="F755" s="859"/>
      <c r="G755" s="859"/>
      <c r="H755" s="861"/>
      <c r="I755" s="859"/>
      <c r="J755" s="859"/>
      <c r="K755" s="862"/>
      <c r="L755" s="859"/>
      <c r="M755" s="859"/>
      <c r="N755" s="859"/>
      <c r="P755" s="859"/>
    </row>
    <row r="756" spans="1:16">
      <c r="A756" s="859"/>
      <c r="B756" s="859"/>
      <c r="C756" s="859"/>
      <c r="D756" s="859"/>
      <c r="E756" s="859"/>
      <c r="F756" s="859"/>
      <c r="G756" s="859"/>
      <c r="H756" s="861"/>
      <c r="I756" s="859"/>
      <c r="J756" s="859"/>
      <c r="K756" s="862"/>
      <c r="L756" s="859"/>
      <c r="M756" s="859"/>
      <c r="N756" s="859"/>
      <c r="P756" s="859"/>
    </row>
    <row r="757" spans="1:16">
      <c r="A757" s="859"/>
      <c r="B757" s="859"/>
      <c r="C757" s="859"/>
      <c r="D757" s="859"/>
      <c r="E757" s="859"/>
      <c r="F757" s="859"/>
      <c r="G757" s="859"/>
      <c r="H757" s="861"/>
      <c r="I757" s="859"/>
      <c r="J757" s="859"/>
      <c r="K757" s="862"/>
      <c r="L757" s="859"/>
      <c r="M757" s="859"/>
      <c r="N757" s="859"/>
      <c r="P757" s="859"/>
    </row>
    <row r="758" spans="1:16">
      <c r="A758" s="859"/>
      <c r="B758" s="859"/>
      <c r="C758" s="859"/>
      <c r="D758" s="859"/>
      <c r="E758" s="859"/>
      <c r="F758" s="859"/>
      <c r="G758" s="859"/>
      <c r="H758" s="861"/>
      <c r="I758" s="859"/>
      <c r="J758" s="859"/>
      <c r="K758" s="862"/>
      <c r="L758" s="859"/>
      <c r="M758" s="859"/>
      <c r="N758" s="859"/>
      <c r="P758" s="859"/>
    </row>
    <row r="759" spans="1:16">
      <c r="A759" s="859"/>
      <c r="B759" s="859"/>
      <c r="C759" s="859"/>
      <c r="D759" s="859"/>
      <c r="E759" s="859"/>
      <c r="F759" s="859"/>
      <c r="G759" s="859"/>
      <c r="H759" s="861"/>
      <c r="I759" s="859"/>
      <c r="J759" s="859"/>
      <c r="K759" s="862"/>
      <c r="L759" s="859"/>
      <c r="M759" s="859"/>
      <c r="N759" s="859"/>
      <c r="P759" s="859"/>
    </row>
    <row r="760" spans="1:16">
      <c r="A760" s="859"/>
      <c r="B760" s="859"/>
      <c r="C760" s="859"/>
      <c r="D760" s="859"/>
      <c r="E760" s="859"/>
      <c r="F760" s="859"/>
      <c r="G760" s="859"/>
      <c r="H760" s="861"/>
      <c r="I760" s="859"/>
      <c r="J760" s="859"/>
      <c r="K760" s="862"/>
      <c r="L760" s="859"/>
      <c r="M760" s="859"/>
      <c r="N760" s="859"/>
      <c r="P760" s="859"/>
    </row>
    <row r="761" spans="1:16">
      <c r="A761" s="859"/>
      <c r="B761" s="859"/>
      <c r="C761" s="859"/>
      <c r="D761" s="859"/>
      <c r="E761" s="859"/>
      <c r="F761" s="859"/>
      <c r="G761" s="859"/>
      <c r="H761" s="861"/>
      <c r="I761" s="859"/>
      <c r="J761" s="859"/>
      <c r="K761" s="862"/>
      <c r="L761" s="859"/>
      <c r="M761" s="859"/>
      <c r="N761" s="859"/>
      <c r="P761" s="859"/>
    </row>
    <row r="762" spans="1:16">
      <c r="A762" s="859"/>
      <c r="B762" s="859"/>
      <c r="C762" s="859"/>
      <c r="D762" s="859"/>
      <c r="E762" s="859"/>
      <c r="F762" s="859"/>
      <c r="G762" s="859"/>
      <c r="H762" s="861"/>
      <c r="I762" s="859"/>
      <c r="J762" s="859"/>
      <c r="K762" s="862"/>
      <c r="L762" s="859"/>
      <c r="M762" s="859"/>
      <c r="N762" s="859"/>
      <c r="P762" s="859"/>
    </row>
    <row r="763" spans="1:16">
      <c r="A763" s="859"/>
      <c r="B763" s="859"/>
      <c r="C763" s="859"/>
      <c r="D763" s="859"/>
      <c r="E763" s="859"/>
      <c r="F763" s="859"/>
      <c r="G763" s="859"/>
      <c r="H763" s="861"/>
      <c r="I763" s="859"/>
      <c r="J763" s="859"/>
      <c r="K763" s="862"/>
      <c r="L763" s="859"/>
      <c r="M763" s="859"/>
      <c r="N763" s="859"/>
      <c r="P763" s="859"/>
    </row>
    <row r="764" spans="1:16">
      <c r="A764" s="859"/>
      <c r="B764" s="859"/>
      <c r="C764" s="859"/>
      <c r="D764" s="859"/>
      <c r="E764" s="859"/>
      <c r="F764" s="859"/>
      <c r="G764" s="859"/>
      <c r="H764" s="861"/>
      <c r="I764" s="859"/>
      <c r="J764" s="859"/>
      <c r="K764" s="862"/>
      <c r="L764" s="859"/>
      <c r="M764" s="859"/>
      <c r="N764" s="859"/>
      <c r="P764" s="859"/>
    </row>
    <row r="765" spans="1:16">
      <c r="A765" s="859"/>
      <c r="B765" s="859"/>
      <c r="C765" s="859"/>
      <c r="D765" s="859"/>
      <c r="E765" s="859"/>
      <c r="F765" s="859"/>
      <c r="G765" s="859"/>
      <c r="H765" s="861"/>
      <c r="I765" s="859"/>
      <c r="J765" s="859"/>
      <c r="K765" s="862"/>
      <c r="L765" s="859"/>
      <c r="M765" s="859"/>
      <c r="N765" s="859"/>
      <c r="P765" s="859"/>
    </row>
    <row r="766" spans="1:16">
      <c r="A766" s="859"/>
      <c r="B766" s="859"/>
      <c r="C766" s="859"/>
      <c r="D766" s="859"/>
      <c r="E766" s="859"/>
      <c r="F766" s="859"/>
      <c r="G766" s="859"/>
      <c r="H766" s="861"/>
      <c r="I766" s="859"/>
      <c r="J766" s="859"/>
      <c r="K766" s="862"/>
      <c r="L766" s="859"/>
      <c r="M766" s="859"/>
      <c r="N766" s="859"/>
      <c r="P766" s="859"/>
    </row>
    <row r="767" spans="1:16">
      <c r="A767" s="859"/>
      <c r="B767" s="859"/>
      <c r="C767" s="859"/>
      <c r="D767" s="859"/>
      <c r="E767" s="859"/>
      <c r="F767" s="859"/>
      <c r="G767" s="859"/>
      <c r="H767" s="861"/>
      <c r="I767" s="859"/>
      <c r="J767" s="859"/>
      <c r="K767" s="862"/>
      <c r="L767" s="859"/>
      <c r="M767" s="859"/>
      <c r="N767" s="859"/>
      <c r="P767" s="859"/>
    </row>
    <row r="768" spans="1:16">
      <c r="A768" s="859"/>
      <c r="B768" s="859"/>
      <c r="C768" s="859"/>
      <c r="D768" s="859"/>
      <c r="E768" s="859"/>
      <c r="F768" s="859"/>
      <c r="G768" s="859"/>
      <c r="H768" s="861"/>
      <c r="I768" s="859"/>
      <c r="J768" s="859"/>
      <c r="K768" s="862"/>
      <c r="L768" s="859"/>
      <c r="M768" s="859"/>
      <c r="N768" s="859"/>
      <c r="P768" s="859"/>
    </row>
    <row r="769" spans="1:16">
      <c r="A769" s="859"/>
      <c r="B769" s="859"/>
      <c r="C769" s="859"/>
      <c r="D769" s="859"/>
      <c r="E769" s="859"/>
      <c r="F769" s="859"/>
      <c r="G769" s="859"/>
      <c r="H769" s="861"/>
      <c r="I769" s="859"/>
      <c r="J769" s="859"/>
      <c r="K769" s="862"/>
      <c r="L769" s="859"/>
      <c r="M769" s="859"/>
      <c r="N769" s="859"/>
      <c r="P769" s="859"/>
    </row>
    <row r="770" spans="1:16">
      <c r="A770" s="859"/>
      <c r="B770" s="859"/>
      <c r="C770" s="859"/>
      <c r="D770" s="859"/>
      <c r="E770" s="859"/>
      <c r="F770" s="859"/>
      <c r="G770" s="859"/>
      <c r="H770" s="861"/>
      <c r="I770" s="859"/>
      <c r="J770" s="859"/>
      <c r="K770" s="862"/>
      <c r="L770" s="859"/>
      <c r="M770" s="859"/>
      <c r="N770" s="859"/>
      <c r="P770" s="859"/>
    </row>
    <row r="771" spans="1:16">
      <c r="A771" s="859"/>
      <c r="B771" s="859"/>
      <c r="C771" s="859"/>
      <c r="D771" s="859"/>
      <c r="E771" s="859"/>
      <c r="F771" s="859"/>
      <c r="G771" s="859"/>
      <c r="H771" s="861"/>
      <c r="I771" s="859"/>
      <c r="J771" s="859"/>
      <c r="K771" s="862"/>
      <c r="L771" s="859"/>
      <c r="M771" s="859"/>
      <c r="N771" s="859"/>
      <c r="P771" s="859"/>
    </row>
    <row r="772" spans="1:16">
      <c r="A772" s="859"/>
      <c r="B772" s="859"/>
      <c r="C772" s="859"/>
      <c r="D772" s="859"/>
      <c r="E772" s="859"/>
      <c r="F772" s="859"/>
      <c r="G772" s="859"/>
      <c r="H772" s="861"/>
      <c r="I772" s="859"/>
      <c r="J772" s="859"/>
      <c r="K772" s="862"/>
      <c r="L772" s="859"/>
      <c r="M772" s="859"/>
      <c r="N772" s="859"/>
      <c r="P772" s="859"/>
    </row>
    <row r="773" spans="1:16">
      <c r="A773" s="859"/>
      <c r="B773" s="859"/>
      <c r="C773" s="859"/>
      <c r="D773" s="859"/>
      <c r="E773" s="859"/>
      <c r="F773" s="859"/>
      <c r="G773" s="859"/>
      <c r="H773" s="861"/>
      <c r="I773" s="859"/>
      <c r="J773" s="859"/>
      <c r="K773" s="862"/>
      <c r="L773" s="859"/>
      <c r="M773" s="859"/>
      <c r="N773" s="859"/>
      <c r="P773" s="859"/>
    </row>
    <row r="774" spans="1:16">
      <c r="A774" s="859"/>
      <c r="B774" s="859"/>
      <c r="C774" s="859"/>
      <c r="D774" s="859"/>
      <c r="E774" s="859"/>
      <c r="F774" s="859"/>
      <c r="G774" s="859"/>
      <c r="H774" s="861"/>
      <c r="I774" s="859"/>
      <c r="J774" s="859"/>
      <c r="K774" s="862"/>
      <c r="L774" s="859"/>
      <c r="M774" s="859"/>
      <c r="N774" s="859"/>
      <c r="P774" s="859"/>
    </row>
    <row r="775" spans="1:16">
      <c r="A775" s="859"/>
      <c r="B775" s="859"/>
      <c r="C775" s="859"/>
      <c r="D775" s="859"/>
      <c r="E775" s="859"/>
      <c r="F775" s="859"/>
      <c r="G775" s="859"/>
      <c r="H775" s="861"/>
      <c r="I775" s="859"/>
      <c r="J775" s="859"/>
      <c r="K775" s="862"/>
      <c r="L775" s="859"/>
      <c r="M775" s="859"/>
      <c r="N775" s="859"/>
      <c r="P775" s="859"/>
    </row>
    <row r="776" spans="1:16">
      <c r="A776" s="859"/>
      <c r="B776" s="859"/>
      <c r="C776" s="859"/>
      <c r="D776" s="859"/>
      <c r="E776" s="859"/>
      <c r="F776" s="859"/>
      <c r="G776" s="859"/>
      <c r="H776" s="861"/>
      <c r="I776" s="859"/>
      <c r="J776" s="859"/>
      <c r="K776" s="862"/>
      <c r="L776" s="859"/>
      <c r="M776" s="859"/>
      <c r="N776" s="859"/>
      <c r="P776" s="859"/>
    </row>
    <row r="777" spans="1:16">
      <c r="A777" s="859"/>
      <c r="B777" s="859"/>
      <c r="C777" s="859"/>
      <c r="D777" s="859"/>
      <c r="E777" s="859"/>
      <c r="F777" s="859"/>
      <c r="G777" s="859"/>
      <c r="H777" s="861"/>
      <c r="I777" s="859"/>
      <c r="J777" s="859"/>
      <c r="K777" s="862"/>
      <c r="L777" s="859"/>
      <c r="M777" s="859"/>
      <c r="N777" s="859"/>
      <c r="P777" s="859"/>
    </row>
    <row r="778" spans="1:16">
      <c r="A778" s="859"/>
      <c r="B778" s="859"/>
      <c r="C778" s="859"/>
      <c r="D778" s="859"/>
      <c r="E778" s="859"/>
      <c r="F778" s="859"/>
      <c r="G778" s="859"/>
      <c r="H778" s="861"/>
      <c r="I778" s="859"/>
      <c r="J778" s="859"/>
      <c r="K778" s="862"/>
      <c r="L778" s="859"/>
      <c r="M778" s="859"/>
      <c r="N778" s="859"/>
      <c r="P778" s="859"/>
    </row>
    <row r="779" spans="1:16">
      <c r="A779" s="859"/>
      <c r="B779" s="859"/>
      <c r="C779" s="859"/>
      <c r="D779" s="859"/>
      <c r="E779" s="859"/>
      <c r="F779" s="859"/>
      <c r="G779" s="859"/>
      <c r="H779" s="861"/>
      <c r="I779" s="859"/>
      <c r="J779" s="859"/>
      <c r="K779" s="862"/>
      <c r="L779" s="859"/>
      <c r="M779" s="859"/>
      <c r="N779" s="859"/>
      <c r="P779" s="859"/>
    </row>
    <row r="780" spans="1:16">
      <c r="A780" s="859"/>
      <c r="B780" s="859"/>
      <c r="C780" s="859"/>
      <c r="D780" s="859"/>
      <c r="E780" s="859"/>
      <c r="F780" s="859"/>
      <c r="G780" s="859"/>
      <c r="H780" s="861"/>
      <c r="I780" s="859"/>
      <c r="J780" s="859"/>
      <c r="K780" s="862"/>
      <c r="L780" s="859"/>
      <c r="M780" s="859"/>
      <c r="N780" s="859"/>
      <c r="P780" s="859"/>
    </row>
    <row r="781" spans="1:16">
      <c r="A781" s="859"/>
      <c r="B781" s="859"/>
      <c r="C781" s="859"/>
      <c r="D781" s="859"/>
      <c r="E781" s="859"/>
      <c r="F781" s="859"/>
      <c r="G781" s="859"/>
      <c r="H781" s="861"/>
      <c r="I781" s="859"/>
      <c r="J781" s="859"/>
      <c r="K781" s="862"/>
      <c r="L781" s="859"/>
      <c r="M781" s="859"/>
      <c r="N781" s="859"/>
      <c r="P781" s="859"/>
    </row>
    <row r="782" spans="1:16">
      <c r="A782" s="859"/>
      <c r="B782" s="859"/>
      <c r="C782" s="859"/>
      <c r="D782" s="859"/>
      <c r="E782" s="859"/>
      <c r="F782" s="859"/>
      <c r="G782" s="859"/>
      <c r="H782" s="861"/>
      <c r="I782" s="859"/>
      <c r="J782" s="859"/>
      <c r="K782" s="862"/>
      <c r="L782" s="859"/>
      <c r="M782" s="859"/>
      <c r="N782" s="859"/>
      <c r="P782" s="859"/>
    </row>
    <row r="783" spans="1:16">
      <c r="A783" s="859"/>
      <c r="B783" s="859"/>
      <c r="C783" s="859"/>
      <c r="D783" s="859"/>
      <c r="E783" s="859"/>
      <c r="F783" s="859"/>
      <c r="G783" s="859"/>
      <c r="H783" s="861"/>
      <c r="I783" s="859"/>
      <c r="J783" s="859"/>
      <c r="K783" s="862"/>
      <c r="L783" s="859"/>
      <c r="M783" s="859"/>
      <c r="N783" s="859"/>
      <c r="P783" s="859"/>
    </row>
    <row r="784" spans="1:16">
      <c r="A784" s="859"/>
      <c r="B784" s="859"/>
      <c r="C784" s="859"/>
      <c r="D784" s="859"/>
      <c r="E784" s="859"/>
      <c r="F784" s="859"/>
      <c r="G784" s="859"/>
      <c r="H784" s="861"/>
      <c r="I784" s="859"/>
      <c r="J784" s="859"/>
      <c r="K784" s="862"/>
      <c r="L784" s="859"/>
      <c r="M784" s="859"/>
      <c r="N784" s="859"/>
      <c r="P784" s="859"/>
    </row>
    <row r="785" spans="1:16">
      <c r="A785" s="859"/>
      <c r="B785" s="859"/>
      <c r="C785" s="859"/>
      <c r="D785" s="859"/>
      <c r="E785" s="859"/>
      <c r="F785" s="859"/>
      <c r="G785" s="859"/>
      <c r="H785" s="861"/>
      <c r="I785" s="859"/>
      <c r="J785" s="859"/>
      <c r="K785" s="862"/>
      <c r="L785" s="859"/>
      <c r="M785" s="859"/>
      <c r="N785" s="859"/>
      <c r="P785" s="859"/>
    </row>
    <row r="786" spans="1:16">
      <c r="A786" s="859"/>
      <c r="B786" s="859"/>
      <c r="C786" s="859"/>
      <c r="D786" s="859"/>
      <c r="E786" s="859"/>
      <c r="F786" s="859"/>
      <c r="G786" s="859"/>
      <c r="H786" s="861"/>
      <c r="I786" s="859"/>
      <c r="J786" s="859"/>
      <c r="K786" s="862"/>
      <c r="L786" s="859"/>
      <c r="M786" s="859"/>
      <c r="N786" s="859"/>
      <c r="P786" s="859"/>
    </row>
    <row r="787" spans="1:16">
      <c r="A787" s="859"/>
      <c r="B787" s="859"/>
      <c r="C787" s="859"/>
      <c r="D787" s="859"/>
      <c r="E787" s="859"/>
      <c r="F787" s="859"/>
      <c r="G787" s="859"/>
      <c r="H787" s="861"/>
      <c r="I787" s="859"/>
      <c r="J787" s="859"/>
      <c r="K787" s="862"/>
      <c r="L787" s="859"/>
      <c r="M787" s="859"/>
      <c r="N787" s="859"/>
      <c r="P787" s="859"/>
    </row>
    <row r="788" spans="1:16">
      <c r="A788" s="859"/>
      <c r="B788" s="859"/>
      <c r="C788" s="859"/>
      <c r="D788" s="859"/>
      <c r="E788" s="859"/>
      <c r="F788" s="859"/>
      <c r="G788" s="859"/>
      <c r="H788" s="861"/>
      <c r="I788" s="859"/>
      <c r="J788" s="859"/>
      <c r="K788" s="862"/>
      <c r="L788" s="859"/>
      <c r="M788" s="859"/>
      <c r="N788" s="859"/>
      <c r="P788" s="859"/>
    </row>
    <row r="789" spans="1:16">
      <c r="A789" s="859"/>
      <c r="B789" s="859"/>
      <c r="C789" s="859"/>
      <c r="D789" s="859"/>
      <c r="E789" s="859"/>
      <c r="F789" s="859"/>
      <c r="G789" s="859"/>
      <c r="H789" s="861"/>
      <c r="I789" s="859"/>
      <c r="J789" s="859"/>
      <c r="K789" s="862"/>
      <c r="L789" s="859"/>
      <c r="M789" s="859"/>
      <c r="N789" s="859"/>
      <c r="P789" s="859"/>
    </row>
    <row r="790" spans="1:16">
      <c r="A790" s="859"/>
      <c r="B790" s="859"/>
      <c r="C790" s="859"/>
      <c r="D790" s="859"/>
      <c r="E790" s="859"/>
      <c r="F790" s="859"/>
      <c r="G790" s="859"/>
      <c r="H790" s="861"/>
      <c r="I790" s="859"/>
      <c r="J790" s="859"/>
      <c r="K790" s="862"/>
      <c r="L790" s="859"/>
      <c r="M790" s="859"/>
      <c r="N790" s="859"/>
      <c r="P790" s="859"/>
    </row>
    <row r="791" spans="1:16">
      <c r="A791" s="859"/>
      <c r="B791" s="859"/>
      <c r="C791" s="859"/>
      <c r="D791" s="859"/>
      <c r="E791" s="859"/>
      <c r="F791" s="859"/>
      <c r="G791" s="859"/>
      <c r="H791" s="861"/>
      <c r="I791" s="859"/>
      <c r="J791" s="859"/>
      <c r="K791" s="862"/>
      <c r="L791" s="859"/>
      <c r="M791" s="859"/>
      <c r="N791" s="859"/>
      <c r="P791" s="859"/>
    </row>
    <row r="792" spans="1:16">
      <c r="A792" s="859"/>
      <c r="B792" s="859"/>
      <c r="C792" s="859"/>
      <c r="D792" s="859"/>
      <c r="E792" s="859"/>
      <c r="F792" s="859"/>
      <c r="G792" s="859"/>
      <c r="H792" s="861"/>
      <c r="I792" s="859"/>
      <c r="J792" s="859"/>
      <c r="K792" s="862"/>
      <c r="L792" s="859"/>
      <c r="M792" s="859"/>
      <c r="N792" s="859"/>
      <c r="P792" s="859"/>
    </row>
    <row r="793" spans="1:16">
      <c r="A793" s="859"/>
      <c r="B793" s="859"/>
      <c r="C793" s="859"/>
      <c r="D793" s="859"/>
      <c r="E793" s="859"/>
      <c r="F793" s="859"/>
      <c r="G793" s="859"/>
      <c r="H793" s="861"/>
      <c r="I793" s="859"/>
      <c r="J793" s="859"/>
      <c r="K793" s="862"/>
      <c r="L793" s="859"/>
      <c r="M793" s="859"/>
      <c r="N793" s="859"/>
      <c r="P793" s="859"/>
    </row>
    <row r="794" spans="1:16">
      <c r="A794" s="859"/>
      <c r="B794" s="859"/>
      <c r="C794" s="859"/>
      <c r="D794" s="859"/>
      <c r="E794" s="859"/>
      <c r="F794" s="859"/>
      <c r="G794" s="859"/>
      <c r="H794" s="861"/>
      <c r="I794" s="859"/>
      <c r="J794" s="859"/>
      <c r="K794" s="862"/>
      <c r="L794" s="859"/>
      <c r="M794" s="859"/>
      <c r="N794" s="859"/>
      <c r="P794" s="859"/>
    </row>
    <row r="795" spans="1:16">
      <c r="A795" s="859"/>
      <c r="B795" s="859"/>
      <c r="C795" s="859"/>
      <c r="D795" s="859"/>
      <c r="E795" s="859"/>
      <c r="F795" s="859"/>
      <c r="G795" s="859"/>
      <c r="H795" s="861"/>
      <c r="I795" s="859"/>
      <c r="J795" s="859"/>
      <c r="K795" s="862"/>
      <c r="L795" s="859"/>
      <c r="M795" s="859"/>
      <c r="N795" s="859"/>
      <c r="P795" s="859"/>
    </row>
    <row r="796" spans="1:16">
      <c r="A796" s="859"/>
      <c r="B796" s="859"/>
      <c r="C796" s="859"/>
      <c r="D796" s="859"/>
      <c r="E796" s="859"/>
      <c r="F796" s="859"/>
      <c r="G796" s="859"/>
      <c r="H796" s="861"/>
      <c r="I796" s="859"/>
      <c r="J796" s="859"/>
      <c r="K796" s="862"/>
      <c r="L796" s="859"/>
      <c r="M796" s="859"/>
      <c r="N796" s="859"/>
      <c r="P796" s="859"/>
    </row>
    <row r="797" spans="1:16">
      <c r="A797" s="859"/>
      <c r="B797" s="859"/>
      <c r="C797" s="859"/>
      <c r="D797" s="859"/>
      <c r="E797" s="859"/>
      <c r="F797" s="859"/>
      <c r="G797" s="859"/>
      <c r="H797" s="861"/>
      <c r="I797" s="859"/>
      <c r="J797" s="859"/>
      <c r="K797" s="862"/>
      <c r="L797" s="859"/>
      <c r="M797" s="859"/>
      <c r="N797" s="859"/>
      <c r="P797" s="859"/>
    </row>
    <row r="798" spans="1:16">
      <c r="A798" s="859"/>
      <c r="B798" s="859"/>
      <c r="C798" s="859"/>
      <c r="D798" s="859"/>
      <c r="E798" s="859"/>
      <c r="F798" s="859"/>
      <c r="G798" s="859"/>
      <c r="H798" s="861"/>
      <c r="I798" s="859"/>
      <c r="J798" s="859"/>
      <c r="K798" s="862"/>
      <c r="L798" s="859"/>
      <c r="M798" s="859"/>
      <c r="N798" s="859"/>
      <c r="P798" s="859"/>
    </row>
    <row r="799" spans="1:16">
      <c r="A799" s="859"/>
      <c r="B799" s="859"/>
      <c r="C799" s="859"/>
      <c r="D799" s="859"/>
      <c r="E799" s="859"/>
      <c r="F799" s="859"/>
      <c r="G799" s="859"/>
      <c r="H799" s="861"/>
      <c r="I799" s="859"/>
      <c r="J799" s="859"/>
      <c r="K799" s="862"/>
      <c r="L799" s="859"/>
      <c r="M799" s="859"/>
      <c r="N799" s="859"/>
      <c r="P799" s="859"/>
    </row>
    <row r="800" spans="1:16">
      <c r="A800" s="859"/>
      <c r="B800" s="859"/>
      <c r="C800" s="859"/>
      <c r="D800" s="859"/>
      <c r="E800" s="859"/>
      <c r="F800" s="859"/>
      <c r="G800" s="859"/>
      <c r="H800" s="861"/>
      <c r="I800" s="859"/>
      <c r="J800" s="859"/>
      <c r="K800" s="862"/>
      <c r="L800" s="859"/>
      <c r="M800" s="859"/>
      <c r="N800" s="859"/>
      <c r="P800" s="859"/>
    </row>
    <row r="801" spans="1:16">
      <c r="A801" s="859"/>
      <c r="B801" s="859"/>
      <c r="C801" s="859"/>
      <c r="D801" s="859"/>
      <c r="E801" s="859"/>
      <c r="F801" s="859"/>
      <c r="G801" s="859"/>
      <c r="H801" s="861"/>
      <c r="I801" s="859"/>
      <c r="J801" s="859"/>
      <c r="K801" s="862"/>
      <c r="L801" s="859"/>
      <c r="M801" s="859"/>
      <c r="N801" s="859"/>
      <c r="P801" s="859"/>
    </row>
    <row r="802" spans="1:16">
      <c r="A802" s="859"/>
      <c r="B802" s="859"/>
      <c r="C802" s="859"/>
      <c r="D802" s="859"/>
      <c r="E802" s="859"/>
      <c r="F802" s="859"/>
      <c r="G802" s="859"/>
      <c r="H802" s="861"/>
      <c r="I802" s="859"/>
      <c r="J802" s="859"/>
      <c r="K802" s="862"/>
      <c r="L802" s="859"/>
      <c r="M802" s="859"/>
      <c r="N802" s="859"/>
      <c r="P802" s="859"/>
    </row>
    <row r="803" spans="1:16">
      <c r="A803" s="859"/>
      <c r="B803" s="859"/>
      <c r="C803" s="859"/>
      <c r="D803" s="859"/>
      <c r="E803" s="859"/>
      <c r="F803" s="859"/>
      <c r="G803" s="859"/>
      <c r="H803" s="861"/>
      <c r="I803" s="859"/>
      <c r="J803" s="859"/>
      <c r="K803" s="862"/>
      <c r="L803" s="859"/>
      <c r="M803" s="859"/>
      <c r="N803" s="859"/>
      <c r="P803" s="859"/>
    </row>
    <row r="804" spans="1:16">
      <c r="A804" s="859"/>
      <c r="B804" s="859"/>
      <c r="C804" s="859"/>
      <c r="D804" s="859"/>
      <c r="E804" s="859"/>
      <c r="F804" s="859"/>
      <c r="G804" s="859"/>
      <c r="H804" s="861"/>
      <c r="I804" s="859"/>
      <c r="J804" s="859"/>
      <c r="K804" s="862"/>
      <c r="L804" s="859"/>
      <c r="M804" s="859"/>
      <c r="N804" s="859"/>
      <c r="P804" s="859"/>
    </row>
    <row r="805" spans="1:16">
      <c r="A805" s="859"/>
      <c r="B805" s="859"/>
      <c r="C805" s="859"/>
      <c r="D805" s="859"/>
      <c r="E805" s="859"/>
      <c r="F805" s="859"/>
      <c r="G805" s="859"/>
      <c r="H805" s="861"/>
      <c r="I805" s="859"/>
      <c r="J805" s="859"/>
      <c r="K805" s="862"/>
      <c r="L805" s="859"/>
      <c r="M805" s="859"/>
      <c r="N805" s="859"/>
      <c r="P805" s="859"/>
    </row>
    <row r="806" spans="1:16">
      <c r="A806" s="859"/>
      <c r="B806" s="859"/>
      <c r="C806" s="859"/>
      <c r="D806" s="859"/>
      <c r="E806" s="859"/>
      <c r="F806" s="859"/>
      <c r="G806" s="859"/>
      <c r="H806" s="861"/>
      <c r="I806" s="859"/>
      <c r="J806" s="859"/>
      <c r="K806" s="862"/>
      <c r="L806" s="859"/>
      <c r="M806" s="859"/>
      <c r="N806" s="859"/>
      <c r="P806" s="859"/>
    </row>
    <row r="807" spans="1:16">
      <c r="A807" s="859"/>
      <c r="B807" s="859"/>
      <c r="C807" s="859"/>
      <c r="D807" s="859"/>
      <c r="E807" s="859"/>
      <c r="F807" s="859"/>
      <c r="G807" s="859"/>
      <c r="H807" s="861"/>
      <c r="I807" s="859"/>
      <c r="J807" s="859"/>
      <c r="K807" s="862"/>
      <c r="L807" s="859"/>
      <c r="M807" s="859"/>
      <c r="N807" s="859"/>
      <c r="P807" s="859"/>
    </row>
    <row r="808" spans="1:16">
      <c r="A808" s="859"/>
      <c r="B808" s="859"/>
      <c r="C808" s="859"/>
      <c r="D808" s="859"/>
      <c r="E808" s="859"/>
      <c r="F808" s="859"/>
      <c r="G808" s="859"/>
      <c r="H808" s="861"/>
      <c r="I808" s="859"/>
      <c r="J808" s="859"/>
      <c r="K808" s="862"/>
      <c r="L808" s="859"/>
      <c r="M808" s="859"/>
      <c r="N808" s="859"/>
      <c r="P808" s="859"/>
    </row>
    <row r="809" spans="1:16">
      <c r="A809" s="859"/>
      <c r="B809" s="859"/>
      <c r="C809" s="859"/>
      <c r="D809" s="859"/>
      <c r="E809" s="859"/>
      <c r="F809" s="859"/>
      <c r="G809" s="859"/>
      <c r="H809" s="861"/>
      <c r="I809" s="859"/>
      <c r="J809" s="859"/>
      <c r="K809" s="862"/>
      <c r="L809" s="859"/>
      <c r="M809" s="859"/>
      <c r="N809" s="859"/>
      <c r="P809" s="859"/>
    </row>
    <row r="810" spans="1:16">
      <c r="A810" s="859"/>
      <c r="B810" s="859"/>
      <c r="C810" s="859"/>
      <c r="D810" s="859"/>
      <c r="E810" s="859"/>
      <c r="F810" s="859"/>
      <c r="G810" s="859"/>
      <c r="H810" s="861"/>
      <c r="I810" s="859"/>
      <c r="J810" s="859"/>
      <c r="K810" s="862"/>
      <c r="L810" s="859"/>
      <c r="M810" s="859"/>
      <c r="N810" s="859"/>
      <c r="P810" s="859"/>
    </row>
    <row r="811" spans="1:16">
      <c r="A811" s="859"/>
      <c r="B811" s="859"/>
      <c r="C811" s="859"/>
      <c r="D811" s="859"/>
      <c r="E811" s="859"/>
      <c r="F811" s="859"/>
      <c r="G811" s="859"/>
      <c r="H811" s="861"/>
      <c r="I811" s="859"/>
      <c r="J811" s="859"/>
      <c r="K811" s="862"/>
      <c r="L811" s="859"/>
      <c r="M811" s="859"/>
      <c r="N811" s="859"/>
      <c r="P811" s="859"/>
    </row>
    <row r="812" spans="1:16">
      <c r="A812" s="859"/>
      <c r="B812" s="859"/>
      <c r="C812" s="859"/>
      <c r="D812" s="859"/>
      <c r="E812" s="859"/>
      <c r="F812" s="859"/>
      <c r="G812" s="859"/>
      <c r="H812" s="861"/>
      <c r="I812" s="859"/>
      <c r="J812" s="859"/>
      <c r="K812" s="862"/>
      <c r="L812" s="859"/>
      <c r="M812" s="859"/>
      <c r="N812" s="859"/>
      <c r="P812" s="859"/>
    </row>
    <row r="813" spans="1:16">
      <c r="A813" s="859"/>
      <c r="B813" s="859"/>
      <c r="C813" s="859"/>
      <c r="D813" s="859"/>
      <c r="E813" s="859"/>
      <c r="F813" s="859"/>
      <c r="G813" s="859"/>
      <c r="H813" s="861"/>
      <c r="I813" s="859"/>
      <c r="J813" s="859"/>
      <c r="K813" s="862"/>
      <c r="L813" s="859"/>
      <c r="M813" s="859"/>
      <c r="N813" s="859"/>
      <c r="P813" s="859"/>
    </row>
    <row r="814" spans="1:16">
      <c r="A814" s="859"/>
      <c r="B814" s="859"/>
      <c r="C814" s="859"/>
      <c r="D814" s="859"/>
      <c r="E814" s="859"/>
      <c r="F814" s="859"/>
      <c r="G814" s="859"/>
      <c r="H814" s="861"/>
      <c r="I814" s="859"/>
      <c r="J814" s="859"/>
      <c r="K814" s="862"/>
      <c r="L814" s="859"/>
      <c r="M814" s="859"/>
      <c r="N814" s="859"/>
      <c r="P814" s="859"/>
    </row>
    <row r="815" spans="1:16">
      <c r="A815" s="859"/>
      <c r="B815" s="859"/>
      <c r="C815" s="859"/>
      <c r="D815" s="859"/>
      <c r="E815" s="859"/>
      <c r="F815" s="859"/>
      <c r="G815" s="859"/>
      <c r="H815" s="861"/>
      <c r="I815" s="859"/>
      <c r="J815" s="859"/>
      <c r="K815" s="862"/>
      <c r="L815" s="859"/>
      <c r="M815" s="859"/>
      <c r="N815" s="859"/>
      <c r="P815" s="859"/>
    </row>
    <row r="816" spans="1:16">
      <c r="A816" s="859"/>
      <c r="B816" s="859"/>
      <c r="C816" s="859"/>
      <c r="D816" s="859"/>
      <c r="E816" s="859"/>
      <c r="F816" s="859"/>
      <c r="G816" s="859"/>
      <c r="H816" s="861"/>
      <c r="I816" s="859"/>
      <c r="J816" s="859"/>
      <c r="K816" s="862"/>
      <c r="L816" s="859"/>
      <c r="M816" s="859"/>
      <c r="N816" s="859"/>
      <c r="P816" s="859"/>
    </row>
    <row r="817" spans="1:16">
      <c r="A817" s="859"/>
      <c r="B817" s="859"/>
      <c r="C817" s="859"/>
      <c r="D817" s="859"/>
      <c r="E817" s="859"/>
      <c r="F817" s="859"/>
      <c r="G817" s="859"/>
      <c r="H817" s="861"/>
      <c r="I817" s="859"/>
      <c r="J817" s="859"/>
      <c r="K817" s="862"/>
      <c r="L817" s="859"/>
      <c r="M817" s="859"/>
      <c r="N817" s="859"/>
      <c r="P817" s="859"/>
    </row>
    <row r="818" spans="1:16">
      <c r="A818" s="859"/>
      <c r="B818" s="859"/>
      <c r="C818" s="859"/>
      <c r="D818" s="859"/>
      <c r="E818" s="859"/>
      <c r="F818" s="859"/>
      <c r="G818" s="859"/>
      <c r="H818" s="861"/>
      <c r="I818" s="859"/>
      <c r="J818" s="859"/>
      <c r="K818" s="862"/>
      <c r="L818" s="859"/>
      <c r="M818" s="859"/>
      <c r="N818" s="859"/>
      <c r="P818" s="859"/>
    </row>
    <row r="819" spans="1:16">
      <c r="A819" s="859"/>
      <c r="B819" s="859"/>
      <c r="C819" s="859"/>
      <c r="D819" s="859"/>
      <c r="E819" s="859"/>
      <c r="F819" s="859"/>
      <c r="G819" s="859"/>
      <c r="H819" s="861"/>
      <c r="I819" s="859"/>
      <c r="J819" s="859"/>
      <c r="K819" s="862"/>
      <c r="L819" s="859"/>
      <c r="M819" s="859"/>
      <c r="N819" s="859"/>
      <c r="P819" s="859"/>
    </row>
    <row r="820" spans="1:16">
      <c r="A820" s="859"/>
      <c r="B820" s="859"/>
      <c r="C820" s="859"/>
      <c r="D820" s="859"/>
      <c r="E820" s="859"/>
      <c r="F820" s="859"/>
      <c r="G820" s="859"/>
      <c r="H820" s="861"/>
      <c r="I820" s="859"/>
      <c r="J820" s="859"/>
      <c r="K820" s="862"/>
      <c r="L820" s="859"/>
      <c r="M820" s="859"/>
      <c r="N820" s="859"/>
      <c r="P820" s="859"/>
    </row>
    <row r="821" spans="1:16">
      <c r="A821" s="859"/>
      <c r="B821" s="859"/>
      <c r="C821" s="859"/>
      <c r="D821" s="859"/>
      <c r="E821" s="859"/>
      <c r="F821" s="859"/>
      <c r="G821" s="859"/>
      <c r="H821" s="861"/>
      <c r="I821" s="859"/>
      <c r="J821" s="859"/>
      <c r="K821" s="862"/>
      <c r="L821" s="859"/>
      <c r="M821" s="859"/>
      <c r="N821" s="859"/>
      <c r="P821" s="859"/>
    </row>
    <row r="822" spans="1:16">
      <c r="A822" s="859"/>
      <c r="B822" s="859"/>
      <c r="C822" s="859"/>
      <c r="D822" s="859"/>
      <c r="E822" s="859"/>
      <c r="F822" s="859"/>
      <c r="G822" s="859"/>
      <c r="H822" s="861"/>
      <c r="I822" s="859"/>
      <c r="J822" s="859"/>
      <c r="K822" s="862"/>
      <c r="L822" s="859"/>
      <c r="M822" s="859"/>
      <c r="N822" s="859"/>
      <c r="P822" s="859"/>
    </row>
    <row r="823" spans="1:16">
      <c r="A823" s="859"/>
      <c r="B823" s="859"/>
      <c r="C823" s="859"/>
      <c r="D823" s="859"/>
      <c r="E823" s="859"/>
      <c r="F823" s="859"/>
      <c r="G823" s="859"/>
      <c r="H823" s="861"/>
      <c r="I823" s="859"/>
      <c r="J823" s="859"/>
      <c r="K823" s="862"/>
      <c r="L823" s="859"/>
      <c r="M823" s="859"/>
      <c r="N823" s="859"/>
      <c r="P823" s="859"/>
    </row>
    <row r="824" spans="1:16">
      <c r="A824" s="859"/>
      <c r="B824" s="859"/>
      <c r="C824" s="859"/>
      <c r="D824" s="859"/>
      <c r="E824" s="859"/>
      <c r="F824" s="859"/>
      <c r="G824" s="859"/>
      <c r="H824" s="861"/>
      <c r="I824" s="859"/>
      <c r="J824" s="859"/>
      <c r="K824" s="862"/>
      <c r="L824" s="859"/>
      <c r="M824" s="859"/>
      <c r="N824" s="859"/>
      <c r="P824" s="859"/>
    </row>
    <row r="825" spans="1:16">
      <c r="A825" s="859"/>
      <c r="B825" s="859"/>
      <c r="C825" s="859"/>
      <c r="D825" s="859"/>
      <c r="E825" s="859"/>
      <c r="F825" s="859"/>
      <c r="G825" s="859"/>
      <c r="H825" s="861"/>
      <c r="I825" s="859"/>
      <c r="J825" s="859"/>
      <c r="K825" s="862"/>
      <c r="L825" s="859"/>
      <c r="M825" s="859"/>
      <c r="N825" s="859"/>
      <c r="P825" s="859"/>
    </row>
    <row r="826" spans="1:16">
      <c r="A826" s="859"/>
      <c r="B826" s="859"/>
      <c r="C826" s="859"/>
      <c r="D826" s="859"/>
      <c r="E826" s="859"/>
      <c r="F826" s="859"/>
      <c r="G826" s="859"/>
      <c r="H826" s="861"/>
      <c r="I826" s="859"/>
      <c r="J826" s="859"/>
      <c r="K826" s="862"/>
      <c r="L826" s="859"/>
      <c r="M826" s="859"/>
      <c r="N826" s="859"/>
      <c r="P826" s="859"/>
    </row>
    <row r="827" spans="1:16">
      <c r="A827" s="859"/>
      <c r="B827" s="859"/>
      <c r="C827" s="859"/>
      <c r="D827" s="859"/>
      <c r="E827" s="859"/>
      <c r="F827" s="859"/>
      <c r="G827" s="859"/>
      <c r="H827" s="861"/>
      <c r="I827" s="859"/>
      <c r="J827" s="859"/>
      <c r="K827" s="862"/>
      <c r="L827" s="859"/>
      <c r="M827" s="859"/>
      <c r="N827" s="859"/>
      <c r="P827" s="859"/>
    </row>
    <row r="828" spans="1:16">
      <c r="A828" s="859"/>
      <c r="B828" s="859"/>
      <c r="C828" s="859"/>
      <c r="D828" s="859"/>
      <c r="E828" s="859"/>
      <c r="F828" s="859"/>
      <c r="G828" s="859"/>
      <c r="H828" s="861"/>
      <c r="I828" s="859"/>
      <c r="J828" s="859"/>
      <c r="K828" s="862"/>
      <c r="L828" s="859"/>
      <c r="M828" s="859"/>
      <c r="N828" s="859"/>
      <c r="P828" s="859"/>
    </row>
    <row r="829" spans="1:16">
      <c r="A829" s="859"/>
      <c r="B829" s="859"/>
      <c r="C829" s="859"/>
      <c r="D829" s="859"/>
      <c r="E829" s="859"/>
      <c r="F829" s="859"/>
      <c r="G829" s="859"/>
      <c r="H829" s="861"/>
      <c r="I829" s="859"/>
      <c r="J829" s="859"/>
      <c r="K829" s="862"/>
      <c r="L829" s="859"/>
      <c r="M829" s="859"/>
      <c r="N829" s="859"/>
      <c r="P829" s="859"/>
    </row>
    <row r="830" spans="1:16">
      <c r="A830" s="859"/>
      <c r="B830" s="859"/>
      <c r="C830" s="859"/>
      <c r="D830" s="859"/>
      <c r="E830" s="859"/>
      <c r="F830" s="859"/>
      <c r="G830" s="859"/>
      <c r="H830" s="861"/>
      <c r="I830" s="859"/>
      <c r="J830" s="859"/>
      <c r="K830" s="862"/>
      <c r="L830" s="859"/>
      <c r="M830" s="859"/>
      <c r="N830" s="859"/>
      <c r="P830" s="859"/>
    </row>
    <row r="831" spans="1:16">
      <c r="A831" s="859"/>
      <c r="B831" s="859"/>
      <c r="C831" s="859"/>
      <c r="D831" s="859"/>
      <c r="E831" s="859"/>
      <c r="F831" s="859"/>
      <c r="G831" s="859"/>
      <c r="H831" s="861"/>
      <c r="I831" s="859"/>
      <c r="J831" s="859"/>
      <c r="K831" s="862"/>
      <c r="L831" s="859"/>
      <c r="M831" s="859"/>
      <c r="N831" s="859"/>
      <c r="P831" s="859"/>
    </row>
    <row r="832" spans="1:16">
      <c r="A832" s="859"/>
      <c r="B832" s="859"/>
      <c r="C832" s="859"/>
      <c r="D832" s="859"/>
      <c r="E832" s="859"/>
      <c r="F832" s="859"/>
      <c r="G832" s="859"/>
      <c r="H832" s="861"/>
      <c r="I832" s="859"/>
      <c r="J832" s="859"/>
      <c r="K832" s="862"/>
      <c r="L832" s="859"/>
      <c r="M832" s="859"/>
      <c r="N832" s="859"/>
      <c r="P832" s="859"/>
    </row>
    <row r="833" spans="1:16">
      <c r="A833" s="859"/>
      <c r="B833" s="859"/>
      <c r="C833" s="859"/>
      <c r="D833" s="859"/>
      <c r="E833" s="859"/>
      <c r="F833" s="859"/>
      <c r="G833" s="859"/>
      <c r="H833" s="861"/>
      <c r="I833" s="859"/>
      <c r="J833" s="859"/>
      <c r="K833" s="862"/>
      <c r="L833" s="859"/>
      <c r="M833" s="859"/>
      <c r="N833" s="859"/>
      <c r="P833" s="859"/>
    </row>
    <row r="834" spans="1:16">
      <c r="A834" s="859"/>
      <c r="B834" s="859"/>
      <c r="C834" s="859"/>
      <c r="D834" s="859"/>
      <c r="E834" s="859"/>
      <c r="F834" s="859"/>
      <c r="G834" s="859"/>
      <c r="H834" s="861"/>
      <c r="I834" s="859"/>
      <c r="J834" s="859"/>
      <c r="K834" s="862"/>
      <c r="L834" s="859"/>
      <c r="M834" s="859"/>
      <c r="N834" s="859"/>
      <c r="P834" s="859"/>
    </row>
    <row r="835" spans="1:16">
      <c r="A835" s="859"/>
      <c r="B835" s="859"/>
      <c r="C835" s="859"/>
      <c r="D835" s="859"/>
      <c r="E835" s="859"/>
      <c r="F835" s="859"/>
      <c r="G835" s="859"/>
      <c r="H835" s="861"/>
      <c r="I835" s="859"/>
      <c r="J835" s="859"/>
      <c r="K835" s="862"/>
      <c r="L835" s="859"/>
      <c r="M835" s="859"/>
      <c r="N835" s="859"/>
      <c r="P835" s="859"/>
    </row>
    <row r="836" spans="1:16">
      <c r="A836" s="859"/>
      <c r="B836" s="859"/>
      <c r="C836" s="859"/>
      <c r="D836" s="859"/>
      <c r="E836" s="859"/>
      <c r="F836" s="859"/>
      <c r="G836" s="859"/>
      <c r="H836" s="861"/>
      <c r="I836" s="859"/>
      <c r="J836" s="859"/>
      <c r="K836" s="862"/>
      <c r="L836" s="859"/>
      <c r="M836" s="859"/>
      <c r="N836" s="859"/>
      <c r="P836" s="859"/>
    </row>
    <row r="837" spans="1:16">
      <c r="A837" s="859"/>
      <c r="B837" s="859"/>
      <c r="C837" s="859"/>
      <c r="D837" s="859"/>
      <c r="E837" s="859"/>
      <c r="F837" s="859"/>
      <c r="G837" s="859"/>
      <c r="H837" s="861"/>
      <c r="I837" s="859"/>
      <c r="J837" s="859"/>
      <c r="K837" s="862"/>
      <c r="L837" s="859"/>
      <c r="M837" s="859"/>
      <c r="N837" s="859"/>
      <c r="P837" s="859"/>
    </row>
    <row r="838" spans="1:16">
      <c r="A838" s="859"/>
      <c r="B838" s="859"/>
      <c r="C838" s="859"/>
      <c r="D838" s="859"/>
      <c r="E838" s="859"/>
      <c r="F838" s="859"/>
      <c r="G838" s="859"/>
      <c r="H838" s="861"/>
      <c r="I838" s="859"/>
      <c r="J838" s="859"/>
      <c r="K838" s="862"/>
      <c r="L838" s="859"/>
      <c r="M838" s="859"/>
      <c r="N838" s="859"/>
      <c r="P838" s="859"/>
    </row>
    <row r="839" spans="1:16">
      <c r="A839" s="859"/>
      <c r="B839" s="859"/>
      <c r="C839" s="859"/>
      <c r="D839" s="859"/>
      <c r="E839" s="859"/>
      <c r="F839" s="859"/>
      <c r="G839" s="859"/>
      <c r="H839" s="861"/>
      <c r="I839" s="859"/>
      <c r="J839" s="859"/>
      <c r="K839" s="862"/>
      <c r="L839" s="859"/>
      <c r="M839" s="859"/>
      <c r="N839" s="859"/>
      <c r="P839" s="859"/>
    </row>
    <row r="840" spans="1:16">
      <c r="A840" s="859"/>
      <c r="B840" s="859"/>
      <c r="C840" s="859"/>
      <c r="D840" s="859"/>
      <c r="E840" s="859"/>
      <c r="F840" s="859"/>
      <c r="G840" s="859"/>
      <c r="H840" s="861"/>
      <c r="I840" s="859"/>
      <c r="J840" s="859"/>
      <c r="K840" s="862"/>
      <c r="L840" s="859"/>
      <c r="M840" s="859"/>
      <c r="N840" s="859"/>
      <c r="P840" s="859"/>
    </row>
    <row r="841" spans="1:16">
      <c r="A841" s="859"/>
      <c r="B841" s="859"/>
      <c r="C841" s="859"/>
      <c r="D841" s="859"/>
      <c r="E841" s="859"/>
      <c r="F841" s="859"/>
      <c r="G841" s="859"/>
      <c r="H841" s="861"/>
      <c r="I841" s="859"/>
      <c r="J841" s="859"/>
      <c r="K841" s="862"/>
      <c r="L841" s="859"/>
      <c r="M841" s="859"/>
      <c r="N841" s="859"/>
      <c r="P841" s="859"/>
    </row>
    <row r="842" spans="1:16">
      <c r="A842" s="859"/>
      <c r="B842" s="859"/>
      <c r="C842" s="859"/>
      <c r="D842" s="859"/>
      <c r="E842" s="859"/>
      <c r="F842" s="859"/>
      <c r="G842" s="859"/>
      <c r="H842" s="861"/>
      <c r="I842" s="859"/>
      <c r="J842" s="859"/>
      <c r="K842" s="862"/>
      <c r="L842" s="859"/>
      <c r="M842" s="859"/>
      <c r="N842" s="859"/>
      <c r="P842" s="859"/>
    </row>
    <row r="843" spans="1:16">
      <c r="A843" s="859"/>
      <c r="B843" s="859"/>
      <c r="C843" s="859"/>
      <c r="D843" s="859"/>
      <c r="E843" s="859"/>
      <c r="F843" s="859"/>
      <c r="G843" s="859"/>
      <c r="H843" s="861"/>
      <c r="I843" s="859"/>
      <c r="J843" s="859"/>
      <c r="K843" s="862"/>
      <c r="L843" s="859"/>
      <c r="M843" s="859"/>
      <c r="N843" s="859"/>
      <c r="P843" s="859"/>
    </row>
    <row r="844" spans="1:16">
      <c r="A844" s="859"/>
      <c r="B844" s="859"/>
      <c r="C844" s="859"/>
      <c r="D844" s="859"/>
      <c r="E844" s="859"/>
      <c r="F844" s="859"/>
      <c r="G844" s="859"/>
      <c r="H844" s="861"/>
      <c r="I844" s="859"/>
      <c r="J844" s="859"/>
      <c r="K844" s="862"/>
      <c r="L844" s="859"/>
      <c r="M844" s="859"/>
      <c r="N844" s="859"/>
      <c r="P844" s="859"/>
    </row>
    <row r="845" spans="1:16">
      <c r="A845" s="859"/>
      <c r="B845" s="859"/>
      <c r="C845" s="859"/>
      <c r="D845" s="859"/>
      <c r="E845" s="859"/>
      <c r="F845" s="859"/>
      <c r="G845" s="859"/>
      <c r="H845" s="861"/>
      <c r="I845" s="859"/>
      <c r="J845" s="859"/>
      <c r="K845" s="862"/>
      <c r="L845" s="859"/>
      <c r="M845" s="859"/>
      <c r="N845" s="859"/>
      <c r="P845" s="859"/>
    </row>
    <row r="846" spans="1:16">
      <c r="A846" s="859"/>
      <c r="B846" s="859"/>
      <c r="C846" s="859"/>
      <c r="D846" s="859"/>
      <c r="E846" s="859"/>
      <c r="F846" s="859"/>
      <c r="G846" s="859"/>
      <c r="H846" s="861"/>
      <c r="I846" s="859"/>
      <c r="J846" s="859"/>
      <c r="K846" s="862"/>
      <c r="L846" s="859"/>
      <c r="M846" s="859"/>
      <c r="N846" s="859"/>
      <c r="P846" s="859"/>
    </row>
    <row r="847" spans="1:16">
      <c r="A847" s="859"/>
      <c r="B847" s="859"/>
      <c r="C847" s="859"/>
      <c r="D847" s="859"/>
      <c r="E847" s="859"/>
      <c r="F847" s="859"/>
      <c r="G847" s="859"/>
      <c r="H847" s="861"/>
      <c r="I847" s="859"/>
      <c r="J847" s="859"/>
      <c r="K847" s="862"/>
      <c r="L847" s="859"/>
      <c r="M847" s="859"/>
      <c r="N847" s="859"/>
      <c r="P847" s="859"/>
    </row>
    <row r="848" spans="1:16">
      <c r="A848" s="859"/>
      <c r="B848" s="859"/>
      <c r="C848" s="859"/>
      <c r="D848" s="859"/>
      <c r="E848" s="859"/>
      <c r="F848" s="859"/>
      <c r="G848" s="859"/>
      <c r="H848" s="861"/>
      <c r="I848" s="859"/>
      <c r="J848" s="859"/>
      <c r="K848" s="862"/>
      <c r="L848" s="859"/>
      <c r="M848" s="859"/>
      <c r="N848" s="859"/>
      <c r="P848" s="859"/>
    </row>
    <row r="849" spans="1:16">
      <c r="A849" s="859"/>
      <c r="B849" s="859"/>
      <c r="C849" s="859"/>
      <c r="D849" s="859"/>
      <c r="E849" s="859"/>
      <c r="F849" s="859"/>
      <c r="G849" s="859"/>
      <c r="H849" s="861"/>
      <c r="I849" s="859"/>
      <c r="J849" s="859"/>
      <c r="K849" s="862"/>
      <c r="L849" s="859"/>
      <c r="M849" s="859"/>
      <c r="N849" s="859"/>
      <c r="P849" s="859"/>
    </row>
    <row r="850" spans="1:16">
      <c r="A850" s="859"/>
      <c r="B850" s="859"/>
      <c r="C850" s="859"/>
      <c r="D850" s="859"/>
      <c r="E850" s="859"/>
      <c r="F850" s="859"/>
      <c r="G850" s="859"/>
      <c r="H850" s="861"/>
      <c r="I850" s="859"/>
      <c r="J850" s="859"/>
      <c r="K850" s="862"/>
      <c r="L850" s="859"/>
      <c r="M850" s="859"/>
      <c r="N850" s="859"/>
      <c r="P850" s="859"/>
    </row>
    <row r="851" spans="1:16">
      <c r="A851" s="859"/>
      <c r="B851" s="859"/>
      <c r="C851" s="859"/>
      <c r="D851" s="859"/>
      <c r="E851" s="859"/>
      <c r="F851" s="859"/>
      <c r="G851" s="859"/>
      <c r="H851" s="861"/>
      <c r="I851" s="859"/>
      <c r="J851" s="859"/>
      <c r="K851" s="862"/>
      <c r="L851" s="859"/>
      <c r="M851" s="859"/>
      <c r="N851" s="859"/>
      <c r="P851" s="859"/>
    </row>
    <row r="852" spans="1:16">
      <c r="A852" s="859"/>
      <c r="B852" s="859"/>
      <c r="C852" s="859"/>
      <c r="D852" s="859"/>
      <c r="E852" s="859"/>
      <c r="F852" s="859"/>
      <c r="G852" s="859"/>
      <c r="H852" s="861"/>
      <c r="I852" s="859"/>
      <c r="J852" s="859"/>
      <c r="K852" s="862"/>
      <c r="L852" s="859"/>
      <c r="M852" s="859"/>
      <c r="N852" s="859"/>
      <c r="P852" s="859"/>
    </row>
    <row r="853" spans="1:16">
      <c r="A853" s="859"/>
      <c r="B853" s="859"/>
      <c r="C853" s="859"/>
      <c r="D853" s="859"/>
      <c r="E853" s="859"/>
      <c r="F853" s="859"/>
      <c r="G853" s="859"/>
      <c r="H853" s="861"/>
      <c r="I853" s="859"/>
      <c r="J853" s="859"/>
      <c r="K853" s="862"/>
      <c r="L853" s="859"/>
      <c r="M853" s="859"/>
      <c r="N853" s="859"/>
      <c r="P853" s="859"/>
    </row>
    <row r="854" spans="1:16">
      <c r="A854" s="859"/>
      <c r="B854" s="859"/>
      <c r="C854" s="859"/>
      <c r="D854" s="859"/>
      <c r="E854" s="859"/>
      <c r="F854" s="859"/>
      <c r="G854" s="859"/>
      <c r="H854" s="861"/>
      <c r="I854" s="859"/>
      <c r="J854" s="859"/>
      <c r="K854" s="862"/>
      <c r="L854" s="859"/>
      <c r="M854" s="859"/>
      <c r="N854" s="859"/>
      <c r="P854" s="859"/>
    </row>
    <row r="855" spans="1:16">
      <c r="A855" s="859"/>
      <c r="B855" s="859"/>
      <c r="C855" s="859"/>
      <c r="D855" s="859"/>
      <c r="E855" s="859"/>
      <c r="F855" s="859"/>
      <c r="G855" s="859"/>
      <c r="H855" s="861"/>
      <c r="I855" s="859"/>
      <c r="J855" s="859"/>
      <c r="K855" s="862"/>
      <c r="L855" s="859"/>
      <c r="M855" s="859"/>
      <c r="N855" s="859"/>
      <c r="P855" s="859"/>
    </row>
    <row r="856" spans="1:16">
      <c r="A856" s="859"/>
      <c r="B856" s="859"/>
      <c r="C856" s="859"/>
      <c r="D856" s="859"/>
      <c r="E856" s="859"/>
      <c r="F856" s="859"/>
      <c r="G856" s="859"/>
      <c r="H856" s="861"/>
      <c r="I856" s="859"/>
      <c r="J856" s="859"/>
      <c r="K856" s="862"/>
      <c r="L856" s="859"/>
      <c r="M856" s="859"/>
      <c r="N856" s="859"/>
      <c r="P856" s="859"/>
    </row>
    <row r="857" spans="1:16">
      <c r="A857" s="859"/>
      <c r="B857" s="859"/>
      <c r="C857" s="859"/>
      <c r="D857" s="859"/>
      <c r="E857" s="859"/>
      <c r="F857" s="859"/>
      <c r="G857" s="859"/>
      <c r="H857" s="861"/>
      <c r="I857" s="859"/>
      <c r="J857" s="859"/>
      <c r="K857" s="862"/>
      <c r="L857" s="859"/>
      <c r="M857" s="859"/>
      <c r="N857" s="859"/>
      <c r="P857" s="859"/>
    </row>
    <row r="858" spans="1:16">
      <c r="A858" s="859"/>
      <c r="B858" s="859"/>
      <c r="C858" s="859"/>
      <c r="D858" s="859"/>
      <c r="E858" s="859"/>
      <c r="F858" s="859"/>
      <c r="G858" s="859"/>
      <c r="H858" s="861"/>
      <c r="I858" s="859"/>
      <c r="J858" s="859"/>
      <c r="K858" s="862"/>
      <c r="L858" s="859"/>
      <c r="M858" s="859"/>
      <c r="N858" s="859"/>
      <c r="P858" s="859"/>
    </row>
    <row r="859" spans="1:16">
      <c r="A859" s="859"/>
      <c r="B859" s="859"/>
      <c r="C859" s="859"/>
      <c r="D859" s="859"/>
      <c r="E859" s="859"/>
      <c r="F859" s="859"/>
      <c r="G859" s="859"/>
      <c r="H859" s="861"/>
      <c r="I859" s="859"/>
      <c r="J859" s="859"/>
      <c r="K859" s="862"/>
      <c r="L859" s="859"/>
      <c r="M859" s="859"/>
      <c r="N859" s="859"/>
      <c r="P859" s="859"/>
    </row>
    <row r="860" spans="1:16">
      <c r="A860" s="859"/>
      <c r="B860" s="859"/>
      <c r="C860" s="859"/>
      <c r="D860" s="859"/>
      <c r="E860" s="859"/>
      <c r="F860" s="859"/>
      <c r="G860" s="859"/>
      <c r="H860" s="861"/>
      <c r="I860" s="859"/>
      <c r="J860" s="859"/>
      <c r="K860" s="862"/>
      <c r="L860" s="859"/>
      <c r="M860" s="859"/>
      <c r="N860" s="859"/>
      <c r="P860" s="859"/>
    </row>
    <row r="861" spans="1:16">
      <c r="A861" s="859"/>
      <c r="B861" s="859"/>
      <c r="C861" s="859"/>
      <c r="D861" s="859"/>
      <c r="E861" s="859"/>
      <c r="F861" s="859"/>
      <c r="G861" s="859"/>
      <c r="H861" s="861"/>
      <c r="I861" s="859"/>
      <c r="J861" s="859"/>
      <c r="K861" s="862"/>
      <c r="L861" s="859"/>
      <c r="M861" s="859"/>
      <c r="N861" s="859"/>
      <c r="P861" s="859"/>
    </row>
    <row r="862" spans="1:16">
      <c r="A862" s="859"/>
      <c r="B862" s="859"/>
      <c r="C862" s="859"/>
      <c r="D862" s="859"/>
      <c r="E862" s="859"/>
      <c r="F862" s="859"/>
      <c r="G862" s="859"/>
      <c r="H862" s="861"/>
      <c r="I862" s="859"/>
      <c r="J862" s="859"/>
      <c r="K862" s="862"/>
      <c r="L862" s="859"/>
      <c r="M862" s="859"/>
      <c r="N862" s="859"/>
      <c r="P862" s="859"/>
    </row>
    <row r="863" spans="1:16">
      <c r="A863" s="859"/>
      <c r="B863" s="859"/>
      <c r="C863" s="859"/>
      <c r="D863" s="859"/>
      <c r="E863" s="859"/>
      <c r="F863" s="859"/>
      <c r="G863" s="859"/>
      <c r="H863" s="861"/>
      <c r="I863" s="859"/>
      <c r="J863" s="859"/>
      <c r="K863" s="862"/>
      <c r="L863" s="859"/>
      <c r="M863" s="859"/>
      <c r="N863" s="859"/>
      <c r="P863" s="859"/>
    </row>
    <row r="864" spans="1:16">
      <c r="A864" s="859"/>
      <c r="B864" s="859"/>
      <c r="C864" s="859"/>
      <c r="D864" s="859"/>
      <c r="E864" s="859"/>
      <c r="F864" s="859"/>
      <c r="G864" s="859"/>
      <c r="H864" s="861"/>
      <c r="I864" s="859"/>
      <c r="J864" s="859"/>
      <c r="K864" s="862"/>
      <c r="L864" s="859"/>
      <c r="M864" s="859"/>
      <c r="N864" s="859"/>
      <c r="P864" s="859"/>
    </row>
    <row r="865" spans="1:16">
      <c r="A865" s="859"/>
      <c r="B865" s="859"/>
      <c r="C865" s="859"/>
      <c r="D865" s="859"/>
      <c r="E865" s="859"/>
      <c r="F865" s="859"/>
      <c r="G865" s="859"/>
      <c r="H865" s="861"/>
      <c r="I865" s="859"/>
      <c r="J865" s="859"/>
      <c r="K865" s="862"/>
      <c r="L865" s="859"/>
      <c r="M865" s="859"/>
      <c r="N865" s="859"/>
      <c r="P865" s="859"/>
    </row>
    <row r="866" spans="1:16">
      <c r="A866" s="859"/>
      <c r="B866" s="859"/>
      <c r="C866" s="859"/>
      <c r="D866" s="859"/>
      <c r="E866" s="859"/>
      <c r="F866" s="859"/>
      <c r="G866" s="859"/>
      <c r="H866" s="861"/>
      <c r="I866" s="859"/>
      <c r="J866" s="859"/>
      <c r="K866" s="862"/>
      <c r="L866" s="859"/>
      <c r="M866" s="859"/>
      <c r="N866" s="859"/>
      <c r="P866" s="859"/>
    </row>
    <row r="867" spans="1:16">
      <c r="A867" s="859"/>
      <c r="B867" s="859"/>
      <c r="C867" s="859"/>
      <c r="D867" s="859"/>
      <c r="E867" s="859"/>
      <c r="F867" s="859"/>
      <c r="G867" s="859"/>
      <c r="H867" s="861"/>
      <c r="I867" s="859"/>
      <c r="J867" s="859"/>
      <c r="K867" s="862"/>
      <c r="L867" s="859"/>
      <c r="M867" s="859"/>
      <c r="N867" s="859"/>
      <c r="P867" s="859"/>
    </row>
    <row r="868" spans="1:16">
      <c r="A868" s="859"/>
      <c r="B868" s="859"/>
      <c r="C868" s="859"/>
      <c r="D868" s="859"/>
      <c r="E868" s="859"/>
      <c r="F868" s="859"/>
      <c r="G868" s="859"/>
      <c r="H868" s="861"/>
      <c r="I868" s="859"/>
      <c r="J868" s="859"/>
      <c r="K868" s="862"/>
      <c r="L868" s="859"/>
      <c r="M868" s="859"/>
      <c r="N868" s="859"/>
      <c r="P868" s="859"/>
    </row>
    <row r="869" spans="1:16">
      <c r="A869" s="859"/>
      <c r="B869" s="859"/>
      <c r="C869" s="859"/>
      <c r="D869" s="859"/>
      <c r="E869" s="859"/>
      <c r="F869" s="859"/>
      <c r="G869" s="859"/>
      <c r="H869" s="861"/>
      <c r="I869" s="859"/>
      <c r="J869" s="859"/>
      <c r="K869" s="862"/>
      <c r="L869" s="859"/>
      <c r="M869" s="859"/>
      <c r="N869" s="859"/>
      <c r="P869" s="859"/>
    </row>
    <row r="870" spans="1:16">
      <c r="A870" s="859"/>
      <c r="B870" s="859"/>
      <c r="C870" s="859"/>
      <c r="D870" s="859"/>
      <c r="E870" s="859"/>
      <c r="F870" s="859"/>
      <c r="G870" s="859"/>
      <c r="H870" s="861"/>
      <c r="I870" s="859"/>
      <c r="J870" s="859"/>
      <c r="K870" s="862"/>
      <c r="L870" s="859"/>
      <c r="M870" s="859"/>
      <c r="N870" s="859"/>
      <c r="P870" s="859"/>
    </row>
    <row r="871" spans="1:16">
      <c r="A871" s="859"/>
      <c r="B871" s="859"/>
      <c r="C871" s="859"/>
      <c r="D871" s="859"/>
      <c r="E871" s="859"/>
      <c r="F871" s="859"/>
      <c r="G871" s="859"/>
      <c r="H871" s="861"/>
      <c r="I871" s="859"/>
      <c r="J871" s="859"/>
      <c r="K871" s="862"/>
      <c r="L871" s="859"/>
      <c r="M871" s="859"/>
      <c r="N871" s="859"/>
      <c r="P871" s="859"/>
    </row>
    <row r="872" spans="1:16">
      <c r="A872" s="859"/>
      <c r="B872" s="859"/>
      <c r="C872" s="859"/>
      <c r="D872" s="859"/>
      <c r="E872" s="859"/>
      <c r="F872" s="859"/>
      <c r="G872" s="859"/>
      <c r="H872" s="861"/>
      <c r="I872" s="859"/>
      <c r="J872" s="859"/>
      <c r="K872" s="862"/>
      <c r="L872" s="859"/>
      <c r="M872" s="859"/>
      <c r="N872" s="859"/>
      <c r="P872" s="859"/>
    </row>
    <row r="873" spans="1:16">
      <c r="A873" s="859"/>
      <c r="B873" s="859"/>
      <c r="C873" s="859"/>
      <c r="D873" s="859"/>
      <c r="E873" s="859"/>
      <c r="F873" s="859"/>
      <c r="G873" s="859"/>
      <c r="H873" s="861"/>
      <c r="I873" s="859"/>
      <c r="J873" s="859"/>
      <c r="K873" s="862"/>
      <c r="L873" s="859"/>
      <c r="M873" s="859"/>
      <c r="N873" s="859"/>
      <c r="P873" s="859"/>
    </row>
    <row r="874" spans="1:16">
      <c r="A874" s="859"/>
      <c r="B874" s="859"/>
      <c r="C874" s="859"/>
      <c r="D874" s="859"/>
      <c r="E874" s="859"/>
      <c r="F874" s="859"/>
      <c r="G874" s="859"/>
      <c r="H874" s="861"/>
      <c r="I874" s="859"/>
      <c r="J874" s="859"/>
      <c r="K874" s="862"/>
      <c r="L874" s="859"/>
      <c r="M874" s="859"/>
      <c r="N874" s="859"/>
      <c r="P874" s="859"/>
    </row>
    <row r="875" spans="1:16">
      <c r="A875" s="859"/>
      <c r="B875" s="859"/>
      <c r="C875" s="859"/>
      <c r="D875" s="859"/>
      <c r="E875" s="859"/>
      <c r="F875" s="859"/>
      <c r="G875" s="859"/>
      <c r="H875" s="861"/>
      <c r="I875" s="859"/>
      <c r="J875" s="859"/>
      <c r="K875" s="862"/>
      <c r="L875" s="859"/>
      <c r="M875" s="859"/>
      <c r="N875" s="859"/>
      <c r="P875" s="859"/>
    </row>
    <row r="876" spans="1:16">
      <c r="A876" s="859"/>
      <c r="B876" s="859"/>
      <c r="C876" s="859"/>
      <c r="D876" s="859"/>
      <c r="E876" s="859"/>
      <c r="F876" s="859"/>
      <c r="G876" s="859"/>
      <c r="H876" s="861"/>
      <c r="I876" s="859"/>
      <c r="J876" s="859"/>
      <c r="K876" s="862"/>
      <c r="L876" s="859"/>
      <c r="M876" s="859"/>
      <c r="N876" s="859"/>
      <c r="P876" s="859"/>
    </row>
    <row r="877" spans="1:16">
      <c r="A877" s="859"/>
      <c r="B877" s="859"/>
      <c r="C877" s="859"/>
      <c r="D877" s="859"/>
      <c r="E877" s="859"/>
      <c r="F877" s="859"/>
      <c r="G877" s="859"/>
      <c r="H877" s="861"/>
      <c r="I877" s="859"/>
      <c r="J877" s="859"/>
      <c r="K877" s="862"/>
      <c r="L877" s="859"/>
      <c r="M877" s="859"/>
      <c r="N877" s="859"/>
      <c r="P877" s="859"/>
    </row>
    <row r="878" spans="1:16">
      <c r="A878" s="859"/>
      <c r="B878" s="859"/>
      <c r="C878" s="859"/>
      <c r="D878" s="859"/>
      <c r="E878" s="859"/>
      <c r="F878" s="859"/>
      <c r="G878" s="859"/>
      <c r="H878" s="861"/>
      <c r="I878" s="859"/>
      <c r="J878" s="859"/>
      <c r="K878" s="862"/>
      <c r="L878" s="859"/>
      <c r="M878" s="859"/>
      <c r="N878" s="859"/>
      <c r="P878" s="859"/>
    </row>
    <row r="879" spans="1:16">
      <c r="A879" s="859"/>
      <c r="B879" s="859"/>
      <c r="C879" s="859"/>
      <c r="D879" s="859"/>
      <c r="E879" s="859"/>
      <c r="F879" s="859"/>
      <c r="G879" s="859"/>
      <c r="H879" s="861"/>
      <c r="I879" s="859"/>
      <c r="J879" s="859"/>
      <c r="K879" s="862"/>
      <c r="L879" s="859"/>
      <c r="M879" s="859"/>
      <c r="N879" s="859"/>
      <c r="P879" s="859"/>
    </row>
    <row r="880" spans="1:16">
      <c r="A880" s="859"/>
      <c r="B880" s="859"/>
      <c r="C880" s="859"/>
      <c r="D880" s="859"/>
      <c r="E880" s="859"/>
      <c r="F880" s="859"/>
      <c r="G880" s="859"/>
      <c r="H880" s="861"/>
      <c r="I880" s="859"/>
      <c r="J880" s="859"/>
      <c r="K880" s="862"/>
      <c r="L880" s="859"/>
      <c r="M880" s="859"/>
      <c r="N880" s="859"/>
      <c r="P880" s="859"/>
    </row>
    <row r="881" spans="1:16">
      <c r="A881" s="859"/>
      <c r="B881" s="859"/>
      <c r="C881" s="859"/>
      <c r="D881" s="859"/>
      <c r="E881" s="859"/>
      <c r="F881" s="859"/>
      <c r="G881" s="859"/>
      <c r="H881" s="861"/>
      <c r="I881" s="859"/>
      <c r="J881" s="859"/>
      <c r="K881" s="862"/>
      <c r="L881" s="859"/>
      <c r="M881" s="859"/>
      <c r="N881" s="859"/>
      <c r="P881" s="859"/>
    </row>
    <row r="882" spans="1:16">
      <c r="A882" s="859"/>
      <c r="B882" s="859"/>
      <c r="C882" s="859"/>
      <c r="D882" s="859"/>
      <c r="E882" s="859"/>
      <c r="F882" s="859"/>
      <c r="G882" s="859"/>
      <c r="H882" s="861"/>
      <c r="I882" s="859"/>
      <c r="J882" s="859"/>
      <c r="K882" s="862"/>
      <c r="L882" s="859"/>
      <c r="M882" s="859"/>
      <c r="N882" s="859"/>
      <c r="P882" s="859"/>
    </row>
    <row r="883" spans="1:16">
      <c r="A883" s="859"/>
      <c r="B883" s="859"/>
      <c r="C883" s="859"/>
      <c r="D883" s="859"/>
      <c r="E883" s="859"/>
      <c r="F883" s="859"/>
      <c r="G883" s="859"/>
      <c r="H883" s="861"/>
      <c r="I883" s="859"/>
      <c r="J883" s="859"/>
      <c r="K883" s="862"/>
      <c r="L883" s="859"/>
      <c r="M883" s="859"/>
      <c r="N883" s="859"/>
      <c r="P883" s="859"/>
    </row>
    <row r="884" spans="1:16">
      <c r="A884" s="859"/>
      <c r="B884" s="859"/>
      <c r="C884" s="859"/>
      <c r="D884" s="859"/>
      <c r="E884" s="859"/>
      <c r="F884" s="859"/>
      <c r="G884" s="859"/>
      <c r="H884" s="861"/>
      <c r="I884" s="859"/>
      <c r="J884" s="859"/>
      <c r="K884" s="862"/>
      <c r="L884" s="859"/>
      <c r="M884" s="859"/>
      <c r="N884" s="859"/>
      <c r="P884" s="859"/>
    </row>
    <row r="885" spans="1:16">
      <c r="A885" s="859"/>
      <c r="B885" s="859"/>
      <c r="C885" s="859"/>
      <c r="D885" s="859"/>
      <c r="E885" s="859"/>
      <c r="F885" s="859"/>
      <c r="G885" s="859"/>
      <c r="H885" s="861"/>
      <c r="I885" s="859"/>
      <c r="J885" s="859"/>
      <c r="K885" s="862"/>
      <c r="L885" s="859"/>
      <c r="M885" s="859"/>
      <c r="N885" s="859"/>
      <c r="P885" s="859"/>
    </row>
    <row r="886" spans="1:16">
      <c r="A886" s="859"/>
      <c r="B886" s="859"/>
      <c r="C886" s="859"/>
      <c r="D886" s="859"/>
      <c r="E886" s="859"/>
      <c r="F886" s="859"/>
      <c r="G886" s="859"/>
      <c r="H886" s="861"/>
      <c r="I886" s="859"/>
      <c r="J886" s="859"/>
      <c r="K886" s="862"/>
      <c r="L886" s="859"/>
      <c r="M886" s="859"/>
      <c r="N886" s="859"/>
      <c r="P886" s="859"/>
    </row>
    <row r="887" spans="1:16">
      <c r="A887" s="859"/>
      <c r="B887" s="859"/>
      <c r="C887" s="859"/>
      <c r="D887" s="859"/>
      <c r="E887" s="859"/>
      <c r="F887" s="859"/>
      <c r="G887" s="859"/>
      <c r="H887" s="861"/>
      <c r="I887" s="859"/>
      <c r="J887" s="859"/>
      <c r="K887" s="862"/>
      <c r="L887" s="859"/>
      <c r="M887" s="859"/>
      <c r="N887" s="859"/>
      <c r="P887" s="859"/>
    </row>
    <row r="888" spans="1:16">
      <c r="A888" s="859"/>
      <c r="B888" s="859"/>
      <c r="C888" s="859"/>
      <c r="D888" s="859"/>
      <c r="E888" s="859"/>
      <c r="F888" s="859"/>
      <c r="G888" s="859"/>
      <c r="H888" s="861"/>
      <c r="I888" s="859"/>
      <c r="J888" s="859"/>
      <c r="K888" s="862"/>
      <c r="L888" s="859"/>
      <c r="M888" s="859"/>
      <c r="N888" s="859"/>
      <c r="P888" s="859"/>
    </row>
    <row r="889" spans="1:16">
      <c r="A889" s="859"/>
      <c r="B889" s="859"/>
      <c r="C889" s="859"/>
      <c r="D889" s="859"/>
      <c r="E889" s="859"/>
      <c r="F889" s="859"/>
      <c r="G889" s="859"/>
      <c r="H889" s="861"/>
      <c r="I889" s="859"/>
      <c r="J889" s="859"/>
      <c r="K889" s="862"/>
      <c r="L889" s="859"/>
      <c r="M889" s="859"/>
      <c r="N889" s="859"/>
      <c r="P889" s="859"/>
    </row>
    <row r="890" spans="1:16">
      <c r="A890" s="859"/>
      <c r="B890" s="859"/>
      <c r="C890" s="859"/>
      <c r="D890" s="859"/>
      <c r="E890" s="859"/>
      <c r="F890" s="859"/>
      <c r="G890" s="859"/>
      <c r="H890" s="861"/>
      <c r="I890" s="859"/>
      <c r="J890" s="859"/>
      <c r="K890" s="862"/>
      <c r="L890" s="859"/>
      <c r="M890" s="859"/>
      <c r="N890" s="859"/>
      <c r="P890" s="859"/>
    </row>
    <row r="891" spans="1:16">
      <c r="A891" s="859"/>
      <c r="B891" s="859"/>
      <c r="C891" s="859"/>
      <c r="D891" s="859"/>
      <c r="E891" s="859"/>
      <c r="F891" s="859"/>
      <c r="G891" s="859"/>
      <c r="H891" s="861"/>
      <c r="I891" s="859"/>
      <c r="J891" s="859"/>
      <c r="K891" s="862"/>
      <c r="L891" s="859"/>
      <c r="M891" s="859"/>
      <c r="N891" s="859"/>
      <c r="P891" s="859"/>
    </row>
    <row r="892" spans="1:16">
      <c r="A892" s="859"/>
      <c r="B892" s="859"/>
      <c r="C892" s="859"/>
      <c r="D892" s="859"/>
      <c r="E892" s="859"/>
      <c r="F892" s="859"/>
      <c r="G892" s="859"/>
      <c r="H892" s="861"/>
      <c r="I892" s="859"/>
      <c r="J892" s="859"/>
      <c r="K892" s="862"/>
      <c r="L892" s="859"/>
      <c r="M892" s="859"/>
      <c r="N892" s="859"/>
      <c r="P892" s="859"/>
    </row>
    <row r="893" spans="1:16">
      <c r="A893" s="859"/>
      <c r="B893" s="859"/>
      <c r="C893" s="859"/>
      <c r="D893" s="859"/>
      <c r="E893" s="859"/>
      <c r="F893" s="859"/>
      <c r="G893" s="859"/>
      <c r="H893" s="861"/>
      <c r="I893" s="859"/>
      <c r="J893" s="859"/>
      <c r="K893" s="862"/>
      <c r="L893" s="859"/>
      <c r="M893" s="859"/>
      <c r="N893" s="859"/>
      <c r="P893" s="859"/>
    </row>
    <row r="894" spans="1:16">
      <c r="A894" s="859"/>
      <c r="B894" s="859"/>
      <c r="C894" s="859"/>
      <c r="D894" s="859"/>
      <c r="E894" s="859"/>
      <c r="F894" s="859"/>
      <c r="G894" s="859"/>
      <c r="H894" s="861"/>
      <c r="I894" s="859"/>
      <c r="J894" s="859"/>
      <c r="K894" s="862"/>
      <c r="L894" s="859"/>
      <c r="M894" s="859"/>
      <c r="N894" s="859"/>
      <c r="P894" s="859"/>
    </row>
    <row r="895" spans="1:16">
      <c r="A895" s="859"/>
      <c r="B895" s="859"/>
      <c r="C895" s="859"/>
      <c r="D895" s="859"/>
      <c r="E895" s="859"/>
      <c r="F895" s="859"/>
      <c r="G895" s="859"/>
      <c r="H895" s="861"/>
      <c r="I895" s="859"/>
      <c r="J895" s="859"/>
      <c r="K895" s="862"/>
      <c r="L895" s="859"/>
      <c r="M895" s="859"/>
      <c r="N895" s="859"/>
      <c r="P895" s="859"/>
    </row>
    <row r="896" spans="1:16">
      <c r="A896" s="859"/>
      <c r="B896" s="859"/>
      <c r="C896" s="859"/>
      <c r="D896" s="859"/>
      <c r="E896" s="859"/>
      <c r="F896" s="859"/>
      <c r="G896" s="859"/>
      <c r="H896" s="861"/>
      <c r="I896" s="859"/>
      <c r="J896" s="859"/>
      <c r="K896" s="862"/>
      <c r="L896" s="859"/>
      <c r="M896" s="859"/>
      <c r="N896" s="859"/>
      <c r="P896" s="859"/>
    </row>
    <row r="897" spans="1:16">
      <c r="A897" s="859"/>
      <c r="B897" s="859"/>
      <c r="C897" s="859"/>
      <c r="D897" s="859"/>
      <c r="E897" s="859"/>
      <c r="F897" s="859"/>
      <c r="G897" s="859"/>
      <c r="H897" s="861"/>
      <c r="I897" s="859"/>
      <c r="J897" s="859"/>
      <c r="K897" s="862"/>
      <c r="L897" s="859"/>
      <c r="M897" s="859"/>
      <c r="N897" s="859"/>
      <c r="P897" s="859"/>
    </row>
    <row r="898" spans="1:16">
      <c r="A898" s="859"/>
      <c r="B898" s="859"/>
      <c r="C898" s="859"/>
      <c r="D898" s="859"/>
      <c r="E898" s="859"/>
      <c r="F898" s="859"/>
      <c r="G898" s="859"/>
      <c r="H898" s="861"/>
      <c r="I898" s="859"/>
      <c r="J898" s="859"/>
      <c r="K898" s="862"/>
      <c r="L898" s="859"/>
      <c r="M898" s="859"/>
      <c r="N898" s="859"/>
      <c r="P898" s="859"/>
    </row>
    <row r="899" spans="1:16">
      <c r="A899" s="859"/>
      <c r="B899" s="859"/>
      <c r="C899" s="859"/>
      <c r="D899" s="859"/>
      <c r="E899" s="859"/>
      <c r="F899" s="859"/>
      <c r="G899" s="859"/>
      <c r="H899" s="861"/>
      <c r="I899" s="859"/>
      <c r="J899" s="859"/>
      <c r="K899" s="862"/>
      <c r="L899" s="859"/>
      <c r="M899" s="859"/>
      <c r="N899" s="859"/>
      <c r="P899" s="859"/>
    </row>
    <row r="900" spans="1:16">
      <c r="A900" s="859"/>
      <c r="B900" s="859"/>
      <c r="C900" s="859"/>
      <c r="D900" s="859"/>
      <c r="E900" s="859"/>
      <c r="F900" s="859"/>
      <c r="G900" s="859"/>
      <c r="H900" s="861"/>
      <c r="I900" s="859"/>
      <c r="J900" s="859"/>
      <c r="K900" s="862"/>
      <c r="L900" s="859"/>
      <c r="M900" s="859"/>
      <c r="N900" s="859"/>
      <c r="P900" s="859"/>
    </row>
    <row r="901" spans="1:16">
      <c r="A901" s="859"/>
      <c r="B901" s="859"/>
      <c r="C901" s="859"/>
      <c r="D901" s="859"/>
      <c r="E901" s="859"/>
      <c r="F901" s="859"/>
      <c r="G901" s="859"/>
      <c r="H901" s="861"/>
      <c r="I901" s="859"/>
      <c r="J901" s="859"/>
      <c r="K901" s="862"/>
      <c r="L901" s="859"/>
      <c r="M901" s="859"/>
      <c r="N901" s="859"/>
      <c r="P901" s="859"/>
    </row>
    <row r="902" spans="1:16">
      <c r="A902" s="859"/>
      <c r="B902" s="859"/>
      <c r="C902" s="859"/>
      <c r="D902" s="859"/>
      <c r="E902" s="859"/>
      <c r="F902" s="859"/>
      <c r="G902" s="859"/>
      <c r="H902" s="861"/>
      <c r="I902" s="859"/>
      <c r="J902" s="859"/>
      <c r="K902" s="862"/>
      <c r="L902" s="859"/>
      <c r="M902" s="859"/>
      <c r="N902" s="859"/>
      <c r="P902" s="859"/>
    </row>
    <row r="903" spans="1:16">
      <c r="A903" s="859"/>
      <c r="B903" s="859"/>
      <c r="C903" s="859"/>
      <c r="D903" s="859"/>
      <c r="E903" s="859"/>
      <c r="F903" s="859"/>
      <c r="G903" s="859"/>
      <c r="H903" s="861"/>
      <c r="I903" s="859"/>
      <c r="J903" s="859"/>
      <c r="K903" s="862"/>
      <c r="L903" s="859"/>
      <c r="M903" s="859"/>
      <c r="N903" s="859"/>
      <c r="P903" s="859"/>
    </row>
    <row r="904" spans="1:16">
      <c r="A904" s="859"/>
      <c r="B904" s="859"/>
      <c r="C904" s="859"/>
      <c r="D904" s="859"/>
      <c r="E904" s="859"/>
      <c r="F904" s="859"/>
      <c r="G904" s="859"/>
      <c r="H904" s="861"/>
      <c r="I904" s="859"/>
      <c r="J904" s="859"/>
      <c r="K904" s="862"/>
      <c r="L904" s="859"/>
      <c r="M904" s="859"/>
      <c r="N904" s="859"/>
      <c r="P904" s="859"/>
    </row>
    <row r="905" spans="1:16">
      <c r="A905" s="859"/>
      <c r="B905" s="859"/>
      <c r="C905" s="859"/>
      <c r="D905" s="859"/>
      <c r="E905" s="859"/>
      <c r="F905" s="859"/>
      <c r="G905" s="859"/>
      <c r="H905" s="861"/>
      <c r="I905" s="859"/>
      <c r="J905" s="859"/>
      <c r="K905" s="862"/>
      <c r="L905" s="859"/>
      <c r="M905" s="859"/>
      <c r="N905" s="859"/>
      <c r="P905" s="859"/>
    </row>
    <row r="906" spans="1:16">
      <c r="A906" s="859"/>
      <c r="B906" s="859"/>
      <c r="C906" s="859"/>
      <c r="D906" s="859"/>
      <c r="E906" s="859"/>
      <c r="F906" s="859"/>
      <c r="G906" s="859"/>
      <c r="H906" s="861"/>
      <c r="I906" s="859"/>
      <c r="J906" s="859"/>
      <c r="K906" s="862"/>
      <c r="L906" s="859"/>
      <c r="M906" s="859"/>
      <c r="N906" s="859"/>
      <c r="P906" s="859"/>
    </row>
    <row r="907" spans="1:16">
      <c r="A907" s="859"/>
      <c r="B907" s="859"/>
      <c r="C907" s="859"/>
      <c r="D907" s="859"/>
      <c r="E907" s="859"/>
      <c r="F907" s="859"/>
      <c r="G907" s="859"/>
      <c r="H907" s="861"/>
      <c r="I907" s="859"/>
      <c r="J907" s="859"/>
      <c r="K907" s="862"/>
      <c r="L907" s="859"/>
      <c r="M907" s="859"/>
      <c r="N907" s="859"/>
      <c r="P907" s="859"/>
    </row>
    <row r="908" spans="1:16">
      <c r="A908" s="859"/>
      <c r="B908" s="859"/>
      <c r="C908" s="859"/>
      <c r="D908" s="859"/>
      <c r="E908" s="859"/>
      <c r="F908" s="859"/>
      <c r="G908" s="859"/>
      <c r="H908" s="861"/>
      <c r="I908" s="859"/>
      <c r="J908" s="859"/>
      <c r="K908" s="862"/>
      <c r="L908" s="859"/>
      <c r="M908" s="859"/>
      <c r="N908" s="859"/>
      <c r="P908" s="859"/>
    </row>
    <row r="909" spans="1:16">
      <c r="A909" s="859"/>
      <c r="B909" s="859"/>
      <c r="C909" s="859"/>
      <c r="D909" s="859"/>
      <c r="E909" s="859"/>
      <c r="F909" s="859"/>
      <c r="G909" s="859"/>
      <c r="H909" s="861"/>
      <c r="I909" s="859"/>
      <c r="J909" s="859"/>
      <c r="K909" s="862"/>
      <c r="L909" s="859"/>
      <c r="M909" s="859"/>
      <c r="N909" s="859"/>
      <c r="P909" s="859"/>
    </row>
    <row r="910" spans="1:16">
      <c r="A910" s="859"/>
      <c r="B910" s="859"/>
      <c r="C910" s="859"/>
      <c r="D910" s="859"/>
      <c r="E910" s="859"/>
      <c r="F910" s="859"/>
      <c r="G910" s="859"/>
      <c r="H910" s="861"/>
      <c r="I910" s="859"/>
      <c r="J910" s="859"/>
      <c r="K910" s="862"/>
      <c r="L910" s="859"/>
      <c r="M910" s="859"/>
      <c r="N910" s="859"/>
      <c r="P910" s="859"/>
    </row>
    <row r="911" spans="1:16">
      <c r="A911" s="859"/>
      <c r="B911" s="859"/>
      <c r="C911" s="859"/>
      <c r="D911" s="859"/>
      <c r="E911" s="859"/>
      <c r="F911" s="859"/>
      <c r="G911" s="859"/>
      <c r="H911" s="861"/>
      <c r="I911" s="859"/>
      <c r="J911" s="859"/>
      <c r="K911" s="862"/>
      <c r="L911" s="859"/>
      <c r="M911" s="859"/>
      <c r="N911" s="859"/>
      <c r="P911" s="859"/>
    </row>
    <row r="912" spans="1:16">
      <c r="A912" s="859"/>
      <c r="B912" s="859"/>
      <c r="C912" s="859"/>
      <c r="D912" s="859"/>
      <c r="E912" s="859"/>
      <c r="F912" s="859"/>
      <c r="G912" s="859"/>
      <c r="H912" s="861"/>
      <c r="I912" s="859"/>
      <c r="J912" s="859"/>
      <c r="K912" s="862"/>
      <c r="L912" s="859"/>
      <c r="M912" s="859"/>
      <c r="N912" s="859"/>
      <c r="P912" s="859"/>
    </row>
    <row r="913" spans="1:16">
      <c r="A913" s="859"/>
      <c r="B913" s="859"/>
      <c r="C913" s="859"/>
      <c r="D913" s="859"/>
      <c r="E913" s="859"/>
      <c r="F913" s="859"/>
      <c r="G913" s="859"/>
      <c r="H913" s="861"/>
      <c r="I913" s="859"/>
      <c r="J913" s="859"/>
      <c r="K913" s="862"/>
      <c r="L913" s="859"/>
      <c r="M913" s="859"/>
      <c r="N913" s="859"/>
      <c r="P913" s="859"/>
    </row>
    <row r="914" spans="1:16">
      <c r="A914" s="859"/>
      <c r="B914" s="859"/>
      <c r="C914" s="859"/>
      <c r="D914" s="859"/>
      <c r="E914" s="859"/>
      <c r="F914" s="859"/>
      <c r="G914" s="859"/>
      <c r="H914" s="861"/>
      <c r="I914" s="859"/>
      <c r="J914" s="859"/>
      <c r="K914" s="862"/>
      <c r="L914" s="859"/>
      <c r="M914" s="859"/>
      <c r="N914" s="859"/>
      <c r="P914" s="859"/>
    </row>
    <row r="915" spans="1:16">
      <c r="A915" s="859"/>
      <c r="B915" s="859"/>
      <c r="C915" s="859"/>
      <c r="D915" s="859"/>
      <c r="E915" s="859"/>
      <c r="F915" s="859"/>
      <c r="G915" s="859"/>
      <c r="H915" s="861"/>
      <c r="I915" s="859"/>
      <c r="J915" s="859"/>
      <c r="K915" s="862"/>
      <c r="L915" s="859"/>
      <c r="M915" s="859"/>
      <c r="N915" s="859"/>
      <c r="P915" s="859"/>
    </row>
    <row r="916" spans="1:16">
      <c r="A916" s="859"/>
      <c r="B916" s="859"/>
      <c r="C916" s="859"/>
      <c r="D916" s="859"/>
      <c r="E916" s="859"/>
      <c r="F916" s="859"/>
      <c r="G916" s="859"/>
      <c r="H916" s="861"/>
      <c r="I916" s="859"/>
      <c r="J916" s="859"/>
      <c r="K916" s="862"/>
      <c r="L916" s="859"/>
      <c r="M916" s="859"/>
      <c r="N916" s="859"/>
      <c r="P916" s="859"/>
    </row>
    <row r="917" spans="1:16">
      <c r="A917" s="859"/>
      <c r="B917" s="859"/>
      <c r="C917" s="859"/>
      <c r="D917" s="859"/>
      <c r="E917" s="859"/>
      <c r="F917" s="859"/>
      <c r="G917" s="859"/>
      <c r="H917" s="861"/>
      <c r="I917" s="859"/>
      <c r="J917" s="859"/>
      <c r="K917" s="862"/>
      <c r="L917" s="859"/>
      <c r="M917" s="859"/>
      <c r="N917" s="859"/>
      <c r="P917" s="859"/>
    </row>
    <row r="918" spans="1:16">
      <c r="A918" s="859"/>
      <c r="B918" s="859"/>
      <c r="C918" s="859"/>
      <c r="D918" s="859"/>
      <c r="E918" s="859"/>
      <c r="F918" s="859"/>
      <c r="G918" s="859"/>
      <c r="H918" s="861"/>
      <c r="I918" s="859"/>
      <c r="J918" s="859"/>
      <c r="K918" s="862"/>
      <c r="L918" s="859"/>
      <c r="M918" s="859"/>
      <c r="N918" s="859"/>
      <c r="P918" s="859"/>
    </row>
    <row r="919" spans="1:16">
      <c r="A919" s="859"/>
      <c r="B919" s="859"/>
      <c r="C919" s="859"/>
      <c r="D919" s="859"/>
      <c r="E919" s="859"/>
      <c r="F919" s="859"/>
      <c r="G919" s="859"/>
      <c r="H919" s="861"/>
      <c r="I919" s="859"/>
      <c r="J919" s="859"/>
      <c r="K919" s="862"/>
      <c r="L919" s="859"/>
      <c r="M919" s="859"/>
      <c r="N919" s="859"/>
      <c r="P919" s="859"/>
    </row>
    <row r="920" spans="1:16">
      <c r="A920" s="859"/>
      <c r="B920" s="859"/>
      <c r="C920" s="859"/>
      <c r="D920" s="859"/>
      <c r="E920" s="859"/>
      <c r="F920" s="859"/>
      <c r="G920" s="859"/>
      <c r="H920" s="861"/>
      <c r="I920" s="859"/>
      <c r="J920" s="859"/>
      <c r="K920" s="862"/>
      <c r="L920" s="859"/>
      <c r="M920" s="859"/>
      <c r="N920" s="859"/>
      <c r="P920" s="859"/>
    </row>
    <row r="921" spans="1:16">
      <c r="A921" s="859"/>
      <c r="B921" s="859"/>
      <c r="C921" s="859"/>
      <c r="D921" s="859"/>
      <c r="E921" s="859"/>
      <c r="F921" s="859"/>
      <c r="G921" s="859"/>
      <c r="H921" s="861"/>
      <c r="I921" s="859"/>
      <c r="J921" s="859"/>
      <c r="K921" s="862"/>
      <c r="L921" s="859"/>
      <c r="M921" s="859"/>
      <c r="N921" s="859"/>
      <c r="P921" s="859"/>
    </row>
    <row r="922" spans="1:16">
      <c r="A922" s="859"/>
      <c r="B922" s="859"/>
      <c r="C922" s="859"/>
      <c r="D922" s="859"/>
      <c r="E922" s="859"/>
      <c r="F922" s="859"/>
      <c r="G922" s="859"/>
      <c r="H922" s="861"/>
      <c r="I922" s="859"/>
      <c r="J922" s="859"/>
      <c r="K922" s="862"/>
      <c r="L922" s="859"/>
      <c r="M922" s="859"/>
      <c r="N922" s="859"/>
      <c r="P922" s="859"/>
    </row>
    <row r="923" spans="1:16">
      <c r="A923" s="859"/>
      <c r="B923" s="859"/>
      <c r="C923" s="859"/>
      <c r="D923" s="859"/>
      <c r="E923" s="859"/>
      <c r="F923" s="859"/>
      <c r="G923" s="859"/>
      <c r="H923" s="861"/>
      <c r="I923" s="859"/>
      <c r="J923" s="859"/>
      <c r="K923" s="862"/>
      <c r="L923" s="859"/>
      <c r="M923" s="859"/>
      <c r="N923" s="859"/>
      <c r="P923" s="859"/>
    </row>
    <row r="924" spans="1:16">
      <c r="A924" s="859"/>
      <c r="B924" s="859"/>
      <c r="C924" s="859"/>
      <c r="D924" s="859"/>
      <c r="E924" s="859"/>
      <c r="F924" s="859"/>
      <c r="G924" s="859"/>
      <c r="H924" s="861"/>
      <c r="I924" s="859"/>
      <c r="J924" s="859"/>
      <c r="K924" s="862"/>
      <c r="L924" s="859"/>
      <c r="M924" s="859"/>
      <c r="N924" s="859"/>
      <c r="P924" s="859"/>
    </row>
    <row r="925" spans="1:16">
      <c r="A925" s="859"/>
      <c r="B925" s="859"/>
      <c r="C925" s="859"/>
      <c r="D925" s="859"/>
      <c r="E925" s="859"/>
      <c r="F925" s="859"/>
      <c r="G925" s="859"/>
      <c r="H925" s="861"/>
      <c r="I925" s="859"/>
      <c r="J925" s="859"/>
      <c r="K925" s="862"/>
      <c r="L925" s="859"/>
      <c r="M925" s="859"/>
      <c r="N925" s="859"/>
      <c r="P925" s="859"/>
    </row>
    <row r="926" spans="1:16">
      <c r="A926" s="859"/>
      <c r="B926" s="859"/>
      <c r="C926" s="859"/>
      <c r="D926" s="859"/>
      <c r="E926" s="859"/>
      <c r="F926" s="859"/>
      <c r="G926" s="859"/>
      <c r="H926" s="861"/>
      <c r="I926" s="859"/>
      <c r="J926" s="859"/>
      <c r="K926" s="862"/>
      <c r="L926" s="859"/>
      <c r="M926" s="859"/>
      <c r="N926" s="859"/>
      <c r="P926" s="859"/>
    </row>
    <row r="927" spans="1:16">
      <c r="A927" s="859"/>
      <c r="B927" s="859"/>
      <c r="C927" s="859"/>
      <c r="D927" s="859"/>
      <c r="E927" s="859"/>
      <c r="F927" s="859"/>
      <c r="G927" s="859"/>
      <c r="H927" s="861"/>
      <c r="I927" s="859"/>
      <c r="J927" s="859"/>
      <c r="K927" s="862"/>
      <c r="L927" s="859"/>
      <c r="M927" s="859"/>
      <c r="N927" s="859"/>
      <c r="P927" s="859"/>
    </row>
    <row r="928" spans="1:16">
      <c r="A928" s="859"/>
      <c r="B928" s="859"/>
      <c r="C928" s="859"/>
      <c r="D928" s="859"/>
      <c r="E928" s="859"/>
      <c r="F928" s="859"/>
      <c r="G928" s="859"/>
      <c r="H928" s="861"/>
      <c r="I928" s="859"/>
      <c r="J928" s="859"/>
      <c r="K928" s="862"/>
      <c r="L928" s="859"/>
      <c r="M928" s="859"/>
      <c r="N928" s="859"/>
      <c r="P928" s="859"/>
    </row>
    <row r="929" spans="1:16">
      <c r="A929" s="859"/>
      <c r="B929" s="859"/>
      <c r="C929" s="859"/>
      <c r="D929" s="859"/>
      <c r="E929" s="859"/>
      <c r="F929" s="859"/>
      <c r="G929" s="859"/>
      <c r="H929" s="861"/>
      <c r="I929" s="859"/>
      <c r="J929" s="859"/>
      <c r="K929" s="862"/>
      <c r="L929" s="859"/>
      <c r="M929" s="859"/>
      <c r="N929" s="859"/>
      <c r="P929" s="859"/>
    </row>
    <row r="930" spans="1:16">
      <c r="A930" s="859"/>
      <c r="B930" s="859"/>
      <c r="C930" s="859"/>
      <c r="D930" s="859"/>
      <c r="E930" s="859"/>
      <c r="F930" s="859"/>
      <c r="G930" s="859"/>
      <c r="H930" s="861"/>
      <c r="I930" s="859"/>
      <c r="J930" s="859"/>
      <c r="K930" s="862"/>
      <c r="L930" s="859"/>
      <c r="M930" s="859"/>
      <c r="N930" s="859"/>
      <c r="P930" s="859"/>
    </row>
    <row r="931" spans="1:16">
      <c r="A931" s="859"/>
      <c r="B931" s="859"/>
      <c r="C931" s="859"/>
      <c r="D931" s="859"/>
      <c r="E931" s="859"/>
      <c r="F931" s="859"/>
      <c r="G931" s="859"/>
      <c r="H931" s="861"/>
      <c r="I931" s="859"/>
      <c r="J931" s="859"/>
      <c r="K931" s="862"/>
      <c r="L931" s="859"/>
      <c r="M931" s="859"/>
      <c r="N931" s="859"/>
      <c r="P931" s="859"/>
    </row>
    <row r="932" spans="1:16">
      <c r="A932" s="859"/>
      <c r="B932" s="859"/>
      <c r="C932" s="859"/>
      <c r="D932" s="859"/>
      <c r="E932" s="859"/>
      <c r="F932" s="859"/>
      <c r="G932" s="859"/>
      <c r="H932" s="861"/>
      <c r="I932" s="859"/>
      <c r="J932" s="859"/>
      <c r="K932" s="862"/>
      <c r="L932" s="859"/>
      <c r="M932" s="859"/>
      <c r="N932" s="859"/>
      <c r="P932" s="859"/>
    </row>
    <row r="933" spans="1:16">
      <c r="A933" s="859"/>
      <c r="B933" s="859"/>
      <c r="C933" s="859"/>
      <c r="D933" s="859"/>
      <c r="E933" s="859"/>
      <c r="F933" s="859"/>
      <c r="G933" s="859"/>
      <c r="H933" s="861"/>
      <c r="I933" s="859"/>
      <c r="J933" s="859"/>
      <c r="K933" s="862"/>
      <c r="L933" s="859"/>
      <c r="M933" s="859"/>
      <c r="N933" s="859"/>
      <c r="P933" s="859"/>
    </row>
    <row r="934" spans="1:16">
      <c r="A934" s="859"/>
      <c r="B934" s="859"/>
      <c r="C934" s="859"/>
      <c r="D934" s="859"/>
      <c r="E934" s="859"/>
      <c r="F934" s="859"/>
      <c r="G934" s="859"/>
      <c r="H934" s="861"/>
      <c r="I934" s="859"/>
      <c r="J934" s="859"/>
      <c r="K934" s="862"/>
      <c r="L934" s="859"/>
      <c r="M934" s="859"/>
      <c r="N934" s="859"/>
      <c r="P934" s="859"/>
    </row>
    <row r="935" spans="1:16">
      <c r="A935" s="859"/>
      <c r="B935" s="859"/>
      <c r="C935" s="859"/>
      <c r="D935" s="859"/>
      <c r="E935" s="859"/>
      <c r="F935" s="859"/>
      <c r="G935" s="859"/>
      <c r="H935" s="861"/>
      <c r="I935" s="859"/>
      <c r="J935" s="859"/>
      <c r="K935" s="862"/>
      <c r="L935" s="859"/>
      <c r="M935" s="859"/>
      <c r="N935" s="859"/>
      <c r="P935" s="859"/>
    </row>
    <row r="936" spans="1:16">
      <c r="A936" s="859"/>
      <c r="B936" s="859"/>
      <c r="C936" s="859"/>
      <c r="D936" s="859"/>
      <c r="E936" s="859"/>
      <c r="F936" s="859"/>
      <c r="G936" s="859"/>
      <c r="H936" s="861"/>
      <c r="I936" s="859"/>
      <c r="J936" s="859"/>
      <c r="K936" s="862"/>
      <c r="L936" s="859"/>
      <c r="M936" s="859"/>
      <c r="N936" s="859"/>
      <c r="P936" s="859"/>
    </row>
    <row r="937" spans="1:16">
      <c r="A937" s="859"/>
      <c r="B937" s="859"/>
      <c r="C937" s="859"/>
      <c r="D937" s="859"/>
      <c r="E937" s="859"/>
      <c r="F937" s="859"/>
      <c r="G937" s="859"/>
      <c r="H937" s="861"/>
      <c r="I937" s="859"/>
      <c r="J937" s="859"/>
      <c r="K937" s="862"/>
      <c r="L937" s="859"/>
      <c r="M937" s="859"/>
      <c r="N937" s="859"/>
      <c r="P937" s="859"/>
    </row>
    <row r="938" spans="1:16">
      <c r="A938" s="859"/>
      <c r="B938" s="859"/>
      <c r="C938" s="859"/>
      <c r="D938" s="859"/>
      <c r="E938" s="859"/>
      <c r="F938" s="859"/>
      <c r="G938" s="859"/>
      <c r="H938" s="861"/>
      <c r="I938" s="859"/>
      <c r="J938" s="859"/>
      <c r="K938" s="862"/>
      <c r="L938" s="859"/>
      <c r="M938" s="859"/>
      <c r="N938" s="859"/>
      <c r="P938" s="859"/>
    </row>
    <row r="939" spans="1:16">
      <c r="A939" s="859"/>
      <c r="B939" s="859"/>
      <c r="C939" s="859"/>
      <c r="D939" s="859"/>
      <c r="E939" s="859"/>
      <c r="F939" s="859"/>
      <c r="G939" s="859"/>
      <c r="H939" s="861"/>
      <c r="I939" s="859"/>
      <c r="J939" s="859"/>
      <c r="K939" s="862"/>
      <c r="L939" s="859"/>
      <c r="M939" s="859"/>
      <c r="N939" s="859"/>
      <c r="P939" s="859"/>
    </row>
    <row r="940" spans="1:16">
      <c r="A940" s="859"/>
      <c r="B940" s="859"/>
      <c r="C940" s="859"/>
      <c r="D940" s="859"/>
      <c r="E940" s="859"/>
      <c r="F940" s="859"/>
      <c r="G940" s="859"/>
      <c r="H940" s="861"/>
      <c r="I940" s="859"/>
      <c r="J940" s="859"/>
      <c r="K940" s="862"/>
      <c r="L940" s="859"/>
      <c r="M940" s="859"/>
      <c r="N940" s="859"/>
      <c r="P940" s="859"/>
    </row>
    <row r="941" spans="1:16">
      <c r="A941" s="859"/>
      <c r="B941" s="859"/>
      <c r="C941" s="859"/>
      <c r="D941" s="859"/>
      <c r="E941" s="859"/>
      <c r="F941" s="859"/>
      <c r="G941" s="859"/>
      <c r="H941" s="861"/>
      <c r="I941" s="859"/>
      <c r="J941" s="859"/>
      <c r="K941" s="862"/>
      <c r="L941" s="859"/>
      <c r="M941" s="859"/>
      <c r="N941" s="859"/>
      <c r="P941" s="859"/>
    </row>
    <row r="942" spans="1:16">
      <c r="A942" s="859"/>
      <c r="B942" s="859"/>
      <c r="C942" s="859"/>
      <c r="D942" s="859"/>
      <c r="E942" s="859"/>
      <c r="F942" s="859"/>
      <c r="G942" s="859"/>
      <c r="H942" s="861"/>
      <c r="I942" s="859"/>
      <c r="J942" s="859"/>
      <c r="K942" s="862"/>
      <c r="L942" s="859"/>
      <c r="M942" s="859"/>
      <c r="N942" s="859"/>
      <c r="P942" s="859"/>
    </row>
    <row r="943" spans="1:16">
      <c r="A943" s="859"/>
      <c r="B943" s="859"/>
      <c r="C943" s="859"/>
      <c r="D943" s="859"/>
      <c r="E943" s="859"/>
      <c r="F943" s="859"/>
      <c r="G943" s="859"/>
      <c r="H943" s="861"/>
      <c r="I943" s="859"/>
      <c r="J943" s="859"/>
      <c r="K943" s="862"/>
      <c r="L943" s="859"/>
      <c r="M943" s="859"/>
      <c r="N943" s="859"/>
      <c r="P943" s="859"/>
    </row>
    <row r="944" spans="1:16">
      <c r="A944" s="859"/>
      <c r="B944" s="859"/>
      <c r="C944" s="859"/>
      <c r="D944" s="859"/>
      <c r="E944" s="859"/>
      <c r="F944" s="859"/>
      <c r="G944" s="859"/>
      <c r="H944" s="861"/>
      <c r="I944" s="859"/>
      <c r="J944" s="859"/>
      <c r="K944" s="862"/>
      <c r="L944" s="859"/>
      <c r="M944" s="859"/>
      <c r="N944" s="859"/>
      <c r="P944" s="859"/>
    </row>
    <row r="945" spans="1:16">
      <c r="A945" s="859"/>
      <c r="B945" s="859"/>
      <c r="C945" s="859"/>
      <c r="D945" s="859"/>
      <c r="E945" s="859"/>
      <c r="F945" s="859"/>
      <c r="G945" s="859"/>
      <c r="H945" s="861"/>
      <c r="I945" s="859"/>
      <c r="J945" s="859"/>
      <c r="K945" s="862"/>
      <c r="L945" s="859"/>
      <c r="M945" s="859"/>
      <c r="N945" s="859"/>
      <c r="P945" s="859"/>
    </row>
    <row r="946" spans="1:16">
      <c r="A946" s="859"/>
      <c r="B946" s="859"/>
      <c r="C946" s="859"/>
      <c r="D946" s="859"/>
      <c r="E946" s="859"/>
      <c r="F946" s="859"/>
      <c r="G946" s="859"/>
      <c r="H946" s="861"/>
      <c r="I946" s="859"/>
      <c r="J946" s="859"/>
      <c r="K946" s="862"/>
      <c r="L946" s="859"/>
      <c r="M946" s="859"/>
      <c r="N946" s="859"/>
      <c r="P946" s="859"/>
    </row>
    <row r="947" spans="1:16">
      <c r="A947" s="859"/>
      <c r="B947" s="859"/>
      <c r="C947" s="859"/>
      <c r="D947" s="859"/>
      <c r="E947" s="859"/>
      <c r="F947" s="859"/>
      <c r="G947" s="859"/>
      <c r="H947" s="861"/>
      <c r="I947" s="859"/>
      <c r="J947" s="859"/>
      <c r="K947" s="862"/>
      <c r="L947" s="859"/>
      <c r="M947" s="859"/>
      <c r="N947" s="859"/>
      <c r="P947" s="859"/>
    </row>
    <row r="948" spans="1:16">
      <c r="A948" s="859"/>
      <c r="B948" s="859"/>
      <c r="C948" s="859"/>
      <c r="D948" s="859"/>
      <c r="E948" s="859"/>
      <c r="F948" s="859"/>
      <c r="G948" s="859"/>
      <c r="H948" s="861"/>
      <c r="I948" s="859"/>
      <c r="J948" s="859"/>
      <c r="K948" s="862"/>
      <c r="L948" s="859"/>
      <c r="M948" s="859"/>
      <c r="N948" s="859"/>
      <c r="P948" s="859"/>
    </row>
    <row r="949" spans="1:16">
      <c r="A949" s="859"/>
      <c r="B949" s="859"/>
      <c r="C949" s="859"/>
      <c r="D949" s="859"/>
      <c r="E949" s="859"/>
      <c r="F949" s="859"/>
      <c r="G949" s="859"/>
      <c r="H949" s="861"/>
      <c r="I949" s="859"/>
      <c r="J949" s="859"/>
      <c r="K949" s="862"/>
      <c r="L949" s="859"/>
      <c r="M949" s="859"/>
      <c r="N949" s="859"/>
      <c r="P949" s="859"/>
    </row>
    <row r="950" spans="1:16">
      <c r="A950" s="859"/>
      <c r="B950" s="859"/>
      <c r="C950" s="859"/>
      <c r="D950" s="859"/>
      <c r="E950" s="859"/>
      <c r="F950" s="859"/>
      <c r="G950" s="859"/>
      <c r="H950" s="861"/>
      <c r="I950" s="859"/>
      <c r="J950" s="859"/>
      <c r="K950" s="862"/>
      <c r="L950" s="859"/>
      <c r="M950" s="859"/>
      <c r="N950" s="859"/>
      <c r="P950" s="859"/>
    </row>
    <row r="951" spans="1:16">
      <c r="A951" s="859"/>
      <c r="B951" s="859"/>
      <c r="C951" s="859"/>
      <c r="D951" s="859"/>
      <c r="E951" s="859"/>
      <c r="F951" s="859"/>
      <c r="G951" s="859"/>
      <c r="H951" s="861"/>
      <c r="I951" s="859"/>
      <c r="J951" s="859"/>
      <c r="K951" s="862"/>
      <c r="L951" s="859"/>
      <c r="M951" s="859"/>
      <c r="N951" s="859"/>
      <c r="P951" s="859"/>
    </row>
    <row r="952" spans="1:16">
      <c r="A952" s="859"/>
      <c r="B952" s="859"/>
      <c r="C952" s="859"/>
      <c r="D952" s="859"/>
      <c r="E952" s="859"/>
      <c r="F952" s="859"/>
      <c r="G952" s="859"/>
      <c r="H952" s="861"/>
      <c r="I952" s="859"/>
      <c r="J952" s="859"/>
      <c r="K952" s="862"/>
      <c r="L952" s="859"/>
      <c r="M952" s="859"/>
      <c r="N952" s="859"/>
      <c r="P952" s="859"/>
    </row>
    <row r="953" spans="1:16">
      <c r="A953" s="859"/>
      <c r="B953" s="859"/>
      <c r="C953" s="859"/>
      <c r="D953" s="859"/>
      <c r="E953" s="859"/>
      <c r="F953" s="859"/>
      <c r="G953" s="859"/>
      <c r="H953" s="861"/>
      <c r="I953" s="859"/>
      <c r="J953" s="859"/>
      <c r="K953" s="862"/>
      <c r="L953" s="859"/>
      <c r="M953" s="859"/>
      <c r="N953" s="859"/>
      <c r="P953" s="859"/>
    </row>
    <row r="954" spans="1:16">
      <c r="A954" s="859"/>
      <c r="B954" s="859"/>
      <c r="C954" s="859"/>
      <c r="D954" s="859"/>
      <c r="E954" s="859"/>
      <c r="F954" s="859"/>
      <c r="G954" s="859"/>
      <c r="H954" s="861"/>
      <c r="I954" s="859"/>
      <c r="J954" s="859"/>
      <c r="K954" s="862"/>
      <c r="L954" s="859"/>
      <c r="M954" s="859"/>
      <c r="N954" s="859"/>
      <c r="P954" s="859"/>
    </row>
    <row r="955" spans="1:16">
      <c r="A955" s="859"/>
      <c r="B955" s="859"/>
      <c r="C955" s="859"/>
      <c r="D955" s="859"/>
      <c r="E955" s="859"/>
      <c r="F955" s="859"/>
      <c r="G955" s="859"/>
      <c r="H955" s="861"/>
      <c r="I955" s="859"/>
      <c r="J955" s="859"/>
      <c r="K955" s="862"/>
      <c r="L955" s="859"/>
      <c r="M955" s="859"/>
      <c r="N955" s="859"/>
      <c r="P955" s="859"/>
    </row>
    <row r="956" spans="1:16">
      <c r="A956" s="859"/>
      <c r="B956" s="859"/>
      <c r="C956" s="859"/>
      <c r="D956" s="859"/>
      <c r="E956" s="859"/>
      <c r="F956" s="859"/>
      <c r="G956" s="859"/>
      <c r="H956" s="861"/>
      <c r="I956" s="859"/>
      <c r="J956" s="859"/>
      <c r="K956" s="862"/>
      <c r="L956" s="859"/>
      <c r="M956" s="859"/>
      <c r="N956" s="859"/>
      <c r="P956" s="859"/>
    </row>
    <row r="957" spans="1:16">
      <c r="A957" s="859"/>
      <c r="B957" s="859"/>
      <c r="C957" s="859"/>
      <c r="D957" s="859"/>
      <c r="E957" s="859"/>
      <c r="F957" s="859"/>
      <c r="G957" s="859"/>
      <c r="H957" s="861"/>
      <c r="I957" s="859"/>
      <c r="J957" s="859"/>
      <c r="K957" s="862"/>
      <c r="L957" s="859"/>
      <c r="M957" s="859"/>
      <c r="N957" s="859"/>
      <c r="P957" s="859"/>
    </row>
    <row r="958" spans="1:16">
      <c r="A958" s="859"/>
      <c r="B958" s="859"/>
      <c r="C958" s="859"/>
      <c r="D958" s="859"/>
      <c r="E958" s="859"/>
      <c r="F958" s="859"/>
      <c r="G958" s="859"/>
      <c r="H958" s="861"/>
      <c r="I958" s="859"/>
      <c r="J958" s="859"/>
      <c r="K958" s="862"/>
      <c r="L958" s="859"/>
      <c r="M958" s="859"/>
      <c r="N958" s="859"/>
      <c r="P958" s="859"/>
    </row>
    <row r="959" spans="1:16">
      <c r="A959" s="859"/>
      <c r="B959" s="859"/>
      <c r="C959" s="859"/>
      <c r="D959" s="859"/>
      <c r="E959" s="859"/>
      <c r="F959" s="859"/>
      <c r="G959" s="859"/>
      <c r="H959" s="861"/>
      <c r="I959" s="859"/>
      <c r="J959" s="859"/>
      <c r="K959" s="862"/>
      <c r="L959" s="859"/>
      <c r="M959" s="859"/>
      <c r="N959" s="859"/>
      <c r="P959" s="859"/>
    </row>
    <row r="960" spans="1:16">
      <c r="A960" s="859"/>
      <c r="B960" s="859"/>
      <c r="C960" s="859"/>
      <c r="D960" s="859"/>
      <c r="E960" s="859"/>
      <c r="F960" s="859"/>
      <c r="G960" s="859"/>
      <c r="H960" s="861"/>
      <c r="I960" s="859"/>
      <c r="J960" s="859"/>
      <c r="K960" s="862"/>
      <c r="L960" s="859"/>
      <c r="M960" s="859"/>
      <c r="N960" s="859"/>
      <c r="P960" s="859"/>
    </row>
    <row r="961" spans="1:16">
      <c r="A961" s="859"/>
      <c r="B961" s="859"/>
      <c r="C961" s="859"/>
      <c r="D961" s="859"/>
      <c r="E961" s="859"/>
      <c r="F961" s="859"/>
      <c r="G961" s="859"/>
      <c r="H961" s="861"/>
      <c r="I961" s="859"/>
      <c r="J961" s="859"/>
      <c r="K961" s="862"/>
      <c r="L961" s="859"/>
      <c r="M961" s="859"/>
      <c r="N961" s="859"/>
      <c r="P961" s="859"/>
    </row>
    <row r="962" spans="1:16">
      <c r="A962" s="859"/>
      <c r="B962" s="859"/>
      <c r="C962" s="859"/>
      <c r="D962" s="859"/>
      <c r="E962" s="859"/>
      <c r="F962" s="859"/>
      <c r="G962" s="859"/>
      <c r="H962" s="861"/>
      <c r="I962" s="859"/>
      <c r="J962" s="859"/>
      <c r="K962" s="862"/>
      <c r="L962" s="859"/>
      <c r="M962" s="859"/>
      <c r="N962" s="859"/>
      <c r="P962" s="859"/>
    </row>
    <row r="963" spans="1:16">
      <c r="A963" s="859"/>
      <c r="B963" s="859"/>
      <c r="C963" s="859"/>
      <c r="D963" s="859"/>
      <c r="E963" s="859"/>
      <c r="F963" s="859"/>
      <c r="G963" s="859"/>
      <c r="H963" s="861"/>
      <c r="I963" s="859"/>
      <c r="J963" s="859"/>
      <c r="K963" s="862"/>
      <c r="L963" s="859"/>
      <c r="M963" s="859"/>
      <c r="N963" s="859"/>
      <c r="P963" s="859"/>
    </row>
    <row r="964" spans="1:16">
      <c r="A964" s="859"/>
      <c r="B964" s="859"/>
      <c r="C964" s="859"/>
      <c r="D964" s="859"/>
      <c r="E964" s="859"/>
      <c r="F964" s="859"/>
      <c r="G964" s="859"/>
      <c r="H964" s="861"/>
      <c r="I964" s="859"/>
      <c r="J964" s="859"/>
      <c r="K964" s="862"/>
      <c r="L964" s="859"/>
      <c r="M964" s="859"/>
      <c r="N964" s="859"/>
      <c r="P964" s="859"/>
    </row>
    <row r="965" spans="1:16">
      <c r="A965" s="859"/>
      <c r="B965" s="859"/>
      <c r="C965" s="859"/>
      <c r="D965" s="859"/>
      <c r="E965" s="859"/>
      <c r="F965" s="859"/>
      <c r="G965" s="859"/>
      <c r="H965" s="861"/>
      <c r="I965" s="859"/>
      <c r="J965" s="859"/>
      <c r="K965" s="862"/>
      <c r="L965" s="859"/>
      <c r="M965" s="859"/>
      <c r="N965" s="859"/>
      <c r="P965" s="859"/>
    </row>
    <row r="966" spans="1:16">
      <c r="A966" s="859"/>
      <c r="B966" s="859"/>
      <c r="C966" s="859"/>
      <c r="D966" s="859"/>
      <c r="E966" s="859"/>
      <c r="F966" s="859"/>
      <c r="G966" s="859"/>
      <c r="H966" s="861"/>
      <c r="I966" s="859"/>
      <c r="J966" s="859"/>
      <c r="K966" s="862"/>
      <c r="L966" s="859"/>
      <c r="M966" s="859"/>
      <c r="N966" s="859"/>
      <c r="P966" s="859"/>
    </row>
    <row r="967" spans="1:16">
      <c r="A967" s="859"/>
      <c r="B967" s="859"/>
      <c r="C967" s="859"/>
      <c r="D967" s="859"/>
      <c r="E967" s="859"/>
      <c r="F967" s="859"/>
      <c r="G967" s="859"/>
      <c r="H967" s="861"/>
      <c r="I967" s="859"/>
      <c r="J967" s="859"/>
      <c r="K967" s="862"/>
      <c r="L967" s="859"/>
      <c r="M967" s="859"/>
      <c r="N967" s="859"/>
      <c r="P967" s="859"/>
    </row>
    <row r="968" spans="1:16">
      <c r="A968" s="859"/>
      <c r="B968" s="859"/>
      <c r="C968" s="859"/>
      <c r="D968" s="859"/>
      <c r="E968" s="859"/>
      <c r="F968" s="859"/>
      <c r="G968" s="859"/>
      <c r="H968" s="861"/>
      <c r="I968" s="859"/>
      <c r="J968" s="859"/>
      <c r="K968" s="862"/>
      <c r="L968" s="859"/>
      <c r="M968" s="859"/>
      <c r="N968" s="859"/>
      <c r="P968" s="859"/>
    </row>
    <row r="969" spans="1:16">
      <c r="A969" s="859"/>
      <c r="B969" s="859"/>
      <c r="C969" s="859"/>
      <c r="D969" s="859"/>
      <c r="E969" s="859"/>
      <c r="F969" s="859"/>
      <c r="G969" s="859"/>
      <c r="H969" s="861"/>
      <c r="I969" s="859"/>
      <c r="J969" s="859"/>
      <c r="K969" s="862"/>
      <c r="L969" s="859"/>
      <c r="M969" s="859"/>
      <c r="N969" s="859"/>
      <c r="P969" s="859"/>
    </row>
    <row r="970" spans="1:16">
      <c r="A970" s="859"/>
      <c r="B970" s="859"/>
      <c r="C970" s="859"/>
      <c r="D970" s="859"/>
      <c r="E970" s="859"/>
      <c r="F970" s="859"/>
      <c r="G970" s="859"/>
      <c r="H970" s="861"/>
      <c r="I970" s="859"/>
      <c r="J970" s="859"/>
      <c r="K970" s="862"/>
      <c r="L970" s="859"/>
      <c r="M970" s="859"/>
      <c r="N970" s="859"/>
      <c r="P970" s="859"/>
    </row>
    <row r="971" spans="1:16">
      <c r="A971" s="859"/>
      <c r="B971" s="859"/>
      <c r="C971" s="859"/>
      <c r="D971" s="859"/>
      <c r="E971" s="859"/>
      <c r="F971" s="859"/>
      <c r="G971" s="859"/>
      <c r="H971" s="861"/>
      <c r="I971" s="859"/>
      <c r="J971" s="859"/>
      <c r="K971" s="862"/>
      <c r="L971" s="859"/>
      <c r="M971" s="859"/>
      <c r="N971" s="859"/>
      <c r="P971" s="859"/>
    </row>
    <row r="972" spans="1:16">
      <c r="A972" s="859"/>
      <c r="B972" s="859"/>
      <c r="C972" s="859"/>
      <c r="D972" s="859"/>
      <c r="E972" s="859"/>
      <c r="F972" s="859"/>
      <c r="G972" s="859"/>
      <c r="H972" s="861"/>
      <c r="I972" s="859"/>
      <c r="J972" s="859"/>
      <c r="K972" s="862"/>
      <c r="L972" s="859"/>
      <c r="M972" s="859"/>
      <c r="N972" s="859"/>
      <c r="P972" s="859"/>
    </row>
    <row r="973" spans="1:16">
      <c r="A973" s="859"/>
      <c r="B973" s="859"/>
      <c r="C973" s="859"/>
      <c r="D973" s="859"/>
      <c r="E973" s="859"/>
      <c r="F973" s="859"/>
      <c r="G973" s="859"/>
      <c r="H973" s="861"/>
      <c r="I973" s="859"/>
      <c r="J973" s="859"/>
      <c r="K973" s="862"/>
      <c r="L973" s="859"/>
      <c r="M973" s="859"/>
      <c r="N973" s="859"/>
      <c r="P973" s="859"/>
    </row>
    <row r="974" spans="1:16">
      <c r="A974" s="859"/>
      <c r="B974" s="859"/>
      <c r="C974" s="859"/>
      <c r="D974" s="859"/>
      <c r="E974" s="859"/>
      <c r="F974" s="859"/>
      <c r="G974" s="859"/>
      <c r="H974" s="861"/>
      <c r="I974" s="859"/>
      <c r="J974" s="859"/>
      <c r="K974" s="862"/>
      <c r="L974" s="859"/>
      <c r="M974" s="859"/>
      <c r="N974" s="859"/>
      <c r="P974" s="859"/>
    </row>
    <row r="975" spans="1:16">
      <c r="A975" s="859"/>
      <c r="B975" s="859"/>
      <c r="C975" s="859"/>
      <c r="D975" s="859"/>
      <c r="E975" s="859"/>
      <c r="F975" s="859"/>
      <c r="G975" s="859"/>
      <c r="H975" s="861"/>
      <c r="I975" s="859"/>
      <c r="J975" s="859"/>
      <c r="K975" s="862"/>
      <c r="L975" s="859"/>
      <c r="M975" s="859"/>
      <c r="N975" s="859"/>
      <c r="P975" s="859"/>
    </row>
    <row r="976" spans="1:16">
      <c r="A976" s="859"/>
      <c r="B976" s="859"/>
      <c r="C976" s="859"/>
      <c r="D976" s="859"/>
      <c r="E976" s="859"/>
      <c r="F976" s="859"/>
      <c r="G976" s="859"/>
      <c r="H976" s="861"/>
      <c r="I976" s="859"/>
      <c r="J976" s="859"/>
      <c r="K976" s="862"/>
      <c r="L976" s="859"/>
      <c r="M976" s="859"/>
      <c r="N976" s="859"/>
      <c r="P976" s="859"/>
    </row>
    <row r="977" spans="1:16">
      <c r="A977" s="859"/>
      <c r="B977" s="859"/>
      <c r="C977" s="859"/>
      <c r="D977" s="859"/>
      <c r="E977" s="859"/>
      <c r="F977" s="859"/>
      <c r="G977" s="859"/>
      <c r="H977" s="861"/>
      <c r="I977" s="859"/>
      <c r="J977" s="859"/>
      <c r="K977" s="862"/>
      <c r="L977" s="859"/>
      <c r="M977" s="859"/>
      <c r="N977" s="859"/>
      <c r="P977" s="859"/>
    </row>
    <row r="978" spans="1:16">
      <c r="A978" s="859"/>
      <c r="B978" s="859"/>
      <c r="C978" s="859"/>
      <c r="D978" s="859"/>
      <c r="E978" s="859"/>
      <c r="F978" s="859"/>
      <c r="G978" s="859"/>
      <c r="H978" s="861"/>
      <c r="I978" s="859"/>
      <c r="J978" s="859"/>
      <c r="K978" s="862"/>
      <c r="L978" s="859"/>
      <c r="M978" s="859"/>
      <c r="N978" s="859"/>
      <c r="P978" s="859"/>
    </row>
    <row r="979" spans="1:16">
      <c r="A979" s="859"/>
      <c r="B979" s="859"/>
      <c r="C979" s="859"/>
      <c r="D979" s="859"/>
      <c r="E979" s="859"/>
      <c r="F979" s="859"/>
      <c r="G979" s="859"/>
      <c r="H979" s="861"/>
      <c r="I979" s="859"/>
      <c r="J979" s="859"/>
      <c r="K979" s="862"/>
      <c r="L979" s="859"/>
      <c r="M979" s="859"/>
      <c r="N979" s="859"/>
      <c r="P979" s="859"/>
    </row>
    <row r="980" spans="1:16">
      <c r="A980" s="859"/>
      <c r="B980" s="859"/>
      <c r="C980" s="859"/>
      <c r="D980" s="859"/>
      <c r="E980" s="859"/>
      <c r="F980" s="859"/>
      <c r="G980" s="859"/>
      <c r="H980" s="861"/>
      <c r="I980" s="859"/>
      <c r="J980" s="859"/>
      <c r="K980" s="862"/>
      <c r="L980" s="859"/>
      <c r="M980" s="859"/>
      <c r="N980" s="859"/>
      <c r="P980" s="859"/>
    </row>
    <row r="981" spans="1:16">
      <c r="A981" s="859"/>
      <c r="B981" s="859"/>
      <c r="C981" s="859"/>
      <c r="D981" s="859"/>
      <c r="E981" s="859"/>
      <c r="F981" s="859"/>
      <c r="G981" s="859"/>
      <c r="H981" s="861"/>
      <c r="I981" s="859"/>
      <c r="J981" s="859"/>
      <c r="K981" s="862"/>
      <c r="L981" s="859"/>
      <c r="M981" s="859"/>
      <c r="N981" s="859"/>
      <c r="P981" s="859"/>
    </row>
    <row r="982" spans="1:16">
      <c r="A982" s="859"/>
      <c r="B982" s="859"/>
      <c r="C982" s="859"/>
      <c r="D982" s="859"/>
      <c r="E982" s="859"/>
      <c r="F982" s="859"/>
      <c r="G982" s="859"/>
      <c r="H982" s="861"/>
      <c r="I982" s="859"/>
      <c r="J982" s="859"/>
      <c r="K982" s="862"/>
      <c r="L982" s="859"/>
      <c r="M982" s="859"/>
      <c r="N982" s="859"/>
      <c r="P982" s="859"/>
    </row>
    <row r="983" spans="1:16">
      <c r="A983" s="859"/>
      <c r="B983" s="859"/>
      <c r="C983" s="859"/>
      <c r="D983" s="859"/>
      <c r="E983" s="859"/>
      <c r="F983" s="859"/>
      <c r="G983" s="859"/>
      <c r="H983" s="861"/>
      <c r="I983" s="859"/>
      <c r="J983" s="859"/>
      <c r="K983" s="862"/>
      <c r="L983" s="859"/>
      <c r="M983" s="859"/>
      <c r="N983" s="859"/>
      <c r="P983" s="859"/>
    </row>
    <row r="984" spans="1:16">
      <c r="A984" s="859"/>
      <c r="B984" s="859"/>
      <c r="C984" s="859"/>
      <c r="D984" s="859"/>
      <c r="E984" s="859"/>
      <c r="F984" s="859"/>
      <c r="G984" s="859"/>
      <c r="H984" s="861"/>
      <c r="I984" s="859"/>
      <c r="J984" s="859"/>
      <c r="K984" s="862"/>
      <c r="L984" s="859"/>
      <c r="M984" s="859"/>
      <c r="N984" s="859"/>
      <c r="P984" s="859"/>
    </row>
    <row r="985" spans="1:16">
      <c r="A985" s="859"/>
      <c r="B985" s="859"/>
      <c r="C985" s="859"/>
      <c r="D985" s="859"/>
      <c r="E985" s="859"/>
      <c r="F985" s="859"/>
      <c r="G985" s="859"/>
      <c r="H985" s="861"/>
      <c r="I985" s="859"/>
      <c r="J985" s="859"/>
      <c r="K985" s="862"/>
      <c r="L985" s="859"/>
      <c r="M985" s="859"/>
      <c r="N985" s="859"/>
      <c r="P985" s="859"/>
    </row>
    <row r="986" spans="1:16">
      <c r="A986" s="859"/>
      <c r="B986" s="859"/>
      <c r="C986" s="859"/>
      <c r="D986" s="859"/>
      <c r="E986" s="859"/>
      <c r="F986" s="859"/>
      <c r="G986" s="859"/>
      <c r="H986" s="861"/>
      <c r="I986" s="859"/>
      <c r="J986" s="859"/>
      <c r="K986" s="862"/>
      <c r="L986" s="859"/>
      <c r="M986" s="859"/>
      <c r="N986" s="859"/>
      <c r="P986" s="859"/>
    </row>
    <row r="987" spans="1:16">
      <c r="A987" s="859"/>
      <c r="B987" s="859"/>
      <c r="C987" s="859"/>
      <c r="D987" s="859"/>
      <c r="E987" s="859"/>
      <c r="F987" s="859"/>
      <c r="G987" s="859"/>
      <c r="H987" s="861"/>
      <c r="I987" s="859"/>
      <c r="J987" s="859"/>
      <c r="K987" s="862"/>
      <c r="L987" s="859"/>
      <c r="M987" s="859"/>
      <c r="N987" s="859"/>
      <c r="P987" s="859"/>
    </row>
    <row r="988" spans="1:16">
      <c r="A988" s="859"/>
      <c r="B988" s="859"/>
      <c r="C988" s="859"/>
      <c r="D988" s="859"/>
      <c r="E988" s="859"/>
      <c r="F988" s="859"/>
      <c r="G988" s="859"/>
      <c r="H988" s="861"/>
      <c r="I988" s="859"/>
      <c r="J988" s="859"/>
      <c r="K988" s="862"/>
      <c r="L988" s="859"/>
      <c r="M988" s="859"/>
      <c r="N988" s="859"/>
      <c r="P988" s="859"/>
    </row>
    <row r="989" spans="1:16">
      <c r="A989" s="859"/>
      <c r="B989" s="859"/>
      <c r="C989" s="859"/>
      <c r="D989" s="859"/>
      <c r="E989" s="859"/>
      <c r="F989" s="859"/>
      <c r="G989" s="859"/>
      <c r="H989" s="861"/>
      <c r="I989" s="859"/>
      <c r="J989" s="859"/>
      <c r="K989" s="862"/>
      <c r="L989" s="859"/>
      <c r="M989" s="859"/>
      <c r="N989" s="859"/>
      <c r="P989" s="859"/>
    </row>
    <row r="990" spans="1:16">
      <c r="A990" s="859"/>
      <c r="B990" s="859"/>
      <c r="C990" s="859"/>
      <c r="D990" s="859"/>
      <c r="E990" s="859"/>
      <c r="F990" s="859"/>
      <c r="G990" s="859"/>
      <c r="H990" s="861"/>
      <c r="I990" s="859"/>
      <c r="J990" s="859"/>
      <c r="K990" s="862"/>
      <c r="L990" s="859"/>
      <c r="M990" s="859"/>
      <c r="N990" s="859"/>
      <c r="P990" s="859"/>
    </row>
    <row r="991" spans="1:16">
      <c r="A991" s="859"/>
      <c r="B991" s="859"/>
      <c r="C991" s="859"/>
      <c r="D991" s="859"/>
      <c r="E991" s="859"/>
      <c r="F991" s="859"/>
      <c r="G991" s="859"/>
      <c r="H991" s="861"/>
      <c r="I991" s="859"/>
      <c r="J991" s="859"/>
      <c r="K991" s="862"/>
      <c r="L991" s="859"/>
      <c r="M991" s="859"/>
      <c r="N991" s="859"/>
      <c r="P991" s="859"/>
    </row>
    <row r="992" spans="1:16">
      <c r="A992" s="859"/>
      <c r="B992" s="859"/>
      <c r="C992" s="859"/>
      <c r="D992" s="859"/>
      <c r="E992" s="859"/>
      <c r="F992" s="859"/>
      <c r="G992" s="859"/>
      <c r="H992" s="861"/>
      <c r="I992" s="859"/>
      <c r="J992" s="859"/>
      <c r="K992" s="862"/>
      <c r="L992" s="859"/>
      <c r="M992" s="859"/>
      <c r="N992" s="859"/>
      <c r="P992" s="859"/>
    </row>
    <row r="993" spans="1:16">
      <c r="A993" s="859"/>
      <c r="B993" s="859"/>
      <c r="C993" s="859"/>
      <c r="D993" s="859"/>
      <c r="E993" s="859"/>
      <c r="F993" s="859"/>
      <c r="G993" s="859"/>
      <c r="H993" s="861"/>
      <c r="I993" s="859"/>
      <c r="J993" s="859"/>
      <c r="K993" s="862"/>
      <c r="L993" s="859"/>
      <c r="M993" s="859"/>
      <c r="N993" s="859"/>
      <c r="P993" s="859"/>
    </row>
    <row r="994" spans="1:16">
      <c r="A994" s="859"/>
      <c r="B994" s="859"/>
      <c r="C994" s="859"/>
      <c r="D994" s="859"/>
      <c r="E994" s="859"/>
      <c r="F994" s="859"/>
      <c r="G994" s="859"/>
      <c r="H994" s="861"/>
      <c r="I994" s="859"/>
      <c r="J994" s="859"/>
      <c r="K994" s="862"/>
      <c r="L994" s="859"/>
      <c r="M994" s="859"/>
      <c r="N994" s="859"/>
      <c r="P994" s="859"/>
    </row>
    <row r="995" spans="1:16">
      <c r="A995" s="859"/>
      <c r="B995" s="859"/>
      <c r="C995" s="859"/>
      <c r="D995" s="859"/>
      <c r="E995" s="859"/>
      <c r="F995" s="859"/>
      <c r="G995" s="859"/>
      <c r="H995" s="861"/>
      <c r="I995" s="859"/>
      <c r="J995" s="859"/>
      <c r="K995" s="862"/>
      <c r="L995" s="859"/>
      <c r="M995" s="859"/>
      <c r="N995" s="859"/>
      <c r="P995" s="859"/>
    </row>
    <row r="996" spans="1:16">
      <c r="A996" s="859"/>
      <c r="B996" s="859"/>
      <c r="C996" s="859"/>
      <c r="D996" s="859"/>
      <c r="E996" s="859"/>
      <c r="F996" s="859"/>
      <c r="G996" s="859"/>
      <c r="H996" s="861"/>
      <c r="I996" s="859"/>
      <c r="J996" s="859"/>
      <c r="K996" s="862"/>
      <c r="L996" s="859"/>
      <c r="M996" s="859"/>
      <c r="N996" s="859"/>
      <c r="P996" s="859"/>
    </row>
    <row r="997" spans="1:16">
      <c r="A997" s="859"/>
      <c r="B997" s="859"/>
      <c r="C997" s="859"/>
      <c r="D997" s="859"/>
      <c r="E997" s="859"/>
      <c r="F997" s="859"/>
      <c r="G997" s="859"/>
      <c r="H997" s="861"/>
      <c r="I997" s="859"/>
      <c r="J997" s="859"/>
      <c r="K997" s="862"/>
      <c r="L997" s="859"/>
      <c r="M997" s="859"/>
      <c r="N997" s="859"/>
      <c r="P997" s="859"/>
    </row>
    <row r="998" spans="1:16">
      <c r="A998" s="859"/>
      <c r="B998" s="859"/>
      <c r="C998" s="859"/>
      <c r="D998" s="859"/>
      <c r="E998" s="859"/>
      <c r="F998" s="859"/>
      <c r="G998" s="859"/>
      <c r="H998" s="861"/>
      <c r="I998" s="859"/>
      <c r="J998" s="859"/>
      <c r="K998" s="862"/>
      <c r="L998" s="859"/>
      <c r="M998" s="859"/>
      <c r="N998" s="859"/>
      <c r="P998" s="859"/>
    </row>
    <row r="999" spans="1:16">
      <c r="A999" s="859"/>
      <c r="B999" s="859"/>
      <c r="C999" s="859"/>
      <c r="D999" s="859"/>
      <c r="E999" s="859"/>
      <c r="F999" s="859"/>
      <c r="G999" s="859"/>
      <c r="H999" s="861"/>
      <c r="I999" s="859"/>
      <c r="J999" s="859"/>
      <c r="K999" s="862"/>
      <c r="L999" s="859"/>
      <c r="M999" s="859"/>
      <c r="N999" s="859"/>
      <c r="P999" s="859"/>
    </row>
    <row r="1000" spans="1:16">
      <c r="A1000" s="859"/>
      <c r="B1000" s="859"/>
      <c r="C1000" s="859"/>
      <c r="D1000" s="859"/>
      <c r="E1000" s="859"/>
      <c r="F1000" s="859"/>
      <c r="G1000" s="859"/>
      <c r="H1000" s="861"/>
      <c r="I1000" s="859"/>
      <c r="J1000" s="859"/>
      <c r="K1000" s="862"/>
      <c r="L1000" s="859"/>
      <c r="M1000" s="859"/>
      <c r="N1000" s="859"/>
      <c r="P1000" s="859"/>
    </row>
    <row r="1001" spans="1:16">
      <c r="A1001" s="859"/>
      <c r="B1001" s="859"/>
      <c r="C1001" s="859"/>
      <c r="D1001" s="859"/>
      <c r="E1001" s="859"/>
      <c r="F1001" s="859"/>
      <c r="G1001" s="859"/>
      <c r="H1001" s="861"/>
      <c r="I1001" s="859"/>
      <c r="J1001" s="859"/>
      <c r="K1001" s="862"/>
      <c r="L1001" s="859"/>
      <c r="M1001" s="859"/>
      <c r="N1001" s="859"/>
      <c r="P1001" s="859"/>
    </row>
    <row r="1002" spans="1:16">
      <c r="A1002" s="859"/>
      <c r="B1002" s="859"/>
      <c r="C1002" s="859"/>
      <c r="D1002" s="859"/>
      <c r="E1002" s="859"/>
      <c r="F1002" s="859"/>
      <c r="G1002" s="859"/>
      <c r="H1002" s="861"/>
      <c r="I1002" s="859"/>
      <c r="J1002" s="859"/>
      <c r="K1002" s="862"/>
      <c r="L1002" s="859"/>
      <c r="M1002" s="859"/>
      <c r="N1002" s="859"/>
      <c r="P1002" s="859"/>
    </row>
    <row r="1003" spans="1:16">
      <c r="A1003" s="859"/>
      <c r="B1003" s="859"/>
      <c r="C1003" s="859"/>
      <c r="D1003" s="859"/>
      <c r="E1003" s="859"/>
      <c r="F1003" s="859"/>
      <c r="G1003" s="859"/>
      <c r="H1003" s="861"/>
      <c r="I1003" s="859"/>
      <c r="J1003" s="859"/>
      <c r="K1003" s="862"/>
      <c r="L1003" s="859"/>
      <c r="M1003" s="859"/>
      <c r="N1003" s="859"/>
      <c r="P1003" s="859"/>
    </row>
    <row r="1004" spans="1:16">
      <c r="A1004" s="859"/>
      <c r="B1004" s="859"/>
      <c r="C1004" s="859"/>
      <c r="D1004" s="859"/>
      <c r="E1004" s="859"/>
      <c r="F1004" s="859"/>
      <c r="G1004" s="859"/>
      <c r="H1004" s="861"/>
      <c r="I1004" s="859"/>
      <c r="J1004" s="859"/>
      <c r="K1004" s="862"/>
      <c r="L1004" s="859"/>
      <c r="M1004" s="859"/>
      <c r="N1004" s="859"/>
      <c r="P1004" s="859"/>
    </row>
    <row r="1005" spans="1:16">
      <c r="A1005" s="859"/>
      <c r="B1005" s="859"/>
      <c r="C1005" s="859"/>
      <c r="D1005" s="859"/>
      <c r="E1005" s="859"/>
      <c r="F1005" s="859"/>
      <c r="G1005" s="859"/>
      <c r="H1005" s="861"/>
      <c r="I1005" s="859"/>
      <c r="J1005" s="859"/>
      <c r="K1005" s="862"/>
      <c r="L1005" s="859"/>
      <c r="M1005" s="859"/>
      <c r="N1005" s="859"/>
      <c r="P1005" s="859"/>
    </row>
    <row r="1006" spans="1:16">
      <c r="A1006" s="859"/>
      <c r="B1006" s="859"/>
      <c r="C1006" s="859"/>
      <c r="D1006" s="859"/>
      <c r="E1006" s="859"/>
      <c r="F1006" s="859"/>
      <c r="G1006" s="859"/>
      <c r="H1006" s="861"/>
      <c r="I1006" s="859"/>
      <c r="J1006" s="859"/>
      <c r="K1006" s="862"/>
      <c r="L1006" s="859"/>
      <c r="M1006" s="859"/>
      <c r="N1006" s="859"/>
      <c r="P1006" s="859"/>
    </row>
    <row r="1007" spans="1:16">
      <c r="A1007" s="859"/>
      <c r="B1007" s="859"/>
      <c r="C1007" s="859"/>
      <c r="D1007" s="859"/>
      <c r="E1007" s="859"/>
      <c r="F1007" s="859"/>
      <c r="G1007" s="859"/>
      <c r="H1007" s="861"/>
      <c r="I1007" s="859"/>
      <c r="J1007" s="859"/>
      <c r="K1007" s="862"/>
      <c r="L1007" s="859"/>
      <c r="M1007" s="859"/>
      <c r="N1007" s="859"/>
      <c r="P1007" s="859"/>
    </row>
    <row r="1008" spans="1:16">
      <c r="A1008" s="859"/>
      <c r="B1008" s="859"/>
      <c r="C1008" s="859"/>
      <c r="D1008" s="859"/>
      <c r="E1008" s="859"/>
      <c r="F1008" s="859"/>
      <c r="G1008" s="859"/>
      <c r="H1008" s="861"/>
      <c r="I1008" s="859"/>
      <c r="J1008" s="859"/>
      <c r="K1008" s="862"/>
      <c r="L1008" s="859"/>
      <c r="M1008" s="859"/>
      <c r="N1008" s="859"/>
      <c r="P1008" s="859"/>
    </row>
    <row r="1009" spans="1:16">
      <c r="A1009" s="859"/>
      <c r="B1009" s="859"/>
      <c r="C1009" s="859"/>
      <c r="D1009" s="859"/>
      <c r="E1009" s="859"/>
      <c r="F1009" s="859"/>
      <c r="G1009" s="859"/>
      <c r="H1009" s="861"/>
      <c r="I1009" s="859"/>
      <c r="J1009" s="859"/>
      <c r="K1009" s="862"/>
      <c r="L1009" s="859"/>
      <c r="M1009" s="859"/>
      <c r="N1009" s="859"/>
      <c r="P1009" s="859"/>
    </row>
    <row r="1010" spans="1:16">
      <c r="A1010" s="859"/>
      <c r="B1010" s="859"/>
      <c r="C1010" s="859"/>
      <c r="D1010" s="859"/>
      <c r="E1010" s="859"/>
      <c r="F1010" s="859"/>
      <c r="G1010" s="859"/>
      <c r="H1010" s="861"/>
      <c r="I1010" s="859"/>
      <c r="J1010" s="859"/>
      <c r="K1010" s="862"/>
      <c r="L1010" s="859"/>
      <c r="M1010" s="859"/>
      <c r="N1010" s="859"/>
      <c r="P1010" s="859"/>
    </row>
    <row r="1011" spans="1:16">
      <c r="A1011" s="859"/>
      <c r="B1011" s="859"/>
      <c r="C1011" s="859"/>
      <c r="D1011" s="859"/>
      <c r="E1011" s="859"/>
      <c r="F1011" s="859"/>
      <c r="G1011" s="859"/>
      <c r="H1011" s="861"/>
      <c r="I1011" s="859"/>
      <c r="J1011" s="859"/>
      <c r="K1011" s="862"/>
      <c r="L1011" s="859"/>
      <c r="M1011" s="859"/>
      <c r="N1011" s="859"/>
      <c r="P1011" s="859"/>
    </row>
    <row r="1012" spans="1:16">
      <c r="A1012" s="859"/>
      <c r="B1012" s="859"/>
      <c r="C1012" s="859"/>
      <c r="D1012" s="859"/>
      <c r="E1012" s="859"/>
      <c r="F1012" s="859"/>
      <c r="G1012" s="859"/>
      <c r="H1012" s="861"/>
      <c r="I1012" s="859"/>
      <c r="J1012" s="859"/>
      <c r="K1012" s="862"/>
      <c r="L1012" s="859"/>
      <c r="M1012" s="859"/>
      <c r="N1012" s="859"/>
      <c r="P1012" s="859"/>
    </row>
    <row r="1013" spans="1:16">
      <c r="A1013" s="859"/>
      <c r="B1013" s="859"/>
      <c r="C1013" s="859"/>
      <c r="D1013" s="859"/>
      <c r="E1013" s="859"/>
      <c r="F1013" s="859"/>
      <c r="G1013" s="859"/>
      <c r="H1013" s="861"/>
      <c r="I1013" s="859"/>
      <c r="J1013" s="859"/>
      <c r="K1013" s="862"/>
      <c r="L1013" s="859"/>
      <c r="M1013" s="859"/>
      <c r="N1013" s="859"/>
      <c r="P1013" s="859"/>
    </row>
    <row r="1014" spans="1:16">
      <c r="A1014" s="859"/>
      <c r="B1014" s="859"/>
      <c r="C1014" s="859"/>
      <c r="D1014" s="859"/>
      <c r="E1014" s="859"/>
      <c r="F1014" s="859"/>
      <c r="G1014" s="859"/>
      <c r="H1014" s="861"/>
      <c r="I1014" s="859"/>
      <c r="J1014" s="859"/>
      <c r="K1014" s="862"/>
      <c r="L1014" s="859"/>
      <c r="M1014" s="859"/>
      <c r="N1014" s="859"/>
      <c r="P1014" s="859"/>
    </row>
    <row r="1015" spans="1:16">
      <c r="A1015" s="859"/>
      <c r="B1015" s="859"/>
      <c r="C1015" s="859"/>
      <c r="D1015" s="859"/>
      <c r="E1015" s="859"/>
      <c r="F1015" s="859"/>
      <c r="G1015" s="859"/>
      <c r="H1015" s="861"/>
      <c r="I1015" s="859"/>
      <c r="J1015" s="859"/>
      <c r="K1015" s="862"/>
      <c r="L1015" s="859"/>
      <c r="M1015" s="859"/>
      <c r="N1015" s="859"/>
      <c r="P1015" s="859"/>
    </row>
    <row r="1016" spans="1:16">
      <c r="A1016" s="859"/>
      <c r="B1016" s="859"/>
      <c r="C1016" s="859"/>
      <c r="D1016" s="859"/>
      <c r="E1016" s="859"/>
      <c r="F1016" s="859"/>
      <c r="G1016" s="859"/>
      <c r="H1016" s="861"/>
      <c r="I1016" s="859"/>
      <c r="J1016" s="859"/>
      <c r="K1016" s="862"/>
      <c r="L1016" s="859"/>
      <c r="M1016" s="859"/>
      <c r="N1016" s="859"/>
      <c r="P1016" s="859"/>
    </row>
    <row r="1017" spans="1:16">
      <c r="A1017" s="859"/>
      <c r="B1017" s="859"/>
      <c r="C1017" s="859"/>
      <c r="D1017" s="859"/>
      <c r="E1017" s="859"/>
      <c r="F1017" s="859"/>
      <c r="G1017" s="859"/>
      <c r="H1017" s="861"/>
      <c r="I1017" s="859"/>
      <c r="J1017" s="859"/>
      <c r="K1017" s="862"/>
      <c r="L1017" s="859"/>
      <c r="M1017" s="859"/>
      <c r="N1017" s="859"/>
      <c r="P1017" s="859"/>
    </row>
    <row r="1018" spans="1:16">
      <c r="A1018" s="859"/>
      <c r="B1018" s="859"/>
      <c r="C1018" s="859"/>
      <c r="D1018" s="859"/>
      <c r="E1018" s="859"/>
      <c r="F1018" s="859"/>
      <c r="G1018" s="859"/>
      <c r="H1018" s="861"/>
      <c r="I1018" s="859"/>
      <c r="J1018" s="859"/>
      <c r="K1018" s="862"/>
      <c r="L1018" s="859"/>
      <c r="M1018" s="859"/>
      <c r="N1018" s="859"/>
      <c r="P1018" s="859"/>
    </row>
    <row r="1019" spans="1:16">
      <c r="A1019" s="859"/>
      <c r="B1019" s="859"/>
      <c r="C1019" s="859"/>
      <c r="D1019" s="859"/>
      <c r="E1019" s="859"/>
      <c r="F1019" s="859"/>
      <c r="G1019" s="859"/>
      <c r="H1019" s="861"/>
      <c r="I1019" s="859"/>
      <c r="J1019" s="859"/>
      <c r="K1019" s="862"/>
      <c r="L1019" s="859"/>
      <c r="M1019" s="859"/>
      <c r="N1019" s="859"/>
      <c r="P1019" s="859"/>
    </row>
    <row r="1020" spans="1:16">
      <c r="A1020" s="859"/>
      <c r="B1020" s="859"/>
      <c r="C1020" s="859"/>
      <c r="D1020" s="859"/>
      <c r="E1020" s="859"/>
      <c r="F1020" s="859"/>
      <c r="G1020" s="859"/>
      <c r="H1020" s="861"/>
      <c r="I1020" s="859"/>
      <c r="J1020" s="859"/>
      <c r="K1020" s="862"/>
      <c r="L1020" s="859"/>
      <c r="M1020" s="859"/>
      <c r="N1020" s="859"/>
      <c r="P1020" s="859"/>
    </row>
    <row r="1021" spans="1:16">
      <c r="A1021" s="859"/>
      <c r="B1021" s="859"/>
      <c r="C1021" s="859"/>
      <c r="D1021" s="859"/>
      <c r="E1021" s="859"/>
      <c r="F1021" s="859"/>
      <c r="G1021" s="859"/>
      <c r="H1021" s="861"/>
      <c r="I1021" s="859"/>
      <c r="J1021" s="859"/>
      <c r="K1021" s="862"/>
      <c r="L1021" s="859"/>
      <c r="M1021" s="859"/>
      <c r="N1021" s="859"/>
      <c r="P1021" s="859"/>
    </row>
    <row r="1022" spans="1:16">
      <c r="A1022" s="859"/>
      <c r="B1022" s="859"/>
      <c r="C1022" s="859"/>
      <c r="D1022" s="859"/>
      <c r="E1022" s="859"/>
      <c r="F1022" s="859"/>
      <c r="G1022" s="859"/>
      <c r="H1022" s="861"/>
      <c r="I1022" s="859"/>
      <c r="J1022" s="859"/>
      <c r="K1022" s="862"/>
      <c r="L1022" s="859"/>
      <c r="M1022" s="859"/>
      <c r="N1022" s="859"/>
      <c r="P1022" s="859"/>
    </row>
    <row r="1023" spans="1:16">
      <c r="A1023" s="859"/>
      <c r="B1023" s="859"/>
      <c r="C1023" s="859"/>
      <c r="D1023" s="859"/>
      <c r="E1023" s="859"/>
      <c r="F1023" s="859"/>
      <c r="G1023" s="859"/>
      <c r="H1023" s="861"/>
      <c r="I1023" s="859"/>
      <c r="J1023" s="859"/>
      <c r="K1023" s="862"/>
      <c r="L1023" s="859"/>
      <c r="M1023" s="859"/>
      <c r="N1023" s="859"/>
      <c r="P1023" s="859"/>
    </row>
    <row r="1024" spans="1:16">
      <c r="A1024" s="859"/>
      <c r="B1024" s="859"/>
      <c r="C1024" s="859"/>
      <c r="D1024" s="859"/>
      <c r="E1024" s="859"/>
      <c r="F1024" s="859"/>
      <c r="G1024" s="859"/>
      <c r="H1024" s="861"/>
      <c r="I1024" s="859"/>
      <c r="J1024" s="859"/>
      <c r="K1024" s="862"/>
      <c r="L1024" s="859"/>
      <c r="M1024" s="859"/>
      <c r="N1024" s="859"/>
      <c r="P1024" s="859"/>
    </row>
    <row r="1025" spans="1:16">
      <c r="A1025" s="859"/>
      <c r="B1025" s="859"/>
      <c r="C1025" s="859"/>
      <c r="D1025" s="859"/>
      <c r="E1025" s="859"/>
      <c r="F1025" s="859"/>
      <c r="G1025" s="859"/>
      <c r="H1025" s="861"/>
      <c r="I1025" s="859"/>
      <c r="J1025" s="859"/>
      <c r="K1025" s="862"/>
      <c r="L1025" s="859"/>
      <c r="M1025" s="859"/>
      <c r="N1025" s="859"/>
      <c r="P1025" s="859"/>
    </row>
    <row r="1026" spans="1:16">
      <c r="A1026" s="859"/>
      <c r="B1026" s="859"/>
      <c r="C1026" s="859"/>
      <c r="D1026" s="859"/>
      <c r="E1026" s="859"/>
      <c r="F1026" s="859"/>
      <c r="G1026" s="859"/>
      <c r="H1026" s="861"/>
      <c r="I1026" s="859"/>
      <c r="J1026" s="859"/>
      <c r="K1026" s="862"/>
      <c r="L1026" s="859"/>
      <c r="M1026" s="859"/>
      <c r="N1026" s="859"/>
      <c r="P1026" s="859"/>
    </row>
    <row r="1027" spans="1:16">
      <c r="A1027" s="859"/>
      <c r="B1027" s="859"/>
      <c r="C1027" s="859"/>
      <c r="D1027" s="859"/>
      <c r="E1027" s="859"/>
      <c r="F1027" s="859"/>
      <c r="G1027" s="859"/>
      <c r="H1027" s="861"/>
      <c r="I1027" s="859"/>
      <c r="J1027" s="859"/>
      <c r="K1027" s="862"/>
      <c r="L1027" s="859"/>
      <c r="M1027" s="859"/>
      <c r="N1027" s="859"/>
      <c r="P1027" s="859"/>
    </row>
    <row r="1028" spans="1:16">
      <c r="A1028" s="859"/>
      <c r="B1028" s="859"/>
      <c r="C1028" s="859"/>
      <c r="D1028" s="859"/>
      <c r="E1028" s="859"/>
      <c r="F1028" s="859"/>
      <c r="G1028" s="859"/>
      <c r="H1028" s="861"/>
      <c r="I1028" s="859"/>
      <c r="J1028" s="859"/>
      <c r="K1028" s="862"/>
      <c r="L1028" s="859"/>
      <c r="M1028" s="859"/>
      <c r="N1028" s="859"/>
      <c r="P1028" s="859"/>
    </row>
    <row r="1029" spans="1:16">
      <c r="A1029" s="859"/>
      <c r="B1029" s="859"/>
      <c r="C1029" s="859"/>
      <c r="D1029" s="859"/>
      <c r="E1029" s="859"/>
      <c r="F1029" s="859"/>
      <c r="G1029" s="859"/>
      <c r="H1029" s="861"/>
      <c r="I1029" s="859"/>
      <c r="J1029" s="859"/>
      <c r="K1029" s="862"/>
      <c r="L1029" s="859"/>
      <c r="M1029" s="859"/>
      <c r="N1029" s="859"/>
      <c r="P1029" s="859"/>
    </row>
    <row r="1030" spans="1:16">
      <c r="A1030" s="859"/>
      <c r="B1030" s="859"/>
      <c r="C1030" s="859"/>
      <c r="D1030" s="859"/>
      <c r="E1030" s="859"/>
      <c r="F1030" s="859"/>
      <c r="G1030" s="859"/>
      <c r="H1030" s="861"/>
      <c r="I1030" s="859"/>
      <c r="J1030" s="859"/>
      <c r="K1030" s="862"/>
      <c r="L1030" s="859"/>
      <c r="M1030" s="859"/>
      <c r="N1030" s="859"/>
      <c r="P1030" s="859"/>
    </row>
    <row r="1031" spans="1:16">
      <c r="A1031" s="859"/>
      <c r="B1031" s="859"/>
      <c r="C1031" s="859"/>
      <c r="D1031" s="859"/>
      <c r="E1031" s="859"/>
      <c r="F1031" s="859"/>
      <c r="G1031" s="859"/>
      <c r="H1031" s="861"/>
      <c r="I1031" s="859"/>
      <c r="J1031" s="859"/>
      <c r="K1031" s="862"/>
      <c r="L1031" s="859"/>
      <c r="M1031" s="859"/>
      <c r="N1031" s="859"/>
      <c r="P1031" s="859"/>
    </row>
    <row r="1032" spans="1:16">
      <c r="A1032" s="859"/>
      <c r="B1032" s="859"/>
      <c r="C1032" s="859"/>
      <c r="D1032" s="859"/>
      <c r="E1032" s="859"/>
      <c r="F1032" s="859"/>
      <c r="G1032" s="859"/>
      <c r="H1032" s="861"/>
      <c r="I1032" s="859"/>
      <c r="J1032" s="859"/>
      <c r="K1032" s="862"/>
      <c r="L1032" s="859"/>
      <c r="M1032" s="859"/>
      <c r="N1032" s="859"/>
      <c r="P1032" s="859"/>
    </row>
    <row r="1033" spans="1:16">
      <c r="A1033" s="859"/>
      <c r="B1033" s="859"/>
      <c r="C1033" s="859"/>
      <c r="D1033" s="859"/>
      <c r="E1033" s="859"/>
      <c r="F1033" s="859"/>
      <c r="G1033" s="859"/>
      <c r="H1033" s="861"/>
      <c r="I1033" s="859"/>
      <c r="J1033" s="859"/>
      <c r="K1033" s="862"/>
      <c r="L1033" s="859"/>
      <c r="M1033" s="859"/>
      <c r="N1033" s="859"/>
      <c r="P1033" s="859"/>
    </row>
    <row r="1034" spans="1:16">
      <c r="A1034" s="859"/>
      <c r="B1034" s="859"/>
      <c r="C1034" s="859"/>
      <c r="D1034" s="859"/>
      <c r="E1034" s="859"/>
      <c r="F1034" s="859"/>
      <c r="G1034" s="859"/>
      <c r="H1034" s="861"/>
      <c r="I1034" s="859"/>
      <c r="J1034" s="859"/>
      <c r="K1034" s="862"/>
      <c r="L1034" s="859"/>
      <c r="M1034" s="859"/>
      <c r="N1034" s="859"/>
      <c r="P1034" s="859"/>
    </row>
    <row r="1035" spans="1:16">
      <c r="A1035" s="859"/>
      <c r="B1035" s="859"/>
      <c r="C1035" s="859"/>
      <c r="D1035" s="859"/>
      <c r="E1035" s="859"/>
      <c r="F1035" s="859"/>
      <c r="G1035" s="859"/>
      <c r="H1035" s="861"/>
      <c r="I1035" s="859"/>
      <c r="J1035" s="859"/>
      <c r="K1035" s="862"/>
      <c r="L1035" s="859"/>
      <c r="M1035" s="859"/>
      <c r="N1035" s="859"/>
      <c r="P1035" s="859"/>
    </row>
    <row r="1036" spans="1:16">
      <c r="A1036" s="859"/>
      <c r="B1036" s="859"/>
      <c r="C1036" s="859"/>
      <c r="D1036" s="859"/>
      <c r="E1036" s="859"/>
      <c r="F1036" s="859"/>
      <c r="G1036" s="859"/>
      <c r="H1036" s="861"/>
      <c r="I1036" s="859"/>
      <c r="J1036" s="859"/>
      <c r="K1036" s="862"/>
      <c r="L1036" s="859"/>
      <c r="M1036" s="859"/>
      <c r="N1036" s="859"/>
      <c r="P1036" s="859"/>
    </row>
    <row r="1037" spans="1:16">
      <c r="A1037" s="859"/>
      <c r="B1037" s="859"/>
      <c r="C1037" s="859"/>
      <c r="D1037" s="859"/>
      <c r="E1037" s="859"/>
      <c r="F1037" s="859"/>
      <c r="G1037" s="859"/>
      <c r="H1037" s="861"/>
      <c r="I1037" s="859"/>
      <c r="J1037" s="859"/>
      <c r="K1037" s="862"/>
      <c r="L1037" s="859"/>
      <c r="M1037" s="859"/>
      <c r="N1037" s="859"/>
      <c r="P1037" s="859"/>
    </row>
    <row r="1038" spans="1:16">
      <c r="A1038" s="859"/>
      <c r="B1038" s="859"/>
      <c r="C1038" s="859"/>
      <c r="D1038" s="859"/>
      <c r="E1038" s="859"/>
      <c r="F1038" s="859"/>
      <c r="G1038" s="859"/>
      <c r="H1038" s="861"/>
      <c r="I1038" s="859"/>
      <c r="J1038" s="859"/>
      <c r="K1038" s="862"/>
      <c r="L1038" s="859"/>
      <c r="M1038" s="859"/>
      <c r="N1038" s="859"/>
      <c r="P1038" s="859"/>
    </row>
    <row r="1039" spans="1:16">
      <c r="A1039" s="859"/>
      <c r="B1039" s="859"/>
      <c r="C1039" s="859"/>
      <c r="D1039" s="859"/>
      <c r="E1039" s="859"/>
      <c r="F1039" s="859"/>
      <c r="G1039" s="859"/>
      <c r="H1039" s="861"/>
      <c r="I1039" s="859"/>
      <c r="J1039" s="859"/>
      <c r="K1039" s="862"/>
      <c r="L1039" s="859"/>
      <c r="M1039" s="859"/>
      <c r="N1039" s="859"/>
      <c r="P1039" s="859"/>
    </row>
    <row r="1040" spans="1:16">
      <c r="A1040" s="859"/>
      <c r="B1040" s="859"/>
      <c r="C1040" s="859"/>
      <c r="D1040" s="859"/>
      <c r="E1040" s="859"/>
      <c r="F1040" s="859"/>
      <c r="G1040" s="859"/>
      <c r="H1040" s="861"/>
      <c r="I1040" s="859"/>
      <c r="J1040" s="859"/>
      <c r="K1040" s="862"/>
      <c r="L1040" s="859"/>
      <c r="M1040" s="859"/>
      <c r="N1040" s="859"/>
      <c r="P1040" s="859"/>
    </row>
    <row r="1041" spans="1:16">
      <c r="A1041" s="859"/>
      <c r="B1041" s="859"/>
      <c r="C1041" s="859"/>
      <c r="D1041" s="859"/>
      <c r="E1041" s="859"/>
      <c r="F1041" s="859"/>
      <c r="G1041" s="859"/>
      <c r="H1041" s="861"/>
      <c r="I1041" s="859"/>
      <c r="J1041" s="859"/>
      <c r="K1041" s="862"/>
      <c r="L1041" s="859"/>
      <c r="M1041" s="859"/>
      <c r="N1041" s="859"/>
      <c r="P1041" s="859"/>
    </row>
    <row r="1042" spans="1:16">
      <c r="A1042" s="859"/>
      <c r="B1042" s="859"/>
      <c r="C1042" s="859"/>
      <c r="D1042" s="859"/>
      <c r="E1042" s="859"/>
      <c r="F1042" s="859"/>
      <c r="G1042" s="859"/>
      <c r="H1042" s="861"/>
      <c r="I1042" s="859"/>
      <c r="J1042" s="859"/>
      <c r="K1042" s="862"/>
      <c r="L1042" s="859"/>
      <c r="M1042" s="859"/>
      <c r="N1042" s="859"/>
      <c r="P1042" s="859"/>
    </row>
    <row r="1043" spans="1:16">
      <c r="A1043" s="859"/>
      <c r="B1043" s="859"/>
      <c r="C1043" s="859"/>
      <c r="D1043" s="859"/>
      <c r="E1043" s="859"/>
      <c r="F1043" s="859"/>
      <c r="G1043" s="859"/>
      <c r="H1043" s="861"/>
      <c r="I1043" s="859"/>
      <c r="J1043" s="859"/>
      <c r="K1043" s="862"/>
      <c r="L1043" s="859"/>
      <c r="M1043" s="859"/>
      <c r="N1043" s="859"/>
      <c r="P1043" s="859"/>
    </row>
    <row r="1044" spans="1:16">
      <c r="A1044" s="859"/>
      <c r="B1044" s="859"/>
      <c r="C1044" s="859"/>
      <c r="D1044" s="859"/>
      <c r="E1044" s="859"/>
      <c r="F1044" s="859"/>
      <c r="G1044" s="859"/>
      <c r="H1044" s="861"/>
      <c r="I1044" s="859"/>
      <c r="J1044" s="859"/>
      <c r="K1044" s="862"/>
      <c r="L1044" s="859"/>
      <c r="M1044" s="859"/>
      <c r="N1044" s="859"/>
      <c r="P1044" s="859"/>
    </row>
    <row r="1045" spans="1:16">
      <c r="A1045" s="859"/>
      <c r="B1045" s="859"/>
      <c r="C1045" s="859"/>
      <c r="D1045" s="859"/>
      <c r="E1045" s="859"/>
      <c r="F1045" s="859"/>
      <c r="G1045" s="859"/>
      <c r="H1045" s="861"/>
      <c r="I1045" s="859"/>
      <c r="J1045" s="859"/>
      <c r="K1045" s="862"/>
      <c r="L1045" s="859"/>
      <c r="M1045" s="859"/>
      <c r="N1045" s="859"/>
      <c r="P1045" s="859"/>
    </row>
    <row r="1046" spans="1:16">
      <c r="A1046" s="859"/>
      <c r="B1046" s="859"/>
      <c r="C1046" s="859"/>
      <c r="D1046" s="859"/>
      <c r="E1046" s="859"/>
      <c r="F1046" s="859"/>
      <c r="G1046" s="859"/>
      <c r="H1046" s="861"/>
      <c r="I1046" s="859"/>
      <c r="J1046" s="859"/>
      <c r="K1046" s="862"/>
      <c r="L1046" s="859"/>
      <c r="M1046" s="859"/>
      <c r="N1046" s="859"/>
      <c r="P1046" s="859"/>
    </row>
    <row r="1047" spans="1:16">
      <c r="A1047" s="859"/>
      <c r="B1047" s="859"/>
      <c r="C1047" s="859"/>
      <c r="D1047" s="859"/>
      <c r="E1047" s="859"/>
      <c r="F1047" s="859"/>
      <c r="G1047" s="859"/>
      <c r="H1047" s="861"/>
      <c r="I1047" s="859"/>
      <c r="J1047" s="859"/>
      <c r="K1047" s="862"/>
      <c r="L1047" s="859"/>
      <c r="M1047" s="859"/>
      <c r="N1047" s="859"/>
      <c r="P1047" s="859"/>
    </row>
    <row r="1048" spans="1:16">
      <c r="A1048" s="859"/>
      <c r="B1048" s="859"/>
      <c r="C1048" s="859"/>
      <c r="D1048" s="859"/>
      <c r="E1048" s="859"/>
      <c r="F1048" s="859"/>
      <c r="G1048" s="859"/>
      <c r="H1048" s="861"/>
      <c r="I1048" s="859"/>
      <c r="J1048" s="859"/>
      <c r="K1048" s="862"/>
      <c r="L1048" s="859"/>
      <c r="M1048" s="859"/>
      <c r="N1048" s="859"/>
      <c r="P1048" s="859"/>
    </row>
    <row r="1049" spans="1:16">
      <c r="A1049" s="859"/>
      <c r="B1049" s="859"/>
      <c r="C1049" s="859"/>
      <c r="D1049" s="859"/>
      <c r="E1049" s="859"/>
      <c r="F1049" s="859"/>
      <c r="G1049" s="859"/>
      <c r="H1049" s="861"/>
      <c r="I1049" s="859"/>
      <c r="J1049" s="859"/>
      <c r="K1049" s="862"/>
      <c r="L1049" s="859"/>
      <c r="M1049" s="859"/>
      <c r="N1049" s="859"/>
      <c r="P1049" s="859"/>
    </row>
    <row r="1050" spans="1:16">
      <c r="A1050" s="859"/>
      <c r="B1050" s="859"/>
      <c r="C1050" s="859"/>
      <c r="D1050" s="859"/>
      <c r="E1050" s="859"/>
      <c r="F1050" s="859"/>
      <c r="G1050" s="859"/>
      <c r="H1050" s="861"/>
      <c r="I1050" s="859"/>
      <c r="J1050" s="859"/>
      <c r="K1050" s="862"/>
      <c r="L1050" s="859"/>
      <c r="M1050" s="859"/>
      <c r="N1050" s="859"/>
      <c r="P1050" s="859"/>
    </row>
    <row r="1051" spans="1:16">
      <c r="A1051" s="859"/>
      <c r="B1051" s="859"/>
      <c r="C1051" s="859"/>
      <c r="D1051" s="859"/>
      <c r="E1051" s="859"/>
      <c r="F1051" s="859"/>
      <c r="G1051" s="859"/>
      <c r="H1051" s="861"/>
      <c r="I1051" s="859"/>
      <c r="J1051" s="859"/>
      <c r="K1051" s="862"/>
      <c r="L1051" s="859"/>
      <c r="M1051" s="859"/>
      <c r="N1051" s="859"/>
      <c r="P1051" s="859"/>
    </row>
    <row r="1052" spans="1:16">
      <c r="A1052" s="859"/>
      <c r="B1052" s="859"/>
      <c r="C1052" s="859"/>
      <c r="D1052" s="859"/>
      <c r="E1052" s="859"/>
      <c r="F1052" s="859"/>
      <c r="G1052" s="859"/>
      <c r="H1052" s="861"/>
      <c r="I1052" s="859"/>
      <c r="J1052" s="859"/>
      <c r="K1052" s="862"/>
      <c r="L1052" s="859"/>
      <c r="M1052" s="859"/>
      <c r="N1052" s="859"/>
      <c r="P1052" s="859"/>
    </row>
    <row r="1053" spans="1:16">
      <c r="A1053" s="859"/>
      <c r="B1053" s="859"/>
      <c r="C1053" s="859"/>
      <c r="D1053" s="859"/>
      <c r="E1053" s="859"/>
      <c r="F1053" s="859"/>
      <c r="G1053" s="859"/>
      <c r="H1053" s="861"/>
      <c r="I1053" s="859"/>
      <c r="J1053" s="859"/>
      <c r="K1053" s="862"/>
      <c r="L1053" s="859"/>
      <c r="M1053" s="859"/>
      <c r="N1053" s="859"/>
      <c r="P1053" s="859"/>
    </row>
    <row r="1054" spans="1:16">
      <c r="A1054" s="859"/>
      <c r="B1054" s="859"/>
      <c r="C1054" s="859"/>
      <c r="D1054" s="859"/>
      <c r="E1054" s="859"/>
      <c r="F1054" s="859"/>
      <c r="G1054" s="859"/>
      <c r="H1054" s="861"/>
      <c r="I1054" s="859"/>
      <c r="J1054" s="859"/>
      <c r="K1054" s="862"/>
      <c r="L1054" s="859"/>
      <c r="M1054" s="859"/>
      <c r="N1054" s="859"/>
      <c r="P1054" s="859"/>
    </row>
    <row r="1055" spans="1:16">
      <c r="A1055" s="859"/>
      <c r="B1055" s="859"/>
      <c r="C1055" s="859"/>
      <c r="D1055" s="859"/>
      <c r="E1055" s="859"/>
      <c r="F1055" s="859"/>
      <c r="G1055" s="859"/>
      <c r="H1055" s="861"/>
      <c r="I1055" s="859"/>
      <c r="J1055" s="859"/>
      <c r="K1055" s="862"/>
      <c r="L1055" s="859"/>
      <c r="M1055" s="859"/>
      <c r="N1055" s="859"/>
      <c r="P1055" s="859"/>
    </row>
    <row r="1056" spans="1:16">
      <c r="A1056" s="859"/>
      <c r="B1056" s="859"/>
      <c r="C1056" s="859"/>
      <c r="D1056" s="859"/>
      <c r="E1056" s="859"/>
      <c r="F1056" s="859"/>
      <c r="G1056" s="859"/>
      <c r="H1056" s="861"/>
      <c r="I1056" s="859"/>
      <c r="J1056" s="859"/>
      <c r="K1056" s="862"/>
      <c r="L1056" s="859"/>
      <c r="M1056" s="859"/>
      <c r="N1056" s="859"/>
      <c r="P1056" s="859"/>
    </row>
    <row r="1057" spans="1:16">
      <c r="A1057" s="859"/>
      <c r="B1057" s="859"/>
      <c r="C1057" s="859"/>
      <c r="D1057" s="859"/>
      <c r="E1057" s="859"/>
      <c r="F1057" s="859"/>
      <c r="G1057" s="859"/>
      <c r="H1057" s="861"/>
      <c r="I1057" s="859"/>
      <c r="J1057" s="859"/>
      <c r="K1057" s="862"/>
      <c r="L1057" s="859"/>
      <c r="M1057" s="859"/>
      <c r="N1057" s="859"/>
      <c r="P1057" s="859"/>
    </row>
    <row r="1058" spans="1:16">
      <c r="A1058" s="859"/>
      <c r="B1058" s="859"/>
      <c r="C1058" s="859"/>
      <c r="D1058" s="859"/>
      <c r="E1058" s="859"/>
      <c r="F1058" s="859"/>
      <c r="G1058" s="859"/>
      <c r="H1058" s="861"/>
      <c r="I1058" s="859"/>
      <c r="J1058" s="859"/>
      <c r="K1058" s="862"/>
      <c r="L1058" s="859"/>
      <c r="M1058" s="859"/>
      <c r="N1058" s="859"/>
      <c r="P1058" s="859"/>
    </row>
    <row r="1059" spans="1:16">
      <c r="A1059" s="859"/>
      <c r="B1059" s="859"/>
      <c r="C1059" s="859"/>
      <c r="D1059" s="859"/>
      <c r="E1059" s="859"/>
      <c r="F1059" s="859"/>
      <c r="G1059" s="859"/>
      <c r="H1059" s="861"/>
      <c r="I1059" s="859"/>
      <c r="J1059" s="859"/>
      <c r="K1059" s="862"/>
      <c r="L1059" s="859"/>
      <c r="M1059" s="859"/>
      <c r="N1059" s="859"/>
      <c r="P1059" s="859"/>
    </row>
    <row r="1060" spans="1:16">
      <c r="A1060" s="859"/>
      <c r="B1060" s="859"/>
      <c r="C1060" s="859"/>
      <c r="D1060" s="859"/>
      <c r="E1060" s="859"/>
      <c r="F1060" s="859"/>
      <c r="G1060" s="859"/>
      <c r="H1060" s="861"/>
      <c r="I1060" s="859"/>
      <c r="J1060" s="859"/>
      <c r="K1060" s="862"/>
      <c r="L1060" s="859"/>
      <c r="M1060" s="859"/>
      <c r="N1060" s="859"/>
      <c r="P1060" s="859"/>
    </row>
    <row r="1061" spans="1:16">
      <c r="A1061" s="859"/>
      <c r="B1061" s="859"/>
      <c r="C1061" s="859"/>
      <c r="D1061" s="859"/>
      <c r="E1061" s="859"/>
      <c r="F1061" s="859"/>
      <c r="G1061" s="859"/>
      <c r="H1061" s="861"/>
      <c r="I1061" s="859"/>
      <c r="J1061" s="859"/>
      <c r="K1061" s="862"/>
      <c r="L1061" s="859"/>
      <c r="M1061" s="859"/>
      <c r="N1061" s="859"/>
      <c r="P1061" s="859"/>
    </row>
    <row r="1062" spans="1:16">
      <c r="A1062" s="859"/>
      <c r="B1062" s="859"/>
      <c r="C1062" s="859"/>
      <c r="D1062" s="859"/>
      <c r="E1062" s="859"/>
      <c r="F1062" s="859"/>
      <c r="G1062" s="859"/>
      <c r="H1062" s="861"/>
      <c r="I1062" s="859"/>
      <c r="J1062" s="859"/>
      <c r="K1062" s="862"/>
      <c r="L1062" s="859"/>
      <c r="M1062" s="859"/>
      <c r="N1062" s="859"/>
      <c r="P1062" s="859"/>
    </row>
    <row r="1063" spans="1:16">
      <c r="A1063" s="859"/>
      <c r="B1063" s="859"/>
      <c r="C1063" s="859"/>
      <c r="D1063" s="859"/>
      <c r="E1063" s="859"/>
      <c r="F1063" s="859"/>
      <c r="G1063" s="859"/>
      <c r="H1063" s="861"/>
      <c r="I1063" s="859"/>
      <c r="J1063" s="859"/>
      <c r="K1063" s="862"/>
      <c r="L1063" s="859"/>
      <c r="M1063" s="859"/>
      <c r="N1063" s="859"/>
      <c r="P1063" s="859"/>
    </row>
    <row r="1064" spans="1:16">
      <c r="A1064" s="859"/>
      <c r="B1064" s="859"/>
      <c r="C1064" s="859"/>
      <c r="D1064" s="859"/>
      <c r="E1064" s="859"/>
      <c r="F1064" s="859"/>
      <c r="G1064" s="859"/>
      <c r="H1064" s="861"/>
      <c r="I1064" s="859"/>
      <c r="J1064" s="859"/>
      <c r="K1064" s="862"/>
      <c r="L1064" s="859"/>
      <c r="M1064" s="859"/>
      <c r="N1064" s="859"/>
      <c r="P1064" s="859"/>
    </row>
    <row r="1065" spans="1:16">
      <c r="A1065" s="859"/>
      <c r="B1065" s="859"/>
      <c r="C1065" s="859"/>
      <c r="D1065" s="859"/>
      <c r="E1065" s="859"/>
      <c r="F1065" s="859"/>
      <c r="G1065" s="859"/>
      <c r="H1065" s="861"/>
      <c r="I1065" s="859"/>
      <c r="J1065" s="859"/>
      <c r="K1065" s="862"/>
      <c r="L1065" s="859"/>
      <c r="M1065" s="859"/>
      <c r="N1065" s="859"/>
      <c r="P1065" s="859"/>
    </row>
    <row r="1066" spans="1:16">
      <c r="A1066" s="859"/>
      <c r="B1066" s="859"/>
      <c r="C1066" s="859"/>
      <c r="D1066" s="859"/>
      <c r="E1066" s="859"/>
      <c r="F1066" s="859"/>
      <c r="G1066" s="859"/>
      <c r="H1066" s="861"/>
      <c r="I1066" s="859"/>
      <c r="J1066" s="859"/>
      <c r="K1066" s="862"/>
      <c r="L1066" s="859"/>
      <c r="M1066" s="859"/>
      <c r="N1066" s="859"/>
      <c r="P1066" s="859"/>
    </row>
    <row r="1067" spans="1:16">
      <c r="A1067" s="859"/>
      <c r="B1067" s="859"/>
      <c r="C1067" s="859"/>
      <c r="D1067" s="859"/>
      <c r="E1067" s="859"/>
      <c r="F1067" s="859"/>
      <c r="G1067" s="859"/>
      <c r="H1067" s="861"/>
      <c r="I1067" s="859"/>
      <c r="J1067" s="859"/>
      <c r="K1067" s="862"/>
      <c r="L1067" s="859"/>
      <c r="M1067" s="859"/>
      <c r="N1067" s="859"/>
      <c r="P1067" s="859"/>
    </row>
    <row r="1068" spans="1:16">
      <c r="A1068" s="859"/>
      <c r="B1068" s="859"/>
      <c r="C1068" s="859"/>
      <c r="D1068" s="859"/>
      <c r="E1068" s="859"/>
      <c r="F1068" s="859"/>
      <c r="G1068" s="859"/>
      <c r="H1068" s="861"/>
      <c r="I1068" s="859"/>
      <c r="J1068" s="859"/>
      <c r="K1068" s="862"/>
      <c r="L1068" s="859"/>
      <c r="M1068" s="859"/>
      <c r="N1068" s="859"/>
      <c r="P1068" s="859"/>
    </row>
    <row r="1069" spans="1:16">
      <c r="A1069" s="859"/>
      <c r="B1069" s="859"/>
      <c r="C1069" s="859"/>
      <c r="D1069" s="859"/>
      <c r="E1069" s="859"/>
      <c r="F1069" s="859"/>
      <c r="G1069" s="859"/>
      <c r="H1069" s="861"/>
      <c r="I1069" s="859"/>
      <c r="J1069" s="859"/>
      <c r="K1069" s="862"/>
      <c r="L1069" s="859"/>
      <c r="M1069" s="859"/>
      <c r="N1069" s="859"/>
      <c r="P1069" s="859"/>
    </row>
    <row r="1070" spans="1:16">
      <c r="A1070" s="859"/>
      <c r="B1070" s="859"/>
      <c r="C1070" s="859"/>
      <c r="D1070" s="859"/>
      <c r="E1070" s="859"/>
      <c r="F1070" s="859"/>
      <c r="G1070" s="859"/>
      <c r="H1070" s="861"/>
      <c r="I1070" s="859"/>
      <c r="J1070" s="859"/>
      <c r="K1070" s="862"/>
      <c r="L1070" s="859"/>
      <c r="M1070" s="859"/>
      <c r="N1070" s="859"/>
      <c r="P1070" s="859"/>
    </row>
    <row r="1071" spans="1:16">
      <c r="A1071" s="859"/>
      <c r="B1071" s="859"/>
      <c r="C1071" s="859"/>
      <c r="D1071" s="859"/>
      <c r="E1071" s="859"/>
      <c r="F1071" s="859"/>
      <c r="G1071" s="859"/>
      <c r="H1071" s="861"/>
      <c r="I1071" s="859"/>
      <c r="J1071" s="859"/>
      <c r="K1071" s="862"/>
      <c r="L1071" s="859"/>
      <c r="M1071" s="859"/>
      <c r="N1071" s="859"/>
      <c r="P1071" s="859"/>
    </row>
    <row r="1072" spans="1:16">
      <c r="A1072" s="859"/>
      <c r="B1072" s="859"/>
      <c r="C1072" s="859"/>
      <c r="D1072" s="859"/>
      <c r="E1072" s="859"/>
      <c r="F1072" s="859"/>
      <c r="G1072" s="859"/>
      <c r="H1072" s="861"/>
      <c r="I1072" s="859"/>
      <c r="J1072" s="859"/>
      <c r="K1072" s="862"/>
      <c r="L1072" s="859"/>
      <c r="M1072" s="859"/>
      <c r="N1072" s="859"/>
      <c r="P1072" s="859"/>
    </row>
    <row r="1073" spans="1:16">
      <c r="A1073" s="859"/>
      <c r="B1073" s="859"/>
      <c r="C1073" s="859"/>
      <c r="D1073" s="859"/>
      <c r="E1073" s="859"/>
      <c r="F1073" s="859"/>
      <c r="G1073" s="859"/>
      <c r="H1073" s="861"/>
      <c r="I1073" s="859"/>
      <c r="J1073" s="859"/>
      <c r="K1073" s="862"/>
      <c r="L1073" s="859"/>
      <c r="M1073" s="859"/>
      <c r="N1073" s="859"/>
      <c r="P1073" s="859"/>
    </row>
    <row r="1074" spans="1:16">
      <c r="A1074" s="859"/>
      <c r="B1074" s="859"/>
      <c r="C1074" s="859"/>
      <c r="D1074" s="859"/>
      <c r="E1074" s="859"/>
      <c r="F1074" s="859"/>
      <c r="G1074" s="859"/>
      <c r="H1074" s="861"/>
      <c r="I1074" s="859"/>
      <c r="J1074" s="859"/>
      <c r="K1074" s="862"/>
      <c r="L1074" s="859"/>
      <c r="M1074" s="859"/>
      <c r="N1074" s="859"/>
      <c r="P1074" s="859"/>
    </row>
    <row r="1075" spans="1:16">
      <c r="A1075" s="859"/>
      <c r="B1075" s="859"/>
      <c r="C1075" s="859"/>
      <c r="D1075" s="859"/>
      <c r="E1075" s="859"/>
      <c r="F1075" s="859"/>
      <c r="G1075" s="859"/>
      <c r="H1075" s="861"/>
      <c r="I1075" s="859"/>
      <c r="J1075" s="859"/>
      <c r="K1075" s="862"/>
      <c r="L1075" s="859"/>
      <c r="M1075" s="859"/>
      <c r="N1075" s="859"/>
      <c r="P1075" s="859"/>
    </row>
    <row r="1076" spans="1:16">
      <c r="A1076" s="859"/>
      <c r="B1076" s="859"/>
      <c r="C1076" s="859"/>
      <c r="D1076" s="859"/>
      <c r="E1076" s="859"/>
      <c r="F1076" s="859"/>
      <c r="G1076" s="859"/>
      <c r="H1076" s="861"/>
      <c r="I1076" s="859"/>
      <c r="J1076" s="859"/>
      <c r="K1076" s="862"/>
      <c r="L1076" s="859"/>
      <c r="M1076" s="859"/>
      <c r="N1076" s="859"/>
      <c r="P1076" s="859"/>
    </row>
    <row r="1077" spans="1:16">
      <c r="A1077" s="859"/>
      <c r="B1077" s="859"/>
      <c r="C1077" s="859"/>
      <c r="D1077" s="859"/>
      <c r="E1077" s="859"/>
      <c r="F1077" s="859"/>
      <c r="G1077" s="859"/>
      <c r="H1077" s="861"/>
      <c r="I1077" s="859"/>
      <c r="J1077" s="859"/>
      <c r="K1077" s="862"/>
      <c r="L1077" s="859"/>
      <c r="M1077" s="859"/>
      <c r="N1077" s="859"/>
      <c r="P1077" s="859"/>
    </row>
    <row r="1078" spans="1:16">
      <c r="A1078" s="859"/>
      <c r="B1078" s="859"/>
      <c r="C1078" s="859"/>
      <c r="D1078" s="859"/>
      <c r="E1078" s="859"/>
      <c r="F1078" s="859"/>
      <c r="G1078" s="859"/>
      <c r="H1078" s="861"/>
      <c r="I1078" s="859"/>
      <c r="J1078" s="859"/>
      <c r="K1078" s="862"/>
      <c r="L1078" s="859"/>
      <c r="M1078" s="859"/>
      <c r="N1078" s="859"/>
      <c r="P1078" s="859"/>
    </row>
    <row r="1079" spans="1:16">
      <c r="A1079" s="859"/>
      <c r="B1079" s="859"/>
      <c r="C1079" s="859"/>
      <c r="D1079" s="859"/>
      <c r="E1079" s="859"/>
      <c r="F1079" s="859"/>
      <c r="G1079" s="859"/>
      <c r="H1079" s="861"/>
      <c r="I1079" s="859"/>
      <c r="J1079" s="859"/>
      <c r="K1079" s="862"/>
      <c r="L1079" s="859"/>
      <c r="M1079" s="859"/>
      <c r="N1079" s="859"/>
      <c r="P1079" s="859"/>
    </row>
    <row r="1080" spans="1:16">
      <c r="A1080" s="859"/>
      <c r="B1080" s="859"/>
      <c r="C1080" s="859"/>
      <c r="D1080" s="859"/>
      <c r="E1080" s="859"/>
      <c r="F1080" s="859"/>
      <c r="G1080" s="859"/>
      <c r="H1080" s="861"/>
      <c r="I1080" s="859"/>
      <c r="J1080" s="859"/>
      <c r="K1080" s="862"/>
      <c r="L1080" s="859"/>
      <c r="M1080" s="859"/>
      <c r="N1080" s="859"/>
      <c r="P1080" s="859"/>
    </row>
    <row r="1081" spans="1:16">
      <c r="A1081" s="859"/>
      <c r="B1081" s="859"/>
      <c r="C1081" s="859"/>
      <c r="D1081" s="859"/>
      <c r="E1081" s="859"/>
      <c r="F1081" s="859"/>
      <c r="G1081" s="859"/>
      <c r="H1081" s="861"/>
      <c r="I1081" s="859"/>
      <c r="J1081" s="859"/>
      <c r="K1081" s="862"/>
      <c r="L1081" s="859"/>
      <c r="M1081" s="859"/>
      <c r="N1081" s="859"/>
      <c r="P1081" s="859"/>
    </row>
    <row r="1082" spans="1:16">
      <c r="A1082" s="859"/>
      <c r="B1082" s="859"/>
      <c r="C1082" s="859"/>
      <c r="D1082" s="859"/>
      <c r="E1082" s="859"/>
      <c r="F1082" s="859"/>
      <c r="G1082" s="859"/>
      <c r="H1082" s="861"/>
      <c r="I1082" s="859"/>
      <c r="J1082" s="859"/>
      <c r="K1082" s="862"/>
      <c r="L1082" s="859"/>
      <c r="M1082" s="859"/>
      <c r="N1082" s="859"/>
      <c r="P1082" s="859"/>
    </row>
    <row r="1083" spans="1:16">
      <c r="A1083" s="859"/>
      <c r="B1083" s="859"/>
      <c r="C1083" s="859"/>
      <c r="D1083" s="859"/>
      <c r="E1083" s="859"/>
      <c r="F1083" s="859"/>
      <c r="G1083" s="859"/>
      <c r="H1083" s="861"/>
      <c r="I1083" s="859"/>
      <c r="J1083" s="859"/>
      <c r="K1083" s="862"/>
      <c r="L1083" s="859"/>
      <c r="M1083" s="859"/>
      <c r="N1083" s="859"/>
      <c r="P1083" s="859"/>
    </row>
    <row r="1084" spans="1:16">
      <c r="A1084" s="859"/>
      <c r="B1084" s="859"/>
      <c r="C1084" s="859"/>
      <c r="D1084" s="859"/>
      <c r="E1084" s="859"/>
      <c r="F1084" s="859"/>
      <c r="G1084" s="859"/>
      <c r="H1084" s="861"/>
      <c r="I1084" s="859"/>
      <c r="J1084" s="859"/>
      <c r="K1084" s="862"/>
      <c r="L1084" s="859"/>
      <c r="M1084" s="859"/>
      <c r="N1084" s="859"/>
      <c r="P1084" s="859"/>
    </row>
    <row r="1085" spans="1:16">
      <c r="A1085" s="859"/>
      <c r="B1085" s="859"/>
      <c r="C1085" s="859"/>
      <c r="D1085" s="859"/>
      <c r="E1085" s="859"/>
      <c r="F1085" s="859"/>
      <c r="G1085" s="859"/>
      <c r="H1085" s="861"/>
      <c r="I1085" s="859"/>
      <c r="J1085" s="859"/>
      <c r="K1085" s="862"/>
      <c r="L1085" s="859"/>
      <c r="M1085" s="859"/>
      <c r="N1085" s="859"/>
      <c r="P1085" s="859"/>
    </row>
    <row r="1086" spans="1:16">
      <c r="A1086" s="859"/>
      <c r="B1086" s="859"/>
      <c r="C1086" s="859"/>
      <c r="D1086" s="859"/>
      <c r="E1086" s="859"/>
      <c r="F1086" s="859"/>
      <c r="G1086" s="859"/>
      <c r="H1086" s="861"/>
      <c r="I1086" s="859"/>
      <c r="J1086" s="859"/>
      <c r="K1086" s="862"/>
      <c r="L1086" s="859"/>
      <c r="M1086" s="859"/>
      <c r="N1086" s="859"/>
      <c r="P1086" s="859"/>
    </row>
    <row r="1087" spans="1:16">
      <c r="A1087" s="859"/>
      <c r="B1087" s="859"/>
      <c r="C1087" s="859"/>
      <c r="D1087" s="859"/>
      <c r="E1087" s="859"/>
      <c r="F1087" s="859"/>
      <c r="G1087" s="859"/>
      <c r="H1087" s="861"/>
      <c r="I1087" s="859"/>
      <c r="J1087" s="859"/>
      <c r="K1087" s="862"/>
      <c r="L1087" s="859"/>
      <c r="M1087" s="859"/>
      <c r="N1087" s="859"/>
      <c r="P1087" s="859"/>
    </row>
    <row r="1088" spans="1:16">
      <c r="A1088" s="859"/>
      <c r="B1088" s="859"/>
      <c r="C1088" s="859"/>
      <c r="D1088" s="859"/>
      <c r="E1088" s="859"/>
      <c r="F1088" s="859"/>
      <c r="G1088" s="859"/>
      <c r="H1088" s="861"/>
      <c r="I1088" s="859"/>
      <c r="J1088" s="859"/>
      <c r="K1088" s="862"/>
      <c r="L1088" s="859"/>
      <c r="M1088" s="859"/>
      <c r="N1088" s="859"/>
      <c r="P1088" s="859"/>
    </row>
    <row r="1089" spans="1:16">
      <c r="A1089" s="859"/>
      <c r="B1089" s="859"/>
      <c r="C1089" s="859"/>
      <c r="D1089" s="859"/>
      <c r="E1089" s="859"/>
      <c r="F1089" s="859"/>
      <c r="G1089" s="859"/>
      <c r="H1089" s="861"/>
      <c r="I1089" s="859"/>
      <c r="J1089" s="859"/>
      <c r="K1089" s="862"/>
      <c r="L1089" s="859"/>
      <c r="M1089" s="859"/>
      <c r="N1089" s="859"/>
      <c r="P1089" s="859"/>
    </row>
    <row r="1090" spans="1:16">
      <c r="A1090" s="859"/>
      <c r="B1090" s="859"/>
      <c r="C1090" s="859"/>
      <c r="D1090" s="859"/>
      <c r="E1090" s="859"/>
      <c r="F1090" s="859"/>
      <c r="G1090" s="859"/>
      <c r="H1090" s="861"/>
      <c r="I1090" s="859"/>
      <c r="J1090" s="859"/>
      <c r="K1090" s="862"/>
      <c r="L1090" s="859"/>
      <c r="M1090" s="859"/>
      <c r="N1090" s="859"/>
      <c r="P1090" s="859"/>
    </row>
    <row r="1091" spans="1:16">
      <c r="A1091" s="859"/>
      <c r="B1091" s="859"/>
      <c r="C1091" s="859"/>
      <c r="D1091" s="859"/>
      <c r="E1091" s="859"/>
      <c r="F1091" s="859"/>
      <c r="G1091" s="859"/>
      <c r="H1091" s="861"/>
      <c r="I1091" s="859"/>
      <c r="J1091" s="859"/>
      <c r="K1091" s="862"/>
      <c r="L1091" s="859"/>
      <c r="M1091" s="859"/>
      <c r="N1091" s="859"/>
      <c r="P1091" s="859"/>
    </row>
    <row r="1092" spans="1:16">
      <c r="A1092" s="859"/>
      <c r="B1092" s="859"/>
      <c r="C1092" s="859"/>
      <c r="D1092" s="859"/>
      <c r="E1092" s="859"/>
      <c r="F1092" s="859"/>
      <c r="G1092" s="859"/>
      <c r="H1092" s="861"/>
      <c r="I1092" s="859"/>
      <c r="J1092" s="859"/>
      <c r="K1092" s="862"/>
      <c r="L1092" s="859"/>
      <c r="M1092" s="859"/>
      <c r="N1092" s="859"/>
      <c r="P1092" s="859"/>
    </row>
    <row r="1093" spans="1:16">
      <c r="A1093" s="859"/>
      <c r="B1093" s="859"/>
      <c r="C1093" s="859"/>
      <c r="D1093" s="859"/>
      <c r="E1093" s="859"/>
      <c r="F1093" s="859"/>
      <c r="G1093" s="859"/>
      <c r="H1093" s="861"/>
      <c r="I1093" s="859"/>
      <c r="J1093" s="859"/>
      <c r="K1093" s="862"/>
      <c r="L1093" s="859"/>
      <c r="M1093" s="859"/>
      <c r="N1093" s="859"/>
      <c r="P1093" s="859"/>
    </row>
    <row r="1094" spans="1:16">
      <c r="A1094" s="859"/>
      <c r="B1094" s="859"/>
      <c r="C1094" s="859"/>
      <c r="D1094" s="859"/>
      <c r="E1094" s="859"/>
      <c r="F1094" s="859"/>
      <c r="G1094" s="859"/>
      <c r="H1094" s="861"/>
      <c r="I1094" s="859"/>
      <c r="J1094" s="859"/>
      <c r="K1094" s="862"/>
      <c r="L1094" s="859"/>
      <c r="M1094" s="859"/>
      <c r="N1094" s="859"/>
      <c r="P1094" s="859"/>
    </row>
    <row r="1095" spans="1:16">
      <c r="A1095" s="859"/>
      <c r="B1095" s="859"/>
      <c r="C1095" s="859"/>
      <c r="D1095" s="859"/>
      <c r="E1095" s="859"/>
      <c r="F1095" s="859"/>
      <c r="G1095" s="859"/>
      <c r="H1095" s="861"/>
      <c r="I1095" s="859"/>
      <c r="J1095" s="859"/>
      <c r="K1095" s="862"/>
      <c r="L1095" s="859"/>
      <c r="M1095" s="859"/>
      <c r="N1095" s="859"/>
      <c r="P1095" s="859"/>
    </row>
    <row r="1096" spans="1:16">
      <c r="A1096" s="859"/>
      <c r="B1096" s="859"/>
      <c r="C1096" s="859"/>
      <c r="D1096" s="859"/>
      <c r="E1096" s="859"/>
      <c r="F1096" s="859"/>
      <c r="G1096" s="859"/>
      <c r="H1096" s="861"/>
      <c r="I1096" s="859"/>
      <c r="J1096" s="859"/>
      <c r="K1096" s="862"/>
      <c r="L1096" s="859"/>
      <c r="M1096" s="859"/>
      <c r="N1096" s="859"/>
      <c r="P1096" s="859"/>
    </row>
    <row r="1097" spans="1:16">
      <c r="A1097" s="859"/>
      <c r="B1097" s="859"/>
      <c r="C1097" s="859"/>
      <c r="D1097" s="859"/>
      <c r="E1097" s="859"/>
      <c r="F1097" s="859"/>
      <c r="G1097" s="859"/>
      <c r="H1097" s="861"/>
      <c r="I1097" s="859"/>
      <c r="J1097" s="859"/>
      <c r="K1097" s="862"/>
      <c r="L1097" s="859"/>
      <c r="M1097" s="859"/>
      <c r="N1097" s="859"/>
      <c r="P1097" s="859"/>
    </row>
    <row r="1098" spans="1:16">
      <c r="A1098" s="859"/>
      <c r="B1098" s="859"/>
      <c r="C1098" s="859"/>
      <c r="D1098" s="859"/>
      <c r="E1098" s="859"/>
      <c r="F1098" s="859"/>
      <c r="G1098" s="859"/>
      <c r="H1098" s="861"/>
      <c r="I1098" s="859"/>
      <c r="J1098" s="859"/>
      <c r="K1098" s="862"/>
      <c r="L1098" s="859"/>
      <c r="M1098" s="859"/>
      <c r="N1098" s="859"/>
      <c r="P1098" s="859"/>
    </row>
    <row r="1099" spans="1:16">
      <c r="A1099" s="859"/>
      <c r="B1099" s="859"/>
      <c r="C1099" s="859"/>
      <c r="D1099" s="859"/>
      <c r="E1099" s="859"/>
      <c r="F1099" s="859"/>
      <c r="G1099" s="859"/>
      <c r="H1099" s="861"/>
      <c r="I1099" s="859"/>
      <c r="J1099" s="859"/>
      <c r="K1099" s="862"/>
      <c r="L1099" s="859"/>
      <c r="M1099" s="859"/>
      <c r="N1099" s="859"/>
      <c r="P1099" s="859"/>
    </row>
    <row r="1100" spans="1:16">
      <c r="A1100" s="859"/>
      <c r="B1100" s="859"/>
      <c r="C1100" s="859"/>
      <c r="D1100" s="859"/>
      <c r="E1100" s="859"/>
      <c r="F1100" s="859"/>
      <c r="G1100" s="859"/>
      <c r="H1100" s="861"/>
      <c r="I1100" s="859"/>
      <c r="J1100" s="859"/>
      <c r="K1100" s="862"/>
      <c r="L1100" s="859"/>
      <c r="M1100" s="859"/>
      <c r="N1100" s="859"/>
      <c r="P1100" s="859"/>
    </row>
    <row r="1101" spans="1:16">
      <c r="A1101" s="859"/>
      <c r="B1101" s="859"/>
      <c r="C1101" s="859"/>
      <c r="D1101" s="859"/>
      <c r="E1101" s="859"/>
      <c r="F1101" s="859"/>
      <c r="G1101" s="859"/>
      <c r="H1101" s="861"/>
      <c r="I1101" s="859"/>
      <c r="J1101" s="859"/>
      <c r="K1101" s="862"/>
      <c r="L1101" s="859"/>
      <c r="M1101" s="859"/>
      <c r="N1101" s="859"/>
      <c r="P1101" s="859"/>
    </row>
    <row r="1102" spans="1:16">
      <c r="A1102" s="859"/>
      <c r="B1102" s="859"/>
      <c r="C1102" s="859"/>
      <c r="D1102" s="859"/>
      <c r="E1102" s="859"/>
      <c r="F1102" s="859"/>
      <c r="G1102" s="859"/>
      <c r="H1102" s="861"/>
      <c r="I1102" s="859"/>
      <c r="J1102" s="859"/>
      <c r="K1102" s="862"/>
      <c r="L1102" s="859"/>
      <c r="M1102" s="859"/>
      <c r="N1102" s="859"/>
      <c r="P1102" s="859"/>
    </row>
    <row r="1103" spans="1:16">
      <c r="A1103" s="859"/>
      <c r="B1103" s="859"/>
      <c r="C1103" s="859"/>
      <c r="D1103" s="859"/>
      <c r="E1103" s="859"/>
      <c r="F1103" s="859"/>
      <c r="G1103" s="859"/>
      <c r="H1103" s="861"/>
      <c r="I1103" s="859"/>
      <c r="J1103" s="859"/>
      <c r="K1103" s="862"/>
      <c r="L1103" s="859"/>
      <c r="M1103" s="859"/>
      <c r="N1103" s="859"/>
      <c r="P1103" s="859"/>
    </row>
    <row r="1104" spans="1:16">
      <c r="A1104" s="859"/>
      <c r="B1104" s="859"/>
      <c r="C1104" s="859"/>
      <c r="D1104" s="859"/>
      <c r="E1104" s="859"/>
      <c r="F1104" s="859"/>
      <c r="G1104" s="859"/>
      <c r="H1104" s="861"/>
      <c r="I1104" s="859"/>
      <c r="J1104" s="859"/>
      <c r="K1104" s="862"/>
      <c r="L1104" s="859"/>
      <c r="M1104" s="859"/>
      <c r="N1104" s="859"/>
      <c r="P1104" s="859"/>
    </row>
    <row r="1105" spans="1:16">
      <c r="A1105" s="859"/>
      <c r="B1105" s="859"/>
      <c r="C1105" s="859"/>
      <c r="D1105" s="859"/>
      <c r="E1105" s="859"/>
      <c r="F1105" s="859"/>
      <c r="G1105" s="859"/>
      <c r="H1105" s="861"/>
      <c r="I1105" s="859"/>
      <c r="J1105" s="859"/>
      <c r="K1105" s="862"/>
      <c r="L1105" s="859"/>
      <c r="M1105" s="859"/>
      <c r="N1105" s="859"/>
      <c r="P1105" s="859"/>
    </row>
    <row r="1106" spans="1:16">
      <c r="A1106" s="859"/>
      <c r="B1106" s="859"/>
      <c r="C1106" s="859"/>
      <c r="D1106" s="859"/>
      <c r="E1106" s="859"/>
      <c r="F1106" s="859"/>
      <c r="G1106" s="859"/>
      <c r="H1106" s="861"/>
      <c r="I1106" s="859"/>
      <c r="J1106" s="859"/>
      <c r="K1106" s="862"/>
      <c r="L1106" s="859"/>
      <c r="M1106" s="859"/>
      <c r="N1106" s="859"/>
      <c r="P1106" s="859"/>
    </row>
    <row r="1107" spans="1:16">
      <c r="A1107" s="859"/>
      <c r="B1107" s="859"/>
      <c r="C1107" s="859"/>
      <c r="D1107" s="859"/>
      <c r="E1107" s="859"/>
      <c r="F1107" s="859"/>
      <c r="G1107" s="859"/>
      <c r="H1107" s="861"/>
      <c r="I1107" s="859"/>
      <c r="J1107" s="859"/>
      <c r="K1107" s="862"/>
      <c r="L1107" s="859"/>
      <c r="M1107" s="859"/>
      <c r="N1107" s="859"/>
      <c r="P1107" s="859"/>
    </row>
    <row r="1108" spans="1:16">
      <c r="A1108" s="859"/>
      <c r="B1108" s="859"/>
      <c r="C1108" s="859"/>
      <c r="D1108" s="859"/>
      <c r="E1108" s="859"/>
      <c r="F1108" s="859"/>
      <c r="G1108" s="859"/>
      <c r="H1108" s="861"/>
      <c r="I1108" s="859"/>
      <c r="J1108" s="859"/>
      <c r="K1108" s="862"/>
      <c r="L1108" s="859"/>
      <c r="M1108" s="859"/>
      <c r="N1108" s="859"/>
      <c r="P1108" s="859"/>
    </row>
    <row r="1109" spans="1:16">
      <c r="A1109" s="859"/>
      <c r="B1109" s="859"/>
      <c r="C1109" s="859"/>
      <c r="D1109" s="859"/>
      <c r="E1109" s="859"/>
      <c r="F1109" s="859"/>
      <c r="G1109" s="859"/>
      <c r="H1109" s="861"/>
      <c r="I1109" s="859"/>
      <c r="J1109" s="859"/>
      <c r="K1109" s="862"/>
      <c r="L1109" s="859"/>
      <c r="M1109" s="859"/>
      <c r="N1109" s="859"/>
      <c r="P1109" s="859"/>
    </row>
    <row r="1110" spans="1:16">
      <c r="A1110" s="859"/>
      <c r="B1110" s="859"/>
      <c r="C1110" s="859"/>
      <c r="D1110" s="859"/>
      <c r="E1110" s="859"/>
      <c r="F1110" s="859"/>
      <c r="G1110" s="859"/>
      <c r="H1110" s="861"/>
      <c r="I1110" s="859"/>
      <c r="J1110" s="859"/>
      <c r="K1110" s="862"/>
      <c r="L1110" s="859"/>
      <c r="M1110" s="859"/>
      <c r="N1110" s="859"/>
      <c r="P1110" s="859"/>
    </row>
    <row r="1111" spans="1:16">
      <c r="A1111" s="859"/>
      <c r="B1111" s="859"/>
      <c r="C1111" s="859"/>
      <c r="D1111" s="859"/>
      <c r="E1111" s="859"/>
      <c r="F1111" s="859"/>
      <c r="G1111" s="859"/>
      <c r="H1111" s="861"/>
      <c r="I1111" s="859"/>
      <c r="J1111" s="859"/>
      <c r="K1111" s="862"/>
      <c r="L1111" s="859"/>
      <c r="M1111" s="859"/>
      <c r="N1111" s="859"/>
      <c r="P1111" s="859"/>
    </row>
    <row r="1112" spans="1:16">
      <c r="A1112" s="859"/>
      <c r="B1112" s="859"/>
      <c r="C1112" s="859"/>
      <c r="D1112" s="859"/>
      <c r="E1112" s="859"/>
      <c r="F1112" s="859"/>
      <c r="G1112" s="859"/>
      <c r="H1112" s="861"/>
      <c r="I1112" s="859"/>
      <c r="J1112" s="859"/>
      <c r="K1112" s="862"/>
      <c r="L1112" s="859"/>
      <c r="M1112" s="859"/>
      <c r="N1112" s="859"/>
      <c r="P1112" s="859"/>
    </row>
    <row r="1113" spans="1:16">
      <c r="A1113" s="859"/>
      <c r="B1113" s="859"/>
      <c r="C1113" s="859"/>
      <c r="D1113" s="859"/>
      <c r="E1113" s="859"/>
      <c r="F1113" s="859"/>
      <c r="G1113" s="859"/>
      <c r="H1113" s="861"/>
      <c r="I1113" s="859"/>
      <c r="J1113" s="859"/>
      <c r="K1113" s="862"/>
      <c r="L1113" s="859"/>
      <c r="M1113" s="859"/>
      <c r="N1113" s="859"/>
      <c r="P1113" s="859"/>
    </row>
    <row r="1114" spans="1:16">
      <c r="A1114" s="859"/>
      <c r="B1114" s="859"/>
      <c r="C1114" s="859"/>
      <c r="D1114" s="859"/>
      <c r="E1114" s="859"/>
      <c r="F1114" s="859"/>
      <c r="G1114" s="859"/>
      <c r="H1114" s="861"/>
      <c r="I1114" s="859"/>
      <c r="J1114" s="859"/>
      <c r="K1114" s="862"/>
      <c r="L1114" s="859"/>
      <c r="M1114" s="859"/>
      <c r="N1114" s="859"/>
      <c r="P1114" s="859"/>
    </row>
    <row r="1115" spans="1:16">
      <c r="A1115" s="859"/>
      <c r="B1115" s="859"/>
      <c r="C1115" s="859"/>
      <c r="D1115" s="859"/>
      <c r="E1115" s="859"/>
      <c r="F1115" s="859"/>
      <c r="G1115" s="859"/>
      <c r="H1115" s="861"/>
      <c r="I1115" s="859"/>
      <c r="J1115" s="859"/>
      <c r="K1115" s="862"/>
      <c r="L1115" s="859"/>
      <c r="M1115" s="859"/>
      <c r="N1115" s="859"/>
      <c r="P1115" s="859"/>
    </row>
    <row r="1116" spans="1:16">
      <c r="A1116" s="859"/>
      <c r="B1116" s="859"/>
      <c r="C1116" s="859"/>
      <c r="D1116" s="859"/>
      <c r="E1116" s="859"/>
      <c r="F1116" s="859"/>
      <c r="G1116" s="859"/>
      <c r="H1116" s="861"/>
      <c r="I1116" s="859"/>
      <c r="J1116" s="859"/>
      <c r="K1116" s="862"/>
      <c r="L1116" s="859"/>
      <c r="M1116" s="859"/>
      <c r="N1116" s="859"/>
      <c r="P1116" s="859"/>
    </row>
    <row r="1117" spans="1:16">
      <c r="A1117" s="859"/>
      <c r="B1117" s="859"/>
      <c r="C1117" s="859"/>
      <c r="D1117" s="859"/>
      <c r="E1117" s="859"/>
      <c r="F1117" s="859"/>
      <c r="G1117" s="859"/>
      <c r="H1117" s="861"/>
      <c r="I1117" s="859"/>
      <c r="J1117" s="859"/>
      <c r="K1117" s="862"/>
      <c r="L1117" s="859"/>
      <c r="M1117" s="859"/>
      <c r="N1117" s="859"/>
      <c r="P1117" s="859"/>
    </row>
    <row r="1118" spans="1:16">
      <c r="A1118" s="859"/>
      <c r="B1118" s="859"/>
      <c r="C1118" s="859"/>
      <c r="D1118" s="859"/>
      <c r="E1118" s="859"/>
      <c r="F1118" s="859"/>
      <c r="G1118" s="859"/>
      <c r="H1118" s="861"/>
      <c r="I1118" s="859"/>
      <c r="J1118" s="859"/>
      <c r="K1118" s="862"/>
      <c r="L1118" s="859"/>
      <c r="M1118" s="859"/>
      <c r="N1118" s="859"/>
      <c r="P1118" s="859"/>
    </row>
    <row r="1119" spans="1:16">
      <c r="A1119" s="859"/>
      <c r="B1119" s="859"/>
      <c r="C1119" s="859"/>
      <c r="D1119" s="859"/>
      <c r="E1119" s="859"/>
      <c r="F1119" s="859"/>
      <c r="G1119" s="859"/>
      <c r="H1119" s="861"/>
      <c r="I1119" s="859"/>
      <c r="J1119" s="859"/>
      <c r="K1119" s="862"/>
      <c r="L1119" s="859"/>
      <c r="M1119" s="859"/>
      <c r="N1119" s="859"/>
      <c r="P1119" s="859"/>
    </row>
    <row r="1120" spans="1:16">
      <c r="A1120" s="859"/>
      <c r="B1120" s="859"/>
      <c r="C1120" s="859"/>
      <c r="D1120" s="859"/>
      <c r="E1120" s="859"/>
      <c r="F1120" s="859"/>
      <c r="G1120" s="859"/>
      <c r="H1120" s="861"/>
      <c r="I1120" s="859"/>
      <c r="J1120" s="859"/>
      <c r="K1120" s="862"/>
      <c r="L1120" s="859"/>
      <c r="M1120" s="859"/>
      <c r="N1120" s="859"/>
      <c r="P1120" s="859"/>
    </row>
    <row r="1121" spans="1:16">
      <c r="A1121" s="859"/>
      <c r="B1121" s="859"/>
      <c r="C1121" s="859"/>
      <c r="D1121" s="859"/>
      <c r="E1121" s="859"/>
      <c r="F1121" s="859"/>
      <c r="G1121" s="859"/>
      <c r="H1121" s="861"/>
      <c r="I1121" s="859"/>
      <c r="J1121" s="859"/>
      <c r="K1121" s="862"/>
      <c r="L1121" s="859"/>
      <c r="M1121" s="859"/>
      <c r="N1121" s="859"/>
      <c r="P1121" s="859"/>
    </row>
    <row r="1122" spans="1:16">
      <c r="A1122" s="859"/>
      <c r="B1122" s="859"/>
      <c r="C1122" s="859"/>
      <c r="D1122" s="859"/>
      <c r="E1122" s="859"/>
      <c r="F1122" s="859"/>
      <c r="G1122" s="859"/>
      <c r="H1122" s="861"/>
      <c r="I1122" s="859"/>
      <c r="J1122" s="859"/>
      <c r="K1122" s="862"/>
      <c r="L1122" s="859"/>
      <c r="M1122" s="859"/>
      <c r="N1122" s="859"/>
      <c r="P1122" s="859"/>
    </row>
    <row r="1123" spans="1:16">
      <c r="A1123" s="859"/>
      <c r="B1123" s="859"/>
      <c r="C1123" s="859"/>
      <c r="D1123" s="859"/>
      <c r="E1123" s="859"/>
      <c r="F1123" s="859"/>
      <c r="G1123" s="859"/>
      <c r="H1123" s="861"/>
      <c r="I1123" s="859"/>
      <c r="J1123" s="859"/>
      <c r="K1123" s="862"/>
      <c r="L1123" s="859"/>
      <c r="M1123" s="859"/>
      <c r="N1123" s="859"/>
      <c r="P1123" s="859"/>
    </row>
    <row r="1124" spans="1:16">
      <c r="A1124" s="859"/>
      <c r="B1124" s="859"/>
      <c r="C1124" s="859"/>
      <c r="D1124" s="859"/>
      <c r="E1124" s="859"/>
      <c r="F1124" s="859"/>
      <c r="G1124" s="859"/>
      <c r="H1124" s="861"/>
      <c r="I1124" s="859"/>
      <c r="J1124" s="859"/>
      <c r="K1124" s="862"/>
      <c r="L1124" s="859"/>
      <c r="M1124" s="859"/>
      <c r="N1124" s="859"/>
      <c r="P1124" s="859"/>
    </row>
    <row r="1125" spans="1:16">
      <c r="A1125" s="859"/>
      <c r="B1125" s="859"/>
      <c r="C1125" s="859"/>
      <c r="D1125" s="859"/>
      <c r="E1125" s="859"/>
      <c r="F1125" s="859"/>
      <c r="G1125" s="859"/>
      <c r="H1125" s="861"/>
      <c r="I1125" s="859"/>
      <c r="J1125" s="859"/>
      <c r="K1125" s="862"/>
      <c r="L1125" s="859"/>
      <c r="M1125" s="859"/>
      <c r="N1125" s="859"/>
      <c r="P1125" s="859"/>
    </row>
    <row r="1126" spans="1:16">
      <c r="A1126" s="859"/>
      <c r="B1126" s="859"/>
      <c r="C1126" s="859"/>
      <c r="D1126" s="859"/>
      <c r="E1126" s="859"/>
      <c r="F1126" s="859"/>
      <c r="G1126" s="859"/>
      <c r="H1126" s="861"/>
      <c r="I1126" s="859"/>
      <c r="J1126" s="859"/>
      <c r="K1126" s="862"/>
      <c r="L1126" s="859"/>
      <c r="M1126" s="859"/>
      <c r="N1126" s="859"/>
      <c r="P1126" s="859"/>
    </row>
    <row r="1127" spans="1:16">
      <c r="A1127" s="859"/>
      <c r="B1127" s="859"/>
      <c r="C1127" s="859"/>
      <c r="D1127" s="859"/>
      <c r="E1127" s="859"/>
      <c r="F1127" s="859"/>
      <c r="G1127" s="859"/>
      <c r="H1127" s="861"/>
      <c r="I1127" s="859"/>
      <c r="J1127" s="859"/>
      <c r="K1127" s="862"/>
      <c r="L1127" s="859"/>
      <c r="M1127" s="859"/>
      <c r="N1127" s="859"/>
      <c r="P1127" s="859"/>
    </row>
    <row r="1128" spans="1:16">
      <c r="A1128" s="859"/>
      <c r="B1128" s="859"/>
      <c r="C1128" s="859"/>
      <c r="D1128" s="859"/>
      <c r="E1128" s="859"/>
      <c r="F1128" s="859"/>
      <c r="G1128" s="859"/>
      <c r="H1128" s="861"/>
      <c r="I1128" s="859"/>
      <c r="J1128" s="859"/>
      <c r="K1128" s="862"/>
      <c r="L1128" s="859"/>
      <c r="M1128" s="859"/>
      <c r="N1128" s="859"/>
      <c r="P1128" s="859"/>
    </row>
    <row r="1129" spans="1:16">
      <c r="A1129" s="859"/>
      <c r="B1129" s="859"/>
      <c r="C1129" s="859"/>
      <c r="D1129" s="859"/>
      <c r="E1129" s="859"/>
      <c r="F1129" s="859"/>
      <c r="G1129" s="859"/>
      <c r="H1129" s="861"/>
      <c r="I1129" s="859"/>
      <c r="J1129" s="859"/>
      <c r="K1129" s="862"/>
      <c r="L1129" s="859"/>
      <c r="M1129" s="859"/>
      <c r="N1129" s="859"/>
      <c r="P1129" s="859"/>
    </row>
    <row r="1130" spans="1:16">
      <c r="A1130" s="859"/>
      <c r="B1130" s="859"/>
      <c r="C1130" s="859"/>
      <c r="D1130" s="859"/>
      <c r="E1130" s="859"/>
      <c r="F1130" s="859"/>
      <c r="G1130" s="859"/>
      <c r="H1130" s="861"/>
      <c r="I1130" s="859"/>
      <c r="J1130" s="859"/>
      <c r="K1130" s="862"/>
      <c r="L1130" s="859"/>
      <c r="M1130" s="859"/>
      <c r="N1130" s="859"/>
      <c r="P1130" s="859"/>
    </row>
    <row r="1131" spans="1:16">
      <c r="A1131" s="859"/>
      <c r="B1131" s="859"/>
      <c r="C1131" s="859"/>
      <c r="D1131" s="859"/>
      <c r="E1131" s="859"/>
      <c r="F1131" s="859"/>
      <c r="G1131" s="859"/>
      <c r="H1131" s="861"/>
      <c r="I1131" s="859"/>
      <c r="J1131" s="859"/>
      <c r="K1131" s="862"/>
      <c r="L1131" s="859"/>
      <c r="M1131" s="859"/>
      <c r="N1131" s="859"/>
      <c r="P1131" s="859"/>
    </row>
    <row r="1132" spans="1:16">
      <c r="A1132" s="859"/>
      <c r="B1132" s="859"/>
      <c r="C1132" s="859"/>
      <c r="D1132" s="859"/>
      <c r="E1132" s="859"/>
      <c r="F1132" s="859"/>
      <c r="G1132" s="859"/>
      <c r="H1132" s="861"/>
      <c r="I1132" s="859"/>
      <c r="J1132" s="859"/>
      <c r="K1132" s="862"/>
      <c r="L1132" s="859"/>
      <c r="M1132" s="859"/>
      <c r="N1132" s="859"/>
      <c r="P1132" s="859"/>
    </row>
    <row r="1133" spans="1:16">
      <c r="A1133" s="859"/>
      <c r="B1133" s="859"/>
      <c r="C1133" s="859"/>
      <c r="D1133" s="859"/>
      <c r="E1133" s="859"/>
      <c r="F1133" s="859"/>
      <c r="G1133" s="859"/>
      <c r="H1133" s="861"/>
      <c r="I1133" s="859"/>
      <c r="J1133" s="859"/>
      <c r="K1133" s="862"/>
      <c r="L1133" s="859"/>
      <c r="M1133" s="859"/>
      <c r="N1133" s="859"/>
      <c r="P1133" s="859"/>
    </row>
    <row r="1134" spans="1:16">
      <c r="A1134" s="859"/>
      <c r="B1134" s="859"/>
      <c r="C1134" s="859"/>
      <c r="D1134" s="859"/>
      <c r="E1134" s="859"/>
      <c r="F1134" s="859"/>
      <c r="G1134" s="859"/>
      <c r="H1134" s="861"/>
      <c r="I1134" s="859"/>
      <c r="J1134" s="859"/>
      <c r="K1134" s="862"/>
      <c r="L1134" s="859"/>
      <c r="M1134" s="859"/>
      <c r="N1134" s="859"/>
      <c r="P1134" s="859"/>
    </row>
    <row r="1135" spans="1:16">
      <c r="A1135" s="859"/>
      <c r="B1135" s="859"/>
      <c r="C1135" s="859"/>
      <c r="D1135" s="859"/>
      <c r="E1135" s="859"/>
      <c r="F1135" s="859"/>
      <c r="G1135" s="859"/>
      <c r="H1135" s="861"/>
      <c r="I1135" s="859"/>
      <c r="J1135" s="859"/>
      <c r="K1135" s="862"/>
      <c r="L1135" s="859"/>
      <c r="M1135" s="859"/>
      <c r="N1135" s="859"/>
      <c r="P1135" s="859"/>
    </row>
    <row r="1136" spans="1:16">
      <c r="A1136" s="859"/>
      <c r="B1136" s="859"/>
      <c r="C1136" s="859"/>
      <c r="D1136" s="859"/>
      <c r="E1136" s="859"/>
      <c r="F1136" s="859"/>
      <c r="G1136" s="859"/>
      <c r="H1136" s="861"/>
      <c r="I1136" s="859"/>
      <c r="J1136" s="859"/>
      <c r="K1136" s="862"/>
      <c r="L1136" s="859"/>
      <c r="M1136" s="859"/>
      <c r="N1136" s="859"/>
      <c r="P1136" s="859"/>
    </row>
    <row r="1137" spans="1:16">
      <c r="A1137" s="859"/>
      <c r="B1137" s="859"/>
      <c r="C1137" s="859"/>
      <c r="D1137" s="859"/>
      <c r="E1137" s="859"/>
      <c r="F1137" s="859"/>
      <c r="G1137" s="859"/>
      <c r="H1137" s="861"/>
      <c r="I1137" s="859"/>
      <c r="J1137" s="859"/>
      <c r="K1137" s="862"/>
      <c r="L1137" s="859"/>
      <c r="M1137" s="859"/>
      <c r="N1137" s="859"/>
      <c r="P1137" s="859"/>
    </row>
    <row r="1138" spans="1:16">
      <c r="A1138" s="859"/>
      <c r="B1138" s="859"/>
      <c r="C1138" s="859"/>
      <c r="D1138" s="859"/>
      <c r="E1138" s="859"/>
      <c r="F1138" s="859"/>
      <c r="G1138" s="859"/>
      <c r="H1138" s="861"/>
      <c r="I1138" s="859"/>
      <c r="J1138" s="859"/>
      <c r="K1138" s="862"/>
      <c r="L1138" s="859"/>
      <c r="M1138" s="859"/>
      <c r="N1138" s="859"/>
      <c r="P1138" s="859"/>
    </row>
    <row r="1139" spans="1:16">
      <c r="A1139" s="859"/>
      <c r="B1139" s="859"/>
      <c r="C1139" s="859"/>
      <c r="D1139" s="859"/>
      <c r="E1139" s="859"/>
      <c r="F1139" s="859"/>
      <c r="G1139" s="859"/>
      <c r="H1139" s="861"/>
      <c r="I1139" s="859"/>
      <c r="J1139" s="859"/>
      <c r="K1139" s="862"/>
      <c r="L1139" s="859"/>
      <c r="M1139" s="859"/>
      <c r="N1139" s="859"/>
      <c r="P1139" s="859"/>
    </row>
    <row r="1140" spans="1:16">
      <c r="A1140" s="859"/>
      <c r="B1140" s="859"/>
      <c r="C1140" s="859"/>
      <c r="D1140" s="859"/>
      <c r="E1140" s="859"/>
      <c r="F1140" s="859"/>
      <c r="G1140" s="859"/>
      <c r="H1140" s="861"/>
      <c r="I1140" s="859"/>
      <c r="J1140" s="859"/>
      <c r="K1140" s="862"/>
      <c r="L1140" s="859"/>
      <c r="M1140" s="859"/>
      <c r="N1140" s="859"/>
      <c r="P1140" s="859"/>
    </row>
    <row r="1141" spans="1:16">
      <c r="A1141" s="859"/>
      <c r="B1141" s="859"/>
      <c r="C1141" s="859"/>
      <c r="D1141" s="859"/>
      <c r="E1141" s="859"/>
      <c r="F1141" s="859"/>
      <c r="G1141" s="859"/>
      <c r="H1141" s="861"/>
      <c r="I1141" s="859"/>
      <c r="J1141" s="859"/>
      <c r="K1141" s="862"/>
      <c r="L1141" s="859"/>
      <c r="M1141" s="859"/>
      <c r="N1141" s="859"/>
      <c r="P1141" s="859"/>
    </row>
    <row r="1142" spans="1:16">
      <c r="A1142" s="859"/>
      <c r="B1142" s="859"/>
      <c r="C1142" s="859"/>
      <c r="D1142" s="859"/>
      <c r="E1142" s="859"/>
      <c r="F1142" s="859"/>
      <c r="G1142" s="859"/>
      <c r="H1142" s="861"/>
      <c r="I1142" s="859"/>
      <c r="J1142" s="859"/>
      <c r="K1142" s="862"/>
      <c r="L1142" s="859"/>
      <c r="M1142" s="859"/>
      <c r="N1142" s="859"/>
      <c r="P1142" s="859"/>
    </row>
    <row r="1143" spans="1:16">
      <c r="A1143" s="859"/>
      <c r="B1143" s="859"/>
      <c r="C1143" s="859"/>
      <c r="D1143" s="859"/>
      <c r="E1143" s="859"/>
      <c r="F1143" s="859"/>
      <c r="G1143" s="859"/>
      <c r="H1143" s="861"/>
      <c r="I1143" s="859"/>
      <c r="J1143" s="859"/>
      <c r="K1143" s="862"/>
      <c r="L1143" s="859"/>
      <c r="M1143" s="859"/>
      <c r="N1143" s="859"/>
      <c r="P1143" s="859"/>
    </row>
    <row r="1144" spans="1:16">
      <c r="A1144" s="859"/>
      <c r="B1144" s="859"/>
      <c r="C1144" s="859"/>
      <c r="D1144" s="859"/>
      <c r="E1144" s="859"/>
      <c r="F1144" s="859"/>
      <c r="G1144" s="859"/>
      <c r="H1144" s="861"/>
      <c r="I1144" s="859"/>
      <c r="J1144" s="859"/>
      <c r="K1144" s="862"/>
      <c r="L1144" s="859"/>
      <c r="M1144" s="859"/>
      <c r="N1144" s="859"/>
      <c r="P1144" s="859"/>
    </row>
    <row r="1145" spans="1:16">
      <c r="A1145" s="859"/>
      <c r="B1145" s="859"/>
      <c r="C1145" s="859"/>
      <c r="D1145" s="859"/>
      <c r="E1145" s="859"/>
      <c r="F1145" s="859"/>
      <c r="G1145" s="859"/>
      <c r="H1145" s="861"/>
      <c r="I1145" s="859"/>
      <c r="J1145" s="859"/>
      <c r="K1145" s="862"/>
      <c r="L1145" s="859"/>
      <c r="M1145" s="859"/>
      <c r="N1145" s="859"/>
      <c r="P1145" s="859"/>
    </row>
    <row r="1146" spans="1:16">
      <c r="A1146" s="859"/>
      <c r="B1146" s="859"/>
      <c r="C1146" s="859"/>
      <c r="D1146" s="859"/>
      <c r="E1146" s="859"/>
      <c r="F1146" s="859"/>
      <c r="G1146" s="859"/>
      <c r="H1146" s="861"/>
      <c r="I1146" s="859"/>
      <c r="J1146" s="859"/>
      <c r="K1146" s="862"/>
      <c r="L1146" s="859"/>
      <c r="M1146" s="859"/>
      <c r="N1146" s="859"/>
      <c r="P1146" s="859"/>
    </row>
    <row r="1147" spans="1:16">
      <c r="A1147" s="859"/>
      <c r="B1147" s="859"/>
      <c r="C1147" s="859"/>
      <c r="D1147" s="859"/>
      <c r="E1147" s="859"/>
      <c r="F1147" s="859"/>
      <c r="G1147" s="859"/>
      <c r="H1147" s="861"/>
      <c r="I1147" s="859"/>
      <c r="J1147" s="859"/>
      <c r="K1147" s="862"/>
      <c r="L1147" s="859"/>
      <c r="M1147" s="859"/>
      <c r="N1147" s="859"/>
      <c r="P1147" s="859"/>
    </row>
    <row r="1148" spans="1:16">
      <c r="A1148" s="859"/>
      <c r="B1148" s="859"/>
      <c r="C1148" s="859"/>
      <c r="D1148" s="859"/>
      <c r="E1148" s="859"/>
      <c r="F1148" s="859"/>
      <c r="G1148" s="859"/>
      <c r="H1148" s="861"/>
      <c r="I1148" s="859"/>
      <c r="J1148" s="859"/>
      <c r="K1148" s="862"/>
      <c r="L1148" s="859"/>
      <c r="M1148" s="859"/>
      <c r="N1148" s="859"/>
      <c r="P1148" s="859"/>
    </row>
    <row r="1149" spans="1:16">
      <c r="A1149" s="859"/>
      <c r="B1149" s="859"/>
      <c r="C1149" s="859"/>
      <c r="D1149" s="859"/>
      <c r="E1149" s="859"/>
      <c r="F1149" s="859"/>
      <c r="G1149" s="859"/>
      <c r="H1149" s="861"/>
      <c r="I1149" s="859"/>
      <c r="J1149" s="859"/>
      <c r="K1149" s="862"/>
      <c r="L1149" s="859"/>
      <c r="M1149" s="859"/>
      <c r="N1149" s="859"/>
      <c r="P1149" s="859"/>
    </row>
    <row r="1150" spans="1:16">
      <c r="A1150" s="859"/>
      <c r="B1150" s="859"/>
      <c r="C1150" s="859"/>
      <c r="D1150" s="859"/>
      <c r="E1150" s="859"/>
      <c r="F1150" s="859"/>
      <c r="G1150" s="859"/>
      <c r="H1150" s="861"/>
      <c r="I1150" s="859"/>
      <c r="J1150" s="859"/>
      <c r="K1150" s="862"/>
      <c r="L1150" s="859"/>
      <c r="M1150" s="859"/>
      <c r="N1150" s="859"/>
      <c r="P1150" s="859"/>
    </row>
    <row r="1151" spans="1:16">
      <c r="A1151" s="859"/>
      <c r="B1151" s="859"/>
      <c r="C1151" s="859"/>
      <c r="D1151" s="859"/>
      <c r="E1151" s="859"/>
      <c r="F1151" s="859"/>
      <c r="G1151" s="859"/>
      <c r="H1151" s="861"/>
      <c r="I1151" s="859"/>
      <c r="J1151" s="859"/>
      <c r="K1151" s="862"/>
      <c r="L1151" s="859"/>
      <c r="M1151" s="859"/>
      <c r="N1151" s="859"/>
      <c r="P1151" s="859"/>
    </row>
    <row r="1152" spans="1:16">
      <c r="A1152" s="859"/>
      <c r="B1152" s="859"/>
      <c r="C1152" s="859"/>
      <c r="D1152" s="859"/>
      <c r="E1152" s="859"/>
      <c r="F1152" s="859"/>
      <c r="G1152" s="859"/>
      <c r="H1152" s="861"/>
      <c r="I1152" s="859"/>
      <c r="J1152" s="859"/>
      <c r="K1152" s="862"/>
      <c r="L1152" s="859"/>
      <c r="M1152" s="859"/>
      <c r="N1152" s="859"/>
      <c r="P1152" s="859"/>
    </row>
    <row r="1153" spans="1:16">
      <c r="A1153" s="859"/>
      <c r="B1153" s="859"/>
      <c r="C1153" s="859"/>
      <c r="D1153" s="859"/>
      <c r="E1153" s="859"/>
      <c r="F1153" s="859"/>
      <c r="G1153" s="859"/>
      <c r="H1153" s="861"/>
      <c r="I1153" s="859"/>
      <c r="J1153" s="859"/>
      <c r="K1153" s="862"/>
      <c r="L1153" s="859"/>
      <c r="M1153" s="859"/>
      <c r="N1153" s="859"/>
      <c r="P1153" s="859"/>
    </row>
    <row r="1154" spans="1:16">
      <c r="A1154" s="859"/>
      <c r="B1154" s="859"/>
      <c r="C1154" s="859"/>
      <c r="D1154" s="859"/>
      <c r="E1154" s="859"/>
      <c r="F1154" s="859"/>
      <c r="G1154" s="859"/>
      <c r="H1154" s="861"/>
      <c r="I1154" s="859"/>
      <c r="J1154" s="859"/>
      <c r="K1154" s="862"/>
      <c r="L1154" s="859"/>
      <c r="M1154" s="859"/>
      <c r="N1154" s="859"/>
      <c r="P1154" s="859"/>
    </row>
    <row r="1155" spans="1:16">
      <c r="A1155" s="859"/>
      <c r="B1155" s="859"/>
      <c r="C1155" s="859"/>
      <c r="D1155" s="859"/>
      <c r="E1155" s="859"/>
      <c r="F1155" s="859"/>
      <c r="G1155" s="859"/>
      <c r="H1155" s="861"/>
      <c r="I1155" s="859"/>
      <c r="J1155" s="859"/>
      <c r="K1155" s="862"/>
      <c r="L1155" s="859"/>
      <c r="M1155" s="859"/>
      <c r="N1155" s="859"/>
      <c r="P1155" s="859"/>
    </row>
    <row r="1156" spans="1:16">
      <c r="A1156" s="859"/>
      <c r="B1156" s="859"/>
      <c r="C1156" s="859"/>
      <c r="D1156" s="859"/>
      <c r="E1156" s="859"/>
      <c r="F1156" s="859"/>
      <c r="G1156" s="859"/>
      <c r="H1156" s="861"/>
      <c r="I1156" s="859"/>
      <c r="J1156" s="859"/>
      <c r="K1156" s="862"/>
      <c r="L1156" s="859"/>
      <c r="M1156" s="859"/>
      <c r="N1156" s="859"/>
      <c r="P1156" s="859"/>
    </row>
    <row r="1157" spans="1:16">
      <c r="A1157" s="859"/>
      <c r="B1157" s="859"/>
      <c r="C1157" s="859"/>
      <c r="D1157" s="859"/>
      <c r="E1157" s="859"/>
      <c r="F1157" s="859"/>
      <c r="G1157" s="859"/>
      <c r="H1157" s="861"/>
      <c r="I1157" s="859"/>
      <c r="J1157" s="859"/>
      <c r="K1157" s="862"/>
      <c r="L1157" s="859"/>
      <c r="M1157" s="859"/>
      <c r="N1157" s="859"/>
      <c r="P1157" s="859"/>
    </row>
    <row r="1158" spans="1:16">
      <c r="A1158" s="859"/>
      <c r="B1158" s="859"/>
      <c r="C1158" s="859"/>
      <c r="D1158" s="859"/>
      <c r="E1158" s="859"/>
      <c r="F1158" s="859"/>
      <c r="G1158" s="859"/>
      <c r="H1158" s="861"/>
      <c r="I1158" s="859"/>
      <c r="J1158" s="859"/>
      <c r="K1158" s="862"/>
      <c r="L1158" s="859"/>
      <c r="M1158" s="859"/>
      <c r="N1158" s="859"/>
      <c r="P1158" s="859"/>
    </row>
    <row r="1159" spans="1:16">
      <c r="A1159" s="859"/>
      <c r="B1159" s="859"/>
      <c r="C1159" s="859"/>
      <c r="D1159" s="859"/>
      <c r="E1159" s="859"/>
      <c r="F1159" s="859"/>
      <c r="G1159" s="859"/>
      <c r="H1159" s="861"/>
      <c r="I1159" s="859"/>
      <c r="J1159" s="859"/>
      <c r="K1159" s="862"/>
      <c r="L1159" s="859"/>
      <c r="M1159" s="859"/>
      <c r="N1159" s="859"/>
      <c r="P1159" s="859"/>
    </row>
    <row r="1160" spans="1:16">
      <c r="A1160" s="859"/>
      <c r="B1160" s="859"/>
      <c r="C1160" s="859"/>
      <c r="D1160" s="859"/>
      <c r="E1160" s="859"/>
      <c r="F1160" s="859"/>
      <c r="G1160" s="859"/>
      <c r="H1160" s="861"/>
      <c r="I1160" s="859"/>
      <c r="J1160" s="859"/>
      <c r="K1160" s="862"/>
      <c r="L1160" s="859"/>
      <c r="M1160" s="859"/>
      <c r="N1160" s="859"/>
      <c r="P1160" s="859"/>
    </row>
    <row r="1161" spans="1:16">
      <c r="A1161" s="859"/>
      <c r="B1161" s="859"/>
      <c r="C1161" s="859"/>
      <c r="D1161" s="859"/>
      <c r="E1161" s="859"/>
      <c r="F1161" s="859"/>
      <c r="G1161" s="859"/>
      <c r="H1161" s="861"/>
      <c r="I1161" s="859"/>
      <c r="J1161" s="859"/>
      <c r="K1161" s="862"/>
      <c r="L1161" s="859"/>
      <c r="M1161" s="859"/>
      <c r="N1161" s="859"/>
      <c r="P1161" s="859"/>
    </row>
    <row r="1162" spans="1:16">
      <c r="A1162" s="859"/>
      <c r="B1162" s="859"/>
      <c r="C1162" s="859"/>
      <c r="D1162" s="859"/>
      <c r="E1162" s="859"/>
      <c r="F1162" s="859"/>
      <c r="G1162" s="859"/>
      <c r="H1162" s="861"/>
      <c r="I1162" s="859"/>
      <c r="J1162" s="859"/>
      <c r="K1162" s="862"/>
      <c r="L1162" s="859"/>
      <c r="M1162" s="859"/>
      <c r="N1162" s="859"/>
      <c r="P1162" s="859"/>
    </row>
    <row r="1163" spans="1:16">
      <c r="A1163" s="859"/>
      <c r="B1163" s="859"/>
      <c r="C1163" s="859"/>
      <c r="D1163" s="859"/>
      <c r="E1163" s="859"/>
      <c r="F1163" s="859"/>
      <c r="G1163" s="859"/>
      <c r="H1163" s="861"/>
      <c r="I1163" s="859"/>
      <c r="J1163" s="859"/>
      <c r="K1163" s="862"/>
      <c r="L1163" s="859"/>
      <c r="M1163" s="859"/>
      <c r="N1163" s="859"/>
      <c r="P1163" s="859"/>
    </row>
    <row r="1164" spans="1:16">
      <c r="A1164" s="859"/>
      <c r="B1164" s="859"/>
      <c r="C1164" s="859"/>
      <c r="D1164" s="859"/>
      <c r="E1164" s="859"/>
      <c r="F1164" s="859"/>
      <c r="G1164" s="859"/>
      <c r="H1164" s="861"/>
      <c r="I1164" s="859"/>
      <c r="J1164" s="859"/>
      <c r="K1164" s="862"/>
      <c r="L1164" s="859"/>
      <c r="M1164" s="859"/>
      <c r="N1164" s="859"/>
      <c r="P1164" s="859"/>
    </row>
    <row r="1165" spans="1:16">
      <c r="A1165" s="859"/>
      <c r="B1165" s="859"/>
      <c r="C1165" s="859"/>
      <c r="D1165" s="859"/>
      <c r="E1165" s="859"/>
      <c r="F1165" s="859"/>
      <c r="G1165" s="859"/>
      <c r="H1165" s="861"/>
      <c r="I1165" s="859"/>
      <c r="J1165" s="859"/>
      <c r="K1165" s="862"/>
      <c r="L1165" s="859"/>
      <c r="M1165" s="859"/>
      <c r="N1165" s="859"/>
      <c r="P1165" s="859"/>
    </row>
    <row r="1166" spans="1:16">
      <c r="A1166" s="859"/>
      <c r="B1166" s="859"/>
      <c r="C1166" s="859"/>
      <c r="D1166" s="859"/>
      <c r="E1166" s="859"/>
      <c r="F1166" s="859"/>
      <c r="G1166" s="859"/>
      <c r="H1166" s="861"/>
      <c r="I1166" s="859"/>
      <c r="J1166" s="859"/>
      <c r="K1166" s="862"/>
      <c r="L1166" s="859"/>
      <c r="M1166" s="859"/>
      <c r="N1166" s="859"/>
      <c r="P1166" s="859"/>
    </row>
    <row r="1167" spans="1:16">
      <c r="A1167" s="859"/>
      <c r="B1167" s="859"/>
      <c r="C1167" s="859"/>
      <c r="D1167" s="859"/>
      <c r="E1167" s="859"/>
      <c r="F1167" s="859"/>
      <c r="G1167" s="859"/>
      <c r="H1167" s="861"/>
      <c r="I1167" s="859"/>
      <c r="J1167" s="859"/>
      <c r="K1167" s="862"/>
      <c r="L1167" s="859"/>
      <c r="M1167" s="859"/>
      <c r="N1167" s="859"/>
      <c r="P1167" s="859"/>
    </row>
    <row r="1168" spans="1:16">
      <c r="A1168" s="859"/>
      <c r="B1168" s="859"/>
      <c r="C1168" s="859"/>
      <c r="D1168" s="859"/>
      <c r="E1168" s="859"/>
      <c r="F1168" s="859"/>
      <c r="G1168" s="859"/>
      <c r="H1168" s="861"/>
      <c r="I1168" s="859"/>
      <c r="J1168" s="859"/>
      <c r="K1168" s="862"/>
      <c r="L1168" s="859"/>
      <c r="M1168" s="859"/>
      <c r="N1168" s="859"/>
      <c r="P1168" s="859"/>
    </row>
    <row r="1169" spans="1:16">
      <c r="A1169" s="859"/>
      <c r="B1169" s="859"/>
      <c r="C1169" s="859"/>
      <c r="D1169" s="859"/>
      <c r="E1169" s="859"/>
      <c r="F1169" s="859"/>
      <c r="G1169" s="859"/>
      <c r="H1169" s="861"/>
      <c r="I1169" s="859"/>
      <c r="J1169" s="859"/>
      <c r="K1169" s="862"/>
      <c r="L1169" s="859"/>
      <c r="M1169" s="859"/>
      <c r="N1169" s="859"/>
      <c r="P1169" s="859"/>
    </row>
    <row r="1170" spans="1:16">
      <c r="A1170" s="859"/>
      <c r="B1170" s="859"/>
      <c r="C1170" s="859"/>
      <c r="D1170" s="859"/>
      <c r="E1170" s="859"/>
      <c r="F1170" s="859"/>
      <c r="G1170" s="859"/>
      <c r="H1170" s="861"/>
      <c r="I1170" s="859"/>
      <c r="J1170" s="859"/>
      <c r="K1170" s="862"/>
      <c r="L1170" s="859"/>
      <c r="M1170" s="859"/>
      <c r="N1170" s="859"/>
      <c r="P1170" s="859"/>
    </row>
    <row r="1171" spans="1:16">
      <c r="A1171" s="859"/>
      <c r="B1171" s="859"/>
      <c r="C1171" s="859"/>
      <c r="D1171" s="859"/>
      <c r="E1171" s="859"/>
      <c r="F1171" s="859"/>
      <c r="G1171" s="859"/>
      <c r="H1171" s="861"/>
      <c r="I1171" s="859"/>
      <c r="J1171" s="859"/>
      <c r="K1171" s="862"/>
      <c r="L1171" s="859"/>
      <c r="M1171" s="859"/>
      <c r="N1171" s="859"/>
      <c r="P1171" s="859"/>
    </row>
    <row r="1172" spans="1:16">
      <c r="A1172" s="859"/>
      <c r="B1172" s="859"/>
      <c r="C1172" s="859"/>
      <c r="D1172" s="859"/>
      <c r="E1172" s="859"/>
      <c r="F1172" s="859"/>
      <c r="G1172" s="859"/>
      <c r="H1172" s="861"/>
      <c r="I1172" s="859"/>
      <c r="J1172" s="859"/>
      <c r="K1172" s="862"/>
      <c r="L1172" s="859"/>
      <c r="M1172" s="859"/>
      <c r="N1172" s="859"/>
      <c r="P1172" s="859"/>
    </row>
    <row r="1173" spans="1:16">
      <c r="A1173" s="859"/>
      <c r="B1173" s="859"/>
      <c r="C1173" s="859"/>
      <c r="D1173" s="859"/>
      <c r="E1173" s="859"/>
      <c r="F1173" s="859"/>
      <c r="G1173" s="859"/>
      <c r="H1173" s="861"/>
      <c r="I1173" s="859"/>
      <c r="J1173" s="859"/>
      <c r="K1173" s="862"/>
      <c r="L1173" s="859"/>
      <c r="M1173" s="859"/>
      <c r="N1173" s="859"/>
      <c r="P1173" s="859"/>
    </row>
    <row r="1174" spans="1:16">
      <c r="A1174" s="859"/>
      <c r="B1174" s="859"/>
      <c r="C1174" s="859"/>
      <c r="D1174" s="859"/>
      <c r="E1174" s="859"/>
      <c r="F1174" s="859"/>
      <c r="G1174" s="859"/>
      <c r="H1174" s="861"/>
      <c r="I1174" s="859"/>
      <c r="J1174" s="859"/>
      <c r="K1174" s="862"/>
      <c r="L1174" s="859"/>
      <c r="M1174" s="859"/>
      <c r="N1174" s="859"/>
      <c r="P1174" s="859"/>
    </row>
    <row r="1175" spans="1:16">
      <c r="A1175" s="859"/>
      <c r="B1175" s="859"/>
      <c r="C1175" s="859"/>
      <c r="D1175" s="859"/>
      <c r="E1175" s="859"/>
      <c r="F1175" s="859"/>
      <c r="G1175" s="859"/>
      <c r="H1175" s="861"/>
      <c r="I1175" s="859"/>
      <c r="J1175" s="859"/>
      <c r="K1175" s="862"/>
      <c r="L1175" s="859"/>
      <c r="M1175" s="859"/>
      <c r="N1175" s="859"/>
      <c r="P1175" s="859"/>
    </row>
    <row r="1176" spans="1:16">
      <c r="A1176" s="859"/>
      <c r="B1176" s="859"/>
      <c r="C1176" s="859"/>
      <c r="D1176" s="859"/>
      <c r="E1176" s="859"/>
      <c r="F1176" s="859"/>
      <c r="G1176" s="859"/>
      <c r="H1176" s="861"/>
      <c r="I1176" s="859"/>
      <c r="J1176" s="859"/>
      <c r="K1176" s="862"/>
      <c r="L1176" s="859"/>
      <c r="M1176" s="859"/>
      <c r="N1176" s="859"/>
      <c r="P1176" s="859"/>
    </row>
    <row r="1177" spans="1:16">
      <c r="A1177" s="859"/>
      <c r="B1177" s="859"/>
      <c r="C1177" s="859"/>
      <c r="D1177" s="859"/>
      <c r="E1177" s="859"/>
      <c r="F1177" s="859"/>
      <c r="G1177" s="859"/>
      <c r="H1177" s="861"/>
      <c r="I1177" s="859"/>
      <c r="J1177" s="859"/>
      <c r="K1177" s="862"/>
      <c r="L1177" s="859"/>
      <c r="M1177" s="859"/>
      <c r="N1177" s="859"/>
      <c r="P1177" s="859"/>
    </row>
    <row r="1178" spans="1:16">
      <c r="A1178" s="859"/>
      <c r="B1178" s="859"/>
      <c r="C1178" s="859"/>
      <c r="D1178" s="859"/>
      <c r="E1178" s="859"/>
      <c r="F1178" s="859"/>
      <c r="G1178" s="859"/>
      <c r="H1178" s="861"/>
      <c r="I1178" s="859"/>
      <c r="J1178" s="859"/>
      <c r="K1178" s="862"/>
      <c r="L1178" s="859"/>
      <c r="M1178" s="859"/>
      <c r="N1178" s="859"/>
      <c r="P1178" s="859"/>
    </row>
    <row r="1179" spans="1:16">
      <c r="A1179" s="859"/>
      <c r="B1179" s="859"/>
      <c r="C1179" s="859"/>
      <c r="D1179" s="859"/>
      <c r="E1179" s="859"/>
      <c r="F1179" s="859"/>
      <c r="G1179" s="859"/>
      <c r="H1179" s="861"/>
      <c r="I1179" s="859"/>
      <c r="J1179" s="859"/>
      <c r="K1179" s="862"/>
      <c r="L1179" s="859"/>
      <c r="M1179" s="859"/>
      <c r="N1179" s="859"/>
      <c r="P1179" s="859"/>
    </row>
    <row r="1180" spans="1:16">
      <c r="A1180" s="859"/>
      <c r="B1180" s="859"/>
      <c r="C1180" s="859"/>
      <c r="D1180" s="859"/>
      <c r="E1180" s="859"/>
      <c r="F1180" s="859"/>
      <c r="G1180" s="859"/>
      <c r="H1180" s="861"/>
      <c r="I1180" s="859"/>
      <c r="J1180" s="859"/>
      <c r="K1180" s="862"/>
      <c r="L1180" s="859"/>
      <c r="M1180" s="859"/>
      <c r="N1180" s="859"/>
      <c r="P1180" s="859"/>
    </row>
    <row r="1181" spans="1:16">
      <c r="A1181" s="859"/>
      <c r="B1181" s="859"/>
      <c r="C1181" s="859"/>
      <c r="D1181" s="859"/>
      <c r="E1181" s="859"/>
      <c r="F1181" s="859"/>
      <c r="G1181" s="859"/>
      <c r="H1181" s="861"/>
      <c r="I1181" s="859"/>
      <c r="J1181" s="859"/>
      <c r="K1181" s="862"/>
      <c r="L1181" s="859"/>
      <c r="M1181" s="859"/>
      <c r="N1181" s="859"/>
      <c r="P1181" s="859"/>
    </row>
    <row r="1182" spans="1:16">
      <c r="A1182" s="859"/>
      <c r="B1182" s="859"/>
      <c r="C1182" s="859"/>
      <c r="D1182" s="859"/>
      <c r="E1182" s="859"/>
      <c r="F1182" s="859"/>
      <c r="G1182" s="859"/>
      <c r="H1182" s="861"/>
      <c r="I1182" s="859"/>
      <c r="J1182" s="859"/>
      <c r="K1182" s="862"/>
      <c r="L1182" s="859"/>
      <c r="M1182" s="859"/>
      <c r="N1182" s="859"/>
      <c r="P1182" s="859"/>
    </row>
    <row r="1183" spans="1:16">
      <c r="A1183" s="859"/>
      <c r="B1183" s="859"/>
      <c r="C1183" s="859"/>
      <c r="D1183" s="859"/>
      <c r="E1183" s="859"/>
      <c r="F1183" s="859"/>
      <c r="G1183" s="859"/>
      <c r="H1183" s="861"/>
      <c r="I1183" s="859"/>
      <c r="J1183" s="859"/>
      <c r="K1183" s="862"/>
      <c r="L1183" s="859"/>
      <c r="M1183" s="859"/>
      <c r="N1183" s="859"/>
      <c r="P1183" s="859"/>
    </row>
    <row r="1184" spans="1:16">
      <c r="A1184" s="859"/>
      <c r="B1184" s="859"/>
      <c r="C1184" s="859"/>
      <c r="D1184" s="859"/>
      <c r="E1184" s="859"/>
      <c r="F1184" s="859"/>
      <c r="G1184" s="859"/>
      <c r="H1184" s="861"/>
      <c r="I1184" s="859"/>
      <c r="J1184" s="859"/>
      <c r="K1184" s="862"/>
      <c r="L1184" s="859"/>
      <c r="M1184" s="859"/>
      <c r="N1184" s="859"/>
      <c r="P1184" s="859"/>
    </row>
    <row r="1185" spans="1:16">
      <c r="A1185" s="859"/>
      <c r="B1185" s="859"/>
      <c r="C1185" s="859"/>
      <c r="D1185" s="859"/>
      <c r="E1185" s="859"/>
      <c r="F1185" s="859"/>
      <c r="G1185" s="859"/>
      <c r="H1185" s="861"/>
      <c r="I1185" s="859"/>
      <c r="J1185" s="859"/>
      <c r="K1185" s="862"/>
      <c r="L1185" s="859"/>
      <c r="M1185" s="859"/>
      <c r="N1185" s="859"/>
      <c r="P1185" s="859"/>
    </row>
    <row r="1186" spans="1:16">
      <c r="A1186" s="859"/>
      <c r="B1186" s="859"/>
      <c r="C1186" s="859"/>
      <c r="D1186" s="859"/>
      <c r="E1186" s="859"/>
      <c r="F1186" s="859"/>
      <c r="G1186" s="859"/>
      <c r="H1186" s="861"/>
      <c r="I1186" s="859"/>
      <c r="J1186" s="859"/>
      <c r="K1186" s="862"/>
      <c r="L1186" s="859"/>
      <c r="M1186" s="859"/>
      <c r="N1186" s="859"/>
      <c r="P1186" s="859"/>
    </row>
    <row r="1187" spans="1:16">
      <c r="A1187" s="859"/>
      <c r="B1187" s="859"/>
      <c r="C1187" s="859"/>
      <c r="D1187" s="859"/>
      <c r="E1187" s="859"/>
      <c r="F1187" s="859"/>
      <c r="G1187" s="859"/>
      <c r="H1187" s="861"/>
      <c r="I1187" s="859"/>
      <c r="J1187" s="859"/>
      <c r="K1187" s="862"/>
      <c r="L1187" s="859"/>
      <c r="M1187" s="859"/>
      <c r="N1187" s="859"/>
      <c r="P1187" s="859"/>
    </row>
    <row r="1188" spans="1:16">
      <c r="A1188" s="859"/>
      <c r="B1188" s="859"/>
      <c r="C1188" s="859"/>
      <c r="D1188" s="859"/>
      <c r="E1188" s="859"/>
      <c r="F1188" s="859"/>
      <c r="G1188" s="859"/>
      <c r="H1188" s="861"/>
      <c r="I1188" s="859"/>
      <c r="J1188" s="859"/>
      <c r="K1188" s="862"/>
      <c r="L1188" s="859"/>
      <c r="M1188" s="859"/>
      <c r="N1188" s="859"/>
      <c r="P1188" s="859"/>
    </row>
    <row r="1189" spans="1:16">
      <c r="A1189" s="859"/>
      <c r="B1189" s="859"/>
      <c r="C1189" s="859"/>
      <c r="D1189" s="859"/>
      <c r="E1189" s="859"/>
      <c r="F1189" s="859"/>
      <c r="G1189" s="859"/>
      <c r="H1189" s="861"/>
      <c r="I1189" s="859"/>
      <c r="J1189" s="859"/>
      <c r="K1189" s="862"/>
      <c r="L1189" s="859"/>
      <c r="M1189" s="859"/>
      <c r="N1189" s="859"/>
      <c r="P1189" s="859"/>
    </row>
    <row r="1190" spans="1:16">
      <c r="A1190" s="859"/>
      <c r="B1190" s="859"/>
      <c r="C1190" s="859"/>
      <c r="D1190" s="859"/>
      <c r="E1190" s="859"/>
      <c r="F1190" s="859"/>
      <c r="G1190" s="859"/>
      <c r="H1190" s="861"/>
      <c r="I1190" s="859"/>
      <c r="J1190" s="859"/>
      <c r="K1190" s="862"/>
      <c r="L1190" s="859"/>
      <c r="M1190" s="859"/>
      <c r="N1190" s="859"/>
      <c r="P1190" s="859"/>
    </row>
    <row r="1191" spans="1:16">
      <c r="A1191" s="859"/>
      <c r="B1191" s="859"/>
      <c r="C1191" s="859"/>
      <c r="D1191" s="859"/>
      <c r="E1191" s="859"/>
      <c r="F1191" s="859"/>
      <c r="G1191" s="859"/>
      <c r="H1191" s="861"/>
      <c r="I1191" s="859"/>
      <c r="J1191" s="859"/>
      <c r="K1191" s="862"/>
      <c r="L1191" s="859"/>
      <c r="M1191" s="859"/>
      <c r="N1191" s="859"/>
      <c r="P1191" s="859"/>
    </row>
    <row r="1192" spans="1:16">
      <c r="A1192" s="859"/>
      <c r="B1192" s="859"/>
      <c r="C1192" s="859"/>
      <c r="D1192" s="859"/>
      <c r="E1192" s="859"/>
      <c r="F1192" s="859"/>
      <c r="G1192" s="859"/>
      <c r="H1192" s="861"/>
      <c r="I1192" s="859"/>
      <c r="J1192" s="859"/>
      <c r="K1192" s="862"/>
      <c r="L1192" s="859"/>
      <c r="M1192" s="859"/>
      <c r="N1192" s="859"/>
      <c r="P1192" s="859"/>
    </row>
    <row r="1193" spans="1:16">
      <c r="A1193" s="859"/>
      <c r="B1193" s="859"/>
      <c r="C1193" s="859"/>
      <c r="D1193" s="859"/>
      <c r="E1193" s="859"/>
      <c r="F1193" s="859"/>
      <c r="G1193" s="859"/>
      <c r="H1193" s="861"/>
      <c r="I1193" s="859"/>
      <c r="J1193" s="859"/>
      <c r="K1193" s="862"/>
      <c r="L1193" s="859"/>
      <c r="M1193" s="859"/>
      <c r="N1193" s="859"/>
      <c r="P1193" s="859"/>
    </row>
    <row r="1194" spans="1:16">
      <c r="A1194" s="859"/>
      <c r="B1194" s="859"/>
      <c r="C1194" s="859"/>
      <c r="D1194" s="859"/>
      <c r="E1194" s="859"/>
      <c r="F1194" s="859"/>
      <c r="G1194" s="859"/>
      <c r="H1194" s="861"/>
      <c r="I1194" s="859"/>
      <c r="J1194" s="859"/>
      <c r="K1194" s="862"/>
      <c r="L1194" s="859"/>
      <c r="M1194" s="859"/>
      <c r="N1194" s="859"/>
      <c r="P1194" s="859"/>
    </row>
    <row r="1195" spans="1:16">
      <c r="A1195" s="859"/>
      <c r="B1195" s="859"/>
      <c r="C1195" s="859"/>
      <c r="D1195" s="859"/>
      <c r="E1195" s="859"/>
      <c r="F1195" s="859"/>
      <c r="G1195" s="859"/>
      <c r="H1195" s="861"/>
      <c r="I1195" s="859"/>
      <c r="J1195" s="859"/>
      <c r="K1195" s="862"/>
      <c r="L1195" s="859"/>
      <c r="M1195" s="859"/>
      <c r="N1195" s="859"/>
      <c r="P1195" s="859"/>
    </row>
    <row r="1196" spans="1:16">
      <c r="A1196" s="859"/>
      <c r="B1196" s="859"/>
      <c r="C1196" s="859"/>
      <c r="D1196" s="859"/>
      <c r="E1196" s="859"/>
      <c r="F1196" s="859"/>
      <c r="G1196" s="859"/>
      <c r="H1196" s="861"/>
      <c r="I1196" s="859"/>
      <c r="J1196" s="859"/>
      <c r="K1196" s="862"/>
      <c r="L1196" s="859"/>
      <c r="M1196" s="859"/>
      <c r="N1196" s="859"/>
      <c r="P1196" s="859"/>
    </row>
    <row r="1197" spans="1:16">
      <c r="A1197" s="859"/>
      <c r="B1197" s="859"/>
      <c r="C1197" s="859"/>
      <c r="D1197" s="859"/>
      <c r="E1197" s="859"/>
      <c r="F1197" s="859"/>
      <c r="G1197" s="859"/>
      <c r="H1197" s="861"/>
      <c r="I1197" s="859"/>
      <c r="J1197" s="859"/>
      <c r="K1197" s="862"/>
      <c r="L1197" s="859"/>
      <c r="M1197" s="859"/>
      <c r="N1197" s="859"/>
      <c r="P1197" s="859"/>
    </row>
    <row r="1198" spans="1:16">
      <c r="A1198" s="859"/>
      <c r="B1198" s="859"/>
      <c r="C1198" s="859"/>
      <c r="D1198" s="859"/>
      <c r="E1198" s="859"/>
      <c r="F1198" s="859"/>
      <c r="G1198" s="859"/>
      <c r="H1198" s="861"/>
      <c r="I1198" s="859"/>
      <c r="J1198" s="859"/>
      <c r="K1198" s="862"/>
      <c r="L1198" s="859"/>
      <c r="M1198" s="859"/>
      <c r="N1198" s="859"/>
      <c r="P1198" s="859"/>
    </row>
    <row r="1199" spans="1:16">
      <c r="A1199" s="859"/>
      <c r="B1199" s="859"/>
      <c r="C1199" s="859"/>
      <c r="D1199" s="859"/>
      <c r="E1199" s="859"/>
      <c r="F1199" s="859"/>
      <c r="G1199" s="859"/>
      <c r="H1199" s="861"/>
      <c r="I1199" s="859"/>
      <c r="J1199" s="859"/>
      <c r="K1199" s="862"/>
      <c r="L1199" s="859"/>
      <c r="M1199" s="859"/>
      <c r="N1199" s="859"/>
      <c r="P1199" s="859"/>
    </row>
    <row r="1200" spans="1:16">
      <c r="A1200" s="859"/>
      <c r="B1200" s="859"/>
      <c r="C1200" s="859"/>
      <c r="D1200" s="859"/>
      <c r="E1200" s="859"/>
      <c r="F1200" s="859"/>
      <c r="G1200" s="859"/>
      <c r="H1200" s="861"/>
      <c r="I1200" s="859"/>
      <c r="J1200" s="859"/>
      <c r="K1200" s="862"/>
      <c r="L1200" s="859"/>
      <c r="M1200" s="859"/>
      <c r="N1200" s="859"/>
      <c r="P1200" s="859"/>
    </row>
    <row r="1201" spans="1:16">
      <c r="A1201" s="859"/>
      <c r="B1201" s="859"/>
      <c r="C1201" s="859"/>
      <c r="D1201" s="859"/>
      <c r="E1201" s="859"/>
      <c r="F1201" s="859"/>
      <c r="G1201" s="859"/>
      <c r="H1201" s="861"/>
      <c r="I1201" s="859"/>
      <c r="J1201" s="859"/>
      <c r="K1201" s="862"/>
      <c r="L1201" s="859"/>
      <c r="M1201" s="859"/>
      <c r="N1201" s="859"/>
      <c r="P1201" s="859"/>
    </row>
    <row r="1202" spans="1:16">
      <c r="B1202" s="859"/>
      <c r="C1202" s="859"/>
      <c r="D1202" s="859"/>
      <c r="E1202" s="859"/>
      <c r="F1202" s="859"/>
      <c r="G1202" s="859"/>
      <c r="H1202" s="861"/>
      <c r="I1202" s="859"/>
      <c r="J1202" s="859"/>
      <c r="K1202" s="862"/>
      <c r="L1202" s="859"/>
      <c r="M1202" s="859"/>
      <c r="N1202" s="859"/>
      <c r="P1202" s="859"/>
    </row>
    <row r="1203" spans="1:16">
      <c r="B1203" s="859"/>
      <c r="C1203" s="859"/>
      <c r="D1203" s="859"/>
      <c r="E1203" s="859"/>
      <c r="F1203" s="859"/>
      <c r="G1203" s="859"/>
      <c r="H1203" s="861"/>
      <c r="I1203" s="859"/>
      <c r="J1203" s="859"/>
      <c r="K1203" s="862"/>
      <c r="L1203" s="859"/>
      <c r="M1203" s="859"/>
      <c r="N1203" s="859"/>
      <c r="P1203" s="859"/>
    </row>
    <row r="1204" spans="1:16">
      <c r="B1204" s="859"/>
      <c r="C1204" s="859"/>
      <c r="D1204" s="859"/>
      <c r="E1204" s="859"/>
      <c r="F1204" s="859"/>
      <c r="G1204" s="859"/>
      <c r="H1204" s="861"/>
      <c r="I1204" s="859"/>
      <c r="J1204" s="859"/>
      <c r="K1204" s="862"/>
      <c r="L1204" s="859"/>
      <c r="M1204" s="859"/>
      <c r="N1204" s="859"/>
      <c r="P1204" s="859"/>
    </row>
    <row r="1205" spans="1:16">
      <c r="B1205" s="859"/>
      <c r="C1205" s="859"/>
      <c r="D1205" s="859"/>
      <c r="E1205" s="859"/>
      <c r="F1205" s="859"/>
      <c r="G1205" s="859"/>
      <c r="H1205" s="861"/>
      <c r="I1205" s="859"/>
      <c r="J1205" s="859"/>
      <c r="K1205" s="862"/>
      <c r="L1205" s="859"/>
      <c r="M1205" s="859"/>
      <c r="N1205" s="859"/>
      <c r="P1205" s="859"/>
    </row>
    <row r="1206" spans="1:16">
      <c r="B1206" s="859"/>
      <c r="C1206" s="859"/>
      <c r="D1206" s="859"/>
      <c r="E1206" s="859"/>
      <c r="F1206" s="859"/>
      <c r="G1206" s="859"/>
      <c r="H1206" s="861"/>
      <c r="I1206" s="859"/>
      <c r="J1206" s="859"/>
      <c r="K1206" s="862"/>
      <c r="L1206" s="859"/>
      <c r="M1206" s="859"/>
      <c r="N1206" s="859"/>
      <c r="P1206" s="859"/>
    </row>
    <row r="1207" spans="1:16">
      <c r="B1207" s="859"/>
      <c r="C1207" s="859"/>
      <c r="D1207" s="859"/>
      <c r="E1207" s="859"/>
      <c r="F1207" s="859"/>
      <c r="G1207" s="859"/>
      <c r="H1207" s="861"/>
      <c r="I1207" s="859"/>
      <c r="J1207" s="859"/>
      <c r="K1207" s="862"/>
      <c r="L1207" s="859"/>
      <c r="M1207" s="859"/>
      <c r="N1207" s="859"/>
      <c r="P1207" s="859"/>
    </row>
    <row r="1208" spans="1:16">
      <c r="C1208" s="859"/>
      <c r="D1208" s="859"/>
      <c r="E1208" s="859"/>
      <c r="F1208" s="859"/>
      <c r="G1208" s="859"/>
      <c r="H1208" s="861"/>
      <c r="I1208" s="859"/>
      <c r="J1208" s="859"/>
      <c r="K1208" s="862"/>
      <c r="L1208" s="859"/>
      <c r="M1208" s="859"/>
      <c r="N1208" s="859"/>
      <c r="P1208" s="859"/>
    </row>
    <row r="1209" spans="1:16">
      <c r="C1209" s="859"/>
      <c r="D1209" s="859"/>
      <c r="E1209" s="859"/>
      <c r="F1209" s="859"/>
      <c r="G1209" s="859"/>
      <c r="H1209" s="861"/>
      <c r="I1209" s="859"/>
      <c r="J1209" s="859"/>
      <c r="K1209" s="862"/>
      <c r="L1209" s="859"/>
      <c r="M1209" s="859"/>
      <c r="N1209" s="859"/>
      <c r="P1209" s="859"/>
    </row>
    <row r="1210" spans="1:16">
      <c r="C1210" s="859"/>
      <c r="D1210" s="859"/>
      <c r="E1210" s="859"/>
      <c r="F1210" s="859"/>
      <c r="G1210" s="859"/>
      <c r="H1210" s="861"/>
      <c r="I1210" s="859"/>
      <c r="J1210" s="859"/>
      <c r="K1210" s="862"/>
      <c r="L1210" s="859"/>
      <c r="M1210" s="859"/>
      <c r="N1210" s="859"/>
      <c r="P1210" s="859"/>
    </row>
    <row r="1211" spans="1:16">
      <c r="C1211" s="859"/>
      <c r="D1211" s="859"/>
      <c r="E1211" s="859"/>
      <c r="F1211" s="859"/>
      <c r="G1211" s="859"/>
      <c r="H1211" s="861"/>
      <c r="I1211" s="859"/>
      <c r="J1211" s="859"/>
      <c r="K1211" s="862"/>
      <c r="L1211" s="859"/>
      <c r="M1211" s="859"/>
      <c r="N1211" s="859"/>
      <c r="P1211" s="859"/>
    </row>
    <row r="1212" spans="1:16">
      <c r="C1212" s="859"/>
      <c r="D1212" s="859"/>
      <c r="E1212" s="859"/>
      <c r="F1212" s="859"/>
      <c r="G1212" s="859"/>
      <c r="H1212" s="861"/>
      <c r="I1212" s="859"/>
      <c r="J1212" s="859"/>
      <c r="K1212" s="862"/>
      <c r="L1212" s="859"/>
      <c r="M1212" s="859"/>
      <c r="N1212" s="859"/>
      <c r="P1212" s="859"/>
    </row>
    <row r="1213" spans="1:16">
      <c r="C1213" s="859"/>
      <c r="D1213" s="859"/>
      <c r="E1213" s="859"/>
      <c r="F1213" s="859"/>
      <c r="G1213" s="859"/>
      <c r="H1213" s="861"/>
      <c r="I1213" s="859"/>
      <c r="J1213" s="859"/>
      <c r="K1213" s="862"/>
      <c r="L1213" s="859"/>
      <c r="M1213" s="859"/>
      <c r="N1213" s="859"/>
      <c r="P1213" s="859"/>
    </row>
    <row r="1214" spans="1:16">
      <c r="C1214" s="859"/>
      <c r="D1214" s="859"/>
      <c r="E1214" s="859"/>
      <c r="F1214" s="859"/>
      <c r="G1214" s="859"/>
      <c r="H1214" s="861"/>
      <c r="I1214" s="859"/>
      <c r="J1214" s="859"/>
      <c r="K1214" s="862"/>
      <c r="L1214" s="859"/>
      <c r="M1214" s="859"/>
      <c r="N1214" s="859"/>
      <c r="P1214" s="859"/>
    </row>
    <row r="1215" spans="1:16">
      <c r="C1215" s="859"/>
      <c r="D1215" s="859"/>
      <c r="E1215" s="859"/>
      <c r="F1215" s="859"/>
      <c r="G1215" s="859"/>
      <c r="H1215" s="861"/>
      <c r="I1215" s="859"/>
      <c r="J1215" s="859"/>
      <c r="K1215" s="862"/>
      <c r="L1215" s="859"/>
      <c r="M1215" s="859"/>
      <c r="N1215" s="859"/>
      <c r="P1215" s="859"/>
    </row>
    <row r="1216" spans="1:16">
      <c r="C1216" s="859"/>
      <c r="D1216" s="859"/>
      <c r="E1216" s="859"/>
      <c r="F1216" s="859"/>
      <c r="G1216" s="859"/>
      <c r="H1216" s="861"/>
      <c r="I1216" s="859"/>
      <c r="J1216" s="859"/>
      <c r="K1216" s="862"/>
      <c r="L1216" s="859"/>
      <c r="M1216" s="859"/>
      <c r="N1216" s="859"/>
      <c r="P1216" s="859"/>
    </row>
    <row r="1217" spans="3:16">
      <c r="C1217" s="859"/>
      <c r="D1217" s="859"/>
      <c r="E1217" s="859"/>
      <c r="F1217" s="859"/>
      <c r="G1217" s="859"/>
      <c r="H1217" s="861"/>
      <c r="I1217" s="859"/>
      <c r="J1217" s="859"/>
      <c r="K1217" s="862"/>
      <c r="L1217" s="859"/>
      <c r="M1217" s="859"/>
      <c r="N1217" s="859"/>
      <c r="P1217" s="859"/>
    </row>
    <row r="1218" spans="3:16">
      <c r="C1218" s="859"/>
      <c r="D1218" s="859"/>
      <c r="E1218" s="859"/>
      <c r="F1218" s="859"/>
      <c r="G1218" s="859"/>
      <c r="H1218" s="861"/>
      <c r="I1218" s="859"/>
      <c r="J1218" s="859"/>
      <c r="K1218" s="862"/>
      <c r="L1218" s="859"/>
      <c r="M1218" s="859"/>
      <c r="N1218" s="859"/>
      <c r="P1218" s="859"/>
    </row>
    <row r="1219" spans="3:16">
      <c r="C1219" s="859"/>
      <c r="D1219" s="859"/>
      <c r="E1219" s="859"/>
      <c r="F1219" s="859"/>
      <c r="G1219" s="859"/>
      <c r="H1219" s="861"/>
      <c r="I1219" s="859"/>
      <c r="J1219" s="859"/>
      <c r="K1219" s="862"/>
      <c r="L1219" s="859"/>
      <c r="M1219" s="859"/>
      <c r="N1219" s="859"/>
      <c r="P1219" s="859"/>
    </row>
    <row r="1220" spans="3:16">
      <c r="C1220" s="859"/>
      <c r="D1220" s="859"/>
      <c r="E1220" s="859"/>
      <c r="F1220" s="859"/>
      <c r="G1220" s="859"/>
      <c r="H1220" s="861"/>
      <c r="I1220" s="859"/>
      <c r="J1220" s="859"/>
      <c r="K1220" s="862"/>
      <c r="L1220" s="859"/>
      <c r="M1220" s="859"/>
      <c r="N1220" s="859"/>
      <c r="P1220" s="859"/>
    </row>
    <row r="1221" spans="3:16">
      <c r="C1221" s="859"/>
      <c r="D1221" s="859"/>
      <c r="E1221" s="859"/>
      <c r="F1221" s="859"/>
      <c r="G1221" s="859"/>
      <c r="H1221" s="861"/>
      <c r="I1221" s="859"/>
      <c r="J1221" s="859"/>
      <c r="K1221" s="862"/>
      <c r="L1221" s="859"/>
      <c r="M1221" s="859"/>
      <c r="N1221" s="859"/>
      <c r="P1221" s="859"/>
    </row>
    <row r="1222" spans="3:16">
      <c r="C1222" s="859"/>
      <c r="D1222" s="859"/>
      <c r="E1222" s="859"/>
      <c r="F1222" s="859"/>
      <c r="G1222" s="859"/>
      <c r="H1222" s="861"/>
      <c r="I1222" s="859"/>
      <c r="J1222" s="859"/>
      <c r="K1222" s="862"/>
      <c r="L1222" s="859"/>
      <c r="M1222" s="859"/>
      <c r="N1222" s="859"/>
      <c r="P1222" s="859"/>
    </row>
    <row r="1223" spans="3:16">
      <c r="C1223" s="859"/>
      <c r="D1223" s="859"/>
      <c r="E1223" s="859"/>
      <c r="F1223" s="859"/>
      <c r="G1223" s="859"/>
      <c r="H1223" s="861"/>
      <c r="I1223" s="859"/>
      <c r="J1223" s="859"/>
      <c r="K1223" s="862"/>
      <c r="L1223" s="859"/>
      <c r="M1223" s="859"/>
      <c r="N1223" s="859"/>
      <c r="P1223" s="859"/>
    </row>
    <row r="1224" spans="3:16">
      <c r="C1224" s="859"/>
      <c r="D1224" s="859"/>
      <c r="E1224" s="859"/>
      <c r="F1224" s="859"/>
      <c r="G1224" s="859"/>
      <c r="H1224" s="861"/>
      <c r="I1224" s="859"/>
      <c r="J1224" s="859"/>
      <c r="K1224" s="862"/>
      <c r="L1224" s="859"/>
      <c r="M1224" s="859"/>
      <c r="N1224" s="859"/>
      <c r="P1224" s="859"/>
    </row>
    <row r="1225" spans="3:16">
      <c r="C1225" s="859"/>
      <c r="D1225" s="859"/>
      <c r="E1225" s="859"/>
      <c r="F1225" s="859"/>
      <c r="G1225" s="859"/>
      <c r="H1225" s="861"/>
      <c r="I1225" s="859"/>
      <c r="J1225" s="859"/>
      <c r="K1225" s="862"/>
      <c r="L1225" s="859"/>
      <c r="M1225" s="859"/>
      <c r="N1225" s="859"/>
      <c r="P1225" s="859"/>
    </row>
    <row r="1226" spans="3:16">
      <c r="C1226" s="859"/>
      <c r="D1226" s="859"/>
      <c r="E1226" s="859"/>
      <c r="F1226" s="859"/>
      <c r="G1226" s="859"/>
      <c r="H1226" s="861"/>
      <c r="I1226" s="859"/>
      <c r="J1226" s="859"/>
      <c r="K1226" s="862"/>
      <c r="L1226" s="859"/>
      <c r="M1226" s="859"/>
      <c r="N1226" s="859"/>
      <c r="P1226" s="859"/>
    </row>
    <row r="1227" spans="3:16">
      <c r="C1227" s="859"/>
      <c r="D1227" s="859"/>
      <c r="E1227" s="859"/>
      <c r="F1227" s="859"/>
      <c r="G1227" s="859"/>
      <c r="H1227" s="861"/>
      <c r="I1227" s="859"/>
      <c r="J1227" s="859"/>
      <c r="K1227" s="862"/>
      <c r="L1227" s="859"/>
      <c r="M1227" s="859"/>
      <c r="N1227" s="859"/>
      <c r="P1227" s="859"/>
    </row>
  </sheetData>
  <mergeCells count="1166">
    <mergeCell ref="O415:O417"/>
    <mergeCell ref="P406:P408"/>
    <mergeCell ref="P412:P414"/>
    <mergeCell ref="O412:O414"/>
    <mergeCell ref="N412:N414"/>
    <mergeCell ref="O400:O402"/>
    <mergeCell ref="N400:N402"/>
    <mergeCell ref="P347:P348"/>
    <mergeCell ref="P343:P344"/>
    <mergeCell ref="P367:P368"/>
    <mergeCell ref="N351:N352"/>
    <mergeCell ref="M347:M348"/>
    <mergeCell ref="K379:K381"/>
    <mergeCell ref="K382:K384"/>
    <mergeCell ref="K385:K387"/>
    <mergeCell ref="M412:M414"/>
    <mergeCell ref="M406:M408"/>
    <mergeCell ref="K415:K417"/>
    <mergeCell ref="L406:L408"/>
    <mergeCell ref="M385:M387"/>
    <mergeCell ref="N397:N399"/>
    <mergeCell ref="L347:L348"/>
    <mergeCell ref="K363:K364"/>
    <mergeCell ref="K347:K348"/>
    <mergeCell ref="L353:L354"/>
    <mergeCell ref="M353:M354"/>
    <mergeCell ref="K403:K405"/>
    <mergeCell ref="L400:L402"/>
    <mergeCell ref="K406:K408"/>
    <mergeCell ref="K409:K411"/>
    <mergeCell ref="M400:M402"/>
    <mergeCell ref="K394:K396"/>
    <mergeCell ref="H418:H420"/>
    <mergeCell ref="L313:L314"/>
    <mergeCell ref="K177:K179"/>
    <mergeCell ref="P355:P356"/>
    <mergeCell ref="P409:P411"/>
    <mergeCell ref="O409:O411"/>
    <mergeCell ref="P403:P405"/>
    <mergeCell ref="K335:K336"/>
    <mergeCell ref="K205:K206"/>
    <mergeCell ref="O205:O206"/>
    <mergeCell ref="P400:P402"/>
    <mergeCell ref="P323:P324"/>
    <mergeCell ref="N189:N190"/>
    <mergeCell ref="O189:O190"/>
    <mergeCell ref="P189:P190"/>
    <mergeCell ref="O231:O232"/>
    <mergeCell ref="O223:O224"/>
    <mergeCell ref="P397:P399"/>
    <mergeCell ref="P391:P393"/>
    <mergeCell ref="O351:O352"/>
    <mergeCell ref="N355:N356"/>
    <mergeCell ref="K418:K420"/>
    <mergeCell ref="N415:N417"/>
    <mergeCell ref="M415:M417"/>
    <mergeCell ref="L415:L417"/>
    <mergeCell ref="N406:N408"/>
    <mergeCell ref="L388:L390"/>
    <mergeCell ref="M357:M358"/>
    <mergeCell ref="O418:O420"/>
    <mergeCell ref="P333:P334"/>
    <mergeCell ref="P418:P420"/>
    <mergeCell ref="P415:P417"/>
    <mergeCell ref="A1:P2"/>
    <mergeCell ref="A183:A190"/>
    <mergeCell ref="A34:A96"/>
    <mergeCell ref="M397:M399"/>
    <mergeCell ref="L397:L399"/>
    <mergeCell ref="O382:O384"/>
    <mergeCell ref="P382:P384"/>
    <mergeCell ref="P253:P254"/>
    <mergeCell ref="O253:O254"/>
    <mergeCell ref="N253:N254"/>
    <mergeCell ref="P233:P234"/>
    <mergeCell ref="P255:P256"/>
    <mergeCell ref="O257:O258"/>
    <mergeCell ref="M376:M378"/>
    <mergeCell ref="M373:M375"/>
    <mergeCell ref="N373:N375"/>
    <mergeCell ref="H382:H384"/>
    <mergeCell ref="L391:L393"/>
    <mergeCell ref="K376:K378"/>
    <mergeCell ref="B335:B336"/>
    <mergeCell ref="K299:K300"/>
    <mergeCell ref="K303:K304"/>
    <mergeCell ref="N337:N338"/>
    <mergeCell ref="K329:K330"/>
    <mergeCell ref="K311:K312"/>
    <mergeCell ref="B357:B358"/>
    <mergeCell ref="L319:L320"/>
    <mergeCell ref="M303:M304"/>
    <mergeCell ref="L301:L302"/>
    <mergeCell ref="O327:O328"/>
    <mergeCell ref="L327:L328"/>
    <mergeCell ref="K337:K338"/>
    <mergeCell ref="O403:O405"/>
    <mergeCell ref="L373:L375"/>
    <mergeCell ref="L376:L378"/>
    <mergeCell ref="L412:L414"/>
    <mergeCell ref="N339:N340"/>
    <mergeCell ref="O343:O344"/>
    <mergeCell ref="O373:O375"/>
    <mergeCell ref="K397:K399"/>
    <mergeCell ref="H394:H396"/>
    <mergeCell ref="L345:L346"/>
    <mergeCell ref="K412:K414"/>
    <mergeCell ref="O397:O399"/>
    <mergeCell ref="O367:O368"/>
    <mergeCell ref="O406:O408"/>
    <mergeCell ref="M343:M344"/>
    <mergeCell ref="H412:H414"/>
    <mergeCell ref="L394:L396"/>
    <mergeCell ref="M394:M396"/>
    <mergeCell ref="M403:M405"/>
    <mergeCell ref="O394:O396"/>
    <mergeCell ref="K388:K390"/>
    <mergeCell ref="K353:K354"/>
    <mergeCell ref="L363:L364"/>
    <mergeCell ref="M363:M364"/>
    <mergeCell ref="N363:N364"/>
    <mergeCell ref="M355:M356"/>
    <mergeCell ref="N353:N354"/>
    <mergeCell ref="M345:M346"/>
    <mergeCell ref="O391:O393"/>
    <mergeCell ref="N376:N378"/>
    <mergeCell ref="K373:K375"/>
    <mergeCell ref="O355:O356"/>
    <mergeCell ref="H415:H417"/>
    <mergeCell ref="L382:L384"/>
    <mergeCell ref="M382:M384"/>
    <mergeCell ref="H397:H399"/>
    <mergeCell ref="H400:H402"/>
    <mergeCell ref="M388:M390"/>
    <mergeCell ref="L385:L387"/>
    <mergeCell ref="H379:H381"/>
    <mergeCell ref="H403:H405"/>
    <mergeCell ref="N403:N405"/>
    <mergeCell ref="L409:L411"/>
    <mergeCell ref="K367:K368"/>
    <mergeCell ref="H406:H408"/>
    <mergeCell ref="H373:H375"/>
    <mergeCell ref="H376:H378"/>
    <mergeCell ref="N409:N411"/>
    <mergeCell ref="M409:M411"/>
    <mergeCell ref="L403:L405"/>
    <mergeCell ref="H385:H387"/>
    <mergeCell ref="H388:H390"/>
    <mergeCell ref="K400:K402"/>
    <mergeCell ref="H409:H411"/>
    <mergeCell ref="H391:H393"/>
    <mergeCell ref="M391:M393"/>
    <mergeCell ref="N391:N393"/>
    <mergeCell ref="N388:N390"/>
    <mergeCell ref="N382:N384"/>
    <mergeCell ref="N394:N396"/>
    <mergeCell ref="O388:O390"/>
    <mergeCell ref="N343:N344"/>
    <mergeCell ref="L357:L358"/>
    <mergeCell ref="N385:N387"/>
    <mergeCell ref="O385:O387"/>
    <mergeCell ref="O329:O330"/>
    <mergeCell ref="M339:M340"/>
    <mergeCell ref="O353:O354"/>
    <mergeCell ref="K391:K393"/>
    <mergeCell ref="B351:B352"/>
    <mergeCell ref="K351:K352"/>
    <mergeCell ref="K343:K344"/>
    <mergeCell ref="B361:B362"/>
    <mergeCell ref="B355:B356"/>
    <mergeCell ref="B345:B346"/>
    <mergeCell ref="B325:B326"/>
    <mergeCell ref="N331:N332"/>
    <mergeCell ref="O365:O366"/>
    <mergeCell ref="N365:N366"/>
    <mergeCell ref="O319:O320"/>
    <mergeCell ref="M313:M314"/>
    <mergeCell ref="K359:K360"/>
    <mergeCell ref="K319:K320"/>
    <mergeCell ref="P394:P396"/>
    <mergeCell ref="P388:P390"/>
    <mergeCell ref="P385:P387"/>
    <mergeCell ref="P331:P332"/>
    <mergeCell ref="O331:O332"/>
    <mergeCell ref="K293:K294"/>
    <mergeCell ref="N267:N268"/>
    <mergeCell ref="B353:B354"/>
    <mergeCell ref="N321:N322"/>
    <mergeCell ref="M323:M324"/>
    <mergeCell ref="L325:L326"/>
    <mergeCell ref="N327:N328"/>
    <mergeCell ref="N359:N360"/>
    <mergeCell ref="L337:L338"/>
    <mergeCell ref="O315:O316"/>
    <mergeCell ref="P321:P322"/>
    <mergeCell ref="O297:O298"/>
    <mergeCell ref="O376:O378"/>
    <mergeCell ref="P376:P378"/>
    <mergeCell ref="L379:L381"/>
    <mergeCell ref="M379:M381"/>
    <mergeCell ref="N379:N381"/>
    <mergeCell ref="O379:O381"/>
    <mergeCell ref="P379:P381"/>
    <mergeCell ref="P353:P354"/>
    <mergeCell ref="P319:P320"/>
    <mergeCell ref="P373:P375"/>
    <mergeCell ref="P291:P292"/>
    <mergeCell ref="B319:B320"/>
    <mergeCell ref="B307:B308"/>
    <mergeCell ref="N305:N306"/>
    <mergeCell ref="K345:K346"/>
    <mergeCell ref="L339:L340"/>
    <mergeCell ref="L329:L330"/>
    <mergeCell ref="K327:K328"/>
    <mergeCell ref="B321:B322"/>
    <mergeCell ref="B331:B332"/>
    <mergeCell ref="L331:L332"/>
    <mergeCell ref="L335:L336"/>
    <mergeCell ref="M263:M264"/>
    <mergeCell ref="L359:L360"/>
    <mergeCell ref="N357:N358"/>
    <mergeCell ref="M359:M360"/>
    <mergeCell ref="M335:M336"/>
    <mergeCell ref="N329:N330"/>
    <mergeCell ref="L281:L282"/>
    <mergeCell ref="N311:N312"/>
    <mergeCell ref="N345:N346"/>
    <mergeCell ref="N325:N326"/>
    <mergeCell ref="L283:L284"/>
    <mergeCell ref="P335:P336"/>
    <mergeCell ref="P265:P266"/>
    <mergeCell ref="P325:P326"/>
    <mergeCell ref="M309:M310"/>
    <mergeCell ref="M311:M312"/>
    <mergeCell ref="P351:P352"/>
    <mergeCell ref="N347:N348"/>
    <mergeCell ref="L355:L356"/>
    <mergeCell ref="P357:P358"/>
    <mergeCell ref="P327:P328"/>
    <mergeCell ref="B285:B286"/>
    <mergeCell ref="B367:B368"/>
    <mergeCell ref="G373:G420"/>
    <mergeCell ref="L418:L420"/>
    <mergeCell ref="M418:M420"/>
    <mergeCell ref="N418:N420"/>
    <mergeCell ref="I371:J371"/>
    <mergeCell ref="K355:K356"/>
    <mergeCell ref="K361:K362"/>
    <mergeCell ref="K339:K340"/>
    <mergeCell ref="K285:K286"/>
    <mergeCell ref="L303:L304"/>
    <mergeCell ref="L365:L366"/>
    <mergeCell ref="M365:M366"/>
    <mergeCell ref="L361:L362"/>
    <mergeCell ref="M361:M362"/>
    <mergeCell ref="M351:M352"/>
    <mergeCell ref="L351:L352"/>
    <mergeCell ref="B347:B348"/>
    <mergeCell ref="K371:P371"/>
    <mergeCell ref="B339:B340"/>
    <mergeCell ref="B317:B318"/>
    <mergeCell ref="P365:P366"/>
    <mergeCell ref="O357:O358"/>
    <mergeCell ref="P345:P346"/>
    <mergeCell ref="M337:M338"/>
    <mergeCell ref="M321:M322"/>
    <mergeCell ref="M331:M332"/>
    <mergeCell ref="O363:O364"/>
    <mergeCell ref="O337:O338"/>
    <mergeCell ref="O361:O362"/>
    <mergeCell ref="N361:N362"/>
    <mergeCell ref="O333:O334"/>
    <mergeCell ref="O359:O360"/>
    <mergeCell ref="P249:P250"/>
    <mergeCell ref="L217:L218"/>
    <mergeCell ref="P313:P314"/>
    <mergeCell ref="O295:O296"/>
    <mergeCell ref="P285:P286"/>
    <mergeCell ref="P317:P318"/>
    <mergeCell ref="L255:L256"/>
    <mergeCell ref="L247:L248"/>
    <mergeCell ref="O321:O322"/>
    <mergeCell ref="P281:P282"/>
    <mergeCell ref="P245:P246"/>
    <mergeCell ref="O255:O256"/>
    <mergeCell ref="P299:P300"/>
    <mergeCell ref="O301:O302"/>
    <mergeCell ref="P301:P302"/>
    <mergeCell ref="O309:O310"/>
    <mergeCell ref="O259:O260"/>
    <mergeCell ref="O293:O294"/>
    <mergeCell ref="P231:P232"/>
    <mergeCell ref="P267:P268"/>
    <mergeCell ref="P287:P288"/>
    <mergeCell ref="O267:O268"/>
    <mergeCell ref="M283:M284"/>
    <mergeCell ref="P271:P272"/>
    <mergeCell ref="P315:P316"/>
    <mergeCell ref="O311:O312"/>
    <mergeCell ref="P295:P296"/>
    <mergeCell ref="P293:P294"/>
    <mergeCell ref="L309:L310"/>
    <mergeCell ref="O313:O314"/>
    <mergeCell ref="K150:K152"/>
    <mergeCell ref="K117:K119"/>
    <mergeCell ref="K126:K128"/>
    <mergeCell ref="M144:M146"/>
    <mergeCell ref="M177:M179"/>
    <mergeCell ref="N174:N176"/>
    <mergeCell ref="L199:L200"/>
    <mergeCell ref="M211:M212"/>
    <mergeCell ref="L207:L208"/>
    <mergeCell ref="L273:L274"/>
    <mergeCell ref="N235:N236"/>
    <mergeCell ref="O217:O218"/>
    <mergeCell ref="O245:O246"/>
    <mergeCell ref="P279:P280"/>
    <mergeCell ref="O305:O306"/>
    <mergeCell ref="N257:N258"/>
    <mergeCell ref="P277:P278"/>
    <mergeCell ref="K209:K210"/>
    <mergeCell ref="N201:N202"/>
    <mergeCell ref="O197:O198"/>
    <mergeCell ref="P257:P258"/>
    <mergeCell ref="P263:P264"/>
    <mergeCell ref="P297:P298"/>
    <mergeCell ref="K277:K278"/>
    <mergeCell ref="K281:K282"/>
    <mergeCell ref="K287:K288"/>
    <mergeCell ref="K275:K276"/>
    <mergeCell ref="P203:P204"/>
    <mergeCell ref="N209:N210"/>
    <mergeCell ref="N271:N272"/>
    <mergeCell ref="M227:M228"/>
    <mergeCell ref="M279:M280"/>
    <mergeCell ref="K156:K158"/>
    <mergeCell ref="O347:O348"/>
    <mergeCell ref="O345:O346"/>
    <mergeCell ref="L162:L164"/>
    <mergeCell ref="B237:B238"/>
    <mergeCell ref="B239:B240"/>
    <mergeCell ref="B287:B288"/>
    <mergeCell ref="B313:B314"/>
    <mergeCell ref="M327:M328"/>
    <mergeCell ref="B279:B280"/>
    <mergeCell ref="B277:B278"/>
    <mergeCell ref="B265:B266"/>
    <mergeCell ref="N315:N316"/>
    <mergeCell ref="M293:M294"/>
    <mergeCell ref="B281:B282"/>
    <mergeCell ref="L323:L324"/>
    <mergeCell ref="B327:B328"/>
    <mergeCell ref="B329:B330"/>
    <mergeCell ref="P251:P252"/>
    <mergeCell ref="P259:P260"/>
    <mergeCell ref="P223:P224"/>
    <mergeCell ref="P269:P270"/>
    <mergeCell ref="K141:K143"/>
    <mergeCell ref="M233:M234"/>
    <mergeCell ref="L233:L234"/>
    <mergeCell ref="N197:N198"/>
    <mergeCell ref="N132:N134"/>
    <mergeCell ref="K203:K204"/>
    <mergeCell ref="L235:L236"/>
    <mergeCell ref="K247:K248"/>
    <mergeCell ref="N144:N146"/>
    <mergeCell ref="K153:K155"/>
    <mergeCell ref="N168:N170"/>
    <mergeCell ref="K189:K190"/>
    <mergeCell ref="L189:L190"/>
    <mergeCell ref="M189:M190"/>
    <mergeCell ref="M147:M149"/>
    <mergeCell ref="M150:M152"/>
    <mergeCell ref="M156:M158"/>
    <mergeCell ref="L153:L155"/>
    <mergeCell ref="N156:N158"/>
    <mergeCell ref="M174:M176"/>
    <mergeCell ref="K171:K173"/>
    <mergeCell ref="L171:L173"/>
    <mergeCell ref="N215:N216"/>
    <mergeCell ref="K201:K202"/>
    <mergeCell ref="L177:L179"/>
    <mergeCell ref="L185:L186"/>
    <mergeCell ref="M185:M186"/>
    <mergeCell ref="L223:L224"/>
    <mergeCell ref="M223:M224"/>
    <mergeCell ref="N231:N232"/>
    <mergeCell ref="M209:M210"/>
    <mergeCell ref="K231:K232"/>
    <mergeCell ref="A351:A368"/>
    <mergeCell ref="L367:L368"/>
    <mergeCell ref="M367:M368"/>
    <mergeCell ref="N367:N368"/>
    <mergeCell ref="B365:B366"/>
    <mergeCell ref="L159:L161"/>
    <mergeCell ref="L333:L334"/>
    <mergeCell ref="M165:M167"/>
    <mergeCell ref="K245:K246"/>
    <mergeCell ref="K271:K272"/>
    <mergeCell ref="K283:K284"/>
    <mergeCell ref="K265:K266"/>
    <mergeCell ref="B193:B194"/>
    <mergeCell ref="B207:B208"/>
    <mergeCell ref="B303:B304"/>
    <mergeCell ref="B337:B338"/>
    <mergeCell ref="B363:B364"/>
    <mergeCell ref="L343:L344"/>
    <mergeCell ref="K162:K164"/>
    <mergeCell ref="K213:K214"/>
    <mergeCell ref="M215:M216"/>
    <mergeCell ref="K174:K176"/>
    <mergeCell ref="K183:K184"/>
    <mergeCell ref="K233:K234"/>
    <mergeCell ref="K159:K161"/>
    <mergeCell ref="K165:K167"/>
    <mergeCell ref="N309:N310"/>
    <mergeCell ref="M249:M250"/>
    <mergeCell ref="N299:N300"/>
    <mergeCell ref="N295:N296"/>
    <mergeCell ref="K365:K366"/>
    <mergeCell ref="B359:B360"/>
    <mergeCell ref="M108:M110"/>
    <mergeCell ref="P243:P244"/>
    <mergeCell ref="N233:N234"/>
    <mergeCell ref="P201:P202"/>
    <mergeCell ref="P162:P164"/>
    <mergeCell ref="P147:P149"/>
    <mergeCell ref="P117:P119"/>
    <mergeCell ref="P108:P110"/>
    <mergeCell ref="N114:N116"/>
    <mergeCell ref="N193:N194"/>
    <mergeCell ref="P205:P206"/>
    <mergeCell ref="P363:P364"/>
    <mergeCell ref="P361:P362"/>
    <mergeCell ref="P227:P228"/>
    <mergeCell ref="L305:L306"/>
    <mergeCell ref="M305:M306"/>
    <mergeCell ref="L315:L316"/>
    <mergeCell ref="P337:P338"/>
    <mergeCell ref="P339:P340"/>
    <mergeCell ref="P329:P330"/>
    <mergeCell ref="L209:L210"/>
    <mergeCell ref="L277:L278"/>
    <mergeCell ref="N301:N302"/>
    <mergeCell ref="N333:N334"/>
    <mergeCell ref="P283:P284"/>
    <mergeCell ref="O335:O336"/>
    <mergeCell ref="M333:M334"/>
    <mergeCell ref="N335:N336"/>
    <mergeCell ref="P359:P360"/>
    <mergeCell ref="P229:P230"/>
    <mergeCell ref="O287:O288"/>
    <mergeCell ref="P241:P242"/>
    <mergeCell ref="L117:L119"/>
    <mergeCell ref="M117:M119"/>
    <mergeCell ref="O227:O228"/>
    <mergeCell ref="L132:L134"/>
    <mergeCell ref="L138:L140"/>
    <mergeCell ref="M162:M164"/>
    <mergeCell ref="L135:L137"/>
    <mergeCell ref="M129:M131"/>
    <mergeCell ref="M259:M260"/>
    <mergeCell ref="N251:N252"/>
    <mergeCell ref="N243:N244"/>
    <mergeCell ref="M253:M254"/>
    <mergeCell ref="L165:L167"/>
    <mergeCell ref="N153:N155"/>
    <mergeCell ref="L111:L113"/>
    <mergeCell ref="M219:M220"/>
    <mergeCell ref="L215:L216"/>
    <mergeCell ref="M243:M244"/>
    <mergeCell ref="L249:L250"/>
    <mergeCell ref="O235:O236"/>
    <mergeCell ref="O247:O248"/>
    <mergeCell ref="O243:O244"/>
    <mergeCell ref="M120:M122"/>
    <mergeCell ref="M203:M204"/>
    <mergeCell ref="N247:N248"/>
    <mergeCell ref="O153:O155"/>
    <mergeCell ref="N162:N164"/>
    <mergeCell ref="M168:M170"/>
    <mergeCell ref="O209:O210"/>
    <mergeCell ref="L201:L202"/>
    <mergeCell ref="N225:N226"/>
    <mergeCell ref="N227:N228"/>
    <mergeCell ref="O82:O84"/>
    <mergeCell ref="N94:N96"/>
    <mergeCell ref="O94:O96"/>
    <mergeCell ref="O99:O101"/>
    <mergeCell ref="M99:M101"/>
    <mergeCell ref="O249:O250"/>
    <mergeCell ref="O225:O226"/>
    <mergeCell ref="M111:M113"/>
    <mergeCell ref="N111:N113"/>
    <mergeCell ref="L141:L143"/>
    <mergeCell ref="L144:L146"/>
    <mergeCell ref="O141:O143"/>
    <mergeCell ref="O162:O164"/>
    <mergeCell ref="N102:N104"/>
    <mergeCell ref="O168:O170"/>
    <mergeCell ref="N88:N90"/>
    <mergeCell ref="O229:O230"/>
    <mergeCell ref="N237:N238"/>
    <mergeCell ref="O237:O238"/>
    <mergeCell ref="M153:M155"/>
    <mergeCell ref="O105:O107"/>
    <mergeCell ref="O126:O128"/>
    <mergeCell ref="O215:O216"/>
    <mergeCell ref="N105:N107"/>
    <mergeCell ref="L114:L116"/>
    <mergeCell ref="O165:O167"/>
    <mergeCell ref="N129:N131"/>
    <mergeCell ref="N138:N140"/>
    <mergeCell ref="L126:L128"/>
    <mergeCell ref="N126:N128"/>
    <mergeCell ref="L195:L196"/>
    <mergeCell ref="N108:N110"/>
    <mergeCell ref="P94:P96"/>
    <mergeCell ref="P197:P198"/>
    <mergeCell ref="P111:P113"/>
    <mergeCell ref="O156:O158"/>
    <mergeCell ref="N147:N149"/>
    <mergeCell ref="P129:P131"/>
    <mergeCell ref="O117:O119"/>
    <mergeCell ref="N123:N125"/>
    <mergeCell ref="P193:P194"/>
    <mergeCell ref="P195:P196"/>
    <mergeCell ref="P187:P188"/>
    <mergeCell ref="P171:P173"/>
    <mergeCell ref="N183:N184"/>
    <mergeCell ref="P183:P184"/>
    <mergeCell ref="P144:P146"/>
    <mergeCell ref="P123:P125"/>
    <mergeCell ref="O150:O152"/>
    <mergeCell ref="O135:O137"/>
    <mergeCell ref="N99:N101"/>
    <mergeCell ref="O114:O116"/>
    <mergeCell ref="N120:N122"/>
    <mergeCell ref="O174:O176"/>
    <mergeCell ref="N177:N179"/>
    <mergeCell ref="O177:O179"/>
    <mergeCell ref="P177:P179"/>
    <mergeCell ref="P174:P176"/>
    <mergeCell ref="N159:N161"/>
    <mergeCell ref="O159:O161"/>
    <mergeCell ref="N150:N152"/>
    <mergeCell ref="O144:O146"/>
    <mergeCell ref="P153:P155"/>
    <mergeCell ref="P114:P116"/>
    <mergeCell ref="P150:P152"/>
    <mergeCell ref="P156:P158"/>
    <mergeCell ref="P102:P104"/>
    <mergeCell ref="N117:N119"/>
    <mergeCell ref="P120:P122"/>
    <mergeCell ref="O203:O204"/>
    <mergeCell ref="O111:O113"/>
    <mergeCell ref="P135:P137"/>
    <mergeCell ref="P159:P161"/>
    <mergeCell ref="P165:P167"/>
    <mergeCell ref="O187:O188"/>
    <mergeCell ref="P199:P200"/>
    <mergeCell ref="O199:O200"/>
    <mergeCell ref="N217:N218"/>
    <mergeCell ref="O219:O220"/>
    <mergeCell ref="P207:P208"/>
    <mergeCell ref="P99:P101"/>
    <mergeCell ref="P141:P143"/>
    <mergeCell ref="P132:P134"/>
    <mergeCell ref="N141:N143"/>
    <mergeCell ref="N203:N204"/>
    <mergeCell ref="P215:P216"/>
    <mergeCell ref="P209:P210"/>
    <mergeCell ref="N171:N173"/>
    <mergeCell ref="O171:O173"/>
    <mergeCell ref="N165:N167"/>
    <mergeCell ref="P213:P214"/>
    <mergeCell ref="O201:O202"/>
    <mergeCell ref="P14:P15"/>
    <mergeCell ref="P85:P87"/>
    <mergeCell ref="P52:P54"/>
    <mergeCell ref="P16:P17"/>
    <mergeCell ref="N85:N87"/>
    <mergeCell ref="P311:P312"/>
    <mergeCell ref="N313:N314"/>
    <mergeCell ref="K91:K93"/>
    <mergeCell ref="K102:K104"/>
    <mergeCell ref="L94:L96"/>
    <mergeCell ref="M102:M104"/>
    <mergeCell ref="K253:K254"/>
    <mergeCell ref="M247:M248"/>
    <mergeCell ref="M132:M134"/>
    <mergeCell ref="N273:N274"/>
    <mergeCell ref="M265:M266"/>
    <mergeCell ref="N269:N270"/>
    <mergeCell ref="M231:M232"/>
    <mergeCell ref="N297:N298"/>
    <mergeCell ref="N291:N292"/>
    <mergeCell ref="P309:P310"/>
    <mergeCell ref="O303:O304"/>
    <mergeCell ref="P303:P304"/>
    <mergeCell ref="O120:O122"/>
    <mergeCell ref="N199:N200"/>
    <mergeCell ref="P307:P308"/>
    <mergeCell ref="O239:O240"/>
    <mergeCell ref="P239:P240"/>
    <mergeCell ref="P168:P170"/>
    <mergeCell ref="P82:P84"/>
    <mergeCell ref="L79:L81"/>
    <mergeCell ref="M37:M39"/>
    <mergeCell ref="L30:L31"/>
    <mergeCell ref="M30:M31"/>
    <mergeCell ref="P34:P36"/>
    <mergeCell ref="N79:N81"/>
    <mergeCell ref="O79:O81"/>
    <mergeCell ref="K16:K17"/>
    <mergeCell ref="K14:K15"/>
    <mergeCell ref="L49:L51"/>
    <mergeCell ref="M82:M84"/>
    <mergeCell ref="M73:M75"/>
    <mergeCell ref="O193:O194"/>
    <mergeCell ref="K88:K90"/>
    <mergeCell ref="P79:P81"/>
    <mergeCell ref="B205:B206"/>
    <mergeCell ref="B197:B198"/>
    <mergeCell ref="B199:B200"/>
    <mergeCell ref="N187:N188"/>
    <mergeCell ref="B183:B184"/>
    <mergeCell ref="B185:B186"/>
    <mergeCell ref="B187:B188"/>
    <mergeCell ref="O76:O78"/>
    <mergeCell ref="K111:K113"/>
    <mergeCell ref="O73:O75"/>
    <mergeCell ref="N82:N84"/>
    <mergeCell ref="L120:L122"/>
    <mergeCell ref="O185:O186"/>
    <mergeCell ref="P185:P186"/>
    <mergeCell ref="N185:N186"/>
    <mergeCell ref="O183:O184"/>
    <mergeCell ref="O34:O36"/>
    <mergeCell ref="N30:N31"/>
    <mergeCell ref="O30:O31"/>
    <mergeCell ref="M34:M36"/>
    <mergeCell ref="L16:L17"/>
    <mergeCell ref="M16:M17"/>
    <mergeCell ref="N64:N66"/>
    <mergeCell ref="O64:O66"/>
    <mergeCell ref="L61:L63"/>
    <mergeCell ref="M49:M51"/>
    <mergeCell ref="M58:M60"/>
    <mergeCell ref="O55:O57"/>
    <mergeCell ref="L28:L29"/>
    <mergeCell ref="M28:M29"/>
    <mergeCell ref="N16:N17"/>
    <mergeCell ref="M18:M19"/>
    <mergeCell ref="L20:L21"/>
    <mergeCell ref="M20:M21"/>
    <mergeCell ref="N34:N36"/>
    <mergeCell ref="P138:P140"/>
    <mergeCell ref="O132:O134"/>
    <mergeCell ref="N135:N137"/>
    <mergeCell ref="O24:O25"/>
    <mergeCell ref="P24:P25"/>
    <mergeCell ref="P88:P90"/>
    <mergeCell ref="O88:O90"/>
    <mergeCell ref="L102:L104"/>
    <mergeCell ref="L105:L107"/>
    <mergeCell ref="P105:P107"/>
    <mergeCell ref="N52:N54"/>
    <mergeCell ref="O52:O54"/>
    <mergeCell ref="M52:M54"/>
    <mergeCell ref="L55:L57"/>
    <mergeCell ref="M55:M57"/>
    <mergeCell ref="L58:L60"/>
    <mergeCell ref="K20:K21"/>
    <mergeCell ref="N20:N21"/>
    <mergeCell ref="P20:P21"/>
    <mergeCell ref="O18:O19"/>
    <mergeCell ref="P18:P19"/>
    <mergeCell ref="K18:K19"/>
    <mergeCell ref="L14:L15"/>
    <mergeCell ref="M14:M15"/>
    <mergeCell ref="K55:K57"/>
    <mergeCell ref="O37:O39"/>
    <mergeCell ref="N37:N39"/>
    <mergeCell ref="L37:L39"/>
    <mergeCell ref="K30:K31"/>
    <mergeCell ref="K37:K39"/>
    <mergeCell ref="O85:O87"/>
    <mergeCell ref="P55:P57"/>
    <mergeCell ref="O58:O60"/>
    <mergeCell ref="N70:N72"/>
    <mergeCell ref="O70:O72"/>
    <mergeCell ref="K34:K36"/>
    <mergeCell ref="O14:O15"/>
    <mergeCell ref="N28:N29"/>
    <mergeCell ref="L40:L42"/>
    <mergeCell ref="O43:O45"/>
    <mergeCell ref="O20:O21"/>
    <mergeCell ref="N22:N23"/>
    <mergeCell ref="O22:O23"/>
    <mergeCell ref="L18:L19"/>
    <mergeCell ref="N14:N15"/>
    <mergeCell ref="P22:P23"/>
    <mergeCell ref="K24:K25"/>
    <mergeCell ref="N24:N25"/>
    <mergeCell ref="K22:K23"/>
    <mergeCell ref="L24:L25"/>
    <mergeCell ref="M24:M25"/>
    <mergeCell ref="P30:P31"/>
    <mergeCell ref="P26:P27"/>
    <mergeCell ref="P28:P29"/>
    <mergeCell ref="N26:N27"/>
    <mergeCell ref="O26:O27"/>
    <mergeCell ref="O28:O29"/>
    <mergeCell ref="M22:M23"/>
    <mergeCell ref="M26:M27"/>
    <mergeCell ref="K26:K27"/>
    <mergeCell ref="L70:L72"/>
    <mergeCell ref="M70:M72"/>
    <mergeCell ref="L26:L27"/>
    <mergeCell ref="P37:P39"/>
    <mergeCell ref="K28:K29"/>
    <mergeCell ref="L22:L23"/>
    <mergeCell ref="K49:K51"/>
    <mergeCell ref="P49:P51"/>
    <mergeCell ref="N40:N42"/>
    <mergeCell ref="K58:K60"/>
    <mergeCell ref="K64:K66"/>
    <mergeCell ref="M43:M45"/>
    <mergeCell ref="L46:L48"/>
    <mergeCell ref="M46:M48"/>
    <mergeCell ref="K61:K63"/>
    <mergeCell ref="M67:M69"/>
    <mergeCell ref="N61:N63"/>
    <mergeCell ref="O61:O63"/>
    <mergeCell ref="M64:M66"/>
    <mergeCell ref="L67:L69"/>
    <mergeCell ref="E4:G4"/>
    <mergeCell ref="K4:P4"/>
    <mergeCell ref="K6:K7"/>
    <mergeCell ref="N6:N7"/>
    <mergeCell ref="O6:O7"/>
    <mergeCell ref="P6:P7"/>
    <mergeCell ref="H4:J4"/>
    <mergeCell ref="L6:L7"/>
    <mergeCell ref="M6:M7"/>
    <mergeCell ref="K8:K9"/>
    <mergeCell ref="N8:N9"/>
    <mergeCell ref="O8:O9"/>
    <mergeCell ref="P8:P9"/>
    <mergeCell ref="K10:K11"/>
    <mergeCell ref="N10:N11"/>
    <mergeCell ref="O10:O11"/>
    <mergeCell ref="P10:P11"/>
    <mergeCell ref="L8:L9"/>
    <mergeCell ref="M8:M9"/>
    <mergeCell ref="L10:L11"/>
    <mergeCell ref="M10:M11"/>
    <mergeCell ref="L43:L45"/>
    <mergeCell ref="M61:M63"/>
    <mergeCell ref="K67:K69"/>
    <mergeCell ref="L64:L66"/>
    <mergeCell ref="N67:N69"/>
    <mergeCell ref="C4:D4"/>
    <mergeCell ref="K269:K270"/>
    <mergeCell ref="M235:M236"/>
    <mergeCell ref="M271:M272"/>
    <mergeCell ref="M229:M230"/>
    <mergeCell ref="L229:L230"/>
    <mergeCell ref="O16:O17"/>
    <mergeCell ref="N18:N19"/>
    <mergeCell ref="O138:O140"/>
    <mergeCell ref="O147:O149"/>
    <mergeCell ref="O108:O110"/>
    <mergeCell ref="L99:L101"/>
    <mergeCell ref="K76:K78"/>
    <mergeCell ref="N49:N51"/>
    <mergeCell ref="O49:O51"/>
    <mergeCell ref="L123:L125"/>
    <mergeCell ref="M207:M208"/>
    <mergeCell ref="K207:K208"/>
    <mergeCell ref="L52:L54"/>
    <mergeCell ref="M40:M42"/>
    <mergeCell ref="K187:K188"/>
    <mergeCell ref="L85:L87"/>
    <mergeCell ref="M114:M116"/>
    <mergeCell ref="M141:M143"/>
    <mergeCell ref="K215:K216"/>
    <mergeCell ref="O129:O131"/>
    <mergeCell ref="M135:M137"/>
    <mergeCell ref="O67:O69"/>
    <mergeCell ref="O40:O42"/>
    <mergeCell ref="N55:N57"/>
    <mergeCell ref="K40:K42"/>
    <mergeCell ref="L76:L78"/>
    <mergeCell ref="M76:M78"/>
    <mergeCell ref="M88:M90"/>
    <mergeCell ref="K193:K194"/>
    <mergeCell ref="M269:M270"/>
    <mergeCell ref="L150:L152"/>
    <mergeCell ref="K225:K226"/>
    <mergeCell ref="K199:K200"/>
    <mergeCell ref="K168:K170"/>
    <mergeCell ref="K94:K96"/>
    <mergeCell ref="K123:K125"/>
    <mergeCell ref="M105:M107"/>
    <mergeCell ref="B64:B66"/>
    <mergeCell ref="B88:B90"/>
    <mergeCell ref="B91:B93"/>
    <mergeCell ref="B223:B224"/>
    <mergeCell ref="K129:K131"/>
    <mergeCell ref="M138:M140"/>
    <mergeCell ref="K138:K140"/>
    <mergeCell ref="B153:B155"/>
    <mergeCell ref="B129:B131"/>
    <mergeCell ref="B144:B146"/>
    <mergeCell ref="L73:L75"/>
    <mergeCell ref="L108:L110"/>
    <mergeCell ref="K108:K110"/>
    <mergeCell ref="K114:K116"/>
    <mergeCell ref="K195:K196"/>
    <mergeCell ref="K147:K149"/>
    <mergeCell ref="K73:K75"/>
    <mergeCell ref="K79:K81"/>
    <mergeCell ref="L88:L90"/>
    <mergeCell ref="A14:A31"/>
    <mergeCell ref="A193:A220"/>
    <mergeCell ref="B99:B101"/>
    <mergeCell ref="B28:B29"/>
    <mergeCell ref="B52:B54"/>
    <mergeCell ref="A6:A11"/>
    <mergeCell ref="B6:B7"/>
    <mergeCell ref="B8:B9"/>
    <mergeCell ref="B10:B11"/>
    <mergeCell ref="B22:B23"/>
    <mergeCell ref="B24:B25"/>
    <mergeCell ref="B26:B27"/>
    <mergeCell ref="B40:B42"/>
    <mergeCell ref="B43:B45"/>
    <mergeCell ref="B46:B48"/>
    <mergeCell ref="B73:B75"/>
    <mergeCell ref="B76:B78"/>
    <mergeCell ref="B156:B158"/>
    <mergeCell ref="B162:B164"/>
    <mergeCell ref="B49:B51"/>
    <mergeCell ref="B94:B96"/>
    <mergeCell ref="B61:B63"/>
    <mergeCell ref="B67:B69"/>
    <mergeCell ref="B70:B72"/>
    <mergeCell ref="B30:B31"/>
    <mergeCell ref="B201:B202"/>
    <mergeCell ref="B108:B110"/>
    <mergeCell ref="B117:B119"/>
    <mergeCell ref="B18:B19"/>
    <mergeCell ref="B20:B21"/>
    <mergeCell ref="B241:B242"/>
    <mergeCell ref="B215:B216"/>
    <mergeCell ref="B189:B190"/>
    <mergeCell ref="B174:B176"/>
    <mergeCell ref="B217:B218"/>
    <mergeCell ref="B34:B36"/>
    <mergeCell ref="B37:B39"/>
    <mergeCell ref="B58:B60"/>
    <mergeCell ref="B14:B15"/>
    <mergeCell ref="B16:B17"/>
    <mergeCell ref="B82:B84"/>
    <mergeCell ref="B85:B87"/>
    <mergeCell ref="B195:B196"/>
    <mergeCell ref="B55:B57"/>
    <mergeCell ref="P40:P42"/>
    <mergeCell ref="K43:K45"/>
    <mergeCell ref="N43:N45"/>
    <mergeCell ref="B114:B116"/>
    <mergeCell ref="K135:K137"/>
    <mergeCell ref="B102:B104"/>
    <mergeCell ref="K52:K54"/>
    <mergeCell ref="M159:M161"/>
    <mergeCell ref="L174:L176"/>
    <mergeCell ref="P43:P45"/>
    <mergeCell ref="N46:N48"/>
    <mergeCell ref="O46:O48"/>
    <mergeCell ref="P46:P48"/>
    <mergeCell ref="O91:O93"/>
    <mergeCell ref="P91:P93"/>
    <mergeCell ref="L211:L212"/>
    <mergeCell ref="L219:L220"/>
    <mergeCell ref="K70:K72"/>
    <mergeCell ref="B293:B294"/>
    <mergeCell ref="B333:B334"/>
    <mergeCell ref="B309:B310"/>
    <mergeCell ref="B147:B149"/>
    <mergeCell ref="B177:B179"/>
    <mergeCell ref="L34:L36"/>
    <mergeCell ref="K82:K84"/>
    <mergeCell ref="L82:L84"/>
    <mergeCell ref="M187:M188"/>
    <mergeCell ref="L193:L194"/>
    <mergeCell ref="L225:L226"/>
    <mergeCell ref="M225:M226"/>
    <mergeCell ref="M267:M268"/>
    <mergeCell ref="K227:K228"/>
    <mergeCell ref="K297:K298"/>
    <mergeCell ref="L299:L300"/>
    <mergeCell ref="M299:M300"/>
    <mergeCell ref="B257:B258"/>
    <mergeCell ref="B259:B260"/>
    <mergeCell ref="M315:M316"/>
    <mergeCell ref="L156:L158"/>
    <mergeCell ref="L168:L170"/>
    <mergeCell ref="L147:L149"/>
    <mergeCell ref="B165:B167"/>
    <mergeCell ref="B123:B125"/>
    <mergeCell ref="B231:B232"/>
    <mergeCell ref="B261:B262"/>
    <mergeCell ref="B311:B312"/>
    <mergeCell ref="B267:B268"/>
    <mergeCell ref="B283:B284"/>
    <mergeCell ref="B263:B264"/>
    <mergeCell ref="N73:N75"/>
    <mergeCell ref="B251:B252"/>
    <mergeCell ref="P261:P262"/>
    <mergeCell ref="M257:M258"/>
    <mergeCell ref="O261:O262"/>
    <mergeCell ref="P237:P238"/>
    <mergeCell ref="B255:B256"/>
    <mergeCell ref="L243:L244"/>
    <mergeCell ref="O233:O234"/>
    <mergeCell ref="P61:P63"/>
    <mergeCell ref="M85:M87"/>
    <mergeCell ref="P73:P75"/>
    <mergeCell ref="N76:N78"/>
    <mergeCell ref="P67:P69"/>
    <mergeCell ref="A343:A348"/>
    <mergeCell ref="A223:A288"/>
    <mergeCell ref="A99:A179"/>
    <mergeCell ref="A291:A340"/>
    <mergeCell ref="B295:B296"/>
    <mergeCell ref="B297:B298"/>
    <mergeCell ref="B299:B300"/>
    <mergeCell ref="B315:B316"/>
    <mergeCell ref="B301:B302"/>
    <mergeCell ref="B105:B107"/>
    <mergeCell ref="B132:B134"/>
    <mergeCell ref="B138:B140"/>
    <mergeCell ref="B111:B113"/>
    <mergeCell ref="K85:K87"/>
    <mergeCell ref="M79:M81"/>
    <mergeCell ref="M94:M96"/>
    <mergeCell ref="O325:O326"/>
    <mergeCell ref="B291:B292"/>
    <mergeCell ref="K105:K107"/>
    <mergeCell ref="K144:K146"/>
    <mergeCell ref="K120:K122"/>
    <mergeCell ref="K132:K134"/>
    <mergeCell ref="N219:N220"/>
    <mergeCell ref="O207:O208"/>
    <mergeCell ref="P211:P212"/>
    <mergeCell ref="L275:L276"/>
    <mergeCell ref="B275:B276"/>
    <mergeCell ref="B269:B270"/>
    <mergeCell ref="B141:B143"/>
    <mergeCell ref="K46:K48"/>
    <mergeCell ref="P58:P60"/>
    <mergeCell ref="L203:L204"/>
    <mergeCell ref="N205:N206"/>
    <mergeCell ref="B79:B81"/>
    <mergeCell ref="K99:K101"/>
    <mergeCell ref="L205:L206"/>
    <mergeCell ref="M205:M206"/>
    <mergeCell ref="L129:L131"/>
    <mergeCell ref="M123:M125"/>
    <mergeCell ref="M126:M128"/>
    <mergeCell ref="M171:M173"/>
    <mergeCell ref="B243:B244"/>
    <mergeCell ref="L227:L228"/>
    <mergeCell ref="K223:K224"/>
    <mergeCell ref="K217:K218"/>
    <mergeCell ref="B273:B274"/>
    <mergeCell ref="P70:P72"/>
    <mergeCell ref="P64:P66"/>
    <mergeCell ref="P76:P78"/>
    <mergeCell ref="N58:N60"/>
    <mergeCell ref="L91:L93"/>
    <mergeCell ref="M91:M93"/>
    <mergeCell ref="N91:N93"/>
    <mergeCell ref="K357:K358"/>
    <mergeCell ref="O339:O340"/>
    <mergeCell ref="O102:O104"/>
    <mergeCell ref="O123:O125"/>
    <mergeCell ref="P126:P128"/>
    <mergeCell ref="L213:L214"/>
    <mergeCell ref="M213:M214"/>
    <mergeCell ref="B271:B272"/>
    <mergeCell ref="B211:B212"/>
    <mergeCell ref="B213:B214"/>
    <mergeCell ref="B126:B128"/>
    <mergeCell ref="B245:B246"/>
    <mergeCell ref="B135:B137"/>
    <mergeCell ref="B227:B228"/>
    <mergeCell ref="B229:B230"/>
    <mergeCell ref="K325:K326"/>
    <mergeCell ref="K313:K314"/>
    <mergeCell ref="B323:B324"/>
    <mergeCell ref="O323:O324"/>
    <mergeCell ref="P219:P220"/>
    <mergeCell ref="P217:P218"/>
    <mergeCell ref="P225:P226"/>
    <mergeCell ref="P273:P274"/>
    <mergeCell ref="P247:P248"/>
    <mergeCell ref="N261:N262"/>
    <mergeCell ref="N255:N256"/>
    <mergeCell ref="B235:B236"/>
    <mergeCell ref="B171:B173"/>
    <mergeCell ref="B159:B161"/>
    <mergeCell ref="B150:B152"/>
    <mergeCell ref="B120:B122"/>
    <mergeCell ref="B168:B170"/>
    <mergeCell ref="B209:B210"/>
    <mergeCell ref="B203:B204"/>
    <mergeCell ref="B225:B226"/>
    <mergeCell ref="B343:B344"/>
    <mergeCell ref="M317:M318"/>
    <mergeCell ref="K305:K306"/>
    <mergeCell ref="K333:K334"/>
    <mergeCell ref="K295:K296"/>
    <mergeCell ref="N323:N324"/>
    <mergeCell ref="K263:K264"/>
    <mergeCell ref="K309:K310"/>
    <mergeCell ref="K331:K332"/>
    <mergeCell ref="K323:K324"/>
    <mergeCell ref="K291:K292"/>
    <mergeCell ref="K301:K302"/>
    <mergeCell ref="K321:K322"/>
    <mergeCell ref="L321:L322"/>
    <mergeCell ref="N307:N308"/>
    <mergeCell ref="L291:L292"/>
    <mergeCell ref="M217:M218"/>
    <mergeCell ref="N223:N224"/>
    <mergeCell ref="B305:B306"/>
    <mergeCell ref="M319:M320"/>
    <mergeCell ref="M307:M308"/>
    <mergeCell ref="B247:B248"/>
    <mergeCell ref="B253:B254"/>
    <mergeCell ref="B219:B220"/>
    <mergeCell ref="M325:M326"/>
    <mergeCell ref="M329:M330"/>
    <mergeCell ref="P275:P276"/>
    <mergeCell ref="O279:O280"/>
    <mergeCell ref="L317:L318"/>
    <mergeCell ref="O277:O278"/>
    <mergeCell ref="O317:O318"/>
    <mergeCell ref="N319:N320"/>
    <mergeCell ref="K279:K280"/>
    <mergeCell ref="O271:O272"/>
    <mergeCell ref="O283:O284"/>
    <mergeCell ref="M255:M256"/>
    <mergeCell ref="M251:M252"/>
    <mergeCell ref="K261:K262"/>
    <mergeCell ref="K251:K252"/>
    <mergeCell ref="M295:M296"/>
    <mergeCell ref="L297:L298"/>
    <mergeCell ref="M297:M298"/>
    <mergeCell ref="L295:L296"/>
    <mergeCell ref="O299:O300"/>
    <mergeCell ref="N293:N294"/>
    <mergeCell ref="N303:N304"/>
    <mergeCell ref="M291:M292"/>
    <mergeCell ref="L269:L270"/>
    <mergeCell ref="O265:O266"/>
    <mergeCell ref="M281:M282"/>
    <mergeCell ref="O251:O252"/>
    <mergeCell ref="L251:L252"/>
    <mergeCell ref="N279:N280"/>
    <mergeCell ref="N281:N282"/>
    <mergeCell ref="K273:K274"/>
    <mergeCell ref="N275:N276"/>
    <mergeCell ref="O273:O274"/>
    <mergeCell ref="P305:P306"/>
    <mergeCell ref="K185:K186"/>
    <mergeCell ref="K197:K198"/>
    <mergeCell ref="L183:L184"/>
    <mergeCell ref="M183:M184"/>
    <mergeCell ref="L263:L264"/>
    <mergeCell ref="L187:L188"/>
    <mergeCell ref="L231:L232"/>
    <mergeCell ref="L259:L260"/>
    <mergeCell ref="M197:M198"/>
    <mergeCell ref="M201:M202"/>
    <mergeCell ref="O263:O264"/>
    <mergeCell ref="O291:O292"/>
    <mergeCell ref="N265:N266"/>
    <mergeCell ref="O275:O276"/>
    <mergeCell ref="L285:L286"/>
    <mergeCell ref="O241:O242"/>
    <mergeCell ref="L271:L272"/>
    <mergeCell ref="L239:L240"/>
    <mergeCell ref="M239:M240"/>
    <mergeCell ref="N239:N240"/>
    <mergeCell ref="N207:N208"/>
    <mergeCell ref="N263:N264"/>
    <mergeCell ref="L253:L254"/>
    <mergeCell ref="O281:O282"/>
    <mergeCell ref="M199:M200"/>
    <mergeCell ref="N195:N196"/>
    <mergeCell ref="O195:O196"/>
    <mergeCell ref="O211:O212"/>
    <mergeCell ref="O213:O214"/>
    <mergeCell ref="N229:N230"/>
    <mergeCell ref="K259:K260"/>
    <mergeCell ref="M195:M196"/>
    <mergeCell ref="K219:K220"/>
    <mergeCell ref="K237:K238"/>
    <mergeCell ref="L237:L238"/>
    <mergeCell ref="M237:M238"/>
    <mergeCell ref="K243:K244"/>
    <mergeCell ref="L265:L266"/>
    <mergeCell ref="L257:L258"/>
    <mergeCell ref="K241:K242"/>
    <mergeCell ref="L241:L242"/>
    <mergeCell ref="M241:M242"/>
    <mergeCell ref="N241:N242"/>
    <mergeCell ref="K307:K308"/>
    <mergeCell ref="N245:N246"/>
    <mergeCell ref="O285:O286"/>
    <mergeCell ref="N285:N286"/>
    <mergeCell ref="M285:M286"/>
    <mergeCell ref="O307:O308"/>
    <mergeCell ref="L307:L308"/>
    <mergeCell ref="M301:M302"/>
    <mergeCell ref="K249:K250"/>
    <mergeCell ref="K255:K256"/>
    <mergeCell ref="K229:K230"/>
    <mergeCell ref="K239:K240"/>
    <mergeCell ref="K257:K258"/>
    <mergeCell ref="B249:B250"/>
    <mergeCell ref="M193:M194"/>
    <mergeCell ref="K211:K212"/>
    <mergeCell ref="N211:N212"/>
    <mergeCell ref="N213:N214"/>
    <mergeCell ref="L279:L280"/>
    <mergeCell ref="N259:N260"/>
    <mergeCell ref="N249:N250"/>
    <mergeCell ref="L197:L198"/>
    <mergeCell ref="B233:B234"/>
    <mergeCell ref="K315:K316"/>
    <mergeCell ref="K317:K318"/>
    <mergeCell ref="L245:L246"/>
    <mergeCell ref="M245:M246"/>
    <mergeCell ref="N283:N284"/>
    <mergeCell ref="K235:K236"/>
    <mergeCell ref="P235:P236"/>
    <mergeCell ref="L311:L312"/>
    <mergeCell ref="N317:N318"/>
    <mergeCell ref="M277:M278"/>
    <mergeCell ref="K267:K268"/>
    <mergeCell ref="L267:L268"/>
    <mergeCell ref="N287:N288"/>
    <mergeCell ref="L293:L294"/>
    <mergeCell ref="M273:M274"/>
    <mergeCell ref="M275:M276"/>
    <mergeCell ref="N277:N278"/>
    <mergeCell ref="O269:O270"/>
    <mergeCell ref="L261:L262"/>
    <mergeCell ref="M261:M262"/>
    <mergeCell ref="M287:M288"/>
    <mergeCell ref="L287:L288"/>
  </mergeCells>
  <conditionalFormatting sqref="P285:P369 P6:P283 P421">
    <cfRule type="cellIs" dxfId="20" priority="8" operator="greaterThan">
      <formula>1</formula>
    </cfRule>
    <cfRule type="cellIs" dxfId="19" priority="9" operator="greaterThan">
      <formula>100</formula>
    </cfRule>
  </conditionalFormatting>
  <conditionalFormatting sqref="P373:P420">
    <cfRule type="cellIs" dxfId="18" priority="7" operator="greaterThan">
      <formula>1</formula>
    </cfRule>
  </conditionalFormatting>
  <conditionalFormatting sqref="J99:J179">
    <cfRule type="cellIs" dxfId="17" priority="6" operator="greaterThan">
      <formula>1</formula>
    </cfRule>
  </conditionalFormatting>
  <conditionalFormatting sqref="P150:P152">
    <cfRule type="top10" priority="5" percent="1" rank="100"/>
  </conditionalFormatting>
  <conditionalFormatting sqref="O6:O369">
    <cfRule type="top10" priority="1" percent="1" bottom="1" rank="0"/>
  </conditionalFormatting>
  <pageMargins left="0.7" right="0.7" top="0.75" bottom="0.75" header="0.3" footer="0.3"/>
  <pageSetup paperSize="9" orientation="portrait" r:id="rId1"/>
  <ignoredErrors>
    <ignoredError sqref="G8 G37 G40 G43 G46 G49 G64 G67 G70 G73 G76 G79 G82 G85 G184:G188 G344:G348 G58 G61 G88 G17:G26 G55 G194:G217 G295:G303 G305:G309 G52 G352:G366 M183:M188 G10:G11 M41:M90 M343:M348 M6:M11 G311 M350:M366 M370 M193:M216 M295:M304 M222:M232 G224:G232 M13 M35:M39 M18:M27 M291:M292 G292 G313:G314 M305:M314 M319:M326 G319:G326 G339:G340" formula="1"/>
    <ignoredError sqref="J339:J340 J225:J226 J323:J324 J307:J310 J37:J39 J58:J63 J34:J36 J64:J88 J40:J5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00FF"/>
  </sheetPr>
  <dimension ref="A1:BJ332"/>
  <sheetViews>
    <sheetView tabSelected="1" zoomScale="69" zoomScaleNormal="69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M51" sqref="M51:M52"/>
    </sheetView>
  </sheetViews>
  <sheetFormatPr baseColWidth="10" defaultRowHeight="15"/>
  <cols>
    <col min="1" max="1" width="17.7109375" style="181" customWidth="1"/>
    <col min="2" max="2" width="25.28515625" style="181" customWidth="1"/>
    <col min="3" max="3" width="10.42578125" style="181" customWidth="1"/>
    <col min="4" max="4" width="11.85546875" style="181" customWidth="1"/>
    <col min="5" max="5" width="15" style="181" customWidth="1"/>
    <col min="6" max="6" width="11.28515625" style="181" customWidth="1"/>
    <col min="7" max="7" width="15" style="181" customWidth="1"/>
    <col min="8" max="8" width="14" style="318" customWidth="1"/>
    <col min="9" max="9" width="16.28515625" style="181" customWidth="1"/>
    <col min="10" max="10" width="13.5703125" style="181" customWidth="1"/>
    <col min="11" max="11" width="14.85546875" style="181" customWidth="1"/>
    <col min="12" max="12" width="13.140625" style="181" customWidth="1"/>
    <col min="13" max="13" width="15.42578125" style="181" customWidth="1"/>
    <col min="14" max="14" width="15.28515625" style="181" customWidth="1"/>
    <col min="15" max="15" width="15.42578125" style="1071" customWidth="1"/>
    <col min="16" max="16" width="13.42578125" style="181" customWidth="1"/>
    <col min="17" max="17" width="4" style="1978" customWidth="1"/>
    <col min="18" max="21" width="11.42578125" style="1979"/>
    <col min="22" max="22" width="11.42578125" style="1979" customWidth="1"/>
    <col min="23" max="62" width="11.42578125" style="1979"/>
    <col min="63" max="16384" width="11.42578125" style="181"/>
  </cols>
  <sheetData>
    <row r="1" spans="1:17" s="1979" customFormat="1" ht="15.75" thickBot="1">
      <c r="H1" s="1981"/>
      <c r="O1" s="1982"/>
      <c r="Q1" s="1978"/>
    </row>
    <row r="2" spans="1:17" ht="24.75" customHeight="1">
      <c r="A2" s="2542" t="s">
        <v>752</v>
      </c>
      <c r="B2" s="2543"/>
      <c r="C2" s="2543"/>
      <c r="D2" s="2543"/>
      <c r="E2" s="2543"/>
      <c r="F2" s="2543"/>
      <c r="G2" s="2543"/>
      <c r="H2" s="2543"/>
      <c r="I2" s="2543"/>
      <c r="J2" s="2543"/>
      <c r="K2" s="2543"/>
      <c r="L2" s="2543"/>
      <c r="M2" s="2543"/>
      <c r="N2" s="2543"/>
      <c r="O2" s="2543"/>
      <c r="P2" s="2544"/>
    </row>
    <row r="3" spans="1:17" ht="21.75" customHeight="1" thickBot="1">
      <c r="A3" s="2545"/>
      <c r="B3" s="2546"/>
      <c r="C3" s="2546"/>
      <c r="D3" s="2546"/>
      <c r="E3" s="2546"/>
      <c r="F3" s="2546"/>
      <c r="G3" s="2546"/>
      <c r="H3" s="2546"/>
      <c r="I3" s="2546"/>
      <c r="J3" s="2546"/>
      <c r="K3" s="2546"/>
      <c r="L3" s="2546"/>
      <c r="M3" s="2546"/>
      <c r="N3" s="2546"/>
      <c r="O3" s="2546"/>
      <c r="P3" s="2547"/>
    </row>
    <row r="4" spans="1:17" s="1979" customFormat="1" ht="15.75" thickBot="1">
      <c r="H4" s="1981"/>
      <c r="O4" s="1982"/>
      <c r="Q4" s="1978"/>
    </row>
    <row r="5" spans="1:17" ht="15.75" thickBot="1">
      <c r="A5" s="1979"/>
      <c r="B5" s="1983"/>
      <c r="C5" s="2558" t="s">
        <v>114</v>
      </c>
      <c r="D5" s="2559"/>
      <c r="E5" s="2560" t="s">
        <v>119</v>
      </c>
      <c r="F5" s="2561"/>
      <c r="G5" s="2561"/>
      <c r="H5" s="2560" t="s">
        <v>5</v>
      </c>
      <c r="I5" s="2561"/>
      <c r="J5" s="2564"/>
      <c r="K5" s="2565" t="s">
        <v>137</v>
      </c>
      <c r="L5" s="2566"/>
      <c r="M5" s="2566"/>
      <c r="N5" s="2566"/>
      <c r="O5" s="2566"/>
      <c r="P5" s="2567"/>
    </row>
    <row r="6" spans="1:17" ht="51.75" thickBot="1">
      <c r="A6" s="984" t="s">
        <v>19</v>
      </c>
      <c r="B6" s="985" t="s">
        <v>68</v>
      </c>
      <c r="C6" s="986" t="s">
        <v>112</v>
      </c>
      <c r="D6" s="987" t="s">
        <v>113</v>
      </c>
      <c r="E6" s="988" t="s">
        <v>115</v>
      </c>
      <c r="F6" s="988" t="s">
        <v>116</v>
      </c>
      <c r="G6" s="988" t="s">
        <v>117</v>
      </c>
      <c r="H6" s="989" t="s">
        <v>2</v>
      </c>
      <c r="I6" s="990" t="s">
        <v>3</v>
      </c>
      <c r="J6" s="991" t="s">
        <v>4</v>
      </c>
      <c r="K6" s="992" t="s">
        <v>118</v>
      </c>
      <c r="L6" s="993" t="s">
        <v>116</v>
      </c>
      <c r="M6" s="993" t="s">
        <v>117</v>
      </c>
      <c r="N6" s="993" t="s">
        <v>2</v>
      </c>
      <c r="O6" s="994" t="s">
        <v>3</v>
      </c>
      <c r="P6" s="995" t="s">
        <v>4</v>
      </c>
    </row>
    <row r="7" spans="1:17" ht="15.75" customHeight="1">
      <c r="A7" s="2617" t="s">
        <v>21</v>
      </c>
      <c r="B7" s="2562" t="s">
        <v>43</v>
      </c>
      <c r="C7" s="996">
        <v>42005</v>
      </c>
      <c r="D7" s="997">
        <v>42063</v>
      </c>
      <c r="E7" s="998">
        <v>0.52900000000000003</v>
      </c>
      <c r="F7" s="1288"/>
      <c r="G7" s="1032">
        <f>E7+F7</f>
        <v>0.52900000000000003</v>
      </c>
      <c r="H7" s="1033"/>
      <c r="I7" s="999">
        <f>G7-H7</f>
        <v>0.52900000000000003</v>
      </c>
      <c r="J7" s="1000">
        <f>H7/G7</f>
        <v>0</v>
      </c>
      <c r="K7" s="2494">
        <f>E7+E8</f>
        <v>1.0590000000000002</v>
      </c>
      <c r="L7" s="2541">
        <f>F7+F8</f>
        <v>0</v>
      </c>
      <c r="M7" s="2569">
        <f>K7+L7</f>
        <v>1.0590000000000002</v>
      </c>
      <c r="N7" s="2541">
        <f>H7+H8</f>
        <v>1.0009999999999999</v>
      </c>
      <c r="O7" s="2569">
        <f>M7-N7</f>
        <v>5.8000000000000274E-2</v>
      </c>
      <c r="P7" s="2571">
        <f>N7/M7</f>
        <v>0.94523135033050021</v>
      </c>
      <c r="Q7" s="1980"/>
    </row>
    <row r="8" spans="1:17" ht="18" customHeight="1">
      <c r="A8" s="2618"/>
      <c r="B8" s="2563"/>
      <c r="C8" s="1001">
        <v>42064</v>
      </c>
      <c r="D8" s="1002">
        <v>42369</v>
      </c>
      <c r="E8" s="1003">
        <v>0.53</v>
      </c>
      <c r="F8" s="1067"/>
      <c r="G8" s="1457">
        <f>E8+F8+I7</f>
        <v>1.0590000000000002</v>
      </c>
      <c r="H8" s="1260">
        <v>1.0009999999999999</v>
      </c>
      <c r="I8" s="1004">
        <f t="shared" ref="I8:I16" si="0">G8-H8</f>
        <v>5.8000000000000274E-2</v>
      </c>
      <c r="J8" s="1005">
        <f t="shared" ref="J8:J16" si="1">H8/G8</f>
        <v>0.94523135033050021</v>
      </c>
      <c r="K8" s="2475"/>
      <c r="L8" s="2568"/>
      <c r="M8" s="2570"/>
      <c r="N8" s="2568"/>
      <c r="O8" s="2570"/>
      <c r="P8" s="2572"/>
      <c r="Q8" s="1980"/>
    </row>
    <row r="9" spans="1:17" ht="15.75" customHeight="1">
      <c r="A9" s="2618"/>
      <c r="B9" s="2562" t="s">
        <v>42</v>
      </c>
      <c r="C9" s="1006">
        <v>42005</v>
      </c>
      <c r="D9" s="1007">
        <v>42063</v>
      </c>
      <c r="E9" s="1008">
        <v>7.7140000000000004</v>
      </c>
      <c r="F9" s="1066"/>
      <c r="G9" s="1458">
        <f>E9+F9</f>
        <v>7.7140000000000004</v>
      </c>
      <c r="H9" s="1468">
        <v>1.984</v>
      </c>
      <c r="I9" s="1009">
        <f t="shared" si="0"/>
        <v>5.73</v>
      </c>
      <c r="J9" s="1010">
        <f t="shared" si="1"/>
        <v>0.25719471091521906</v>
      </c>
      <c r="K9" s="2591">
        <f>E9+E10</f>
        <v>15.446999999999999</v>
      </c>
      <c r="L9" s="2573">
        <f t="shared" ref="L9" si="2">F9+F10</f>
        <v>0</v>
      </c>
      <c r="M9" s="2594">
        <f t="shared" ref="M9" si="3">K9+L9</f>
        <v>15.446999999999999</v>
      </c>
      <c r="N9" s="2573">
        <f>H9+H10</f>
        <v>14.366999999999999</v>
      </c>
      <c r="O9" s="2594">
        <f>M9-N9</f>
        <v>1.08</v>
      </c>
      <c r="P9" s="2589">
        <f>N9/M9</f>
        <v>0.93008351136142942</v>
      </c>
      <c r="Q9" s="1980"/>
    </row>
    <row r="10" spans="1:17" ht="15.75" customHeight="1">
      <c r="A10" s="2618"/>
      <c r="B10" s="2563"/>
      <c r="C10" s="1001">
        <v>42064</v>
      </c>
      <c r="D10" s="1002">
        <v>42369</v>
      </c>
      <c r="E10" s="1003">
        <v>7.7329999999999997</v>
      </c>
      <c r="F10" s="1067"/>
      <c r="G10" s="1457">
        <f>E10+F10+I9</f>
        <v>13.463000000000001</v>
      </c>
      <c r="H10" s="1260">
        <v>12.382999999999999</v>
      </c>
      <c r="I10" s="1004">
        <f t="shared" si="0"/>
        <v>1.0800000000000018</v>
      </c>
      <c r="J10" s="1005">
        <f t="shared" si="1"/>
        <v>0.91978013815642856</v>
      </c>
      <c r="K10" s="2475"/>
      <c r="L10" s="2568"/>
      <c r="M10" s="2570"/>
      <c r="N10" s="2568"/>
      <c r="O10" s="2570"/>
      <c r="P10" s="2572"/>
      <c r="Q10" s="1980"/>
    </row>
    <row r="11" spans="1:17" ht="15.75" customHeight="1">
      <c r="A11" s="2618"/>
      <c r="B11" s="2562" t="s">
        <v>122</v>
      </c>
      <c r="C11" s="1006">
        <v>42005</v>
      </c>
      <c r="D11" s="1007">
        <v>42063</v>
      </c>
      <c r="E11" s="1008">
        <v>145.18700000000001</v>
      </c>
      <c r="F11" s="1066">
        <f>-33.39+60.001+23.728</f>
        <v>50.338999999999999</v>
      </c>
      <c r="G11" s="1458">
        <f>E11+F11</f>
        <v>195.52600000000001</v>
      </c>
      <c r="H11" s="1468">
        <v>53.215000000000003</v>
      </c>
      <c r="I11" s="1009">
        <f t="shared" si="0"/>
        <v>142.31100000000001</v>
      </c>
      <c r="J11" s="1010">
        <f t="shared" si="1"/>
        <v>0.27216329286130747</v>
      </c>
      <c r="K11" s="2591">
        <f>E11+E12</f>
        <v>290.721</v>
      </c>
      <c r="L11" s="2573">
        <f t="shared" ref="L11" si="4">F11+F12</f>
        <v>50.338999999999999</v>
      </c>
      <c r="M11" s="2594">
        <f t="shared" ref="M11" si="5">K11+L11</f>
        <v>341.06</v>
      </c>
      <c r="N11" s="2573">
        <f>H11+H12</f>
        <v>336.726</v>
      </c>
      <c r="O11" s="2594">
        <f>M11-N11</f>
        <v>4.3340000000000032</v>
      </c>
      <c r="P11" s="2589">
        <f t="shared" ref="P11" si="6">N11/M11</f>
        <v>0.98729255849410658</v>
      </c>
      <c r="Q11" s="1980"/>
    </row>
    <row r="12" spans="1:17" ht="15.75" customHeight="1">
      <c r="A12" s="2618"/>
      <c r="B12" s="2563"/>
      <c r="C12" s="1001">
        <v>42064</v>
      </c>
      <c r="D12" s="1002">
        <v>42369</v>
      </c>
      <c r="E12" s="1003">
        <v>145.53399999999999</v>
      </c>
      <c r="F12" s="1067"/>
      <c r="G12" s="1457">
        <f>E12+F12+I11</f>
        <v>287.84500000000003</v>
      </c>
      <c r="H12" s="2083">
        <v>283.51100000000002</v>
      </c>
      <c r="I12" s="1004">
        <f t="shared" si="0"/>
        <v>4.3340000000000032</v>
      </c>
      <c r="J12" s="1005">
        <f t="shared" si="1"/>
        <v>0.98494328544876586</v>
      </c>
      <c r="K12" s="2475"/>
      <c r="L12" s="2568"/>
      <c r="M12" s="2570"/>
      <c r="N12" s="2568"/>
      <c r="O12" s="2570"/>
      <c r="P12" s="2572"/>
      <c r="Q12" s="1980"/>
    </row>
    <row r="13" spans="1:17" ht="15.75" customHeight="1">
      <c r="A13" s="2618"/>
      <c r="B13" s="2562" t="s">
        <v>125</v>
      </c>
      <c r="C13" s="1006">
        <v>42005</v>
      </c>
      <c r="D13" s="1007">
        <v>42063</v>
      </c>
      <c r="E13" s="1008">
        <v>12.385</v>
      </c>
      <c r="F13" s="1066">
        <f>-0.042-23.728</f>
        <v>-23.770000000000003</v>
      </c>
      <c r="G13" s="1458">
        <f>E13+F13</f>
        <v>-11.385000000000003</v>
      </c>
      <c r="H13" s="1469"/>
      <c r="I13" s="1009">
        <f t="shared" si="0"/>
        <v>-11.385000000000003</v>
      </c>
      <c r="J13" s="1010">
        <f t="shared" si="1"/>
        <v>0</v>
      </c>
      <c r="K13" s="2591">
        <f>E13+E14</f>
        <v>24.798999999999999</v>
      </c>
      <c r="L13" s="2573">
        <f t="shared" ref="L13" si="7">F13+F14</f>
        <v>-23.770000000000003</v>
      </c>
      <c r="M13" s="2594">
        <f t="shared" ref="M13" si="8">K13+L13</f>
        <v>1.0289999999999964</v>
      </c>
      <c r="N13" s="2573">
        <f>H13+H14</f>
        <v>0</v>
      </c>
      <c r="O13" s="2594">
        <f>M13-N13</f>
        <v>1.0289999999999964</v>
      </c>
      <c r="P13" s="2589">
        <f t="shared" ref="P13" si="9">N13/M13</f>
        <v>0</v>
      </c>
      <c r="Q13" s="1980"/>
    </row>
    <row r="14" spans="1:17" ht="15.75" customHeight="1">
      <c r="A14" s="2618"/>
      <c r="B14" s="2563"/>
      <c r="C14" s="1001">
        <v>42064</v>
      </c>
      <c r="D14" s="1002">
        <v>42369</v>
      </c>
      <c r="E14" s="1003">
        <v>12.414</v>
      </c>
      <c r="F14" s="1067"/>
      <c r="G14" s="1457">
        <f>E14+F14+I13</f>
        <v>1.0289999999999964</v>
      </c>
      <c r="H14" s="1937"/>
      <c r="I14" s="1004">
        <f t="shared" si="0"/>
        <v>1.0289999999999964</v>
      </c>
      <c r="J14" s="1005">
        <f t="shared" si="1"/>
        <v>0</v>
      </c>
      <c r="K14" s="2475"/>
      <c r="L14" s="2568"/>
      <c r="M14" s="2570"/>
      <c r="N14" s="2568"/>
      <c r="O14" s="2570"/>
      <c r="P14" s="2572"/>
      <c r="Q14" s="1980"/>
    </row>
    <row r="15" spans="1:17" ht="15.75" customHeight="1">
      <c r="A15" s="2618"/>
      <c r="B15" s="2562" t="s">
        <v>14</v>
      </c>
      <c r="C15" s="1011">
        <v>42005</v>
      </c>
      <c r="D15" s="1007">
        <v>42063</v>
      </c>
      <c r="E15" s="1008">
        <v>43.186</v>
      </c>
      <c r="F15" s="1066">
        <v>-60.000999999999998</v>
      </c>
      <c r="G15" s="1458">
        <f>E15+F15</f>
        <v>-16.814999999999998</v>
      </c>
      <c r="H15" s="1469"/>
      <c r="I15" s="1009">
        <f t="shared" si="0"/>
        <v>-16.814999999999998</v>
      </c>
      <c r="J15" s="1010">
        <f t="shared" si="1"/>
        <v>0</v>
      </c>
      <c r="K15" s="2591">
        <f>E15+E16</f>
        <v>86.474999999999994</v>
      </c>
      <c r="L15" s="2573">
        <f t="shared" ref="L15" si="10">F15+F16</f>
        <v>-60.000999999999998</v>
      </c>
      <c r="M15" s="2594">
        <f t="shared" ref="M15" si="11">K15+L15</f>
        <v>26.473999999999997</v>
      </c>
      <c r="N15" s="2573">
        <f>H15+H16</f>
        <v>19.411000000000005</v>
      </c>
      <c r="O15" s="2594">
        <f>M15-N15</f>
        <v>7.0629999999999917</v>
      </c>
      <c r="P15" s="2589">
        <f t="shared" ref="P15" si="12">N15/M15</f>
        <v>0.73320994182971999</v>
      </c>
      <c r="Q15" s="1980"/>
    </row>
    <row r="16" spans="1:17" ht="15.75" customHeight="1">
      <c r="A16" s="2618"/>
      <c r="B16" s="2593"/>
      <c r="C16" s="1011">
        <v>42064</v>
      </c>
      <c r="D16" s="1012">
        <v>42369</v>
      </c>
      <c r="E16" s="1013">
        <v>43.289000000000001</v>
      </c>
      <c r="F16" s="1068"/>
      <c r="G16" s="1459">
        <f>E16+F16+I15</f>
        <v>26.474000000000004</v>
      </c>
      <c r="H16" s="1795">
        <v>19.411000000000005</v>
      </c>
      <c r="I16" s="1014">
        <f t="shared" si="0"/>
        <v>7.0629999999999988</v>
      </c>
      <c r="J16" s="1015">
        <f t="shared" si="1"/>
        <v>0.73320994182971977</v>
      </c>
      <c r="K16" s="2592"/>
      <c r="L16" s="2459"/>
      <c r="M16" s="2460"/>
      <c r="N16" s="2459"/>
      <c r="O16" s="2460"/>
      <c r="P16" s="2590"/>
      <c r="Q16" s="1980"/>
    </row>
    <row r="17" spans="1:17" ht="15.75" customHeight="1">
      <c r="A17" s="2618"/>
      <c r="B17" s="2614" t="s">
        <v>35</v>
      </c>
      <c r="C17" s="1006">
        <v>42005</v>
      </c>
      <c r="D17" s="1007">
        <v>42063</v>
      </c>
      <c r="E17" s="1008">
        <v>0</v>
      </c>
      <c r="F17" s="1066">
        <v>4.2000000000000003E-2</v>
      </c>
      <c r="G17" s="1458">
        <f>E17+F17</f>
        <v>4.2000000000000003E-2</v>
      </c>
      <c r="H17" s="1469"/>
      <c r="I17" s="1009">
        <f t="shared" ref="I17:I18" si="13">G17-H17</f>
        <v>4.2000000000000003E-2</v>
      </c>
      <c r="J17" s="1010">
        <f t="shared" ref="J17:J18" si="14">H17/G17</f>
        <v>0</v>
      </c>
      <c r="K17" s="2591">
        <f>E17+E18</f>
        <v>0</v>
      </c>
      <c r="L17" s="2573">
        <f t="shared" ref="L17" si="15">F17+F18</f>
        <v>4.2000000000000003E-2</v>
      </c>
      <c r="M17" s="2594">
        <f t="shared" ref="M17" si="16">K17+L17</f>
        <v>4.2000000000000003E-2</v>
      </c>
      <c r="N17" s="2573">
        <f>H17+H18</f>
        <v>0</v>
      </c>
      <c r="O17" s="2594">
        <f>M17-N17</f>
        <v>4.2000000000000003E-2</v>
      </c>
      <c r="P17" s="2589">
        <f t="shared" ref="P17" si="17">N17/M17</f>
        <v>0</v>
      </c>
      <c r="Q17" s="1980"/>
    </row>
    <row r="18" spans="1:17" ht="15.75" customHeight="1" thickBot="1">
      <c r="A18" s="2619"/>
      <c r="B18" s="2615"/>
      <c r="C18" s="1016">
        <v>42064</v>
      </c>
      <c r="D18" s="1017">
        <v>42369</v>
      </c>
      <c r="E18" s="1018">
        <v>0</v>
      </c>
      <c r="F18" s="1030"/>
      <c r="G18" s="1460">
        <f>E18+F18+I17</f>
        <v>4.2000000000000003E-2</v>
      </c>
      <c r="H18" s="1042"/>
      <c r="I18" s="1019">
        <f t="shared" si="13"/>
        <v>4.2000000000000003E-2</v>
      </c>
      <c r="J18" s="1020">
        <f t="shared" si="14"/>
        <v>0</v>
      </c>
      <c r="K18" s="2488"/>
      <c r="L18" s="2616"/>
      <c r="M18" s="2489"/>
      <c r="N18" s="2616"/>
      <c r="O18" s="2489"/>
      <c r="P18" s="2595"/>
      <c r="Q18" s="1980"/>
    </row>
    <row r="19" spans="1:17" ht="15.75" customHeight="1" thickBot="1">
      <c r="A19" s="200"/>
      <c r="B19" s="1021"/>
      <c r="C19" s="1022"/>
      <c r="D19" s="1022"/>
      <c r="E19" s="1243"/>
      <c r="F19" s="1023"/>
      <c r="G19" s="1023"/>
      <c r="H19" s="1243"/>
      <c r="I19" s="1014"/>
      <c r="J19" s="1024"/>
      <c r="K19" s="1538">
        <f>SUM(K7:K16)</f>
        <v>418.50099999999998</v>
      </c>
      <c r="L19" s="1539">
        <f>SUM(L7:L16)</f>
        <v>-33.432000000000002</v>
      </c>
      <c r="M19" s="1539">
        <f>SUM(M7:M16)</f>
        <v>385.06900000000002</v>
      </c>
      <c r="N19" s="1539">
        <f>SUM(N7:N16)</f>
        <v>371.505</v>
      </c>
      <c r="O19" s="1539">
        <f>SUM(O7:O16)</f>
        <v>13.563999999999991</v>
      </c>
      <c r="P19" s="1628">
        <f>+N19/M19</f>
        <v>0.96477514419493648</v>
      </c>
      <c r="Q19" s="1980"/>
    </row>
    <row r="20" spans="1:17" ht="15.75" thickBot="1">
      <c r="A20" s="1025"/>
      <c r="B20" s="1025"/>
      <c r="C20" s="1243"/>
      <c r="D20" s="1023"/>
      <c r="E20" s="1243"/>
      <c r="F20" s="1243"/>
      <c r="G20" s="1023"/>
      <c r="H20" s="1023"/>
      <c r="I20" s="1014"/>
      <c r="J20" s="1243"/>
      <c r="K20" s="1341"/>
      <c r="L20" s="1341">
        <v>33.39</v>
      </c>
      <c r="M20" s="1341"/>
      <c r="N20" s="1341"/>
      <c r="O20" s="29"/>
      <c r="P20" s="1542"/>
      <c r="Q20" s="1980"/>
    </row>
    <row r="21" spans="1:17" ht="18" customHeight="1">
      <c r="A21" s="2552" t="s">
        <v>22</v>
      </c>
      <c r="B21" s="2585" t="s">
        <v>44</v>
      </c>
      <c r="C21" s="996">
        <v>42005</v>
      </c>
      <c r="D21" s="1026">
        <v>42063</v>
      </c>
      <c r="E21" s="1047">
        <v>20.664999999999999</v>
      </c>
      <c r="F21" s="1033"/>
      <c r="G21" s="1027">
        <f>E21+F21</f>
        <v>20.664999999999999</v>
      </c>
      <c r="H21" s="1470"/>
      <c r="I21" s="1028">
        <f>G21-H21</f>
        <v>20.664999999999999</v>
      </c>
      <c r="J21" s="1029">
        <f>H21/G21</f>
        <v>0</v>
      </c>
      <c r="K21" s="2494">
        <f>E21+E22</f>
        <v>41.33</v>
      </c>
      <c r="L21" s="2541">
        <f>F21+F22</f>
        <v>0</v>
      </c>
      <c r="M21" s="2493">
        <f>K21+L21</f>
        <v>41.33</v>
      </c>
      <c r="N21" s="2541">
        <f>H21+H22</f>
        <v>41.070999999999998</v>
      </c>
      <c r="O21" s="2493">
        <f>M21-N21</f>
        <v>0.25900000000000034</v>
      </c>
      <c r="P21" s="2571">
        <f>N21/M21</f>
        <v>0.9937333655939995</v>
      </c>
      <c r="Q21" s="1980"/>
    </row>
    <row r="22" spans="1:17" ht="18" customHeight="1">
      <c r="A22" s="2553"/>
      <c r="B22" s="2578"/>
      <c r="C22" s="1001">
        <v>42064</v>
      </c>
      <c r="D22" s="1034">
        <v>42369</v>
      </c>
      <c r="E22" s="1442">
        <v>20.664999999999999</v>
      </c>
      <c r="F22" s="1495"/>
      <c r="G22" s="1035">
        <f>E22+F22+I21</f>
        <v>41.33</v>
      </c>
      <c r="H22" s="1807">
        <v>41.070999999999998</v>
      </c>
      <c r="I22" s="1053">
        <f t="shared" ref="I22:I30" si="18">G22-H22</f>
        <v>0.25900000000000034</v>
      </c>
      <c r="J22" s="1069">
        <f t="shared" ref="J22:J30" si="19">H22/G22</f>
        <v>0.9937333655939995</v>
      </c>
      <c r="K22" s="2475"/>
      <c r="L22" s="2469"/>
      <c r="M22" s="2583"/>
      <c r="N22" s="2469"/>
      <c r="O22" s="2583"/>
      <c r="P22" s="2572"/>
      <c r="Q22" s="1980"/>
    </row>
    <row r="23" spans="1:17" ht="17.25" customHeight="1">
      <c r="A23" s="2553"/>
      <c r="B23" s="2577" t="s">
        <v>42</v>
      </c>
      <c r="C23" s="1443">
        <v>42005</v>
      </c>
      <c r="D23" s="1444">
        <v>42063</v>
      </c>
      <c r="E23" s="1445">
        <v>6.2E-2</v>
      </c>
      <c r="F23" s="1446"/>
      <c r="G23" s="1447">
        <f>E23+F23</f>
        <v>6.2E-2</v>
      </c>
      <c r="H23" s="1446"/>
      <c r="I23" s="1448">
        <f t="shared" si="18"/>
        <v>6.2E-2</v>
      </c>
      <c r="J23" s="1449">
        <f t="shared" si="19"/>
        <v>0</v>
      </c>
      <c r="K23" s="2474">
        <f>E23+E24</f>
        <v>0.124</v>
      </c>
      <c r="L23" s="2458">
        <f t="shared" ref="L23" si="20">F23+F24</f>
        <v>0</v>
      </c>
      <c r="M23" s="2451">
        <f t="shared" ref="M23" si="21">K23+L23</f>
        <v>0.124</v>
      </c>
      <c r="N23" s="2458">
        <f>H23+H24</f>
        <v>0</v>
      </c>
      <c r="O23" s="2451">
        <f>M23-N23</f>
        <v>0.124</v>
      </c>
      <c r="P23" s="2584">
        <f t="shared" ref="P23" si="22">N23/M23</f>
        <v>0</v>
      </c>
      <c r="Q23" s="1980"/>
    </row>
    <row r="24" spans="1:17" ht="17.25" customHeight="1">
      <c r="A24" s="2553"/>
      <c r="B24" s="2578"/>
      <c r="C24" s="1001">
        <v>42064</v>
      </c>
      <c r="D24" s="1034">
        <v>42369</v>
      </c>
      <c r="E24" s="1442">
        <v>6.2E-2</v>
      </c>
      <c r="F24" s="1450"/>
      <c r="G24" s="1035">
        <f>E24+F24+I23</f>
        <v>0.124</v>
      </c>
      <c r="H24" s="1937"/>
      <c r="I24" s="1053">
        <f t="shared" si="18"/>
        <v>0.124</v>
      </c>
      <c r="J24" s="1069">
        <f t="shared" si="19"/>
        <v>0</v>
      </c>
      <c r="K24" s="2475"/>
      <c r="L24" s="2469"/>
      <c r="M24" s="2583"/>
      <c r="N24" s="2469"/>
      <c r="O24" s="2583"/>
      <c r="P24" s="2572"/>
      <c r="Q24" s="1980"/>
    </row>
    <row r="25" spans="1:17" ht="17.25" customHeight="1">
      <c r="A25" s="2553"/>
      <c r="B25" s="2577" t="s">
        <v>122</v>
      </c>
      <c r="C25" s="1443">
        <v>42005</v>
      </c>
      <c r="D25" s="1444">
        <v>42063</v>
      </c>
      <c r="E25" s="1445">
        <v>70.757999999999996</v>
      </c>
      <c r="F25" s="1446">
        <f>-23.7</f>
        <v>-23.7</v>
      </c>
      <c r="G25" s="1447">
        <f>E25+F25</f>
        <v>47.057999999999993</v>
      </c>
      <c r="H25" s="1260">
        <v>4.9370000000000003</v>
      </c>
      <c r="I25" s="1448">
        <f t="shared" si="18"/>
        <v>42.120999999999995</v>
      </c>
      <c r="J25" s="1449">
        <f t="shared" si="19"/>
        <v>0.10491308597900466</v>
      </c>
      <c r="K25" s="2474">
        <f>E25+E26</f>
        <v>141.51599999999999</v>
      </c>
      <c r="L25" s="2458">
        <f t="shared" ref="L25" si="23">F25+F26</f>
        <v>-23.7</v>
      </c>
      <c r="M25" s="2451">
        <f t="shared" ref="M25" si="24">K25+L25</f>
        <v>117.81599999999999</v>
      </c>
      <c r="N25" s="2458">
        <f>H25+H26</f>
        <v>111.84399999999999</v>
      </c>
      <c r="O25" s="2451">
        <f>M25-N25</f>
        <v>5.9719999999999942</v>
      </c>
      <c r="P25" s="2584">
        <f t="shared" ref="P25" si="25">N25/M25</f>
        <v>0.94931078970598226</v>
      </c>
      <c r="Q25" s="1980"/>
    </row>
    <row r="26" spans="1:17" ht="17.25" customHeight="1">
      <c r="A26" s="2553"/>
      <c r="B26" s="2578"/>
      <c r="C26" s="1001">
        <v>42064</v>
      </c>
      <c r="D26" s="1034">
        <v>42369</v>
      </c>
      <c r="E26" s="1442">
        <v>70.757999999999996</v>
      </c>
      <c r="F26" s="1450"/>
      <c r="G26" s="1035">
        <f>E26+F26+I25</f>
        <v>112.87899999999999</v>
      </c>
      <c r="H26" s="2082">
        <v>106.907</v>
      </c>
      <c r="I26" s="1053">
        <f t="shared" si="18"/>
        <v>5.9719999999999942</v>
      </c>
      <c r="J26" s="1069">
        <f t="shared" si="19"/>
        <v>0.94709379069623234</v>
      </c>
      <c r="K26" s="2475"/>
      <c r="L26" s="2469"/>
      <c r="M26" s="2583"/>
      <c r="N26" s="2469"/>
      <c r="O26" s="2583"/>
      <c r="P26" s="2572"/>
      <c r="Q26" s="1980"/>
    </row>
    <row r="27" spans="1:17" ht="17.25" customHeight="1">
      <c r="A27" s="2553"/>
      <c r="B27" s="2577" t="s">
        <v>20</v>
      </c>
      <c r="C27" s="1443">
        <v>42005</v>
      </c>
      <c r="D27" s="1444">
        <v>42063</v>
      </c>
      <c r="E27" s="1445">
        <v>27.484999999999999</v>
      </c>
      <c r="F27" s="1446">
        <f>23.7</f>
        <v>23.7</v>
      </c>
      <c r="G27" s="1447">
        <f>E27+F27</f>
        <v>51.185000000000002</v>
      </c>
      <c r="H27" s="1446">
        <v>74.033000000000001</v>
      </c>
      <c r="I27" s="1448">
        <f t="shared" si="18"/>
        <v>-22.847999999999999</v>
      </c>
      <c r="J27" s="1449">
        <f t="shared" si="19"/>
        <v>1.4463807756178568</v>
      </c>
      <c r="K27" s="2474">
        <f>E27+E28</f>
        <v>54.97</v>
      </c>
      <c r="L27" s="2458">
        <f t="shared" ref="L27" si="26">F27+F28</f>
        <v>23.7</v>
      </c>
      <c r="M27" s="2451">
        <f t="shared" ref="M27" si="27">K27+L27</f>
        <v>78.67</v>
      </c>
      <c r="N27" s="2458">
        <f>H27+H28</f>
        <v>74.033000000000001</v>
      </c>
      <c r="O27" s="2451">
        <f>M27-N27</f>
        <v>4.6370000000000005</v>
      </c>
      <c r="P27" s="2584">
        <f t="shared" ref="P27" si="28">N27/M27</f>
        <v>0.94105758230583447</v>
      </c>
      <c r="Q27" s="1980"/>
    </row>
    <row r="28" spans="1:17" ht="17.25" customHeight="1">
      <c r="A28" s="2553"/>
      <c r="B28" s="2578"/>
      <c r="C28" s="1001">
        <v>42064</v>
      </c>
      <c r="D28" s="1034">
        <v>42369</v>
      </c>
      <c r="E28" s="1442">
        <v>27.484999999999999</v>
      </c>
      <c r="F28" s="1450"/>
      <c r="G28" s="1035">
        <f>E28+F28+I27</f>
        <v>4.6370000000000005</v>
      </c>
      <c r="H28" s="1937"/>
      <c r="I28" s="1053">
        <f t="shared" si="18"/>
        <v>4.6370000000000005</v>
      </c>
      <c r="J28" s="1069">
        <f t="shared" si="19"/>
        <v>0</v>
      </c>
      <c r="K28" s="2475"/>
      <c r="L28" s="2469"/>
      <c r="M28" s="2583"/>
      <c r="N28" s="2469"/>
      <c r="O28" s="2583"/>
      <c r="P28" s="2572"/>
      <c r="Q28" s="1980"/>
    </row>
    <row r="29" spans="1:17" ht="17.25" customHeight="1">
      <c r="A29" s="2553"/>
      <c r="B29" s="2577" t="s">
        <v>14</v>
      </c>
      <c r="C29" s="1443">
        <v>42005</v>
      </c>
      <c r="D29" s="1444">
        <v>42063</v>
      </c>
      <c r="E29" s="1445">
        <v>0.03</v>
      </c>
      <c r="F29" s="1446"/>
      <c r="G29" s="1447">
        <f>E29+F29</f>
        <v>0.03</v>
      </c>
      <c r="H29" s="1446"/>
      <c r="I29" s="1448">
        <f t="shared" si="18"/>
        <v>0.03</v>
      </c>
      <c r="J29" s="1449">
        <f t="shared" si="19"/>
        <v>0</v>
      </c>
      <c r="K29" s="2474">
        <f>E29+E30</f>
        <v>0.06</v>
      </c>
      <c r="L29" s="2458">
        <f t="shared" ref="L29" si="29">F29+F30</f>
        <v>0</v>
      </c>
      <c r="M29" s="2451">
        <f t="shared" ref="M29" si="30">K29+L29</f>
        <v>0.06</v>
      </c>
      <c r="N29" s="2458">
        <f>H29+H30</f>
        <v>0</v>
      </c>
      <c r="O29" s="2451">
        <f>M29-N29</f>
        <v>0.06</v>
      </c>
      <c r="P29" s="2584">
        <f t="shared" ref="P29" si="31">N29/M29</f>
        <v>0</v>
      </c>
      <c r="Q29" s="1980"/>
    </row>
    <row r="30" spans="1:17" ht="17.25" customHeight="1" thickBot="1">
      <c r="A30" s="2554"/>
      <c r="B30" s="2588"/>
      <c r="C30" s="1016">
        <v>42064</v>
      </c>
      <c r="D30" s="1451">
        <v>42369</v>
      </c>
      <c r="E30" s="1452">
        <v>0.03</v>
      </c>
      <c r="F30" s="1453"/>
      <c r="G30" s="1454">
        <f>E30+F30+I29</f>
        <v>0.06</v>
      </c>
      <c r="H30" s="1935"/>
      <c r="I30" s="1455">
        <f t="shared" si="18"/>
        <v>0.06</v>
      </c>
      <c r="J30" s="1456">
        <f t="shared" si="19"/>
        <v>0</v>
      </c>
      <c r="K30" s="2488"/>
      <c r="L30" s="2586"/>
      <c r="M30" s="2587"/>
      <c r="N30" s="2586"/>
      <c r="O30" s="2587"/>
      <c r="P30" s="2595"/>
      <c r="Q30" s="1980"/>
    </row>
    <row r="31" spans="1:17" ht="17.25" customHeight="1" thickBot="1">
      <c r="A31" s="200"/>
      <c r="B31" s="1031"/>
      <c r="C31" s="1022"/>
      <c r="D31" s="1022"/>
      <c r="E31" s="1243"/>
      <c r="F31" s="1023"/>
      <c r="G31" s="1023"/>
      <c r="H31" s="1997">
        <f>SUM(H7:H30)</f>
        <v>598.45300000000009</v>
      </c>
      <c r="I31" s="1014"/>
      <c r="J31" s="1024"/>
      <c r="K31" s="1538">
        <f>SUM(K21:K30)</f>
        <v>238</v>
      </c>
      <c r="L31" s="1541">
        <f>SUM(L21:L30)</f>
        <v>0</v>
      </c>
      <c r="M31" s="1541">
        <f>SUM(M21:M30)</f>
        <v>238</v>
      </c>
      <c r="N31" s="1541">
        <f>SUM(N21:N30)</f>
        <v>226.94799999999998</v>
      </c>
      <c r="O31" s="1541">
        <f>SUM(O21:O30)</f>
        <v>11.051999999999994</v>
      </c>
      <c r="P31" s="1540">
        <f>+N31/M31</f>
        <v>0.95356302521008396</v>
      </c>
      <c r="Q31" s="1980"/>
    </row>
    <row r="32" spans="1:17" ht="15.75" thickBot="1">
      <c r="A32" s="1025"/>
      <c r="B32" s="1025"/>
      <c r="C32" s="1243"/>
      <c r="D32" s="1023"/>
      <c r="E32" s="1243"/>
      <c r="F32" s="1243"/>
      <c r="G32" s="1023"/>
      <c r="H32" s="1023"/>
      <c r="I32" s="1014"/>
      <c r="J32" s="1243"/>
      <c r="K32" s="1341"/>
      <c r="L32" s="1341"/>
      <c r="M32" s="1341"/>
      <c r="N32" s="1341"/>
      <c r="O32" s="29"/>
      <c r="P32" s="1341"/>
      <c r="Q32" s="1980"/>
    </row>
    <row r="33" spans="1:17" ht="15.75" customHeight="1">
      <c r="A33" s="2465" t="s">
        <v>285</v>
      </c>
      <c r="B33" s="2582" t="s">
        <v>43</v>
      </c>
      <c r="C33" s="996">
        <v>42005</v>
      </c>
      <c r="D33" s="1026">
        <v>42035</v>
      </c>
      <c r="E33" s="1032">
        <v>192.55099999999999</v>
      </c>
      <c r="F33" s="1033">
        <f>73.003+134.435+55.338+500+5.6+140+5.008+55.613-55.613</f>
        <v>913.38400000000001</v>
      </c>
      <c r="G33" s="1027">
        <f>E33+F33</f>
        <v>1105.9349999999999</v>
      </c>
      <c r="H33" s="1461"/>
      <c r="I33" s="1283">
        <f>G33-H33</f>
        <v>1105.9349999999999</v>
      </c>
      <c r="J33" s="1281">
        <f>H33/G33</f>
        <v>0</v>
      </c>
      <c r="K33" s="2551">
        <f>E33+E34</f>
        <v>549.98099999999999</v>
      </c>
      <c r="L33" s="2541">
        <f>F33+F34</f>
        <v>913.38400000000001</v>
      </c>
      <c r="M33" s="2493">
        <f>K33+L33</f>
        <v>1463.365</v>
      </c>
      <c r="N33" s="2541">
        <f>H33+H34</f>
        <v>1457.8110000000001</v>
      </c>
      <c r="O33" s="2493">
        <f>M33-N33</f>
        <v>5.5539999999998599</v>
      </c>
      <c r="P33" s="2571">
        <f>N33/M33</f>
        <v>0.99620463794063696</v>
      </c>
      <c r="Q33" s="1980"/>
    </row>
    <row r="34" spans="1:17" ht="15.75" customHeight="1">
      <c r="A34" s="2466"/>
      <c r="B34" s="2457"/>
      <c r="C34" s="1001">
        <v>42036</v>
      </c>
      <c r="D34" s="1877">
        <v>42369</v>
      </c>
      <c r="E34" s="1879">
        <v>357.43</v>
      </c>
      <c r="F34" s="1871"/>
      <c r="G34" s="1035">
        <f>E34+F34+I33</f>
        <v>1463.365</v>
      </c>
      <c r="H34" s="1600">
        <v>1457.8110000000001</v>
      </c>
      <c r="I34" s="1883">
        <f t="shared" ref="I34:I40" si="32">G34-H34</f>
        <v>5.5539999999998599</v>
      </c>
      <c r="J34" s="1287">
        <f t="shared" ref="J34:J48" si="33">H34/G34</f>
        <v>0.99620463794063696</v>
      </c>
      <c r="K34" s="2533"/>
      <c r="L34" s="2469"/>
      <c r="M34" s="2452"/>
      <c r="N34" s="2469"/>
      <c r="O34" s="2452"/>
      <c r="P34" s="2572"/>
      <c r="Q34" s="1980"/>
    </row>
    <row r="35" spans="1:17" ht="15.75" customHeight="1">
      <c r="A35" s="2466"/>
      <c r="B35" s="2456" t="s">
        <v>41</v>
      </c>
      <c r="C35" s="1443">
        <v>42005</v>
      </c>
      <c r="D35" s="1873">
        <v>42035</v>
      </c>
      <c r="E35" s="1874">
        <v>44.713000000000001</v>
      </c>
      <c r="F35" s="1469">
        <f>140.465+163.676+58.764+946.461+11.815+79.944+370+10.43+8.737</f>
        <v>1790.2920000000001</v>
      </c>
      <c r="G35" s="1447">
        <f>E35+F35</f>
        <v>1835.0050000000001</v>
      </c>
      <c r="H35" s="1463">
        <v>50.073</v>
      </c>
      <c r="I35" s="1531">
        <f t="shared" si="32"/>
        <v>1784.932</v>
      </c>
      <c r="J35" s="1530">
        <f t="shared" si="33"/>
        <v>2.7287664066310443E-2</v>
      </c>
      <c r="K35" s="2532">
        <f>E35+E36</f>
        <v>127.714</v>
      </c>
      <c r="L35" s="2458">
        <f t="shared" ref="L35" si="34">F35+F36</f>
        <v>1790.2920000000001</v>
      </c>
      <c r="M35" s="2451">
        <f t="shared" ref="M35" si="35">K35+L35</f>
        <v>1918.0060000000001</v>
      </c>
      <c r="N35" s="2458">
        <f>H35+H36</f>
        <v>1543.4420000000005</v>
      </c>
      <c r="O35" s="2451">
        <f>M35-N35</f>
        <v>374.56399999999962</v>
      </c>
      <c r="P35" s="2584">
        <f>N35/M35</f>
        <v>0.80471176836777381</v>
      </c>
      <c r="Q35" s="1980"/>
    </row>
    <row r="36" spans="1:17" ht="15.75" customHeight="1">
      <c r="A36" s="2466"/>
      <c r="B36" s="2457"/>
      <c r="C36" s="1001">
        <v>42036</v>
      </c>
      <c r="D36" s="1877">
        <v>42369</v>
      </c>
      <c r="E36" s="1870">
        <v>83.001000000000005</v>
      </c>
      <c r="F36" s="1871"/>
      <c r="G36" s="1035">
        <f>E36+F36+I35</f>
        <v>1867.933</v>
      </c>
      <c r="H36" s="1885">
        <v>1493.3690000000004</v>
      </c>
      <c r="I36" s="1883">
        <f>G36-H36</f>
        <v>374.56399999999962</v>
      </c>
      <c r="J36" s="1287">
        <f t="shared" si="33"/>
        <v>0.79947674782767919</v>
      </c>
      <c r="K36" s="2533"/>
      <c r="L36" s="2469"/>
      <c r="M36" s="2452"/>
      <c r="N36" s="2469"/>
      <c r="O36" s="2452"/>
      <c r="P36" s="2572"/>
      <c r="Q36" s="1980"/>
    </row>
    <row r="37" spans="1:17" ht="15.75" customHeight="1">
      <c r="A37" s="2466"/>
      <c r="B37" s="2456" t="s">
        <v>23</v>
      </c>
      <c r="C37" s="1443">
        <v>42005</v>
      </c>
      <c r="D37" s="1873">
        <v>42035</v>
      </c>
      <c r="E37" s="1874">
        <v>44.838000000000001</v>
      </c>
      <c r="F37" s="1469">
        <v>-128</v>
      </c>
      <c r="G37" s="1447">
        <f>E37+F37</f>
        <v>-83.162000000000006</v>
      </c>
      <c r="H37" s="1464"/>
      <c r="I37" s="1531">
        <f t="shared" si="32"/>
        <v>-83.162000000000006</v>
      </c>
      <c r="J37" s="1530">
        <f t="shared" si="33"/>
        <v>0</v>
      </c>
      <c r="K37" s="2532">
        <f>E37+E38</f>
        <v>128.071</v>
      </c>
      <c r="L37" s="2458">
        <f t="shared" ref="L37" si="36">F37+F38</f>
        <v>-128</v>
      </c>
      <c r="M37" s="2451">
        <f t="shared" ref="M37" si="37">K37+L37</f>
        <v>7.0999999999997954E-2</v>
      </c>
      <c r="N37" s="2458">
        <f>H37+H38</f>
        <v>0</v>
      </c>
      <c r="O37" s="2451">
        <f>M37-N37</f>
        <v>7.0999999999997954E-2</v>
      </c>
      <c r="P37" s="2584">
        <f t="shared" ref="P37" si="38">N37/M37</f>
        <v>0</v>
      </c>
      <c r="Q37" s="1980"/>
    </row>
    <row r="38" spans="1:17" ht="15.75" customHeight="1">
      <c r="A38" s="2466"/>
      <c r="B38" s="2457"/>
      <c r="C38" s="1001">
        <v>42036</v>
      </c>
      <c r="D38" s="1877">
        <v>42369</v>
      </c>
      <c r="E38" s="1870">
        <v>83.233000000000004</v>
      </c>
      <c r="F38" s="1871"/>
      <c r="G38" s="1035">
        <f>E38+F38+I37</f>
        <v>7.0999999999997954E-2</v>
      </c>
      <c r="H38" s="1462"/>
      <c r="I38" s="1883">
        <f t="shared" si="32"/>
        <v>7.0999999999997954E-2</v>
      </c>
      <c r="J38" s="1884">
        <f t="shared" si="33"/>
        <v>0</v>
      </c>
      <c r="K38" s="2533"/>
      <c r="L38" s="2469"/>
      <c r="M38" s="2452"/>
      <c r="N38" s="2469"/>
      <c r="O38" s="2452"/>
      <c r="P38" s="2572"/>
      <c r="Q38" s="1980"/>
    </row>
    <row r="39" spans="1:17" ht="15.75" customHeight="1">
      <c r="A39" s="2466"/>
      <c r="B39" s="2456" t="s">
        <v>45</v>
      </c>
      <c r="C39" s="1443">
        <v>42005</v>
      </c>
      <c r="D39" s="1873">
        <v>42035</v>
      </c>
      <c r="E39" s="1874">
        <v>528.37300000000005</v>
      </c>
      <c r="F39" s="1469">
        <f>64.108+18.6+71.024+6.667+7.506-100-21+11</f>
        <v>57.905000000000001</v>
      </c>
      <c r="G39" s="1447">
        <f>E39+F39</f>
        <v>586.27800000000002</v>
      </c>
      <c r="H39" s="1465">
        <v>33.625</v>
      </c>
      <c r="I39" s="1531">
        <f t="shared" si="32"/>
        <v>552.65300000000002</v>
      </c>
      <c r="J39" s="1287">
        <f t="shared" si="33"/>
        <v>5.7353337495181463E-2</v>
      </c>
      <c r="K39" s="2532">
        <f>E39+E40</f>
        <v>1509.1880000000001</v>
      </c>
      <c r="L39" s="2458">
        <f t="shared" ref="L39" si="39">F39+F40</f>
        <v>57.905000000000001</v>
      </c>
      <c r="M39" s="2451">
        <f t="shared" ref="M39" si="40">K39+L39</f>
        <v>1567.0930000000001</v>
      </c>
      <c r="N39" s="2458">
        <f>H39+H40</f>
        <v>1601.9979999999998</v>
      </c>
      <c r="O39" s="2451">
        <f>M39-N39</f>
        <v>-34.904999999999745</v>
      </c>
      <c r="P39" s="2584">
        <f t="shared" ref="P39" si="41">N39/M39</f>
        <v>1.0222737259371331</v>
      </c>
      <c r="Q39" s="1980"/>
    </row>
    <row r="40" spans="1:17" ht="15.75" customHeight="1">
      <c r="A40" s="2466"/>
      <c r="B40" s="2457"/>
      <c r="C40" s="1011">
        <v>42036</v>
      </c>
      <c r="D40" s="1037">
        <v>42369</v>
      </c>
      <c r="E40" s="1013">
        <v>980.81500000000005</v>
      </c>
      <c r="F40" s="1038"/>
      <c r="G40" s="1023">
        <f>E40+F40+I39</f>
        <v>1533.4680000000001</v>
      </c>
      <c r="H40" s="1807">
        <v>1568.3729999999998</v>
      </c>
      <c r="I40" s="1284">
        <f t="shared" si="32"/>
        <v>-34.904999999999745</v>
      </c>
      <c r="J40" s="1287">
        <f t="shared" si="33"/>
        <v>1.0227621313258572</v>
      </c>
      <c r="K40" s="2535"/>
      <c r="L40" s="2459"/>
      <c r="M40" s="2460"/>
      <c r="N40" s="2459"/>
      <c r="O40" s="2460"/>
      <c r="P40" s="2590"/>
      <c r="Q40" s="1980"/>
    </row>
    <row r="41" spans="1:17" ht="15.75" customHeight="1">
      <c r="A41" s="2466"/>
      <c r="B41" s="2456" t="s">
        <v>122</v>
      </c>
      <c r="C41" s="1443">
        <v>42005</v>
      </c>
      <c r="D41" s="1873">
        <v>42035</v>
      </c>
      <c r="E41" s="1874">
        <v>699.38900000000001</v>
      </c>
      <c r="F41" s="1469">
        <f>700+138+130+90-100+21-21</f>
        <v>958</v>
      </c>
      <c r="G41" s="1447">
        <f>E41+F41</f>
        <v>1657.3890000000001</v>
      </c>
      <c r="H41" s="1465"/>
      <c r="I41" s="1531">
        <f>G41-H41</f>
        <v>1657.3890000000001</v>
      </c>
      <c r="J41" s="1530">
        <f>H41/G41</f>
        <v>0</v>
      </c>
      <c r="K41" s="2532">
        <f>E41+E42</f>
        <v>1997.6590000000001</v>
      </c>
      <c r="L41" s="2458">
        <f t="shared" ref="L41" si="42">F41+F42</f>
        <v>958</v>
      </c>
      <c r="M41" s="2451">
        <f t="shared" ref="M41" si="43">K41+L41</f>
        <v>2955.6590000000001</v>
      </c>
      <c r="N41" s="2458">
        <f>H41+H42</f>
        <v>2898.6840000000002</v>
      </c>
      <c r="O41" s="2451">
        <f>M41-N41</f>
        <v>56.974999999999909</v>
      </c>
      <c r="P41" s="2584">
        <f t="shared" ref="P41" si="44">N41/M41</f>
        <v>0.98072341904123583</v>
      </c>
      <c r="Q41" s="1980"/>
    </row>
    <row r="42" spans="1:17" ht="15.75" customHeight="1">
      <c r="A42" s="2466"/>
      <c r="B42" s="2457"/>
      <c r="C42" s="1001">
        <v>42036</v>
      </c>
      <c r="D42" s="1877">
        <v>42369</v>
      </c>
      <c r="E42" s="1870">
        <v>1298.27</v>
      </c>
      <c r="F42" s="1871"/>
      <c r="G42" s="1035">
        <f>E42+F42+I41</f>
        <v>2955.6590000000001</v>
      </c>
      <c r="H42" s="2076">
        <v>2898.6840000000002</v>
      </c>
      <c r="I42" s="1883">
        <f>G42-H42</f>
        <v>56.974999999999909</v>
      </c>
      <c r="J42" s="1884">
        <f>H42/G42</f>
        <v>0.98072341904123583</v>
      </c>
      <c r="K42" s="2533"/>
      <c r="L42" s="2469"/>
      <c r="M42" s="2452"/>
      <c r="N42" s="2469"/>
      <c r="O42" s="2452"/>
      <c r="P42" s="2572"/>
      <c r="Q42" s="1980"/>
    </row>
    <row r="43" spans="1:17" ht="15.75" customHeight="1">
      <c r="A43" s="2466"/>
      <c r="B43" s="2456" t="s">
        <v>138</v>
      </c>
      <c r="C43" s="1443">
        <v>42005</v>
      </c>
      <c r="D43" s="1873">
        <v>42035</v>
      </c>
      <c r="E43" s="1874">
        <v>0</v>
      </c>
      <c r="F43" s="1469">
        <v>0.17252000000000001</v>
      </c>
      <c r="G43" s="1447">
        <f>E43+F43</f>
        <v>0.17252000000000001</v>
      </c>
      <c r="H43" s="1466"/>
      <c r="I43" s="1531">
        <f>G43-H43</f>
        <v>0.17252000000000001</v>
      </c>
      <c r="J43" s="1287">
        <f>H43/G43</f>
        <v>0</v>
      </c>
      <c r="K43" s="2458">
        <f t="shared" ref="K43" si="45">E43+E44</f>
        <v>0</v>
      </c>
      <c r="L43" s="2451">
        <f t="shared" ref="L43" si="46">F43+F44</f>
        <v>0.17252000000000001</v>
      </c>
      <c r="M43" s="2458">
        <f t="shared" ref="M43" si="47">K43+L43</f>
        <v>0.17252000000000001</v>
      </c>
      <c r="N43" s="2461">
        <f>H43+H44</f>
        <v>3.2000000000000001E-2</v>
      </c>
      <c r="O43" s="2451">
        <f>M43-N43</f>
        <v>0.14052000000000001</v>
      </c>
      <c r="P43" s="2463">
        <f t="shared" ref="P43" si="48">N43/M43</f>
        <v>0.18548574078367724</v>
      </c>
      <c r="Q43" s="1980"/>
    </row>
    <row r="44" spans="1:17" ht="15.75" customHeight="1">
      <c r="A44" s="2466"/>
      <c r="B44" s="2457"/>
      <c r="C44" s="1011">
        <v>42036</v>
      </c>
      <c r="D44" s="1037">
        <v>42369</v>
      </c>
      <c r="E44" s="1013">
        <v>0</v>
      </c>
      <c r="F44" s="1038"/>
      <c r="G44" s="1023">
        <f>E44+F44+I43</f>
        <v>0.17252000000000001</v>
      </c>
      <c r="H44" s="1600">
        <v>3.2000000000000001E-2</v>
      </c>
      <c r="I44" s="1284">
        <f>G44-H44</f>
        <v>0.14052000000000001</v>
      </c>
      <c r="J44" s="1287">
        <f>H44/G44</f>
        <v>0.18548574078367724</v>
      </c>
      <c r="K44" s="2459"/>
      <c r="L44" s="2460"/>
      <c r="M44" s="2459"/>
      <c r="N44" s="2462"/>
      <c r="O44" s="2460"/>
      <c r="P44" s="2464"/>
      <c r="Q44" s="1980"/>
    </row>
    <row r="45" spans="1:17" ht="15.75" customHeight="1">
      <c r="A45" s="2466"/>
      <c r="B45" s="2614" t="s">
        <v>35</v>
      </c>
      <c r="C45" s="1443">
        <v>42005</v>
      </c>
      <c r="D45" s="1873">
        <v>42035</v>
      </c>
      <c r="E45" s="1878">
        <v>7.5999999999999998E-2</v>
      </c>
      <c r="F45" s="1469"/>
      <c r="G45" s="1447">
        <f>E45+F45</f>
        <v>7.5999999999999998E-2</v>
      </c>
      <c r="H45" s="1467"/>
      <c r="I45" s="1531">
        <f t="shared" ref="I45:I46" si="49">G45-H45</f>
        <v>7.5999999999999998E-2</v>
      </c>
      <c r="J45" s="1530">
        <f t="shared" ref="J45:J46" si="50">H45/G45</f>
        <v>0</v>
      </c>
      <c r="K45" s="2532">
        <f>E45+E46</f>
        <v>0.21600000000000003</v>
      </c>
      <c r="L45" s="2458">
        <f t="shared" ref="L45" si="51">F45+F46</f>
        <v>0</v>
      </c>
      <c r="M45" s="2451">
        <f t="shared" ref="M45" si="52">K45+L45</f>
        <v>0.21600000000000003</v>
      </c>
      <c r="N45" s="2458">
        <f>H45+H46</f>
        <v>0</v>
      </c>
      <c r="O45" s="2451">
        <f>M45-N45</f>
        <v>0.21600000000000003</v>
      </c>
      <c r="P45" s="2584">
        <f t="shared" ref="P45" si="53">N45/M45</f>
        <v>0</v>
      </c>
      <c r="Q45" s="1980"/>
    </row>
    <row r="46" spans="1:17" ht="15.75" customHeight="1">
      <c r="A46" s="2466"/>
      <c r="B46" s="2519"/>
      <c r="C46" s="1001">
        <v>42036</v>
      </c>
      <c r="D46" s="1877">
        <v>42369</v>
      </c>
      <c r="E46" s="1879">
        <v>0.14000000000000001</v>
      </c>
      <c r="F46" s="1871"/>
      <c r="G46" s="1035">
        <f>E46+F46+I45</f>
        <v>0.21600000000000003</v>
      </c>
      <c r="H46" s="1868"/>
      <c r="I46" s="1883">
        <f t="shared" si="49"/>
        <v>0.21600000000000003</v>
      </c>
      <c r="J46" s="1884">
        <f t="shared" si="50"/>
        <v>0</v>
      </c>
      <c r="K46" s="2533"/>
      <c r="L46" s="2469"/>
      <c r="M46" s="2452"/>
      <c r="N46" s="2469"/>
      <c r="O46" s="2452"/>
      <c r="P46" s="2572"/>
      <c r="Q46" s="1980"/>
    </row>
    <row r="47" spans="1:17" ht="15.75" customHeight="1">
      <c r="A47" s="2466"/>
      <c r="B47" s="2456" t="s">
        <v>571</v>
      </c>
      <c r="C47" s="1443">
        <v>42005</v>
      </c>
      <c r="D47" s="1873">
        <v>42035</v>
      </c>
      <c r="E47" s="1878">
        <v>0.06</v>
      </c>
      <c r="F47" s="1469">
        <f>-0.17252</f>
        <v>-0.17252000000000001</v>
      </c>
      <c r="G47" s="1447">
        <f>E47+F47</f>
        <v>-0.11252000000000001</v>
      </c>
      <c r="H47" s="1467"/>
      <c r="I47" s="1531">
        <f t="shared" ref="I47:I48" si="54">G47-H47</f>
        <v>-0.11252000000000001</v>
      </c>
      <c r="J47" s="1530">
        <f t="shared" si="33"/>
        <v>0</v>
      </c>
      <c r="K47" s="2532">
        <f>E47+E48</f>
        <v>0.17199999999999999</v>
      </c>
      <c r="L47" s="2451">
        <f t="shared" ref="L47" si="55">F47+F48</f>
        <v>-0.17252000000000001</v>
      </c>
      <c r="M47" s="2451">
        <f t="shared" ref="M47" si="56">K47+L47</f>
        <v>-5.2000000000002045E-4</v>
      </c>
      <c r="N47" s="2451">
        <f>H47+H48</f>
        <v>0</v>
      </c>
      <c r="O47" s="2451">
        <f>M47-N47</f>
        <v>-5.2000000000002045E-4</v>
      </c>
      <c r="P47" s="2596">
        <f t="shared" ref="P47" si="57">N47/M47</f>
        <v>0</v>
      </c>
      <c r="Q47" s="1980"/>
    </row>
    <row r="48" spans="1:17" ht="15.75" customHeight="1" thickBot="1">
      <c r="A48" s="2467"/>
      <c r="B48" s="2539"/>
      <c r="C48" s="1016">
        <v>42036</v>
      </c>
      <c r="D48" s="1989">
        <v>42369</v>
      </c>
      <c r="E48" s="2077">
        <v>0.112</v>
      </c>
      <c r="F48" s="1042"/>
      <c r="G48" s="1930">
        <f>E48+F48+I47</f>
        <v>-5.2000000000000657E-4</v>
      </c>
      <c r="H48" s="1615"/>
      <c r="I48" s="1280">
        <f t="shared" si="54"/>
        <v>-5.2000000000000657E-4</v>
      </c>
      <c r="J48" s="1286">
        <f t="shared" si="33"/>
        <v>0</v>
      </c>
      <c r="K48" s="2540"/>
      <c r="L48" s="2489"/>
      <c r="M48" s="2489"/>
      <c r="N48" s="2489"/>
      <c r="O48" s="2489"/>
      <c r="P48" s="2597"/>
      <c r="Q48" s="1980"/>
    </row>
    <row r="49" spans="1:62" s="402" customFormat="1" ht="15.75" customHeight="1" thickBot="1">
      <c r="A49" s="200"/>
      <c r="B49" s="1043"/>
      <c r="C49" s="1022"/>
      <c r="D49" s="1022"/>
      <c r="E49" s="1243"/>
      <c r="F49" s="1243"/>
      <c r="G49" s="1023"/>
      <c r="H49" s="1243"/>
      <c r="I49" s="1014"/>
      <c r="J49" s="1024"/>
      <c r="K49" s="1629">
        <f>SUM(K33:K48)</f>
        <v>4313.0010000000002</v>
      </c>
      <c r="L49" s="1630">
        <f>SUM(L33:L48)</f>
        <v>3591.5810000000006</v>
      </c>
      <c r="M49" s="1630">
        <f>SUM(M33:M48)</f>
        <v>7904.5820000000003</v>
      </c>
      <c r="N49" s="1630">
        <f>SUM(N33:N48)</f>
        <v>7501.9670000000006</v>
      </c>
      <c r="O49" s="1630">
        <f>SUM(O33:O48)</f>
        <v>402.61499999999967</v>
      </c>
      <c r="P49" s="1628">
        <f>+N49/M49</f>
        <v>0.94906561789099031</v>
      </c>
      <c r="Q49" s="1980"/>
      <c r="R49" s="1979"/>
      <c r="S49" s="1979"/>
      <c r="T49" s="1979"/>
      <c r="U49" s="1979"/>
      <c r="V49" s="1979"/>
      <c r="W49" s="1979"/>
      <c r="X49" s="1979"/>
      <c r="Y49" s="1979"/>
      <c r="Z49" s="1979"/>
      <c r="AA49" s="1979"/>
      <c r="AB49" s="1979"/>
      <c r="AC49" s="1979"/>
      <c r="AD49" s="1979"/>
      <c r="AE49" s="1979"/>
      <c r="AF49" s="1979"/>
      <c r="AG49" s="1979"/>
      <c r="AH49" s="1979"/>
      <c r="AI49" s="1979"/>
      <c r="AJ49" s="1979"/>
      <c r="AK49" s="1979"/>
      <c r="AL49" s="1979"/>
      <c r="AM49" s="1979"/>
      <c r="AN49" s="1979"/>
      <c r="AO49" s="1979"/>
      <c r="AP49" s="1979"/>
      <c r="AQ49" s="1979"/>
      <c r="AR49" s="1979"/>
      <c r="AS49" s="1979"/>
      <c r="AT49" s="1979"/>
      <c r="AU49" s="1979"/>
      <c r="AV49" s="1979"/>
      <c r="AW49" s="1979"/>
      <c r="AX49" s="1979"/>
      <c r="AY49" s="1979"/>
      <c r="AZ49" s="1979"/>
      <c r="BA49" s="1979"/>
      <c r="BB49" s="1979"/>
      <c r="BC49" s="1979"/>
      <c r="BD49" s="1979"/>
      <c r="BE49" s="1979"/>
      <c r="BF49" s="1979"/>
      <c r="BG49" s="1979"/>
      <c r="BH49" s="1979"/>
      <c r="BI49" s="1979"/>
      <c r="BJ49" s="1979"/>
    </row>
    <row r="50" spans="1:62" ht="15.75" thickBot="1">
      <c r="A50" s="1044"/>
      <c r="B50" s="1025"/>
      <c r="C50" s="1243"/>
      <c r="D50" s="1023"/>
      <c r="E50" s="1243"/>
      <c r="F50" s="1243"/>
      <c r="G50" s="1023"/>
      <c r="H50" s="1045"/>
      <c r="I50" s="1014"/>
      <c r="J50" s="1243"/>
      <c r="K50" s="1341"/>
      <c r="L50" s="1341"/>
      <c r="M50" s="1341"/>
      <c r="N50" s="1341"/>
      <c r="O50" s="29"/>
      <c r="P50" s="1542"/>
      <c r="Q50" s="1980"/>
    </row>
    <row r="51" spans="1:62" ht="15.75" customHeight="1">
      <c r="A51" s="2555" t="s">
        <v>284</v>
      </c>
      <c r="B51" s="2536" t="s">
        <v>43</v>
      </c>
      <c r="C51" s="996">
        <v>42005</v>
      </c>
      <c r="D51" s="1026">
        <v>42035</v>
      </c>
      <c r="E51" s="1047">
        <v>280.48899999999998</v>
      </c>
      <c r="F51" s="1033">
        <f>206.443+107.167-500-140+26.307+5.008+55.613+4.445</f>
        <v>-235.017</v>
      </c>
      <c r="G51" s="1027">
        <f>E51+F51</f>
        <v>45.47199999999998</v>
      </c>
      <c r="H51" s="1033"/>
      <c r="I51" s="1048">
        <f>G51-H51</f>
        <v>45.47199999999998</v>
      </c>
      <c r="J51" s="1029">
        <f>H51/G51</f>
        <v>0</v>
      </c>
      <c r="K51" s="2515">
        <f>E51+E52</f>
        <v>801.64599999999996</v>
      </c>
      <c r="L51" s="2493">
        <f>F51+F52</f>
        <v>-235.017</v>
      </c>
      <c r="M51" s="2541">
        <f>K51+L51</f>
        <v>566.62899999999991</v>
      </c>
      <c r="N51" s="2493">
        <f>H51+H52</f>
        <v>563.57900000000006</v>
      </c>
      <c r="O51" s="2541">
        <f>M51-N51</f>
        <v>3.0499999999998408</v>
      </c>
      <c r="P51" s="2571">
        <f>N51/M51</f>
        <v>0.99461728926687509</v>
      </c>
      <c r="Q51" s="1980"/>
    </row>
    <row r="52" spans="1:62" ht="15.75" customHeight="1">
      <c r="A52" s="2556"/>
      <c r="B52" s="2537"/>
      <c r="C52" s="1001">
        <v>41671</v>
      </c>
      <c r="D52" s="1034">
        <v>42369</v>
      </c>
      <c r="E52" s="1870">
        <v>521.15700000000004</v>
      </c>
      <c r="F52" s="1871"/>
      <c r="G52" s="1035">
        <f>E52+F52+I51</f>
        <v>566.62900000000002</v>
      </c>
      <c r="H52" s="1807">
        <v>563.57900000000006</v>
      </c>
      <c r="I52" s="1872">
        <f t="shared" ref="I52:I56" si="58">G52-H52</f>
        <v>3.0499999999999545</v>
      </c>
      <c r="J52" s="1024">
        <f t="shared" ref="J52:J56" si="59">H52/G52</f>
        <v>0.99461728926687487</v>
      </c>
      <c r="K52" s="2471"/>
      <c r="L52" s="2452"/>
      <c r="M52" s="2469"/>
      <c r="N52" s="2452"/>
      <c r="O52" s="2469"/>
      <c r="P52" s="2572"/>
      <c r="Q52" s="1980"/>
    </row>
    <row r="53" spans="1:62" ht="15.75" customHeight="1">
      <c r="A53" s="2556"/>
      <c r="B53" s="2538" t="s">
        <v>41</v>
      </c>
      <c r="C53" s="1443">
        <v>42005</v>
      </c>
      <c r="D53" s="1873">
        <v>42035</v>
      </c>
      <c r="E53" s="1874">
        <v>0.54200000000000004</v>
      </c>
      <c r="F53" s="1469"/>
      <c r="G53" s="1447">
        <f>E53+F53</f>
        <v>0.54200000000000004</v>
      </c>
      <c r="H53" s="1446"/>
      <c r="I53" s="1875">
        <f t="shared" si="58"/>
        <v>0.54200000000000004</v>
      </c>
      <c r="J53" s="1876">
        <f t="shared" si="59"/>
        <v>0</v>
      </c>
      <c r="K53" s="2470">
        <f>E53+E54</f>
        <v>1.5489999999999999</v>
      </c>
      <c r="L53" s="2451">
        <f t="shared" ref="L53" si="60">F53+F54</f>
        <v>0</v>
      </c>
      <c r="M53" s="2458">
        <f t="shared" ref="M53" si="61">K53+L53</f>
        <v>1.5489999999999999</v>
      </c>
      <c r="N53" s="2451">
        <f>H53+H54</f>
        <v>0</v>
      </c>
      <c r="O53" s="2458">
        <f>M53-N53</f>
        <v>1.5489999999999999</v>
      </c>
      <c r="P53" s="2584">
        <f t="shared" ref="P53" si="62">N53/M53</f>
        <v>0</v>
      </c>
      <c r="Q53" s="1980"/>
    </row>
    <row r="54" spans="1:62" ht="15.75" customHeight="1">
      <c r="A54" s="2556"/>
      <c r="B54" s="2537"/>
      <c r="C54" s="1001">
        <v>41671</v>
      </c>
      <c r="D54" s="1877">
        <v>42369</v>
      </c>
      <c r="E54" s="1870">
        <v>1.0069999999999999</v>
      </c>
      <c r="F54" s="1871"/>
      <c r="G54" s="1035">
        <f>E54+F54+I53</f>
        <v>1.5489999999999999</v>
      </c>
      <c r="H54" s="1937"/>
      <c r="I54" s="1292">
        <f t="shared" si="58"/>
        <v>1.5489999999999999</v>
      </c>
      <c r="J54" s="1036">
        <f t="shared" si="59"/>
        <v>0</v>
      </c>
      <c r="K54" s="2471"/>
      <c r="L54" s="2452"/>
      <c r="M54" s="2469"/>
      <c r="N54" s="2452"/>
      <c r="O54" s="2469"/>
      <c r="P54" s="2572"/>
      <c r="Q54" s="1980"/>
    </row>
    <row r="55" spans="1:62" ht="15.75" customHeight="1">
      <c r="A55" s="2556"/>
      <c r="B55" s="2538" t="s">
        <v>23</v>
      </c>
      <c r="C55" s="1443">
        <v>42005</v>
      </c>
      <c r="D55" s="1873">
        <v>42035</v>
      </c>
      <c r="E55" s="1874">
        <v>157.92699999999999</v>
      </c>
      <c r="F55" s="1469"/>
      <c r="G55" s="1447">
        <f>E55+F55</f>
        <v>157.92699999999999</v>
      </c>
      <c r="H55" s="1469"/>
      <c r="I55" s="1875">
        <f t="shared" si="58"/>
        <v>157.92699999999999</v>
      </c>
      <c r="J55" s="1876">
        <f t="shared" si="59"/>
        <v>0</v>
      </c>
      <c r="K55" s="2470">
        <f>E55+E56</f>
        <v>451.36</v>
      </c>
      <c r="L55" s="2451">
        <f>F55+F56</f>
        <v>175.7</v>
      </c>
      <c r="M55" s="2458">
        <f t="shared" ref="M55" si="63">K55+L55</f>
        <v>627.05999999999995</v>
      </c>
      <c r="N55" s="2451">
        <f>H55+H56</f>
        <v>333.38099999999997</v>
      </c>
      <c r="O55" s="2458">
        <f>M55-N55</f>
        <v>293.67899999999997</v>
      </c>
      <c r="P55" s="2584">
        <f t="shared" ref="P55" si="64">N55/M55</f>
        <v>0.53165725767869099</v>
      </c>
      <c r="Q55" s="1980"/>
    </row>
    <row r="56" spans="1:62" ht="15.75" customHeight="1">
      <c r="A56" s="2556"/>
      <c r="B56" s="2537"/>
      <c r="C56" s="1001">
        <v>41671</v>
      </c>
      <c r="D56" s="1877">
        <v>42369</v>
      </c>
      <c r="E56" s="1870">
        <v>293.43299999999999</v>
      </c>
      <c r="F56" s="1871">
        <f>47.7+128</f>
        <v>175.7</v>
      </c>
      <c r="G56" s="1035">
        <f>E56+F56+I55</f>
        <v>627.05999999999995</v>
      </c>
      <c r="H56" s="1807">
        <v>333.38099999999997</v>
      </c>
      <c r="I56" s="1872">
        <f t="shared" si="58"/>
        <v>293.67899999999997</v>
      </c>
      <c r="J56" s="1036">
        <f t="shared" si="59"/>
        <v>0.53165725767869099</v>
      </c>
      <c r="K56" s="2471"/>
      <c r="L56" s="2452"/>
      <c r="M56" s="2469"/>
      <c r="N56" s="2452"/>
      <c r="O56" s="2469"/>
      <c r="P56" s="2572"/>
      <c r="Q56" s="1980"/>
    </row>
    <row r="57" spans="1:62" ht="15.75" customHeight="1">
      <c r="A57" s="2556"/>
      <c r="B57" s="2538" t="s">
        <v>122</v>
      </c>
      <c r="C57" s="1443">
        <v>42005</v>
      </c>
      <c r="D57" s="1873">
        <v>42035</v>
      </c>
      <c r="E57" s="1878">
        <v>522.005</v>
      </c>
      <c r="F57" s="1469">
        <f>1129.586-36.282-700-138-130-90+21</f>
        <v>56.304000000000087</v>
      </c>
      <c r="G57" s="1447">
        <f>E57+F57</f>
        <v>578.30900000000008</v>
      </c>
      <c r="H57" s="1469"/>
      <c r="I57" s="1875">
        <f>G57-H57</f>
        <v>578.30900000000008</v>
      </c>
      <c r="J57" s="1876">
        <f>H57/G57</f>
        <v>0</v>
      </c>
      <c r="K57" s="2470">
        <f>E57+E58</f>
        <v>1491.9059999999999</v>
      </c>
      <c r="L57" s="2451">
        <f t="shared" ref="L57" si="65">F57+F58</f>
        <v>56.304000000000087</v>
      </c>
      <c r="M57" s="2458">
        <f t="shared" ref="M57" si="66">K57+L57</f>
        <v>1548.21</v>
      </c>
      <c r="N57" s="2451">
        <f>H57+H58</f>
        <v>1530.7950000000001</v>
      </c>
      <c r="O57" s="2458">
        <f>M57-N57</f>
        <v>17.414999999999964</v>
      </c>
      <c r="P57" s="2584">
        <f t="shared" ref="P57" si="67">N57/M57</f>
        <v>0.9887515259557812</v>
      </c>
      <c r="Q57" s="1980"/>
    </row>
    <row r="58" spans="1:62" ht="15.75" customHeight="1">
      <c r="A58" s="2556"/>
      <c r="B58" s="2537"/>
      <c r="C58" s="1001">
        <v>41671</v>
      </c>
      <c r="D58" s="1877">
        <v>42369</v>
      </c>
      <c r="E58" s="1879">
        <v>969.90099999999995</v>
      </c>
      <c r="F58" s="1871"/>
      <c r="G58" s="1035">
        <f>E58+F58+I57</f>
        <v>1548.21</v>
      </c>
      <c r="H58" s="2076">
        <v>1530.7950000000001</v>
      </c>
      <c r="I58" s="1872">
        <f>G58-H58</f>
        <v>17.414999999999964</v>
      </c>
      <c r="J58" s="1024">
        <f>H58/G58</f>
        <v>0.9887515259557812</v>
      </c>
      <c r="K58" s="2471"/>
      <c r="L58" s="2452"/>
      <c r="M58" s="2469"/>
      <c r="N58" s="2452"/>
      <c r="O58" s="2469"/>
      <c r="P58" s="2572"/>
      <c r="Q58" s="1980"/>
    </row>
    <row r="59" spans="1:62" ht="15.75" customHeight="1">
      <c r="A59" s="2556"/>
      <c r="B59" s="2538" t="s">
        <v>45</v>
      </c>
      <c r="C59" s="1443">
        <v>42005</v>
      </c>
      <c r="D59" s="1873">
        <v>42035</v>
      </c>
      <c r="E59" s="1874">
        <v>4.0380000000000003</v>
      </c>
      <c r="F59" s="1469">
        <v>-11</v>
      </c>
      <c r="G59" s="1447">
        <f>E59+F59</f>
        <v>-6.9619999999999997</v>
      </c>
      <c r="H59" s="1471"/>
      <c r="I59" s="1292">
        <f>G59-H59</f>
        <v>-6.9619999999999997</v>
      </c>
      <c r="J59" s="1876">
        <f>H59/G59</f>
        <v>0</v>
      </c>
      <c r="K59" s="2470">
        <f>E59+E60</f>
        <v>11.54</v>
      </c>
      <c r="L59" s="2451">
        <f t="shared" ref="L59" si="68">F59+F60</f>
        <v>-11</v>
      </c>
      <c r="M59" s="2458">
        <f t="shared" ref="M59" si="69">K59+L59</f>
        <v>0.53999999999999915</v>
      </c>
      <c r="N59" s="2451">
        <f>H59+H60</f>
        <v>0</v>
      </c>
      <c r="O59" s="2458">
        <f>M59-N59</f>
        <v>0.53999999999999915</v>
      </c>
      <c r="P59" s="2584">
        <f t="shared" ref="P59" si="70">N59/M59</f>
        <v>0</v>
      </c>
      <c r="Q59" s="1980"/>
    </row>
    <row r="60" spans="1:62" ht="15.75" customHeight="1" thickBot="1">
      <c r="A60" s="2557"/>
      <c r="B60" s="2579"/>
      <c r="C60" s="1016">
        <v>41671</v>
      </c>
      <c r="D60" s="1880">
        <v>42369</v>
      </c>
      <c r="E60" s="1452">
        <v>7.5019999999999998</v>
      </c>
      <c r="F60" s="1042"/>
      <c r="G60" s="1881">
        <f>E60+F60+I59</f>
        <v>0.54</v>
      </c>
      <c r="H60" s="1030"/>
      <c r="I60" s="1882">
        <f>G60-H60</f>
        <v>0.54</v>
      </c>
      <c r="J60" s="1039">
        <f>H60/G60</f>
        <v>0</v>
      </c>
      <c r="K60" s="2512"/>
      <c r="L60" s="2489"/>
      <c r="M60" s="2534"/>
      <c r="N60" s="2489"/>
      <c r="O60" s="2534"/>
      <c r="P60" s="2595"/>
      <c r="Q60" s="1980"/>
    </row>
    <row r="61" spans="1:62" ht="15.75" customHeight="1" thickBot="1">
      <c r="A61" s="200"/>
      <c r="B61" s="1046"/>
      <c r="C61" s="1022"/>
      <c r="D61" s="1022"/>
      <c r="E61" s="1243"/>
      <c r="F61" s="1243"/>
      <c r="G61" s="1023"/>
      <c r="H61" s="1998">
        <f>SUM(H33:H60)</f>
        <v>9929.7219999999998</v>
      </c>
      <c r="I61" s="1014"/>
      <c r="J61" s="1024"/>
      <c r="K61" s="1631">
        <f>SUM(K51:K60)</f>
        <v>2758.0009999999997</v>
      </c>
      <c r="L61" s="1539">
        <f>SUM(L51:L60)</f>
        <v>-14.01299999999992</v>
      </c>
      <c r="M61" s="1539">
        <f>SUM(M51:M60)</f>
        <v>2743.9879999999998</v>
      </c>
      <c r="N61" s="1539">
        <f>SUM(N51:N60)</f>
        <v>2427.7550000000001</v>
      </c>
      <c r="O61" s="1539">
        <f>SUM(O51:O60)</f>
        <v>316.23299999999978</v>
      </c>
      <c r="P61" s="1540">
        <f>+N61/M61</f>
        <v>0.88475423361909755</v>
      </c>
      <c r="Q61" s="1980"/>
    </row>
    <row r="62" spans="1:62" ht="15.75" thickBot="1">
      <c r="A62" s="391"/>
      <c r="B62" s="391"/>
      <c r="C62" s="1243"/>
      <c r="D62" s="1023"/>
      <c r="E62" s="1243"/>
      <c r="F62" s="1243"/>
      <c r="G62" s="1023"/>
      <c r="H62" s="1045"/>
      <c r="I62" s="1014"/>
      <c r="J62" s="1243"/>
      <c r="K62" s="1542"/>
      <c r="L62" s="1542"/>
      <c r="M62" s="1542"/>
      <c r="N62" s="1542"/>
      <c r="O62" s="1542"/>
      <c r="P62" s="311"/>
      <c r="Q62" s="1980"/>
    </row>
    <row r="63" spans="1:62" ht="15.75" customHeight="1">
      <c r="A63" s="2548" t="s">
        <v>24</v>
      </c>
      <c r="B63" s="2574" t="s">
        <v>43</v>
      </c>
      <c r="C63" s="996">
        <v>42005</v>
      </c>
      <c r="D63" s="1026">
        <v>42094</v>
      </c>
      <c r="E63" s="1047">
        <v>4221.2049999999999</v>
      </c>
      <c r="F63" s="1033"/>
      <c r="G63" s="1027">
        <f>E63+F63</f>
        <v>4221.2049999999999</v>
      </c>
      <c r="H63" s="1033"/>
      <c r="I63" s="1048">
        <f>G63-H63</f>
        <v>4221.2049999999999</v>
      </c>
      <c r="J63" s="1049">
        <f>H63/G63</f>
        <v>0</v>
      </c>
      <c r="K63" s="2515">
        <f>E63+E64</f>
        <v>11502.934000000001</v>
      </c>
      <c r="L63" s="2529">
        <f>F63+F64</f>
        <v>0</v>
      </c>
      <c r="M63" s="2531">
        <f>K63+L63</f>
        <v>11502.934000000001</v>
      </c>
      <c r="N63" s="2493">
        <f>H63+H64</f>
        <v>8265.4290000000001</v>
      </c>
      <c r="O63" s="2541">
        <f>M63-N63</f>
        <v>3237.505000000001</v>
      </c>
      <c r="P63" s="2571">
        <f>N63/M63</f>
        <v>0.71854963264155036</v>
      </c>
      <c r="Q63" s="1980"/>
    </row>
    <row r="64" spans="1:62" ht="15.75" customHeight="1">
      <c r="A64" s="2549"/>
      <c r="B64" s="2575"/>
      <c r="C64" s="1001">
        <v>42095</v>
      </c>
      <c r="D64" s="1877">
        <v>42369</v>
      </c>
      <c r="E64" s="1870">
        <v>7281.7290000000003</v>
      </c>
      <c r="F64" s="1871"/>
      <c r="G64" s="1035">
        <f>E64+F64+I63</f>
        <v>11502.934000000001</v>
      </c>
      <c r="H64" s="1807">
        <v>8265.4290000000001</v>
      </c>
      <c r="I64" s="1872">
        <f>G64-H64</f>
        <v>3237.505000000001</v>
      </c>
      <c r="J64" s="2078">
        <f>H64/G64</f>
        <v>0.71854963264155036</v>
      </c>
      <c r="K64" s="2471"/>
      <c r="L64" s="2452"/>
      <c r="M64" s="2469"/>
      <c r="N64" s="2452"/>
      <c r="O64" s="2469"/>
      <c r="P64" s="2572"/>
      <c r="Q64" s="1980"/>
    </row>
    <row r="65" spans="1:62" ht="15.75" customHeight="1">
      <c r="A65" s="2549"/>
      <c r="B65" s="2576" t="s">
        <v>41</v>
      </c>
      <c r="C65" s="1443">
        <v>42005</v>
      </c>
      <c r="D65" s="1873">
        <v>42094</v>
      </c>
      <c r="E65" s="1874">
        <v>0.124</v>
      </c>
      <c r="F65" s="1469"/>
      <c r="G65" s="1447">
        <f>E65+F65</f>
        <v>0.124</v>
      </c>
      <c r="H65" s="1471"/>
      <c r="I65" s="1875">
        <f t="shared" ref="I65:I70" si="71">G65-H65</f>
        <v>0.124</v>
      </c>
      <c r="J65" s="2079">
        <f t="shared" ref="J65:J70" si="72">H65/G65</f>
        <v>0</v>
      </c>
      <c r="K65" s="2470">
        <f t="shared" ref="K65" si="73">E65+E66</f>
        <v>0.33799999999999997</v>
      </c>
      <c r="L65" s="2530">
        <f t="shared" ref="L65" si="74">F65+F66</f>
        <v>0</v>
      </c>
      <c r="M65" s="2527">
        <f t="shared" ref="M65" si="75">K65+L65</f>
        <v>0.33799999999999997</v>
      </c>
      <c r="N65" s="2451">
        <f>H65+H66</f>
        <v>4.5999999999999999E-2</v>
      </c>
      <c r="O65" s="2458">
        <f>M65-N65</f>
        <v>0.29199999999999998</v>
      </c>
      <c r="P65" s="2584">
        <f t="shared" ref="P65" si="76">N65/M65</f>
        <v>0.13609467455621302</v>
      </c>
      <c r="Q65" s="1980"/>
    </row>
    <row r="66" spans="1:62" ht="15.75" customHeight="1">
      <c r="A66" s="2549"/>
      <c r="B66" s="2575"/>
      <c r="C66" s="1001">
        <v>42095</v>
      </c>
      <c r="D66" s="1877">
        <v>42369</v>
      </c>
      <c r="E66" s="1870">
        <v>0.214</v>
      </c>
      <c r="F66" s="1871"/>
      <c r="G66" s="1035">
        <f>E66+F66+I65</f>
        <v>0.33799999999999997</v>
      </c>
      <c r="H66" s="1943">
        <f>0.019+0.027</f>
        <v>4.5999999999999999E-2</v>
      </c>
      <c r="I66" s="1872">
        <f t="shared" si="71"/>
        <v>0.29199999999999998</v>
      </c>
      <c r="J66" s="2078">
        <f t="shared" si="72"/>
        <v>0.13609467455621302</v>
      </c>
      <c r="K66" s="2471"/>
      <c r="L66" s="2452"/>
      <c r="M66" s="2469"/>
      <c r="N66" s="2452"/>
      <c r="O66" s="2469"/>
      <c r="P66" s="2572"/>
      <c r="Q66" s="1980"/>
    </row>
    <row r="67" spans="1:62" ht="15.75" customHeight="1">
      <c r="A67" s="2549"/>
      <c r="B67" s="2576" t="s">
        <v>122</v>
      </c>
      <c r="C67" s="1443">
        <v>42005</v>
      </c>
      <c r="D67" s="1873">
        <v>42094</v>
      </c>
      <c r="E67" s="1874">
        <v>4.3310000000000004</v>
      </c>
      <c r="F67" s="1469"/>
      <c r="G67" s="1447">
        <f>E67+F67</f>
        <v>4.3310000000000004</v>
      </c>
      <c r="H67" s="1496">
        <v>7.0999999999999994E-2</v>
      </c>
      <c r="I67" s="1875">
        <f t="shared" si="71"/>
        <v>4.2600000000000007</v>
      </c>
      <c r="J67" s="2079">
        <f t="shared" si="72"/>
        <v>1.6393442622950817E-2</v>
      </c>
      <c r="K67" s="2470">
        <f t="shared" ref="K67" si="77">E67+E68</f>
        <v>11.802</v>
      </c>
      <c r="L67" s="2530">
        <f t="shared" ref="L67" si="78">F67+F68</f>
        <v>0</v>
      </c>
      <c r="M67" s="2527">
        <f t="shared" ref="M67" si="79">K67+L67</f>
        <v>11.802</v>
      </c>
      <c r="N67" s="2451">
        <f>H67+H68</f>
        <v>5.3409999999999993</v>
      </c>
      <c r="O67" s="2458">
        <f>M67-N67</f>
        <v>6.4610000000000003</v>
      </c>
      <c r="P67" s="2584">
        <f t="shared" ref="P67" si="80">N67/M67</f>
        <v>0.45255041518386707</v>
      </c>
      <c r="Q67" s="1980"/>
    </row>
    <row r="68" spans="1:62" ht="15.75" customHeight="1">
      <c r="A68" s="2549"/>
      <c r="B68" s="2575"/>
      <c r="C68" s="1001">
        <v>42095</v>
      </c>
      <c r="D68" s="1877">
        <v>42369</v>
      </c>
      <c r="E68" s="1870">
        <v>7.4710000000000001</v>
      </c>
      <c r="F68" s="1871"/>
      <c r="G68" s="1035">
        <f>E68+F68+I67</f>
        <v>11.731000000000002</v>
      </c>
      <c r="H68" s="1807">
        <v>5.27</v>
      </c>
      <c r="I68" s="1872">
        <f t="shared" si="71"/>
        <v>6.4610000000000021</v>
      </c>
      <c r="J68" s="2078">
        <f t="shared" si="72"/>
        <v>0.44923706418890108</v>
      </c>
      <c r="K68" s="2471"/>
      <c r="L68" s="2452"/>
      <c r="M68" s="2469"/>
      <c r="N68" s="2452"/>
      <c r="O68" s="2469"/>
      <c r="P68" s="2572"/>
      <c r="Q68" s="1980"/>
    </row>
    <row r="69" spans="1:62" ht="15.75" customHeight="1">
      <c r="A69" s="2549"/>
      <c r="B69" s="2576" t="s">
        <v>45</v>
      </c>
      <c r="C69" s="1443">
        <v>42005</v>
      </c>
      <c r="D69" s="1873">
        <v>42094</v>
      </c>
      <c r="E69" s="1874">
        <v>0.34</v>
      </c>
      <c r="F69" s="1469"/>
      <c r="G69" s="1447">
        <f>E69+F69</f>
        <v>0.34</v>
      </c>
      <c r="H69" s="1471"/>
      <c r="I69" s="1875">
        <f t="shared" si="71"/>
        <v>0.34</v>
      </c>
      <c r="J69" s="2079">
        <f t="shared" si="72"/>
        <v>0</v>
      </c>
      <c r="K69" s="2470">
        <f t="shared" ref="K69" si="81">E69+E70</f>
        <v>0.92599999999999993</v>
      </c>
      <c r="L69" s="2530">
        <f t="shared" ref="L69" si="82">F69+F70</f>
        <v>0</v>
      </c>
      <c r="M69" s="2527">
        <f t="shared" ref="M69" si="83">K69+L69</f>
        <v>0.92599999999999993</v>
      </c>
      <c r="N69" s="2451">
        <f>H69+H70</f>
        <v>0.17799999999999999</v>
      </c>
      <c r="O69" s="2458">
        <f>M69-N69</f>
        <v>0.748</v>
      </c>
      <c r="P69" s="2584">
        <f t="shared" ref="P69" si="84">N69/M69</f>
        <v>0.19222462203023757</v>
      </c>
      <c r="Q69" s="1980"/>
    </row>
    <row r="70" spans="1:62" ht="15.75" customHeight="1" thickBot="1">
      <c r="A70" s="2550"/>
      <c r="B70" s="2580"/>
      <c r="C70" s="1016">
        <v>42095</v>
      </c>
      <c r="D70" s="1989">
        <v>42369</v>
      </c>
      <c r="E70" s="1990">
        <v>0.58599999999999997</v>
      </c>
      <c r="F70" s="1042"/>
      <c r="G70" s="1930">
        <f>E70+F70+I69</f>
        <v>0.92599999999999993</v>
      </c>
      <c r="H70" s="2080">
        <v>0.17799999999999999</v>
      </c>
      <c r="I70" s="1882">
        <f t="shared" si="71"/>
        <v>0.748</v>
      </c>
      <c r="J70" s="2081">
        <f t="shared" si="72"/>
        <v>0.19222462203023757</v>
      </c>
      <c r="K70" s="2512"/>
      <c r="L70" s="2489"/>
      <c r="M70" s="2528"/>
      <c r="N70" s="2489"/>
      <c r="O70" s="2528"/>
      <c r="P70" s="2595"/>
      <c r="Q70" s="1980"/>
    </row>
    <row r="71" spans="1:62" s="402" customFormat="1" ht="15.75" customHeight="1" thickBot="1">
      <c r="A71" s="200"/>
      <c r="B71" s="1050"/>
      <c r="C71" s="1022"/>
      <c r="D71" s="1022"/>
      <c r="E71" s="1243"/>
      <c r="F71" s="1243"/>
      <c r="G71" s="1023"/>
      <c r="H71" s="1999">
        <f>SUM(H63:H70)</f>
        <v>8270.9940000000006</v>
      </c>
      <c r="I71" s="1014"/>
      <c r="J71" s="1051"/>
      <c r="K71" s="1632">
        <f>SUM(K63:K70)</f>
        <v>11516</v>
      </c>
      <c r="L71" s="1633">
        <f t="shared" ref="L71:O71" si="85">SUM(L63:L70)</f>
        <v>0</v>
      </c>
      <c r="M71" s="1633">
        <f t="shared" si="85"/>
        <v>11516</v>
      </c>
      <c r="N71" s="1633">
        <f>SUM(N63:N70)</f>
        <v>8270.9940000000006</v>
      </c>
      <c r="O71" s="1633">
        <f t="shared" si="85"/>
        <v>3245.0060000000008</v>
      </c>
      <c r="P71" s="1634">
        <f>+N71/M71</f>
        <v>0.71821761028134778</v>
      </c>
      <c r="Q71" s="1980"/>
      <c r="R71" s="1979"/>
      <c r="S71" s="1979"/>
      <c r="T71" s="1979"/>
      <c r="U71" s="1979"/>
      <c r="V71" s="1979"/>
      <c r="W71" s="1979"/>
      <c r="X71" s="1979"/>
      <c r="Y71" s="1979"/>
      <c r="Z71" s="1979"/>
      <c r="AA71" s="1979"/>
      <c r="AB71" s="1979"/>
      <c r="AC71" s="1979"/>
      <c r="AD71" s="1979"/>
      <c r="AE71" s="1979"/>
      <c r="AF71" s="1979"/>
      <c r="AG71" s="1979"/>
      <c r="AH71" s="1979"/>
      <c r="AI71" s="1979"/>
      <c r="AJ71" s="1979"/>
      <c r="AK71" s="1979"/>
      <c r="AL71" s="1979"/>
      <c r="AM71" s="1979"/>
      <c r="AN71" s="1979"/>
      <c r="AO71" s="1979"/>
      <c r="AP71" s="1979"/>
      <c r="AQ71" s="1979"/>
      <c r="AR71" s="1979"/>
      <c r="AS71" s="1979"/>
      <c r="AT71" s="1979"/>
      <c r="AU71" s="1979"/>
      <c r="AV71" s="1979"/>
      <c r="AW71" s="1979"/>
      <c r="AX71" s="1979"/>
      <c r="AY71" s="1979"/>
      <c r="AZ71" s="1979"/>
      <c r="BA71" s="1979"/>
      <c r="BB71" s="1979"/>
      <c r="BC71" s="1979"/>
      <c r="BD71" s="1979"/>
      <c r="BE71" s="1979"/>
      <c r="BF71" s="1979"/>
      <c r="BG71" s="1979"/>
      <c r="BH71" s="1979"/>
      <c r="BI71" s="1979"/>
      <c r="BJ71" s="1979"/>
    </row>
    <row r="72" spans="1:62" ht="15.75" thickBot="1">
      <c r="A72" s="391"/>
      <c r="B72" s="391"/>
      <c r="C72" s="1243"/>
      <c r="D72" s="1023"/>
      <c r="E72" s="1243"/>
      <c r="F72" s="1243"/>
      <c r="G72" s="1023"/>
      <c r="H72" s="1045"/>
      <c r="I72" s="1014"/>
      <c r="J72" s="1243"/>
      <c r="K72" s="1542"/>
      <c r="L72" s="1542"/>
      <c r="M72" s="1542"/>
      <c r="N72" s="1542"/>
      <c r="O72" s="1542"/>
      <c r="P72" s="311"/>
      <c r="Q72" s="1980"/>
    </row>
    <row r="73" spans="1:62" ht="14.1" customHeight="1">
      <c r="A73" s="2453" t="s">
        <v>25</v>
      </c>
      <c r="B73" s="2581" t="s">
        <v>35</v>
      </c>
      <c r="C73" s="996">
        <v>42005</v>
      </c>
      <c r="D73" s="1026">
        <v>42094</v>
      </c>
      <c r="E73" s="1047">
        <v>1253.1320000000001</v>
      </c>
      <c r="F73" s="1033">
        <v>-0.24399999999999999</v>
      </c>
      <c r="G73" s="1027">
        <f>E73+F73</f>
        <v>1252.8880000000001</v>
      </c>
      <c r="H73" s="1291"/>
      <c r="I73" s="1028">
        <f>G73-H73</f>
        <v>1252.8880000000001</v>
      </c>
      <c r="J73" s="1052">
        <f>H73/G73</f>
        <v>0</v>
      </c>
      <c r="K73" s="2515">
        <f>E73+E74</f>
        <v>3132.895</v>
      </c>
      <c r="L73" s="2493">
        <f>F73+F74</f>
        <v>-0.24399999999999999</v>
      </c>
      <c r="M73" s="2541">
        <f>K73+L73</f>
        <v>3132.6509999999998</v>
      </c>
      <c r="N73" s="2598">
        <f>H73+H74</f>
        <v>0</v>
      </c>
      <c r="O73" s="2493">
        <f>M73-N73</f>
        <v>3132.6509999999998</v>
      </c>
      <c r="P73" s="2599">
        <f>N73/M73</f>
        <v>0</v>
      </c>
      <c r="Q73" s="1980"/>
    </row>
    <row r="74" spans="1:62" ht="15" customHeight="1">
      <c r="A74" s="2454"/>
      <c r="B74" s="2519"/>
      <c r="C74" s="1001">
        <v>42095</v>
      </c>
      <c r="D74" s="1877">
        <v>42369</v>
      </c>
      <c r="E74" s="1870">
        <v>1879.7629999999999</v>
      </c>
      <c r="F74" s="1871"/>
      <c r="G74" s="1035">
        <f>E74+F74+I73</f>
        <v>3132.6509999999998</v>
      </c>
      <c r="H74" s="1944"/>
      <c r="I74" s="1924">
        <f t="shared" ref="I74:I109" si="86">G74-H74</f>
        <v>3132.6509999999998</v>
      </c>
      <c r="J74" s="1933">
        <f t="shared" ref="J74:J110" si="87">H74/G74</f>
        <v>0</v>
      </c>
      <c r="K74" s="2471"/>
      <c r="L74" s="2452"/>
      <c r="M74" s="2469"/>
      <c r="N74" s="2472"/>
      <c r="O74" s="2452"/>
      <c r="P74" s="2600"/>
      <c r="Q74" s="1980"/>
    </row>
    <row r="75" spans="1:62" ht="15" customHeight="1">
      <c r="A75" s="2454"/>
      <c r="B75" s="2522" t="s">
        <v>47</v>
      </c>
      <c r="C75" s="1960">
        <v>42005</v>
      </c>
      <c r="D75" s="1961">
        <v>42094</v>
      </c>
      <c r="E75" s="1962">
        <v>302.58</v>
      </c>
      <c r="F75" s="1963">
        <f>-0.483-0.241+6.088-0.72399-755.742+949.506-949.505</f>
        <v>-751.10099000000002</v>
      </c>
      <c r="G75" s="1964">
        <f>E75+F75</f>
        <v>-448.52099000000004</v>
      </c>
      <c r="H75" s="1963">
        <v>61.820999999999998</v>
      </c>
      <c r="I75" s="1965">
        <f t="shared" si="86"/>
        <v>-510.34199000000001</v>
      </c>
      <c r="J75" s="1966">
        <f t="shared" si="87"/>
        <v>-0.13783301423641287</v>
      </c>
      <c r="K75" s="2520">
        <f t="shared" ref="K75" si="88">E75+E76</f>
        <v>756.46600000000001</v>
      </c>
      <c r="L75" s="2495">
        <f t="shared" ref="L75" si="89">F75+F76</f>
        <v>-751.10099000000002</v>
      </c>
      <c r="M75" s="2525">
        <f t="shared" ref="M75" si="90">K75+L75</f>
        <v>5.3650099999999838</v>
      </c>
      <c r="N75" s="2601">
        <f>H75+H76</f>
        <v>67.795000000000002</v>
      </c>
      <c r="O75" s="2495">
        <f>M75-N75</f>
        <v>-62.429990000000018</v>
      </c>
      <c r="P75" s="2603">
        <f>N75/M75</f>
        <v>12.636509531203149</v>
      </c>
      <c r="Q75" s="1980"/>
    </row>
    <row r="76" spans="1:62" ht="15" customHeight="1">
      <c r="A76" s="2454"/>
      <c r="B76" s="2523"/>
      <c r="C76" s="1954">
        <v>42095</v>
      </c>
      <c r="D76" s="1957">
        <v>42369</v>
      </c>
      <c r="E76" s="1958">
        <v>453.88600000000002</v>
      </c>
      <c r="F76" s="1959"/>
      <c r="G76" s="1967">
        <f>E76+F76+I75</f>
        <v>-56.455989999999986</v>
      </c>
      <c r="H76" s="1956">
        <v>5.9740000000000002</v>
      </c>
      <c r="I76" s="1952">
        <f>G76-H76</f>
        <v>-62.429989999999989</v>
      </c>
      <c r="J76" s="1968">
        <f>H76/G76</f>
        <v>-0.10581693811409563</v>
      </c>
      <c r="K76" s="2521"/>
      <c r="L76" s="2496"/>
      <c r="M76" s="2526"/>
      <c r="N76" s="2602"/>
      <c r="O76" s="2496"/>
      <c r="P76" s="2604"/>
      <c r="Q76" s="1980"/>
    </row>
    <row r="77" spans="1:62" ht="15" customHeight="1">
      <c r="A77" s="2454"/>
      <c r="B77" s="2518" t="s">
        <v>8</v>
      </c>
      <c r="C77" s="1443">
        <v>42005</v>
      </c>
      <c r="D77" s="1873">
        <v>42094</v>
      </c>
      <c r="E77" s="1874">
        <v>2167.3249999999998</v>
      </c>
      <c r="F77" s="1469">
        <f>-3490.893-212.373-1715.159+0.72399</f>
        <v>-5417.7010099999998</v>
      </c>
      <c r="G77" s="1926">
        <f>E77+F77</f>
        <v>-3250.37601</v>
      </c>
      <c r="H77" s="1469"/>
      <c r="I77" s="1927">
        <f t="shared" si="86"/>
        <v>-3250.37601</v>
      </c>
      <c r="J77" s="1929">
        <f>H77/G77</f>
        <v>0</v>
      </c>
      <c r="K77" s="2470">
        <f t="shared" ref="K77" si="91">E77+E78</f>
        <v>5418.4249999999993</v>
      </c>
      <c r="L77" s="2451">
        <f t="shared" ref="L77" si="92">F77+F78</f>
        <v>-5417.7010099999998</v>
      </c>
      <c r="M77" s="2468">
        <f t="shared" ref="M77" si="93">K77+L77</f>
        <v>0.7239899999995032</v>
      </c>
      <c r="N77" s="2461">
        <f>H77+H78</f>
        <v>0</v>
      </c>
      <c r="O77" s="2451">
        <f>M77-N77</f>
        <v>0.7239899999995032</v>
      </c>
      <c r="P77" s="2584">
        <f>N77/M77</f>
        <v>0</v>
      </c>
      <c r="Q77" s="1980"/>
    </row>
    <row r="78" spans="1:62" ht="15" customHeight="1">
      <c r="A78" s="2454"/>
      <c r="B78" s="2519"/>
      <c r="C78" s="1001">
        <v>42095</v>
      </c>
      <c r="D78" s="1877">
        <v>42369</v>
      </c>
      <c r="E78" s="1870">
        <v>3251.1</v>
      </c>
      <c r="F78" s="1871"/>
      <c r="G78" s="1035">
        <f>E78+F78+I77</f>
        <v>0.72398999999995794</v>
      </c>
      <c r="H78" s="1944"/>
      <c r="I78" s="1924">
        <f>G78-H78</f>
        <v>0.72398999999995794</v>
      </c>
      <c r="J78" s="1933">
        <f>H78/G78</f>
        <v>0</v>
      </c>
      <c r="K78" s="2471"/>
      <c r="L78" s="2452"/>
      <c r="M78" s="2469"/>
      <c r="N78" s="2472"/>
      <c r="O78" s="2452"/>
      <c r="P78" s="2572"/>
      <c r="Q78" s="1980"/>
    </row>
    <row r="79" spans="1:62" ht="15" customHeight="1">
      <c r="A79" s="2454"/>
      <c r="B79" s="2518" t="s">
        <v>126</v>
      </c>
      <c r="C79" s="1443">
        <v>42005</v>
      </c>
      <c r="D79" s="1873">
        <v>42094</v>
      </c>
      <c r="E79" s="1874">
        <v>320.399</v>
      </c>
      <c r="F79" s="1469">
        <v>-320.399</v>
      </c>
      <c r="G79" s="1926">
        <f>E79+F79</f>
        <v>0</v>
      </c>
      <c r="H79" s="1471"/>
      <c r="I79" s="1927">
        <f t="shared" si="86"/>
        <v>0</v>
      </c>
      <c r="J79" s="1929" t="e">
        <f t="shared" si="87"/>
        <v>#DIV/0!</v>
      </c>
      <c r="K79" s="2470">
        <f t="shared" ref="K79" si="94">E79+E80</f>
        <v>801.01299999999992</v>
      </c>
      <c r="L79" s="2451">
        <f t="shared" ref="L79" si="95">F79+F80</f>
        <v>-801.01299999999992</v>
      </c>
      <c r="M79" s="2468">
        <f t="shared" ref="M79" si="96">K79+L79</f>
        <v>0</v>
      </c>
      <c r="N79" s="2461">
        <f>H79+H80</f>
        <v>0</v>
      </c>
      <c r="O79" s="2451">
        <f>M79-N79</f>
        <v>0</v>
      </c>
      <c r="P79" s="2463" t="e">
        <f t="shared" ref="P79" si="97">N79/M79</f>
        <v>#DIV/0!</v>
      </c>
      <c r="Q79" s="1980"/>
    </row>
    <row r="80" spans="1:62" ht="15" customHeight="1">
      <c r="A80" s="2454"/>
      <c r="B80" s="2519"/>
      <c r="C80" s="1001">
        <v>42095</v>
      </c>
      <c r="D80" s="1877">
        <v>42369</v>
      </c>
      <c r="E80" s="1870">
        <v>480.61399999999998</v>
      </c>
      <c r="F80" s="1871">
        <v>-480.61399999999998</v>
      </c>
      <c r="G80" s="1035">
        <f>E80+F80+I79</f>
        <v>0</v>
      </c>
      <c r="H80" s="1944"/>
      <c r="I80" s="1924">
        <f t="shared" si="86"/>
        <v>0</v>
      </c>
      <c r="J80" s="1933" t="e">
        <f t="shared" si="87"/>
        <v>#DIV/0!</v>
      </c>
      <c r="K80" s="2471"/>
      <c r="L80" s="2452"/>
      <c r="M80" s="2469"/>
      <c r="N80" s="2472"/>
      <c r="O80" s="2452"/>
      <c r="P80" s="2600"/>
      <c r="Q80" s="1980"/>
    </row>
    <row r="81" spans="1:17" ht="15" customHeight="1">
      <c r="A81" s="2454"/>
      <c r="B81" s="2518" t="s">
        <v>37</v>
      </c>
      <c r="C81" s="1443">
        <v>42005</v>
      </c>
      <c r="D81" s="1873">
        <v>42094</v>
      </c>
      <c r="E81" s="1874">
        <v>0.193</v>
      </c>
      <c r="F81" s="1469">
        <f>-0.193</f>
        <v>-0.193</v>
      </c>
      <c r="G81" s="1926">
        <f>E81+F81</f>
        <v>0</v>
      </c>
      <c r="H81" s="1471"/>
      <c r="I81" s="1927">
        <f t="shared" si="86"/>
        <v>0</v>
      </c>
      <c r="J81" s="1929" t="e">
        <f t="shared" si="87"/>
        <v>#DIV/0!</v>
      </c>
      <c r="K81" s="2470">
        <f t="shared" ref="K81" si="98">E81+E82</f>
        <v>0.48299999999999998</v>
      </c>
      <c r="L81" s="2451">
        <f t="shared" ref="L81" si="99">F81+F82</f>
        <v>-0.48299999999999998</v>
      </c>
      <c r="M81" s="2468">
        <f t="shared" ref="M81" si="100">K81+L81</f>
        <v>0</v>
      </c>
      <c r="N81" s="2461">
        <f>H81+H82</f>
        <v>0</v>
      </c>
      <c r="O81" s="2451">
        <f>M81-N81</f>
        <v>0</v>
      </c>
      <c r="P81" s="2463" t="e">
        <f t="shared" ref="P81" si="101">N81/M81</f>
        <v>#DIV/0!</v>
      </c>
      <c r="Q81" s="1980"/>
    </row>
    <row r="82" spans="1:17" ht="15" customHeight="1">
      <c r="A82" s="2454"/>
      <c r="B82" s="2519"/>
      <c r="C82" s="1001">
        <v>42095</v>
      </c>
      <c r="D82" s="1877">
        <v>42369</v>
      </c>
      <c r="E82" s="1870">
        <v>0.28999999999999998</v>
      </c>
      <c r="F82" s="1871">
        <v>-0.28999999999999998</v>
      </c>
      <c r="G82" s="1035">
        <f>E82+F82+I81</f>
        <v>0</v>
      </c>
      <c r="H82" s="1944"/>
      <c r="I82" s="1924">
        <f t="shared" si="86"/>
        <v>0</v>
      </c>
      <c r="J82" s="1933" t="e">
        <f t="shared" si="87"/>
        <v>#DIV/0!</v>
      </c>
      <c r="K82" s="2471"/>
      <c r="L82" s="2452"/>
      <c r="M82" s="2469"/>
      <c r="N82" s="2472"/>
      <c r="O82" s="2452"/>
      <c r="P82" s="2600"/>
      <c r="Q82" s="1980"/>
    </row>
    <row r="83" spans="1:17" ht="15" customHeight="1">
      <c r="A83" s="2454"/>
      <c r="B83" s="2518" t="s">
        <v>33</v>
      </c>
      <c r="C83" s="1443">
        <v>42005</v>
      </c>
      <c r="D83" s="1873">
        <v>42094</v>
      </c>
      <c r="E83" s="1874">
        <v>52.707999999999998</v>
      </c>
      <c r="F83" s="1469"/>
      <c r="G83" s="1926">
        <f>E83+F83</f>
        <v>52.707999999999998</v>
      </c>
      <c r="H83" s="1446"/>
      <c r="I83" s="1927">
        <f t="shared" si="86"/>
        <v>52.707999999999998</v>
      </c>
      <c r="J83" s="1929">
        <f t="shared" si="87"/>
        <v>0</v>
      </c>
      <c r="K83" s="2470">
        <f t="shared" ref="K83" si="102">E83+E84</f>
        <v>131.773</v>
      </c>
      <c r="L83" s="2451">
        <f t="shared" ref="L83" si="103">F83+F84</f>
        <v>0</v>
      </c>
      <c r="M83" s="2468">
        <f t="shared" ref="M83" si="104">K83+L83</f>
        <v>131.773</v>
      </c>
      <c r="N83" s="2461">
        <f>H83+H84</f>
        <v>0</v>
      </c>
      <c r="O83" s="2451">
        <f>M83-N83</f>
        <v>131.773</v>
      </c>
      <c r="P83" s="2463">
        <f t="shared" ref="P83" si="105">N83/M83</f>
        <v>0</v>
      </c>
      <c r="Q83" s="1980"/>
    </row>
    <row r="84" spans="1:17" ht="15" customHeight="1">
      <c r="A84" s="2454"/>
      <c r="B84" s="2519"/>
      <c r="C84" s="1001">
        <v>42095</v>
      </c>
      <c r="D84" s="1877">
        <v>42369</v>
      </c>
      <c r="E84" s="1870">
        <v>79.064999999999998</v>
      </c>
      <c r="F84" s="1871"/>
      <c r="G84" s="1035">
        <f>E84+F84+I83</f>
        <v>131.773</v>
      </c>
      <c r="H84" s="1937"/>
      <c r="I84" s="1924">
        <f t="shared" si="86"/>
        <v>131.773</v>
      </c>
      <c r="J84" s="1933">
        <f t="shared" si="87"/>
        <v>0</v>
      </c>
      <c r="K84" s="2471"/>
      <c r="L84" s="2452"/>
      <c r="M84" s="2469"/>
      <c r="N84" s="2472"/>
      <c r="O84" s="2452"/>
      <c r="P84" s="2600"/>
      <c r="Q84" s="1980"/>
    </row>
    <row r="85" spans="1:17" ht="15" customHeight="1">
      <c r="A85" s="2454"/>
      <c r="B85" s="2518" t="s">
        <v>42</v>
      </c>
      <c r="C85" s="1443">
        <v>42005</v>
      </c>
      <c r="D85" s="1873">
        <v>42094</v>
      </c>
      <c r="E85" s="1874">
        <v>536.851</v>
      </c>
      <c r="F85" s="1471">
        <f>1715.159-407-400+989.965-500</f>
        <v>1398.1240000000003</v>
      </c>
      <c r="G85" s="1926">
        <f>E85+F85</f>
        <v>1934.9750000000004</v>
      </c>
      <c r="H85" s="1038">
        <v>1553.374</v>
      </c>
      <c r="I85" s="1927">
        <f t="shared" si="86"/>
        <v>381.60100000000034</v>
      </c>
      <c r="J85" s="1929">
        <f t="shared" si="87"/>
        <v>0.80278763291515376</v>
      </c>
      <c r="K85" s="2470">
        <f t="shared" ref="K85" si="106">E85+E86</f>
        <v>1342.155</v>
      </c>
      <c r="L85" s="2451">
        <f t="shared" ref="L85" si="107">F85+F86</f>
        <v>1398.1240000000003</v>
      </c>
      <c r="M85" s="2468">
        <f t="shared" ref="M85" si="108">K85+L85</f>
        <v>2740.2790000000005</v>
      </c>
      <c r="N85" s="2461">
        <f>H85+H86</f>
        <v>2318.9560000000001</v>
      </c>
      <c r="O85" s="2451">
        <f>M85-N85</f>
        <v>421.32300000000032</v>
      </c>
      <c r="P85" s="2463">
        <f t="shared" ref="P85" si="109">N85/M85</f>
        <v>0.8462481375071661</v>
      </c>
      <c r="Q85" s="1980"/>
    </row>
    <row r="86" spans="1:17" ht="15" customHeight="1">
      <c r="A86" s="2454"/>
      <c r="B86" s="2519"/>
      <c r="C86" s="1001">
        <v>42095</v>
      </c>
      <c r="D86" s="1877">
        <v>42369</v>
      </c>
      <c r="E86" s="1870">
        <v>805.30399999999997</v>
      </c>
      <c r="F86" s="1871"/>
      <c r="G86" s="1035">
        <f>E86+F86+I85</f>
        <v>1186.9050000000002</v>
      </c>
      <c r="H86" s="1807">
        <v>765.58199999999999</v>
      </c>
      <c r="I86" s="1924">
        <f t="shared" si="86"/>
        <v>421.32300000000021</v>
      </c>
      <c r="J86" s="1933">
        <f t="shared" si="87"/>
        <v>0.64502382246262324</v>
      </c>
      <c r="K86" s="2471"/>
      <c r="L86" s="2452"/>
      <c r="M86" s="2469"/>
      <c r="N86" s="2472"/>
      <c r="O86" s="2452"/>
      <c r="P86" s="2600"/>
      <c r="Q86" s="1980"/>
    </row>
    <row r="87" spans="1:17" ht="15" customHeight="1">
      <c r="A87" s="2454"/>
      <c r="B87" s="2518" t="s">
        <v>46</v>
      </c>
      <c r="C87" s="1443">
        <v>42005</v>
      </c>
      <c r="D87" s="1873">
        <v>42094</v>
      </c>
      <c r="E87" s="1874">
        <v>2.9159999999999999</v>
      </c>
      <c r="F87" s="1469">
        <v>-2.9159999999999999</v>
      </c>
      <c r="G87" s="1926">
        <f>E87+F87</f>
        <v>0</v>
      </c>
      <c r="H87" s="1446"/>
      <c r="I87" s="1927">
        <f t="shared" si="86"/>
        <v>0</v>
      </c>
      <c r="J87" s="1929" t="e">
        <f>H87/G87</f>
        <v>#DIV/0!</v>
      </c>
      <c r="K87" s="2470">
        <f t="shared" ref="K87" si="110">E87+E88</f>
        <v>7.2899999999999991</v>
      </c>
      <c r="L87" s="2451">
        <f t="shared" ref="L87" si="111">F87+F88</f>
        <v>-7.2899999999999991</v>
      </c>
      <c r="M87" s="2468">
        <f t="shared" ref="M87" si="112">K87+L87</f>
        <v>0</v>
      </c>
      <c r="N87" s="2461">
        <f>H87+H88</f>
        <v>0</v>
      </c>
      <c r="O87" s="2451">
        <f>M87-N87</f>
        <v>0</v>
      </c>
      <c r="P87" s="2463" t="e">
        <f t="shared" ref="P87" si="113">N87/M87</f>
        <v>#DIV/0!</v>
      </c>
      <c r="Q87" s="1980"/>
    </row>
    <row r="88" spans="1:17" ht="15" customHeight="1">
      <c r="A88" s="2454"/>
      <c r="B88" s="2519"/>
      <c r="C88" s="1001">
        <v>42095</v>
      </c>
      <c r="D88" s="1877">
        <v>42369</v>
      </c>
      <c r="E88" s="1870">
        <v>4.3739999999999997</v>
      </c>
      <c r="F88" s="1871">
        <v>-4.3739999999999997</v>
      </c>
      <c r="G88" s="1035">
        <f>E88+F88+I87</f>
        <v>0</v>
      </c>
      <c r="H88" s="1937"/>
      <c r="I88" s="1924">
        <f t="shared" si="86"/>
        <v>0</v>
      </c>
      <c r="J88" s="1933" t="e">
        <f t="shared" si="87"/>
        <v>#DIV/0!</v>
      </c>
      <c r="K88" s="2471"/>
      <c r="L88" s="2452"/>
      <c r="M88" s="2469"/>
      <c r="N88" s="2472"/>
      <c r="O88" s="2452"/>
      <c r="P88" s="2600"/>
      <c r="Q88" s="1980"/>
    </row>
    <row r="89" spans="1:17" ht="15" customHeight="1">
      <c r="A89" s="2454"/>
      <c r="B89" s="2518" t="s">
        <v>127</v>
      </c>
      <c r="C89" s="1443">
        <v>42005</v>
      </c>
      <c r="D89" s="1873">
        <v>42094</v>
      </c>
      <c r="E89" s="1874">
        <v>51.253999999999998</v>
      </c>
      <c r="F89" s="1469">
        <v>-51.253999999999998</v>
      </c>
      <c r="G89" s="1926">
        <f>E89+F89</f>
        <v>0</v>
      </c>
      <c r="H89" s="1446"/>
      <c r="I89" s="1927">
        <f t="shared" si="86"/>
        <v>0</v>
      </c>
      <c r="J89" s="1929" t="e">
        <f t="shared" si="87"/>
        <v>#DIV/0!</v>
      </c>
      <c r="K89" s="2470">
        <f t="shared" ref="K89" si="114">E89+E90</f>
        <v>128.137</v>
      </c>
      <c r="L89" s="2451">
        <f t="shared" ref="L89" si="115">F89+F90</f>
        <v>-128.137</v>
      </c>
      <c r="M89" s="2468">
        <f t="shared" ref="M89" si="116">K89+L89</f>
        <v>0</v>
      </c>
      <c r="N89" s="2461">
        <f>H89+H90</f>
        <v>0</v>
      </c>
      <c r="O89" s="2451">
        <f>M89-N89</f>
        <v>0</v>
      </c>
      <c r="P89" s="2463" t="e">
        <f t="shared" ref="P89" si="117">N89/M89</f>
        <v>#DIV/0!</v>
      </c>
      <c r="Q89" s="1980"/>
    </row>
    <row r="90" spans="1:17" ht="15" customHeight="1">
      <c r="A90" s="2454"/>
      <c r="B90" s="2519"/>
      <c r="C90" s="1001">
        <v>42095</v>
      </c>
      <c r="D90" s="1877">
        <v>42369</v>
      </c>
      <c r="E90" s="1013">
        <v>76.882999999999996</v>
      </c>
      <c r="F90" s="1871">
        <v>-76.882999999999996</v>
      </c>
      <c r="G90" s="1023">
        <f>E90+F90+I89</f>
        <v>0</v>
      </c>
      <c r="H90" s="1068"/>
      <c r="I90" s="1040">
        <f t="shared" si="86"/>
        <v>0</v>
      </c>
      <c r="J90" s="1041" t="e">
        <f t="shared" si="87"/>
        <v>#DIV/0!</v>
      </c>
      <c r="K90" s="2471"/>
      <c r="L90" s="2452"/>
      <c r="M90" s="2469"/>
      <c r="N90" s="2462"/>
      <c r="O90" s="2452"/>
      <c r="P90" s="2600"/>
      <c r="Q90" s="1980"/>
    </row>
    <row r="91" spans="1:17" ht="15" customHeight="1">
      <c r="A91" s="2454"/>
      <c r="B91" s="2518" t="s">
        <v>124</v>
      </c>
      <c r="C91" s="1443">
        <v>42005</v>
      </c>
      <c r="D91" s="1873">
        <v>42094</v>
      </c>
      <c r="E91" s="1874">
        <v>0.222</v>
      </c>
      <c r="F91" s="1469">
        <v>-0.222</v>
      </c>
      <c r="G91" s="1926">
        <f>E91+F91</f>
        <v>0</v>
      </c>
      <c r="H91" s="1446"/>
      <c r="I91" s="1927">
        <f t="shared" si="86"/>
        <v>0</v>
      </c>
      <c r="J91" s="1929" t="e">
        <f t="shared" si="87"/>
        <v>#DIV/0!</v>
      </c>
      <c r="K91" s="2470">
        <f t="shared" ref="K91" si="118">E91+E92</f>
        <v>0.55500000000000005</v>
      </c>
      <c r="L91" s="2451">
        <f t="shared" ref="L91" si="119">F91+F92</f>
        <v>-0.55500000000000005</v>
      </c>
      <c r="M91" s="2468">
        <f t="shared" ref="M91" si="120">K91+L91</f>
        <v>0</v>
      </c>
      <c r="N91" s="2461">
        <f>H91+H92</f>
        <v>0</v>
      </c>
      <c r="O91" s="2451">
        <f>M91-N91</f>
        <v>0</v>
      </c>
      <c r="P91" s="2463" t="e">
        <f t="shared" ref="P91" si="121">N91/M91</f>
        <v>#DIV/0!</v>
      </c>
      <c r="Q91" s="1980"/>
    </row>
    <row r="92" spans="1:17" ht="15" customHeight="1">
      <c r="A92" s="2454"/>
      <c r="B92" s="2519"/>
      <c r="C92" s="1001">
        <v>42095</v>
      </c>
      <c r="D92" s="1877">
        <v>42369</v>
      </c>
      <c r="E92" s="1870">
        <v>0.33300000000000002</v>
      </c>
      <c r="F92" s="1871">
        <v>-0.33300000000000002</v>
      </c>
      <c r="G92" s="1035">
        <f>E92+F92+I91</f>
        <v>0</v>
      </c>
      <c r="H92" s="1937"/>
      <c r="I92" s="1924">
        <f t="shared" si="86"/>
        <v>0</v>
      </c>
      <c r="J92" s="1933" t="e">
        <f t="shared" si="87"/>
        <v>#DIV/0!</v>
      </c>
      <c r="K92" s="2471"/>
      <c r="L92" s="2452"/>
      <c r="M92" s="2469"/>
      <c r="N92" s="2472"/>
      <c r="O92" s="2452"/>
      <c r="P92" s="2600"/>
      <c r="Q92" s="1980"/>
    </row>
    <row r="93" spans="1:17" ht="15" customHeight="1">
      <c r="A93" s="2454"/>
      <c r="B93" s="2518" t="s">
        <v>34</v>
      </c>
      <c r="C93" s="1443">
        <v>42005</v>
      </c>
      <c r="D93" s="1873">
        <v>42094</v>
      </c>
      <c r="E93" s="1874">
        <v>91.343000000000004</v>
      </c>
      <c r="F93" s="1469"/>
      <c r="G93" s="1926">
        <f>E93+F93</f>
        <v>91.343000000000004</v>
      </c>
      <c r="H93" s="1446"/>
      <c r="I93" s="1927">
        <f t="shared" si="86"/>
        <v>91.343000000000004</v>
      </c>
      <c r="J93" s="1929">
        <f t="shared" si="87"/>
        <v>0</v>
      </c>
      <c r="K93" s="2470">
        <f t="shared" ref="K93" si="122">E93+E94</f>
        <v>228.363</v>
      </c>
      <c r="L93" s="2451">
        <f t="shared" ref="L93:L99" si="123">F93+F94</f>
        <v>0</v>
      </c>
      <c r="M93" s="2468">
        <f t="shared" ref="M93" si="124">K93+L93</f>
        <v>228.363</v>
      </c>
      <c r="N93" s="2461">
        <f>H93+H94</f>
        <v>0</v>
      </c>
      <c r="O93" s="2451">
        <f>M93-N93</f>
        <v>228.363</v>
      </c>
      <c r="P93" s="2463">
        <f t="shared" ref="P93" si="125">N93/M93</f>
        <v>0</v>
      </c>
      <c r="Q93" s="1980"/>
    </row>
    <row r="94" spans="1:17" ht="15" customHeight="1">
      <c r="A94" s="2454"/>
      <c r="B94" s="2519"/>
      <c r="C94" s="1001">
        <v>42095</v>
      </c>
      <c r="D94" s="1877">
        <v>42369</v>
      </c>
      <c r="E94" s="1870">
        <v>137.02000000000001</v>
      </c>
      <c r="F94" s="1871"/>
      <c r="G94" s="1035">
        <f>E94+F94+I93</f>
        <v>228.363</v>
      </c>
      <c r="H94" s="1937"/>
      <c r="I94" s="1924">
        <f t="shared" si="86"/>
        <v>228.363</v>
      </c>
      <c r="J94" s="1933">
        <f t="shared" si="87"/>
        <v>0</v>
      </c>
      <c r="K94" s="2471"/>
      <c r="L94" s="2452"/>
      <c r="M94" s="2469"/>
      <c r="N94" s="2472"/>
      <c r="O94" s="2452"/>
      <c r="P94" s="2600"/>
      <c r="Q94" s="1980"/>
    </row>
    <row r="95" spans="1:17" ht="15" customHeight="1">
      <c r="A95" s="2454"/>
      <c r="B95" s="2518" t="s">
        <v>128</v>
      </c>
      <c r="C95" s="1443">
        <v>42005</v>
      </c>
      <c r="D95" s="1873">
        <v>42094</v>
      </c>
      <c r="E95" s="1874">
        <v>455.38600000000002</v>
      </c>
      <c r="F95" s="1038">
        <v>-949.50599999999997</v>
      </c>
      <c r="G95" s="1926">
        <f>E95+F97</f>
        <v>458.05898000000002</v>
      </c>
      <c r="H95" s="1446"/>
      <c r="I95" s="1927">
        <f t="shared" si="86"/>
        <v>458.05898000000002</v>
      </c>
      <c r="J95" s="1929">
        <f t="shared" si="87"/>
        <v>0</v>
      </c>
      <c r="K95" s="2470">
        <f t="shared" ref="K95" si="126">E95+E96</f>
        <v>1138.489</v>
      </c>
      <c r="L95" s="2451">
        <f t="shared" si="123"/>
        <v>-949.50599999999997</v>
      </c>
      <c r="M95" s="2468">
        <f t="shared" ref="M95" si="127">K95+L95</f>
        <v>188.98300000000006</v>
      </c>
      <c r="N95" s="2461">
        <f>H95+H96</f>
        <v>0.33800000000000002</v>
      </c>
      <c r="O95" s="2451">
        <f>M95-N95</f>
        <v>188.64500000000007</v>
      </c>
      <c r="P95" s="2463">
        <f t="shared" ref="P95" si="128">N95/M95</f>
        <v>1.7885206605885182E-3</v>
      </c>
      <c r="Q95" s="1980"/>
    </row>
    <row r="96" spans="1:17" ht="15" customHeight="1">
      <c r="A96" s="2454"/>
      <c r="B96" s="2519"/>
      <c r="C96" s="1001">
        <v>42095</v>
      </c>
      <c r="D96" s="1877">
        <v>42369</v>
      </c>
      <c r="E96" s="1870">
        <v>683.10299999999995</v>
      </c>
      <c r="F96" s="1038"/>
      <c r="G96" s="1035">
        <f>E96+F98+I95</f>
        <v>1145.5359800000001</v>
      </c>
      <c r="H96" s="1600">
        <v>0.33800000000000002</v>
      </c>
      <c r="I96" s="1924">
        <f t="shared" si="86"/>
        <v>1145.1979800000001</v>
      </c>
      <c r="J96" s="1933">
        <f t="shared" si="87"/>
        <v>2.9505838830134345E-4</v>
      </c>
      <c r="K96" s="2471"/>
      <c r="L96" s="2452"/>
      <c r="M96" s="2469"/>
      <c r="N96" s="2472"/>
      <c r="O96" s="2452"/>
      <c r="P96" s="2600"/>
      <c r="Q96" s="1980"/>
    </row>
    <row r="97" spans="1:17" ht="15" customHeight="1">
      <c r="A97" s="2454"/>
      <c r="B97" s="2518" t="s">
        <v>6</v>
      </c>
      <c r="C97" s="1443">
        <v>42005</v>
      </c>
      <c r="D97" s="1873">
        <v>42094</v>
      </c>
      <c r="E97" s="1874">
        <v>285.33800000000002</v>
      </c>
      <c r="F97" s="1469">
        <f>2.916-0.24302</f>
        <v>2.6729799999999999</v>
      </c>
      <c r="G97" s="1926">
        <f>E97+F99</f>
        <v>285.33800000000002</v>
      </c>
      <c r="H97" s="1446"/>
      <c r="I97" s="1927">
        <f>G97-H97</f>
        <v>285.33800000000002</v>
      </c>
      <c r="J97" s="1929">
        <f t="shared" si="87"/>
        <v>0</v>
      </c>
      <c r="K97" s="2470">
        <f t="shared" ref="K97" si="129">E97+E98</f>
        <v>713.36</v>
      </c>
      <c r="L97" s="2451">
        <f t="shared" si="123"/>
        <v>7.0469799999999996</v>
      </c>
      <c r="M97" s="2468">
        <f t="shared" ref="M97" si="130">K97+L97</f>
        <v>720.40697999999998</v>
      </c>
      <c r="N97" s="2461">
        <f>H97+H98</f>
        <v>0</v>
      </c>
      <c r="O97" s="2451">
        <f>M97-N97</f>
        <v>720.40697999999998</v>
      </c>
      <c r="P97" s="2463">
        <f t="shared" ref="P97" si="131">N97/M97</f>
        <v>0</v>
      </c>
      <c r="Q97" s="1980"/>
    </row>
    <row r="98" spans="1:17" ht="15" customHeight="1">
      <c r="A98" s="2454"/>
      <c r="B98" s="2519"/>
      <c r="C98" s="1001">
        <v>42095</v>
      </c>
      <c r="D98" s="1877">
        <v>42369</v>
      </c>
      <c r="E98" s="1870">
        <v>428.02199999999999</v>
      </c>
      <c r="F98" s="1871">
        <f>4.374</f>
        <v>4.3739999999999997</v>
      </c>
      <c r="G98" s="1035">
        <f>E98+F100+I97</f>
        <v>713.36</v>
      </c>
      <c r="H98" s="1937"/>
      <c r="I98" s="1924">
        <f t="shared" si="86"/>
        <v>713.36</v>
      </c>
      <c r="J98" s="1933">
        <f t="shared" si="87"/>
        <v>0</v>
      </c>
      <c r="K98" s="2471"/>
      <c r="L98" s="2452"/>
      <c r="M98" s="2469"/>
      <c r="N98" s="2472"/>
      <c r="O98" s="2452"/>
      <c r="P98" s="2600"/>
      <c r="Q98" s="1980"/>
    </row>
    <row r="99" spans="1:17" ht="15" customHeight="1">
      <c r="A99" s="2454"/>
      <c r="B99" s="2518" t="s">
        <v>129</v>
      </c>
      <c r="C99" s="1443">
        <v>42005</v>
      </c>
      <c r="D99" s="1873">
        <v>42094</v>
      </c>
      <c r="E99" s="1874">
        <v>68.924999999999997</v>
      </c>
      <c r="F99" s="1469"/>
      <c r="G99" s="1926">
        <f>E99+F99</f>
        <v>68.924999999999997</v>
      </c>
      <c r="H99" s="1446"/>
      <c r="I99" s="1927">
        <f t="shared" si="86"/>
        <v>68.924999999999997</v>
      </c>
      <c r="J99" s="1929">
        <f t="shared" si="87"/>
        <v>0</v>
      </c>
      <c r="K99" s="2470">
        <f t="shared" ref="K99" si="132">E99+E100</f>
        <v>172.31700000000001</v>
      </c>
      <c r="L99" s="2451">
        <f t="shared" si="123"/>
        <v>0</v>
      </c>
      <c r="M99" s="2468">
        <f t="shared" ref="M99" si="133">K99+L99</f>
        <v>172.31700000000001</v>
      </c>
      <c r="N99" s="2461">
        <f>H99+H100</f>
        <v>0</v>
      </c>
      <c r="O99" s="2451">
        <f>M99-N99</f>
        <v>172.31700000000001</v>
      </c>
      <c r="P99" s="2463">
        <f t="shared" ref="P99" si="134">N99/M99</f>
        <v>0</v>
      </c>
      <c r="Q99" s="1980"/>
    </row>
    <row r="100" spans="1:17" ht="15" customHeight="1">
      <c r="A100" s="2454"/>
      <c r="B100" s="2519"/>
      <c r="C100" s="1001">
        <v>42095</v>
      </c>
      <c r="D100" s="1877">
        <v>42369</v>
      </c>
      <c r="E100" s="1870">
        <v>103.392</v>
      </c>
      <c r="F100" s="1871"/>
      <c r="G100" s="1035">
        <f>E100+F100+I99</f>
        <v>172.31700000000001</v>
      </c>
      <c r="H100" s="1937"/>
      <c r="I100" s="1924">
        <f t="shared" si="86"/>
        <v>172.31700000000001</v>
      </c>
      <c r="J100" s="1933">
        <f t="shared" si="87"/>
        <v>0</v>
      </c>
      <c r="K100" s="2471"/>
      <c r="L100" s="2452"/>
      <c r="M100" s="2469"/>
      <c r="N100" s="2472"/>
      <c r="O100" s="2452"/>
      <c r="P100" s="2600"/>
      <c r="Q100" s="1980"/>
    </row>
    <row r="101" spans="1:17" ht="15" customHeight="1">
      <c r="A101" s="2454"/>
      <c r="B101" s="2524" t="s">
        <v>123</v>
      </c>
      <c r="C101" s="1443">
        <v>42005</v>
      </c>
      <c r="D101" s="1873">
        <v>42094</v>
      </c>
      <c r="E101" s="1013">
        <v>2033.867</v>
      </c>
      <c r="F101" s="1038">
        <f>-2033.867</f>
        <v>-2033.867</v>
      </c>
      <c r="G101" s="1023">
        <f>E101+F101</f>
        <v>0</v>
      </c>
      <c r="H101" s="1068"/>
      <c r="I101" s="1040">
        <f t="shared" si="86"/>
        <v>0</v>
      </c>
      <c r="J101" s="1041" t="e">
        <f t="shared" si="87"/>
        <v>#DIV/0!</v>
      </c>
      <c r="K101" s="2470">
        <f t="shared" ref="K101" si="135">E101+E102</f>
        <v>5084.7730000000001</v>
      </c>
      <c r="L101" s="2451">
        <f t="shared" ref="L101:L113" si="136">F101+F102</f>
        <v>-5000</v>
      </c>
      <c r="M101" s="2468">
        <f t="shared" ref="M101" si="137">K101+L101</f>
        <v>84.773000000000138</v>
      </c>
      <c r="N101" s="2462">
        <f>H101+H102</f>
        <v>0</v>
      </c>
      <c r="O101" s="2451">
        <f>M101-N101</f>
        <v>84.773000000000138</v>
      </c>
      <c r="P101" s="2463">
        <f t="shared" ref="P101:P103" si="138">N101/M101</f>
        <v>0</v>
      </c>
      <c r="Q101" s="1980"/>
    </row>
    <row r="102" spans="1:17" ht="15" customHeight="1">
      <c r="A102" s="2454"/>
      <c r="B102" s="2524"/>
      <c r="C102" s="1001">
        <v>42095</v>
      </c>
      <c r="D102" s="1877">
        <v>42369</v>
      </c>
      <c r="E102" s="1013">
        <v>3050.9059999999999</v>
      </c>
      <c r="F102" s="1038">
        <f>-2966.133</f>
        <v>-2966.1329999999998</v>
      </c>
      <c r="G102" s="1023">
        <f>E102+F102+I101</f>
        <v>84.773000000000138</v>
      </c>
      <c r="H102" s="1068"/>
      <c r="I102" s="1040">
        <f t="shared" si="86"/>
        <v>84.773000000000138</v>
      </c>
      <c r="J102" s="1041">
        <f t="shared" si="87"/>
        <v>0</v>
      </c>
      <c r="K102" s="2471"/>
      <c r="L102" s="2452"/>
      <c r="M102" s="2469"/>
      <c r="N102" s="2462"/>
      <c r="O102" s="2452"/>
      <c r="P102" s="2600"/>
      <c r="Q102" s="1980"/>
    </row>
    <row r="103" spans="1:17" ht="15" customHeight="1">
      <c r="A103" s="2454"/>
      <c r="B103" s="2518" t="s">
        <v>122</v>
      </c>
      <c r="C103" s="1443">
        <v>42005</v>
      </c>
      <c r="D103" s="1873">
        <v>42094</v>
      </c>
      <c r="E103" s="1874">
        <v>34.930999999999997</v>
      </c>
      <c r="F103" s="1469">
        <f>-34.931</f>
        <v>-34.930999999999997</v>
      </c>
      <c r="G103" s="1926">
        <f>E103+F103</f>
        <v>0</v>
      </c>
      <c r="H103" s="1465"/>
      <c r="I103" s="1927">
        <f t="shared" si="86"/>
        <v>0</v>
      </c>
      <c r="J103" s="1929" t="e">
        <f t="shared" si="87"/>
        <v>#DIV/0!</v>
      </c>
      <c r="K103" s="2470">
        <f t="shared" ref="K103" si="139">E103+E104</f>
        <v>87.33</v>
      </c>
      <c r="L103" s="2451">
        <f t="shared" si="136"/>
        <v>-87.33</v>
      </c>
      <c r="M103" s="2468">
        <f t="shared" ref="M103" si="140">K103+L103</f>
        <v>0</v>
      </c>
      <c r="N103" s="2461">
        <f>H103+H104</f>
        <v>0</v>
      </c>
      <c r="O103" s="2451">
        <f>M103-N103</f>
        <v>0</v>
      </c>
      <c r="P103" s="2463" t="e">
        <f t="shared" si="138"/>
        <v>#DIV/0!</v>
      </c>
      <c r="Q103" s="1980"/>
    </row>
    <row r="104" spans="1:17" ht="15" customHeight="1">
      <c r="A104" s="2454"/>
      <c r="B104" s="2524"/>
      <c r="C104" s="1001">
        <v>42095</v>
      </c>
      <c r="D104" s="1877">
        <v>42369</v>
      </c>
      <c r="E104" s="1013">
        <v>52.399000000000001</v>
      </c>
      <c r="F104" s="1038">
        <f>-52.399</f>
        <v>-52.399000000000001</v>
      </c>
      <c r="G104" s="1023">
        <f>E104+F104+I103</f>
        <v>0</v>
      </c>
      <c r="H104" s="1937"/>
      <c r="I104" s="1040">
        <f t="shared" si="86"/>
        <v>0</v>
      </c>
      <c r="J104" s="1041" t="e">
        <f t="shared" si="87"/>
        <v>#DIV/0!</v>
      </c>
      <c r="K104" s="2471"/>
      <c r="L104" s="2452"/>
      <c r="M104" s="2469"/>
      <c r="N104" s="2462"/>
      <c r="O104" s="2452"/>
      <c r="P104" s="2600"/>
      <c r="Q104" s="1980"/>
    </row>
    <row r="105" spans="1:17" ht="15" customHeight="1">
      <c r="A105" s="2454"/>
      <c r="B105" s="2518" t="s">
        <v>130</v>
      </c>
      <c r="C105" s="1443">
        <v>42005</v>
      </c>
      <c r="D105" s="1873">
        <v>42094</v>
      </c>
      <c r="E105" s="1874">
        <v>24.824999999999999</v>
      </c>
      <c r="F105" s="1469">
        <v>-24.824999999999999</v>
      </c>
      <c r="G105" s="1926">
        <f>E105+F105</f>
        <v>0</v>
      </c>
      <c r="H105" s="1068"/>
      <c r="I105" s="1927">
        <f t="shared" si="86"/>
        <v>0</v>
      </c>
      <c r="J105" s="1929" t="e">
        <f t="shared" si="87"/>
        <v>#DIV/0!</v>
      </c>
      <c r="K105" s="2470">
        <f t="shared" ref="K105" si="141">E105+E106</f>
        <v>62.063000000000002</v>
      </c>
      <c r="L105" s="2451">
        <f t="shared" si="136"/>
        <v>-62.063000000000002</v>
      </c>
      <c r="M105" s="2468">
        <f t="shared" ref="M105" si="142">K105+L105</f>
        <v>0</v>
      </c>
      <c r="N105" s="2461">
        <f>H105+H106</f>
        <v>0</v>
      </c>
      <c r="O105" s="2451">
        <f>M105-N105</f>
        <v>0</v>
      </c>
      <c r="P105" s="2463" t="e">
        <f t="shared" ref="P105:P111" si="143">N105/M105</f>
        <v>#DIV/0!</v>
      </c>
      <c r="Q105" s="1980"/>
    </row>
    <row r="106" spans="1:17" ht="15" customHeight="1">
      <c r="A106" s="2454"/>
      <c r="B106" s="2519"/>
      <c r="C106" s="1001">
        <v>42095</v>
      </c>
      <c r="D106" s="1877">
        <v>42369</v>
      </c>
      <c r="E106" s="1870">
        <v>37.238</v>
      </c>
      <c r="F106" s="1871">
        <v>-37.238</v>
      </c>
      <c r="G106" s="1035">
        <f>E106+F106+I105</f>
        <v>0</v>
      </c>
      <c r="H106" s="1937"/>
      <c r="I106" s="1924">
        <f t="shared" si="86"/>
        <v>0</v>
      </c>
      <c r="J106" s="1933" t="e">
        <f t="shared" si="87"/>
        <v>#DIV/0!</v>
      </c>
      <c r="K106" s="2471"/>
      <c r="L106" s="2452"/>
      <c r="M106" s="2469"/>
      <c r="N106" s="2472"/>
      <c r="O106" s="2452"/>
      <c r="P106" s="2600"/>
      <c r="Q106" s="1980"/>
    </row>
    <row r="107" spans="1:17" ht="15" customHeight="1">
      <c r="A107" s="2454"/>
      <c r="B107" s="2524" t="s">
        <v>131</v>
      </c>
      <c r="C107" s="1443">
        <v>42005</v>
      </c>
      <c r="D107" s="1873">
        <v>42094</v>
      </c>
      <c r="E107" s="1013">
        <v>25.771000000000001</v>
      </c>
      <c r="F107" s="1469"/>
      <c r="G107" s="1023">
        <f>E107+F107</f>
        <v>25.771000000000001</v>
      </c>
      <c r="H107" s="1446"/>
      <c r="I107" s="1040">
        <f t="shared" si="86"/>
        <v>25.771000000000001</v>
      </c>
      <c r="J107" s="1041">
        <f t="shared" si="87"/>
        <v>0</v>
      </c>
      <c r="K107" s="2470">
        <f t="shared" ref="K107" si="144">E107+E108</f>
        <v>64.427999999999997</v>
      </c>
      <c r="L107" s="2451">
        <f t="shared" si="136"/>
        <v>0</v>
      </c>
      <c r="M107" s="2468">
        <f t="shared" ref="M107" si="145">K107+L107</f>
        <v>64.427999999999997</v>
      </c>
      <c r="N107" s="2462">
        <f>H107+H108</f>
        <v>0</v>
      </c>
      <c r="O107" s="2451">
        <f>M107-N107</f>
        <v>64.427999999999997</v>
      </c>
      <c r="P107" s="2463">
        <f t="shared" si="143"/>
        <v>0</v>
      </c>
      <c r="Q107" s="1980"/>
    </row>
    <row r="108" spans="1:17" ht="15" customHeight="1">
      <c r="A108" s="2454"/>
      <c r="B108" s="2524"/>
      <c r="C108" s="1001">
        <v>42095</v>
      </c>
      <c r="D108" s="1877">
        <v>42369</v>
      </c>
      <c r="E108" s="1013">
        <v>38.656999999999996</v>
      </c>
      <c r="F108" s="1038"/>
      <c r="G108" s="1023">
        <f>E108+F108+I107</f>
        <v>64.427999999999997</v>
      </c>
      <c r="H108" s="1937"/>
      <c r="I108" s="1040">
        <f t="shared" si="86"/>
        <v>64.427999999999997</v>
      </c>
      <c r="J108" s="1041">
        <f t="shared" si="87"/>
        <v>0</v>
      </c>
      <c r="K108" s="2471"/>
      <c r="L108" s="2452"/>
      <c r="M108" s="2469"/>
      <c r="N108" s="2462"/>
      <c r="O108" s="2452"/>
      <c r="P108" s="2600"/>
      <c r="Q108" s="1980"/>
    </row>
    <row r="109" spans="1:17" ht="15" customHeight="1">
      <c r="A109" s="2454"/>
      <c r="B109" s="2518" t="s">
        <v>14</v>
      </c>
      <c r="C109" s="1443">
        <v>42005</v>
      </c>
      <c r="D109" s="1873">
        <v>42094</v>
      </c>
      <c r="E109" s="1874">
        <v>1143.3309999999999</v>
      </c>
      <c r="F109" s="1471">
        <f>212.373-150-400+1904.173-900-300</f>
        <v>366.54600000000005</v>
      </c>
      <c r="G109" s="1926">
        <f>E109+F109</f>
        <v>1509.877</v>
      </c>
      <c r="H109" s="1038">
        <v>1240.6779999999999</v>
      </c>
      <c r="I109" s="1927">
        <f t="shared" si="86"/>
        <v>269.19900000000007</v>
      </c>
      <c r="J109" s="1929">
        <f t="shared" si="87"/>
        <v>0.82170799343257761</v>
      </c>
      <c r="K109" s="2470">
        <f t="shared" ref="K109" si="146">E109+E110</f>
        <v>2858.3869999999997</v>
      </c>
      <c r="L109" s="2451">
        <f t="shared" si="136"/>
        <v>366.54600000000005</v>
      </c>
      <c r="M109" s="2468">
        <f t="shared" ref="M109" si="147">K109+L109</f>
        <v>3224.933</v>
      </c>
      <c r="N109" s="2461">
        <f>H109+H110</f>
        <v>2695.4650000000001</v>
      </c>
      <c r="O109" s="2451">
        <f>M109-N109</f>
        <v>529.46799999999985</v>
      </c>
      <c r="P109" s="2463">
        <f t="shared" si="143"/>
        <v>0.83582046510733721</v>
      </c>
      <c r="Q109" s="1980"/>
    </row>
    <row r="110" spans="1:17" ht="15" customHeight="1">
      <c r="A110" s="2454"/>
      <c r="B110" s="2519"/>
      <c r="C110" s="1001">
        <v>42095</v>
      </c>
      <c r="D110" s="1877">
        <v>42369</v>
      </c>
      <c r="E110" s="1870">
        <v>1715.056</v>
      </c>
      <c r="F110" s="1934"/>
      <c r="G110" s="1035">
        <f>E110+F110+I109</f>
        <v>1984.2550000000001</v>
      </c>
      <c r="H110" s="1936">
        <v>1454.7870000000003</v>
      </c>
      <c r="I110" s="1924">
        <f>G110-H110</f>
        <v>529.46799999999985</v>
      </c>
      <c r="J110" s="1933">
        <f t="shared" si="87"/>
        <v>0.73316534417199408</v>
      </c>
      <c r="K110" s="2471"/>
      <c r="L110" s="2452"/>
      <c r="M110" s="2469"/>
      <c r="N110" s="2472"/>
      <c r="O110" s="2452"/>
      <c r="P110" s="2464"/>
      <c r="Q110" s="1980"/>
    </row>
    <row r="111" spans="1:17" ht="15" customHeight="1">
      <c r="A111" s="2454"/>
      <c r="B111" s="2506" t="s">
        <v>7</v>
      </c>
      <c r="C111" s="1443">
        <v>42005</v>
      </c>
      <c r="D111" s="1873">
        <v>42094</v>
      </c>
      <c r="E111" s="1874">
        <v>801.702</v>
      </c>
      <c r="F111" s="1038">
        <v>-1904.173</v>
      </c>
      <c r="G111" s="1926">
        <f>E111+F111</f>
        <v>-1102.471</v>
      </c>
      <c r="H111" s="1446"/>
      <c r="I111" s="1927">
        <f>G111-H111</f>
        <v>-1102.471</v>
      </c>
      <c r="J111" s="1929">
        <f>H111/G111</f>
        <v>0</v>
      </c>
      <c r="K111" s="2470">
        <f t="shared" ref="K111" si="148">E111+E112</f>
        <v>2004.296</v>
      </c>
      <c r="L111" s="2451">
        <f t="shared" si="136"/>
        <v>-1904.173</v>
      </c>
      <c r="M111" s="2468">
        <f>K111+L111</f>
        <v>100.12300000000005</v>
      </c>
      <c r="N111" s="2461">
        <f>H111+H112</f>
        <v>0</v>
      </c>
      <c r="O111" s="2451">
        <f>M111-N111</f>
        <v>100.12300000000005</v>
      </c>
      <c r="P111" s="2463">
        <f t="shared" si="143"/>
        <v>0</v>
      </c>
      <c r="Q111" s="1980"/>
    </row>
    <row r="112" spans="1:17" ht="15" customHeight="1">
      <c r="A112" s="2454"/>
      <c r="B112" s="2477"/>
      <c r="C112" s="1011">
        <v>42095</v>
      </c>
      <c r="D112" s="1037">
        <v>42369</v>
      </c>
      <c r="E112" s="1013">
        <v>1202.5940000000001</v>
      </c>
      <c r="F112" s="1038"/>
      <c r="G112" s="1023">
        <f>E112+F112+I111</f>
        <v>100.12300000000005</v>
      </c>
      <c r="H112" s="1290"/>
      <c r="I112" s="1040">
        <f>G112-H112</f>
        <v>100.12300000000005</v>
      </c>
      <c r="J112" s="1041">
        <f>H112/G112</f>
        <v>0</v>
      </c>
      <c r="K112" s="2471"/>
      <c r="L112" s="2452"/>
      <c r="M112" s="2469"/>
      <c r="N112" s="2472"/>
      <c r="O112" s="2452"/>
      <c r="P112" s="2600"/>
      <c r="Q112" s="1980"/>
    </row>
    <row r="113" spans="1:17" ht="15" customHeight="1">
      <c r="A113" s="2454"/>
      <c r="B113" s="2506" t="s">
        <v>165</v>
      </c>
      <c r="C113" s="1443">
        <v>42005</v>
      </c>
      <c r="D113" s="1873">
        <v>42094</v>
      </c>
      <c r="E113" s="1874">
        <v>0</v>
      </c>
      <c r="F113" s="1472">
        <f>0.222+0.193-989.965+62.063+801.013+128.137</f>
        <v>1.6629999999999541</v>
      </c>
      <c r="G113" s="1926">
        <f>E113+F113</f>
        <v>1.6629999999999541</v>
      </c>
      <c r="H113" s="1446"/>
      <c r="I113" s="1927">
        <f t="shared" ref="I113:I118" si="149">G113-H113</f>
        <v>1.6629999999999541</v>
      </c>
      <c r="J113" s="1929">
        <f t="shared" ref="J113:J118" si="150">H113/G113</f>
        <v>0</v>
      </c>
      <c r="K113" s="2470">
        <f t="shared" ref="K113" si="151">E113+E114</f>
        <v>0</v>
      </c>
      <c r="L113" s="2451">
        <f t="shared" si="136"/>
        <v>2.2859999999999543</v>
      </c>
      <c r="M113" s="2468">
        <f>K113+L113</f>
        <v>2.2859999999999543</v>
      </c>
      <c r="N113" s="2461">
        <f>H113+H114</f>
        <v>0</v>
      </c>
      <c r="O113" s="2451">
        <f>M113-N113</f>
        <v>2.2859999999999543</v>
      </c>
      <c r="P113" s="2463">
        <f>N113/M113</f>
        <v>0</v>
      </c>
      <c r="Q113" s="1980"/>
    </row>
    <row r="114" spans="1:17" ht="15" customHeight="1">
      <c r="A114" s="2454"/>
      <c r="B114" s="2477"/>
      <c r="C114" s="1001">
        <v>42095</v>
      </c>
      <c r="D114" s="1877">
        <v>42369</v>
      </c>
      <c r="E114" s="1870">
        <v>0</v>
      </c>
      <c r="F114" s="1934">
        <f>0.333+0.29</f>
        <v>0.623</v>
      </c>
      <c r="G114" s="1035">
        <f>E114+F114+I113</f>
        <v>2.2859999999999543</v>
      </c>
      <c r="H114" s="1944"/>
      <c r="I114" s="1924">
        <f t="shared" si="149"/>
        <v>2.2859999999999543</v>
      </c>
      <c r="J114" s="1933">
        <f t="shared" si="150"/>
        <v>0</v>
      </c>
      <c r="K114" s="2471"/>
      <c r="L114" s="2452"/>
      <c r="M114" s="2469"/>
      <c r="N114" s="2472"/>
      <c r="O114" s="2452"/>
      <c r="P114" s="2600"/>
      <c r="Q114" s="1980"/>
    </row>
    <row r="115" spans="1:17" ht="15" customHeight="1">
      <c r="A115" s="2454"/>
      <c r="B115" s="2513" t="s">
        <v>138</v>
      </c>
      <c r="C115" s="1443">
        <v>42005</v>
      </c>
      <c r="D115" s="1873">
        <v>42094</v>
      </c>
      <c r="E115" s="1013">
        <v>0</v>
      </c>
      <c r="F115" s="1469">
        <f>3490.893+0.483+0.241-0.241+755.742+949.506</f>
        <v>5196.6240000000007</v>
      </c>
      <c r="G115" s="1023">
        <f>E115+F115</f>
        <v>5196.6240000000007</v>
      </c>
      <c r="H115" s="1289">
        <v>1201.9639999999999</v>
      </c>
      <c r="I115" s="1040">
        <f>G115-H115</f>
        <v>3994.6600000000008</v>
      </c>
      <c r="J115" s="1041">
        <f>H115/G115</f>
        <v>0.23129708826345716</v>
      </c>
      <c r="K115" s="2470">
        <f t="shared" ref="K115" si="152">E115+E116</f>
        <v>0</v>
      </c>
      <c r="L115" s="2451">
        <f t="shared" ref="L115" si="153">F115+F116</f>
        <v>5196.6240000000007</v>
      </c>
      <c r="M115" s="2468">
        <f t="shared" ref="M115" si="154">K115+L115</f>
        <v>5196.6240000000007</v>
      </c>
      <c r="N115" s="2601">
        <f>H115+H116</f>
        <v>4325.2379999999994</v>
      </c>
      <c r="O115" s="2606">
        <f>M115-N115</f>
        <v>871.38600000000133</v>
      </c>
      <c r="P115" s="2463">
        <f t="shared" ref="P115" si="155">N115/M115</f>
        <v>0.83231690420549931</v>
      </c>
      <c r="Q115" s="1980"/>
    </row>
    <row r="116" spans="1:17" ht="15" customHeight="1">
      <c r="A116" s="2454"/>
      <c r="B116" s="2457"/>
      <c r="C116" s="1001">
        <v>42095</v>
      </c>
      <c r="D116" s="1877">
        <v>42369</v>
      </c>
      <c r="E116" s="1870">
        <v>0</v>
      </c>
      <c r="F116" s="1871"/>
      <c r="G116" s="1035">
        <f>E116+F116+I115</f>
        <v>3994.6600000000008</v>
      </c>
      <c r="H116" s="1994">
        <f>3129.248-5.974</f>
        <v>3123.2739999999999</v>
      </c>
      <c r="I116" s="1924">
        <f>G116-H116</f>
        <v>871.38600000000088</v>
      </c>
      <c r="J116" s="1933">
        <f>H116/G116</f>
        <v>0.78186228615201281</v>
      </c>
      <c r="K116" s="2471"/>
      <c r="L116" s="2452"/>
      <c r="M116" s="2469"/>
      <c r="N116" s="2605"/>
      <c r="O116" s="2607"/>
      <c r="P116" s="2600"/>
      <c r="Q116" s="1980"/>
    </row>
    <row r="117" spans="1:17" ht="15" customHeight="1">
      <c r="A117" s="2454"/>
      <c r="B117" s="2517" t="s">
        <v>50</v>
      </c>
      <c r="C117" s="1443">
        <v>42005</v>
      </c>
      <c r="D117" s="1873">
        <v>42094</v>
      </c>
      <c r="E117" s="1874">
        <v>0</v>
      </c>
      <c r="F117" s="1472">
        <f>0.24302</f>
        <v>0.24302000000000001</v>
      </c>
      <c r="G117" s="1926">
        <f>E117+F117</f>
        <v>0.24302000000000001</v>
      </c>
      <c r="H117" s="1446"/>
      <c r="I117" s="1927">
        <f t="shared" si="149"/>
        <v>0.24302000000000001</v>
      </c>
      <c r="J117" s="1929">
        <f t="shared" si="150"/>
        <v>0</v>
      </c>
      <c r="K117" s="2470">
        <f t="shared" ref="K117:L117" si="156">E117+E118</f>
        <v>0</v>
      </c>
      <c r="L117" s="2451">
        <f t="shared" si="156"/>
        <v>0.24302000000000001</v>
      </c>
      <c r="M117" s="2468">
        <f t="shared" ref="M117" si="157">K117+L117</f>
        <v>0.24302000000000001</v>
      </c>
      <c r="N117" s="2461">
        <f t="shared" ref="N117" si="158">H117+H118</f>
        <v>0</v>
      </c>
      <c r="O117" s="2451">
        <f>M117-N117</f>
        <v>0.24302000000000001</v>
      </c>
      <c r="P117" s="2463">
        <f t="shared" ref="P117" si="159">N117/M117</f>
        <v>0</v>
      </c>
      <c r="Q117" s="1980"/>
    </row>
    <row r="118" spans="1:17" ht="15" customHeight="1">
      <c r="A118" s="2454"/>
      <c r="B118" s="2479"/>
      <c r="C118" s="1001">
        <v>42095</v>
      </c>
      <c r="D118" s="1877">
        <v>42369</v>
      </c>
      <c r="E118" s="1870">
        <v>0</v>
      </c>
      <c r="F118" s="1934"/>
      <c r="G118" s="1035">
        <f>E118+F118+I117</f>
        <v>0.24302000000000001</v>
      </c>
      <c r="H118" s="1944"/>
      <c r="I118" s="1924">
        <f t="shared" si="149"/>
        <v>0.24302000000000001</v>
      </c>
      <c r="J118" s="1933">
        <f t="shared" si="150"/>
        <v>0</v>
      </c>
      <c r="K118" s="2471"/>
      <c r="L118" s="2452"/>
      <c r="M118" s="2469"/>
      <c r="N118" s="2472"/>
      <c r="O118" s="2452"/>
      <c r="P118" s="2600"/>
      <c r="Q118" s="1980"/>
    </row>
    <row r="119" spans="1:17" ht="15" customHeight="1">
      <c r="A119" s="2454"/>
      <c r="B119" s="2516" t="s">
        <v>111</v>
      </c>
      <c r="C119" s="1443">
        <v>42005</v>
      </c>
      <c r="D119" s="1873">
        <v>42094</v>
      </c>
      <c r="E119" s="1874">
        <v>0</v>
      </c>
      <c r="F119" s="1472">
        <v>0.24099999999999999</v>
      </c>
      <c r="G119" s="1926">
        <f>E119+F119</f>
        <v>0.24099999999999999</v>
      </c>
      <c r="H119" s="1446"/>
      <c r="I119" s="1927">
        <f t="shared" ref="I119:I120" si="160">G119-H119</f>
        <v>0.24099999999999999</v>
      </c>
      <c r="J119" s="1929">
        <f t="shared" ref="J119:J120" si="161">H119/G119</f>
        <v>0</v>
      </c>
      <c r="K119" s="2470">
        <f t="shared" ref="K119" si="162">E119+E120</f>
        <v>0</v>
      </c>
      <c r="L119" s="2451">
        <f t="shared" ref="L119" si="163">F119+F120</f>
        <v>0.24099999999999999</v>
      </c>
      <c r="M119" s="2468">
        <f t="shared" ref="M119" si="164">K119+L119</f>
        <v>0.24099999999999999</v>
      </c>
      <c r="N119" s="2461">
        <f t="shared" ref="N119" si="165">H119+H120</f>
        <v>0</v>
      </c>
      <c r="O119" s="2451">
        <f>M119-N119</f>
        <v>0.24099999999999999</v>
      </c>
      <c r="P119" s="2463">
        <f t="shared" ref="P119" si="166">N119/M119</f>
        <v>0</v>
      </c>
      <c r="Q119" s="1980"/>
    </row>
    <row r="120" spans="1:17" ht="15" customHeight="1">
      <c r="A120" s="2454"/>
      <c r="B120" s="2506"/>
      <c r="C120" s="1011">
        <v>42095</v>
      </c>
      <c r="D120" s="1037">
        <v>42369</v>
      </c>
      <c r="E120" s="1013">
        <v>0</v>
      </c>
      <c r="F120" s="1054"/>
      <c r="G120" s="1023">
        <f>E120+F120+I119</f>
        <v>0.24099999999999999</v>
      </c>
      <c r="H120" s="1290"/>
      <c r="I120" s="1040">
        <f t="shared" si="160"/>
        <v>0.24099999999999999</v>
      </c>
      <c r="J120" s="1041">
        <f t="shared" si="161"/>
        <v>0</v>
      </c>
      <c r="K120" s="2509"/>
      <c r="L120" s="2460"/>
      <c r="M120" s="2459"/>
      <c r="N120" s="2462"/>
      <c r="O120" s="2460"/>
      <c r="P120" s="2464"/>
      <c r="Q120" s="1980"/>
    </row>
    <row r="121" spans="1:17" ht="15" customHeight="1">
      <c r="A121" s="2454"/>
      <c r="B121" s="2510" t="s">
        <v>23</v>
      </c>
      <c r="C121" s="1443">
        <v>42005</v>
      </c>
      <c r="D121" s="1873">
        <v>42094</v>
      </c>
      <c r="E121" s="1874">
        <v>0</v>
      </c>
      <c r="F121" s="1472">
        <f>0.244-0.244</f>
        <v>0</v>
      </c>
      <c r="G121" s="1926">
        <f>E121+F121</f>
        <v>0</v>
      </c>
      <c r="H121" s="1446"/>
      <c r="I121" s="1927">
        <f t="shared" ref="I121:I122" si="167">G121-H121</f>
        <v>0</v>
      </c>
      <c r="J121" s="1929" t="e">
        <f t="shared" ref="J121:J122" si="168">H121/G121</f>
        <v>#DIV/0!</v>
      </c>
      <c r="K121" s="2470">
        <f t="shared" ref="K121" si="169">E121+E122</f>
        <v>0</v>
      </c>
      <c r="L121" s="2451">
        <f t="shared" ref="L121" si="170">F121+F122</f>
        <v>0</v>
      </c>
      <c r="M121" s="2468">
        <f t="shared" ref="M121" si="171">K121+L121</f>
        <v>0</v>
      </c>
      <c r="N121" s="2461">
        <f t="shared" ref="N121" si="172">H121+H122</f>
        <v>0</v>
      </c>
      <c r="O121" s="2451">
        <f>M121-N121</f>
        <v>0</v>
      </c>
      <c r="P121" s="2463">
        <v>0</v>
      </c>
      <c r="Q121" s="1980"/>
    </row>
    <row r="122" spans="1:17" ht="15" customHeight="1" thickBot="1">
      <c r="A122" s="2455"/>
      <c r="B122" s="2511"/>
      <c r="C122" s="1016">
        <v>42095</v>
      </c>
      <c r="D122" s="1880">
        <v>42369</v>
      </c>
      <c r="E122" s="1452">
        <v>0</v>
      </c>
      <c r="F122" s="1529"/>
      <c r="G122" s="1930">
        <f>E122+F122+I121</f>
        <v>0</v>
      </c>
      <c r="H122" s="1528"/>
      <c r="I122" s="1931">
        <f t="shared" si="167"/>
        <v>0</v>
      </c>
      <c r="J122" s="1932" t="e">
        <f t="shared" si="168"/>
        <v>#DIV/0!</v>
      </c>
      <c r="K122" s="2512"/>
      <c r="L122" s="2489"/>
      <c r="M122" s="2528"/>
      <c r="N122" s="2608"/>
      <c r="O122" s="2489"/>
      <c r="P122" s="2620"/>
      <c r="Q122" s="1980"/>
    </row>
    <row r="123" spans="1:17" ht="17.45" customHeight="1" thickBot="1">
      <c r="A123" s="1055"/>
      <c r="B123" s="1055"/>
      <c r="C123" s="1022"/>
      <c r="D123" s="1022"/>
      <c r="E123" s="1243"/>
      <c r="F123" s="1056"/>
      <c r="G123" s="1023"/>
      <c r="H123" s="1045"/>
      <c r="I123" s="1014"/>
      <c r="J123" s="1024"/>
      <c r="K123" s="1635">
        <f>SUM(K73:K120)</f>
        <v>24132.998</v>
      </c>
      <c r="L123" s="1630">
        <f t="shared" ref="L123:O123" si="173">SUM(L73:L120)</f>
        <v>-8138.4849999999997</v>
      </c>
      <c r="M123" s="1636">
        <f t="shared" si="173"/>
        <v>15994.512999999999</v>
      </c>
      <c r="N123" s="1539">
        <f>SUM(N73:N120)</f>
        <v>9407.7919999999995</v>
      </c>
      <c r="O123" s="1636">
        <f t="shared" si="173"/>
        <v>6586.7210000000005</v>
      </c>
      <c r="P123" s="1540">
        <f>+N123/M123</f>
        <v>0.58818871196640998</v>
      </c>
      <c r="Q123" s="1980"/>
    </row>
    <row r="124" spans="1:17" ht="23.1" customHeight="1" thickBot="1">
      <c r="A124" s="1025"/>
      <c r="B124" s="1025"/>
      <c r="C124" s="1243"/>
      <c r="D124" s="1023"/>
      <c r="E124" s="1243"/>
      <c r="F124" s="1243"/>
      <c r="G124" s="1023"/>
      <c r="H124" s="1057"/>
      <c r="I124" s="1014"/>
      <c r="J124" s="1243"/>
      <c r="K124" s="364"/>
      <c r="L124" s="364"/>
      <c r="M124" s="364"/>
      <c r="N124" s="364"/>
      <c r="O124" s="88"/>
      <c r="P124" s="364"/>
      <c r="Q124" s="1980"/>
    </row>
    <row r="125" spans="1:17">
      <c r="A125" s="2453" t="s">
        <v>108</v>
      </c>
      <c r="B125" s="2514" t="s">
        <v>8</v>
      </c>
      <c r="C125" s="1473">
        <v>42005</v>
      </c>
      <c r="D125" s="1474">
        <v>42094</v>
      </c>
      <c r="E125" s="1059">
        <v>2.4350000000000001</v>
      </c>
      <c r="F125" s="1033">
        <v>-2.4350000000000001</v>
      </c>
      <c r="G125" s="1027">
        <f>E125+F125</f>
        <v>0</v>
      </c>
      <c r="H125" s="1291"/>
      <c r="I125" s="1028">
        <f>G125-H125</f>
        <v>0</v>
      </c>
      <c r="J125" s="1029" t="e">
        <f>H125/G125</f>
        <v>#DIV/0!</v>
      </c>
      <c r="K125" s="2515">
        <f>E125+E126</f>
        <v>6.0880000000000001</v>
      </c>
      <c r="L125" s="2493">
        <f>F125+F126</f>
        <v>-6.0880000000000001</v>
      </c>
      <c r="M125" s="2493">
        <f>K125+L125</f>
        <v>0</v>
      </c>
      <c r="N125" s="2493">
        <f>H125+H126</f>
        <v>0</v>
      </c>
      <c r="O125" s="2493">
        <f>M125-N125</f>
        <v>0</v>
      </c>
      <c r="P125" s="2610" t="e">
        <f>N125/M125</f>
        <v>#DIV/0!</v>
      </c>
      <c r="Q125" s="1980"/>
    </row>
    <row r="126" spans="1:17">
      <c r="A126" s="2454"/>
      <c r="B126" s="2505"/>
      <c r="C126" s="1475">
        <v>42095</v>
      </c>
      <c r="D126" s="1923">
        <v>42369</v>
      </c>
      <c r="E126" s="1064">
        <v>3.653</v>
      </c>
      <c r="F126" s="1871">
        <v>-3.653</v>
      </c>
      <c r="G126" s="1035">
        <f>E126+F126+I125</f>
        <v>0</v>
      </c>
      <c r="H126" s="1944"/>
      <c r="I126" s="1924">
        <f t="shared" ref="I126:I138" si="174">G126-H126</f>
        <v>0</v>
      </c>
      <c r="J126" s="1069" t="e">
        <f t="shared" ref="J126:J138" si="175">H126/G126</f>
        <v>#DIV/0!</v>
      </c>
      <c r="K126" s="2471"/>
      <c r="L126" s="2452"/>
      <c r="M126" s="2452"/>
      <c r="N126" s="2452"/>
      <c r="O126" s="2452"/>
      <c r="P126" s="2611"/>
      <c r="Q126" s="1980"/>
    </row>
    <row r="127" spans="1:17">
      <c r="A127" s="2454"/>
      <c r="B127" s="2504" t="s">
        <v>43</v>
      </c>
      <c r="C127" s="1476">
        <v>42005</v>
      </c>
      <c r="D127" s="1477">
        <v>42094</v>
      </c>
      <c r="E127" s="1925">
        <v>4994.2359999999999</v>
      </c>
      <c r="F127" s="1469">
        <f>5000</f>
        <v>5000</v>
      </c>
      <c r="G127" s="1926">
        <f>E127+F127</f>
        <v>9994.2360000000008</v>
      </c>
      <c r="H127" s="1469"/>
      <c r="I127" s="1927">
        <f t="shared" si="174"/>
        <v>9994.2360000000008</v>
      </c>
      <c r="J127" s="1928">
        <f t="shared" si="175"/>
        <v>0</v>
      </c>
      <c r="K127" s="2470">
        <f t="shared" ref="K127" si="176">E127+E128</f>
        <v>12485.472</v>
      </c>
      <c r="L127" s="2451">
        <f t="shared" ref="L127" si="177">F127+F128</f>
        <v>5000</v>
      </c>
      <c r="M127" s="2451">
        <f t="shared" ref="M127" si="178">K127+L127</f>
        <v>17485.472000000002</v>
      </c>
      <c r="N127" s="2451">
        <f>H127+H128</f>
        <v>12906.811</v>
      </c>
      <c r="O127" s="2451">
        <f>M127-N127</f>
        <v>4578.6610000000019</v>
      </c>
      <c r="P127" s="2490">
        <f t="shared" ref="P127" si="179">N127/M127</f>
        <v>0.7381448439024122</v>
      </c>
      <c r="Q127" s="1980"/>
    </row>
    <row r="128" spans="1:17">
      <c r="A128" s="2454"/>
      <c r="B128" s="2505"/>
      <c r="C128" s="1475">
        <v>42095</v>
      </c>
      <c r="D128" s="1923">
        <v>42369</v>
      </c>
      <c r="E128" s="1064">
        <v>7491.2359999999999</v>
      </c>
      <c r="F128" s="1871"/>
      <c r="G128" s="1035">
        <f>E128+F128+I127</f>
        <v>17485.472000000002</v>
      </c>
      <c r="H128" s="1807">
        <v>12906.811</v>
      </c>
      <c r="I128" s="1924">
        <f>G128-H128</f>
        <v>4578.6610000000019</v>
      </c>
      <c r="J128" s="1069">
        <f>H128/G128</f>
        <v>0.7381448439024122</v>
      </c>
      <c r="K128" s="2471"/>
      <c r="L128" s="2452"/>
      <c r="M128" s="2452"/>
      <c r="N128" s="2452"/>
      <c r="O128" s="2452"/>
      <c r="P128" s="2611"/>
      <c r="Q128" s="1980"/>
    </row>
    <row r="129" spans="1:62">
      <c r="A129" s="2454"/>
      <c r="B129" s="2504" t="s">
        <v>41</v>
      </c>
      <c r="C129" s="1476">
        <v>42005</v>
      </c>
      <c r="D129" s="1477">
        <v>42094</v>
      </c>
      <c r="E129" s="1925">
        <v>38.066000000000003</v>
      </c>
      <c r="F129" s="1469">
        <f>407+400+500+1000.054</f>
        <v>2307.0540000000001</v>
      </c>
      <c r="G129" s="1926">
        <f>E129+F129</f>
        <v>2345.12</v>
      </c>
      <c r="H129" s="1469"/>
      <c r="I129" s="1927">
        <f>G129-H129</f>
        <v>2345.12</v>
      </c>
      <c r="J129" s="1928">
        <f>H129/G129</f>
        <v>0</v>
      </c>
      <c r="K129" s="2470">
        <f t="shared" ref="K129" si="180">E129+E130</f>
        <v>95.167000000000002</v>
      </c>
      <c r="L129" s="2451">
        <f t="shared" ref="L129" si="181">F129+F130</f>
        <v>2307.0540000000001</v>
      </c>
      <c r="M129" s="2451">
        <f t="shared" ref="M129" si="182">K129+L129</f>
        <v>2402.221</v>
      </c>
      <c r="N129" s="2451">
        <f>H129+H130</f>
        <v>2102.4279999999994</v>
      </c>
      <c r="O129" s="2451">
        <f>M129-N129</f>
        <v>299.79300000000057</v>
      </c>
      <c r="P129" s="2490">
        <f>N129/M129</f>
        <v>0.87520174038941434</v>
      </c>
      <c r="Q129" s="1980"/>
    </row>
    <row r="130" spans="1:62">
      <c r="A130" s="2454"/>
      <c r="B130" s="2505"/>
      <c r="C130" s="1475">
        <v>42095</v>
      </c>
      <c r="D130" s="1923">
        <v>42369</v>
      </c>
      <c r="E130" s="1064">
        <v>57.100999999999999</v>
      </c>
      <c r="F130" s="1871"/>
      <c r="G130" s="1035">
        <f>E130+F130+I129</f>
        <v>2402.221</v>
      </c>
      <c r="H130" s="1807">
        <v>2102.4279999999994</v>
      </c>
      <c r="I130" s="1924">
        <f>G130-H130</f>
        <v>299.79300000000057</v>
      </c>
      <c r="J130" s="1069">
        <f>H130/G130</f>
        <v>0.87520174038941434</v>
      </c>
      <c r="K130" s="2471"/>
      <c r="L130" s="2452"/>
      <c r="M130" s="2452"/>
      <c r="N130" s="2452"/>
      <c r="O130" s="2452"/>
      <c r="P130" s="2611"/>
      <c r="Q130" s="1980"/>
    </row>
    <row r="131" spans="1:62">
      <c r="A131" s="2454"/>
      <c r="B131" s="2504" t="s">
        <v>122</v>
      </c>
      <c r="C131" s="1476">
        <v>42005</v>
      </c>
      <c r="D131" s="1477">
        <v>42094</v>
      </c>
      <c r="E131" s="1925">
        <v>1254.5329999999999</v>
      </c>
      <c r="F131" s="1472">
        <f>87.33-1000.054-0.161</f>
        <v>-912.88499999999988</v>
      </c>
      <c r="G131" s="1926">
        <f>E131+F131</f>
        <v>341.64800000000002</v>
      </c>
      <c r="H131" s="1469"/>
      <c r="I131" s="1927">
        <f t="shared" si="174"/>
        <v>341.64800000000002</v>
      </c>
      <c r="J131" s="1928">
        <f t="shared" si="175"/>
        <v>0</v>
      </c>
      <c r="K131" s="2470">
        <f t="shared" ref="K131" si="183">E131+E132</f>
        <v>3136.43</v>
      </c>
      <c r="L131" s="2451">
        <f t="shared" ref="L131" si="184">F131+F132</f>
        <v>-912.88499999999988</v>
      </c>
      <c r="M131" s="2451">
        <f t="shared" ref="M131" si="185">K131+L131</f>
        <v>2223.5450000000001</v>
      </c>
      <c r="N131" s="2451">
        <f>H131+H132</f>
        <v>1699.2890000000002</v>
      </c>
      <c r="O131" s="2451">
        <f>M131-N131</f>
        <v>524.25599999999986</v>
      </c>
      <c r="P131" s="2490">
        <f t="shared" ref="P131" si="186">N131/M131</f>
        <v>0.76422514498244931</v>
      </c>
      <c r="Q131" s="1980"/>
    </row>
    <row r="132" spans="1:62">
      <c r="A132" s="2454"/>
      <c r="B132" s="2505"/>
      <c r="C132" s="1475">
        <v>42095</v>
      </c>
      <c r="D132" s="1923">
        <v>42369</v>
      </c>
      <c r="E132" s="1064">
        <v>1881.8969999999999</v>
      </c>
      <c r="F132" s="1871"/>
      <c r="G132" s="1035">
        <f>E132+F132+I131</f>
        <v>2223.5450000000001</v>
      </c>
      <c r="H132" s="1807">
        <v>1699.2890000000002</v>
      </c>
      <c r="I132" s="1924">
        <f t="shared" si="174"/>
        <v>524.25599999999986</v>
      </c>
      <c r="J132" s="1069">
        <f t="shared" si="175"/>
        <v>0.76422514498244931</v>
      </c>
      <c r="K132" s="2471"/>
      <c r="L132" s="2452"/>
      <c r="M132" s="2452"/>
      <c r="N132" s="2452"/>
      <c r="O132" s="2452"/>
      <c r="P132" s="2611"/>
      <c r="Q132" s="1980"/>
    </row>
    <row r="133" spans="1:62">
      <c r="A133" s="2454"/>
      <c r="B133" s="2504" t="s">
        <v>45</v>
      </c>
      <c r="C133" s="1476">
        <v>42005</v>
      </c>
      <c r="D133" s="1477">
        <v>42094</v>
      </c>
      <c r="E133" s="1925">
        <v>145.702</v>
      </c>
      <c r="F133" s="1469">
        <f>150+400+900+300</f>
        <v>1750</v>
      </c>
      <c r="G133" s="1926">
        <f>E133+F133</f>
        <v>1895.702</v>
      </c>
      <c r="H133" s="1469"/>
      <c r="I133" s="1927">
        <f t="shared" si="174"/>
        <v>1895.702</v>
      </c>
      <c r="J133" s="1928">
        <f t="shared" si="175"/>
        <v>0</v>
      </c>
      <c r="K133" s="2470">
        <f t="shared" ref="K133" si="187">E133+E134</f>
        <v>364.26599999999996</v>
      </c>
      <c r="L133" s="2451">
        <f>F133+F134</f>
        <v>1750</v>
      </c>
      <c r="M133" s="2451">
        <f t="shared" ref="M133" si="188">K133+L133</f>
        <v>2114.2660000000001</v>
      </c>
      <c r="N133" s="2451">
        <f>H133+H134</f>
        <v>1962.0229999999999</v>
      </c>
      <c r="O133" s="2451">
        <f>M133-N133</f>
        <v>152.24300000000017</v>
      </c>
      <c r="P133" s="2490">
        <f t="shared" ref="P133" si="189">N133/M133</f>
        <v>0.92799250425443147</v>
      </c>
      <c r="Q133" s="1980"/>
    </row>
    <row r="134" spans="1:62">
      <c r="A134" s="2454"/>
      <c r="B134" s="2505"/>
      <c r="C134" s="1475">
        <v>42095</v>
      </c>
      <c r="D134" s="1923">
        <v>42369</v>
      </c>
      <c r="E134" s="1064">
        <v>218.56399999999999</v>
      </c>
      <c r="F134" s="1871"/>
      <c r="G134" s="1035">
        <f>E134+F134+I133</f>
        <v>2114.2660000000001</v>
      </c>
      <c r="H134" s="1807">
        <v>1962.0229999999999</v>
      </c>
      <c r="I134" s="1924">
        <f t="shared" si="174"/>
        <v>152.24300000000017</v>
      </c>
      <c r="J134" s="1069">
        <f t="shared" si="175"/>
        <v>0.92799250425443147</v>
      </c>
      <c r="K134" s="2471"/>
      <c r="L134" s="2452"/>
      <c r="M134" s="2452"/>
      <c r="N134" s="2452"/>
      <c r="O134" s="2452"/>
      <c r="P134" s="2611"/>
      <c r="Q134" s="1980"/>
    </row>
    <row r="135" spans="1:62">
      <c r="A135" s="2454"/>
      <c r="B135" s="2507" t="s">
        <v>47</v>
      </c>
      <c r="C135" s="1476">
        <v>42005</v>
      </c>
      <c r="D135" s="1477">
        <v>42094</v>
      </c>
      <c r="E135" s="1925">
        <v>0</v>
      </c>
      <c r="F135" s="1469">
        <f>-2.435+2.435</f>
        <v>0</v>
      </c>
      <c r="G135" s="1926">
        <f>E135+F135</f>
        <v>0</v>
      </c>
      <c r="H135" s="1471"/>
      <c r="I135" s="1927">
        <f t="shared" si="174"/>
        <v>0</v>
      </c>
      <c r="J135" s="1928" t="e">
        <f t="shared" si="175"/>
        <v>#DIV/0!</v>
      </c>
      <c r="K135" s="2470">
        <f>E135+E136+F135+F136</f>
        <v>0</v>
      </c>
      <c r="L135" s="2451">
        <v>0</v>
      </c>
      <c r="M135" s="2451">
        <f>K135+L135</f>
        <v>0</v>
      </c>
      <c r="N135" s="2451">
        <f>H135+H136</f>
        <v>0</v>
      </c>
      <c r="O135" s="2451">
        <f>K135-N135</f>
        <v>0</v>
      </c>
      <c r="P135" s="2490" t="e">
        <f t="shared" ref="P135" si="190">N135/M135</f>
        <v>#DIV/0!</v>
      </c>
      <c r="Q135" s="1980"/>
    </row>
    <row r="136" spans="1:62">
      <c r="A136" s="2454"/>
      <c r="B136" s="2508"/>
      <c r="C136" s="1478">
        <v>42095</v>
      </c>
      <c r="D136" s="1012">
        <v>42369</v>
      </c>
      <c r="E136" s="1243">
        <v>0</v>
      </c>
      <c r="F136" s="1038">
        <f>-3.653+3.653</f>
        <v>0</v>
      </c>
      <c r="G136" s="1023">
        <f>E136+F136</f>
        <v>0</v>
      </c>
      <c r="H136" s="1290"/>
      <c r="I136" s="1040">
        <f t="shared" si="174"/>
        <v>0</v>
      </c>
      <c r="J136" s="1024" t="e">
        <f t="shared" si="175"/>
        <v>#DIV/0!</v>
      </c>
      <c r="K136" s="2509"/>
      <c r="L136" s="2460"/>
      <c r="M136" s="2460"/>
      <c r="N136" s="2460"/>
      <c r="O136" s="2460"/>
      <c r="P136" s="2491"/>
      <c r="Q136" s="1980"/>
    </row>
    <row r="137" spans="1:62">
      <c r="A137" s="2454"/>
      <c r="B137" s="2510" t="s">
        <v>23</v>
      </c>
      <c r="C137" s="1476">
        <v>42005</v>
      </c>
      <c r="D137" s="1477">
        <v>42094</v>
      </c>
      <c r="E137" s="1874">
        <v>0</v>
      </c>
      <c r="F137" s="1472">
        <v>0</v>
      </c>
      <c r="G137" s="1926">
        <f>E137+F137</f>
        <v>0</v>
      </c>
      <c r="H137" s="1446"/>
      <c r="I137" s="1927">
        <f t="shared" si="174"/>
        <v>0</v>
      </c>
      <c r="J137" s="1929" t="e">
        <f t="shared" si="175"/>
        <v>#DIV/0!</v>
      </c>
      <c r="K137" s="2470">
        <f t="shared" ref="K137" si="191">E137+E138</f>
        <v>0</v>
      </c>
      <c r="L137" s="2451">
        <f t="shared" ref="L137" si="192">F137+F138</f>
        <v>0.40500000000000003</v>
      </c>
      <c r="M137" s="2468">
        <f t="shared" ref="M137" si="193">K137+L137</f>
        <v>0.40500000000000003</v>
      </c>
      <c r="N137" s="2461">
        <f t="shared" ref="N137" si="194">H137+H138</f>
        <v>0</v>
      </c>
      <c r="O137" s="2451">
        <f>M137-N137</f>
        <v>0.40500000000000003</v>
      </c>
      <c r="P137" s="2490">
        <f t="shared" ref="P137" si="195">N137/M137</f>
        <v>0</v>
      </c>
      <c r="Q137" s="1980"/>
    </row>
    <row r="138" spans="1:62" ht="15.75" thickBot="1">
      <c r="A138" s="2455"/>
      <c r="B138" s="2511"/>
      <c r="C138" s="1479">
        <v>42095</v>
      </c>
      <c r="D138" s="1017">
        <v>42369</v>
      </c>
      <c r="E138" s="1452">
        <v>0</v>
      </c>
      <c r="F138" s="1529">
        <f>0.161+0.244</f>
        <v>0.40500000000000003</v>
      </c>
      <c r="G138" s="1930">
        <f>E138+F138+I137</f>
        <v>0.40500000000000003</v>
      </c>
      <c r="H138" s="1528"/>
      <c r="I138" s="1931">
        <f t="shared" si="174"/>
        <v>0.40500000000000003</v>
      </c>
      <c r="J138" s="1932">
        <f t="shared" si="175"/>
        <v>0</v>
      </c>
      <c r="K138" s="2512"/>
      <c r="L138" s="2489"/>
      <c r="M138" s="2528"/>
      <c r="N138" s="2608"/>
      <c r="O138" s="2489"/>
      <c r="P138" s="2609"/>
      <c r="Q138" s="1980"/>
    </row>
    <row r="139" spans="1:62" s="402" customFormat="1" ht="15.75" thickBot="1">
      <c r="A139" s="332"/>
      <c r="B139" s="1060"/>
      <c r="C139" s="1022"/>
      <c r="D139" s="1022"/>
      <c r="E139" s="1243"/>
      <c r="F139" s="1243"/>
      <c r="G139" s="1023"/>
      <c r="H139" s="1998">
        <f>SUM(H73:H136)</f>
        <v>28078.343000000001</v>
      </c>
      <c r="I139" s="1014"/>
      <c r="J139" s="1024"/>
      <c r="K139" s="1538">
        <f>SUM(K125:K136)</f>
        <v>16087.422999999999</v>
      </c>
      <c r="L139" s="1541">
        <f t="shared" ref="L139:O139" si="196">SUM(L125:L136)</f>
        <v>8138.0810000000001</v>
      </c>
      <c r="M139" s="1541">
        <f t="shared" si="196"/>
        <v>24225.504000000004</v>
      </c>
      <c r="N139" s="1541">
        <f t="shared" si="196"/>
        <v>18670.550999999999</v>
      </c>
      <c r="O139" s="1541">
        <f t="shared" si="196"/>
        <v>5554.9530000000032</v>
      </c>
      <c r="P139" s="1637">
        <f>+N139/M139</f>
        <v>0.77069814522744273</v>
      </c>
      <c r="Q139" s="1980"/>
      <c r="R139" s="1979"/>
      <c r="S139" s="1979"/>
      <c r="T139" s="1979"/>
      <c r="U139" s="1979"/>
      <c r="V139" s="1979"/>
      <c r="W139" s="1979"/>
      <c r="X139" s="1979"/>
      <c r="Y139" s="1979"/>
      <c r="Z139" s="1979"/>
      <c r="AA139" s="1979"/>
      <c r="AB139" s="1979"/>
      <c r="AC139" s="1979"/>
      <c r="AD139" s="1979"/>
      <c r="AE139" s="1979"/>
      <c r="AF139" s="1979"/>
      <c r="AG139" s="1979"/>
      <c r="AH139" s="1979"/>
      <c r="AI139" s="1979"/>
      <c r="AJ139" s="1979"/>
      <c r="AK139" s="1979"/>
      <c r="AL139" s="1979"/>
      <c r="AM139" s="1979"/>
      <c r="AN139" s="1979"/>
      <c r="AO139" s="1979"/>
      <c r="AP139" s="1979"/>
      <c r="AQ139" s="1979"/>
      <c r="AR139" s="1979"/>
      <c r="AS139" s="1979"/>
      <c r="AT139" s="1979"/>
      <c r="AU139" s="1979"/>
      <c r="AV139" s="1979"/>
      <c r="AW139" s="1979"/>
      <c r="AX139" s="1979"/>
      <c r="AY139" s="1979"/>
      <c r="AZ139" s="1979"/>
      <c r="BA139" s="1979"/>
      <c r="BB139" s="1979"/>
      <c r="BC139" s="1979"/>
      <c r="BD139" s="1979"/>
      <c r="BE139" s="1979"/>
      <c r="BF139" s="1979"/>
      <c r="BG139" s="1979"/>
      <c r="BH139" s="1979"/>
      <c r="BI139" s="1979"/>
      <c r="BJ139" s="1979"/>
    </row>
    <row r="140" spans="1:62" ht="25.5" customHeight="1" thickBot="1">
      <c r="A140" s="1025"/>
      <c r="B140" s="1025"/>
      <c r="C140" s="1243"/>
      <c r="D140" s="1023"/>
      <c r="E140" s="1243"/>
      <c r="F140" s="1045"/>
      <c r="G140" s="1023"/>
      <c r="H140" s="1045"/>
      <c r="I140" s="1061"/>
      <c r="J140" s="694"/>
      <c r="K140" s="1542"/>
      <c r="L140" s="1542"/>
      <c r="M140" s="1542"/>
      <c r="N140" s="1542"/>
      <c r="O140" s="1542"/>
      <c r="P140" s="311"/>
      <c r="Q140" s="1980"/>
    </row>
    <row r="141" spans="1:62" ht="15" customHeight="1">
      <c r="A141" s="2484" t="s">
        <v>31</v>
      </c>
      <c r="B141" s="2501" t="s">
        <v>216</v>
      </c>
      <c r="C141" s="996">
        <v>42005</v>
      </c>
      <c r="D141" s="1058">
        <v>42216</v>
      </c>
      <c r="E141" s="1033">
        <v>86.138999999999996</v>
      </c>
      <c r="F141" s="1033">
        <v>-86.138999999999996</v>
      </c>
      <c r="G141" s="1027">
        <f>E141+F141</f>
        <v>0</v>
      </c>
      <c r="H141" s="1288"/>
      <c r="I141" s="1028">
        <f>G141-H141</f>
        <v>0</v>
      </c>
      <c r="J141" s="1062" t="e">
        <f>H141/G141</f>
        <v>#DIV/0!</v>
      </c>
      <c r="K141" s="2494">
        <f>E141+E142</f>
        <v>114.852</v>
      </c>
      <c r="L141" s="2493">
        <f>F141+F142</f>
        <v>-114.852</v>
      </c>
      <c r="M141" s="2493">
        <f>K141+L141</f>
        <v>0</v>
      </c>
      <c r="N141" s="2493">
        <f>H141+H142</f>
        <v>0</v>
      </c>
      <c r="O141" s="2493">
        <f>M141-N141</f>
        <v>0</v>
      </c>
      <c r="P141" s="2492">
        <v>0</v>
      </c>
      <c r="Q141" s="1980"/>
    </row>
    <row r="142" spans="1:62" ht="15" customHeight="1">
      <c r="A142" s="2485"/>
      <c r="B142" s="2477"/>
      <c r="C142" s="1001">
        <v>42217</v>
      </c>
      <c r="D142" s="1063">
        <v>42369</v>
      </c>
      <c r="E142" s="1871">
        <v>28.713000000000001</v>
      </c>
      <c r="F142" s="1871">
        <v>-28.713000000000001</v>
      </c>
      <c r="G142" s="1035">
        <f>E142+F142+I141</f>
        <v>0</v>
      </c>
      <c r="H142" s="1937"/>
      <c r="I142" s="1924">
        <f t="shared" ref="I142:I178" si="197">G142-H142</f>
        <v>0</v>
      </c>
      <c r="J142" s="1984" t="e">
        <f t="shared" ref="J142:J182" si="198">H142/G142</f>
        <v>#DIV/0!</v>
      </c>
      <c r="K142" s="2475"/>
      <c r="L142" s="2452"/>
      <c r="M142" s="2452"/>
      <c r="N142" s="2452"/>
      <c r="O142" s="2452"/>
      <c r="P142" s="2481"/>
      <c r="Q142" s="1980"/>
    </row>
    <row r="143" spans="1:62" ht="15" customHeight="1">
      <c r="A143" s="2485"/>
      <c r="B143" s="2476" t="s">
        <v>576</v>
      </c>
      <c r="C143" s="1443">
        <v>42005</v>
      </c>
      <c r="D143" s="1873">
        <v>42216</v>
      </c>
      <c r="E143" s="1874">
        <v>17.777000000000001</v>
      </c>
      <c r="F143" s="1469">
        <v>-17.777000000000001</v>
      </c>
      <c r="G143" s="1447">
        <f>E143+F143</f>
        <v>0</v>
      </c>
      <c r="H143" s="1068"/>
      <c r="I143" s="1927">
        <f t="shared" si="197"/>
        <v>0</v>
      </c>
      <c r="J143" s="1985" t="e">
        <f t="shared" si="198"/>
        <v>#DIV/0!</v>
      </c>
      <c r="K143" s="2474">
        <f>E143+E144</f>
        <v>23.703000000000003</v>
      </c>
      <c r="L143" s="2451">
        <f t="shared" ref="L143" si="199">F143+F144</f>
        <v>-23.703000000000003</v>
      </c>
      <c r="M143" s="2451">
        <f t="shared" ref="M143" si="200">K143+L143</f>
        <v>0</v>
      </c>
      <c r="N143" s="2451">
        <f>H143+H144</f>
        <v>0</v>
      </c>
      <c r="O143" s="2451">
        <f>M143-N143</f>
        <v>0</v>
      </c>
      <c r="P143" s="2480">
        <v>0</v>
      </c>
      <c r="Q143" s="1980"/>
    </row>
    <row r="144" spans="1:62" ht="15" customHeight="1">
      <c r="A144" s="2485"/>
      <c r="B144" s="2477"/>
      <c r="C144" s="1001">
        <v>42217</v>
      </c>
      <c r="D144" s="1877">
        <v>42369</v>
      </c>
      <c r="E144" s="1870">
        <v>5.9260000000000002</v>
      </c>
      <c r="F144" s="1871">
        <v>-5.9260000000000002</v>
      </c>
      <c r="G144" s="1035">
        <f>E144+F144+I143</f>
        <v>0</v>
      </c>
      <c r="H144" s="1068"/>
      <c r="I144" s="1924">
        <f t="shared" si="197"/>
        <v>0</v>
      </c>
      <c r="J144" s="1984" t="e">
        <f t="shared" si="198"/>
        <v>#DIV/0!</v>
      </c>
      <c r="K144" s="2475"/>
      <c r="L144" s="2452"/>
      <c r="M144" s="2452"/>
      <c r="N144" s="2452"/>
      <c r="O144" s="2452"/>
      <c r="P144" s="2481"/>
      <c r="Q144" s="1980"/>
    </row>
    <row r="145" spans="1:17" ht="15" customHeight="1">
      <c r="A145" s="2485"/>
      <c r="B145" s="2476" t="s">
        <v>18</v>
      </c>
      <c r="C145" s="1443">
        <v>42005</v>
      </c>
      <c r="D145" s="1873">
        <v>42216</v>
      </c>
      <c r="E145" s="1986">
        <v>0.75900000000000001</v>
      </c>
      <c r="F145" s="1469"/>
      <c r="G145" s="1447">
        <f>E145+F145</f>
        <v>0.75900000000000001</v>
      </c>
      <c r="H145" s="1446"/>
      <c r="I145" s="1927">
        <f t="shared" si="197"/>
        <v>0.75900000000000001</v>
      </c>
      <c r="J145" s="1985">
        <f t="shared" si="198"/>
        <v>0</v>
      </c>
      <c r="K145" s="2474">
        <f t="shared" ref="K145" si="201">E145+E146</f>
        <v>1.012</v>
      </c>
      <c r="L145" s="2451">
        <f t="shared" ref="L145" si="202">F145+F146</f>
        <v>0</v>
      </c>
      <c r="M145" s="2451">
        <f t="shared" ref="M145" si="203">K145+L145</f>
        <v>1.012</v>
      </c>
      <c r="N145" s="2451">
        <f>H145+H146</f>
        <v>0.115</v>
      </c>
      <c r="O145" s="2451">
        <f>M145-N145</f>
        <v>0.89700000000000002</v>
      </c>
      <c r="P145" s="2480">
        <f t="shared" ref="P145" si="204">N145/M145</f>
        <v>0.11363636363636365</v>
      </c>
      <c r="Q145" s="1980"/>
    </row>
    <row r="146" spans="1:17" ht="15" customHeight="1">
      <c r="A146" s="2485"/>
      <c r="B146" s="2477"/>
      <c r="C146" s="1001">
        <v>42217</v>
      </c>
      <c r="D146" s="1877">
        <v>42369</v>
      </c>
      <c r="E146" s="1064">
        <v>0.253</v>
      </c>
      <c r="F146" s="1871"/>
      <c r="G146" s="1035">
        <f>E146+F146+I145</f>
        <v>1.012</v>
      </c>
      <c r="H146" s="1600">
        <v>0.115</v>
      </c>
      <c r="I146" s="1924">
        <f t="shared" si="197"/>
        <v>0.89700000000000002</v>
      </c>
      <c r="J146" s="1984">
        <f t="shared" si="198"/>
        <v>0.11363636363636365</v>
      </c>
      <c r="K146" s="2475"/>
      <c r="L146" s="2452"/>
      <c r="M146" s="2452"/>
      <c r="N146" s="2452"/>
      <c r="O146" s="2452"/>
      <c r="P146" s="2481"/>
      <c r="Q146" s="1980"/>
    </row>
    <row r="147" spans="1:17" ht="15" customHeight="1">
      <c r="A147" s="2485"/>
      <c r="B147" s="2497" t="s">
        <v>48</v>
      </c>
      <c r="C147" s="1960">
        <v>42005</v>
      </c>
      <c r="D147" s="1961">
        <v>42216</v>
      </c>
      <c r="E147" s="1962">
        <v>3750.94</v>
      </c>
      <c r="F147" s="1963">
        <f>-2574.906+32.514+107.937</f>
        <v>-2434.4549999999999</v>
      </c>
      <c r="G147" s="1987">
        <f>E147+F147</f>
        <v>1316.4850000000001</v>
      </c>
      <c r="H147" s="1993">
        <v>1360.5909999999999</v>
      </c>
      <c r="I147" s="1952">
        <f>G147-H147</f>
        <v>-44.105999999999767</v>
      </c>
      <c r="J147" s="1953">
        <f>H147/G147</f>
        <v>1.0335028503932819</v>
      </c>
      <c r="K147" s="2612">
        <f t="shared" ref="K147" si="205">E147+E148</f>
        <v>5001.2530000000006</v>
      </c>
      <c r="L147" s="2495">
        <f t="shared" ref="L147" si="206">F147+F148</f>
        <v>-4971.9879999999994</v>
      </c>
      <c r="M147" s="2495">
        <f>K147+L147</f>
        <v>29.265000000001237</v>
      </c>
      <c r="N147" s="2495">
        <f>H147+H148</f>
        <v>1488.9779999999998</v>
      </c>
      <c r="O147" s="2495">
        <f>M147-N147</f>
        <v>-1459.7129999999986</v>
      </c>
      <c r="P147" s="2502">
        <f>N147/M147</f>
        <v>50.879138903124449</v>
      </c>
      <c r="Q147" s="1980"/>
    </row>
    <row r="148" spans="1:17" ht="15" customHeight="1">
      <c r="A148" s="2485"/>
      <c r="B148" s="2498"/>
      <c r="C148" s="1954">
        <v>42217</v>
      </c>
      <c r="D148" s="1957">
        <v>42369</v>
      </c>
      <c r="E148" s="1958">
        <v>1250.3130000000001</v>
      </c>
      <c r="F148" s="1959">
        <v>-2537.5329999999999</v>
      </c>
      <c r="G148" s="1955">
        <f>E148+F148+I147</f>
        <v>-1331.3259999999996</v>
      </c>
      <c r="H148" s="1956">
        <v>128.387</v>
      </c>
      <c r="I148" s="1952">
        <f t="shared" si="197"/>
        <v>-1459.7129999999995</v>
      </c>
      <c r="J148" s="1953">
        <f t="shared" si="198"/>
        <v>-9.6435433545202329E-2</v>
      </c>
      <c r="K148" s="2613"/>
      <c r="L148" s="2496"/>
      <c r="M148" s="2496"/>
      <c r="N148" s="2496"/>
      <c r="O148" s="2496"/>
      <c r="P148" s="2503"/>
      <c r="Q148" s="1980"/>
    </row>
    <row r="149" spans="1:17" ht="15" customHeight="1">
      <c r="A149" s="2485"/>
      <c r="B149" s="2476" t="s">
        <v>49</v>
      </c>
      <c r="C149" s="1443">
        <v>42005</v>
      </c>
      <c r="D149" s="1873">
        <v>42216</v>
      </c>
      <c r="E149" s="1986">
        <v>3153.049</v>
      </c>
      <c r="F149" s="1469">
        <f>1426.201-4144.064-1426.201-59.298</f>
        <v>-4203.3620000000001</v>
      </c>
      <c r="G149" s="1447">
        <f>E149+F149</f>
        <v>-1050.3130000000001</v>
      </c>
      <c r="H149" s="1446"/>
      <c r="I149" s="1927">
        <f t="shared" si="197"/>
        <v>-1050.3130000000001</v>
      </c>
      <c r="J149" s="1985">
        <f>H149/G149</f>
        <v>0</v>
      </c>
      <c r="K149" s="2474">
        <f t="shared" ref="K149" si="207">E149+E150</f>
        <v>4204.0650000000005</v>
      </c>
      <c r="L149" s="2451">
        <f t="shared" ref="L149" si="208">F149+F150</f>
        <v>-4203.3620000000001</v>
      </c>
      <c r="M149" s="2451">
        <f t="shared" ref="M149" si="209">K149+L149</f>
        <v>0.70300000000042928</v>
      </c>
      <c r="N149" s="2451">
        <f>H149+H150</f>
        <v>0</v>
      </c>
      <c r="O149" s="2451">
        <f>M149-N149</f>
        <v>0.70300000000042928</v>
      </c>
      <c r="P149" s="2480">
        <f t="shared" ref="P149" si="210">N149/M149</f>
        <v>0</v>
      </c>
      <c r="Q149" s="1980"/>
    </row>
    <row r="150" spans="1:17" ht="15" customHeight="1">
      <c r="A150" s="2485"/>
      <c r="B150" s="2477"/>
      <c r="C150" s="1001">
        <v>42217</v>
      </c>
      <c r="D150" s="1877">
        <v>42369</v>
      </c>
      <c r="E150" s="1064">
        <v>1051.0160000000001</v>
      </c>
      <c r="F150" s="1871"/>
      <c r="G150" s="1035">
        <f>E150+F150+I149</f>
        <v>0.70299999999997453</v>
      </c>
      <c r="H150" s="1937"/>
      <c r="I150" s="1924">
        <f>G150-H150</f>
        <v>0.70299999999997453</v>
      </c>
      <c r="J150" s="1984">
        <f t="shared" si="198"/>
        <v>0</v>
      </c>
      <c r="K150" s="2475"/>
      <c r="L150" s="2452"/>
      <c r="M150" s="2452"/>
      <c r="N150" s="2452"/>
      <c r="O150" s="2452"/>
      <c r="P150" s="2481"/>
      <c r="Q150" s="1980"/>
    </row>
    <row r="151" spans="1:17" ht="15" customHeight="1">
      <c r="A151" s="2485"/>
      <c r="B151" s="2482" t="s">
        <v>111</v>
      </c>
      <c r="C151" s="1443">
        <v>42005</v>
      </c>
      <c r="D151" s="1873">
        <v>42216</v>
      </c>
      <c r="E151" s="1243">
        <v>67.63</v>
      </c>
      <c r="F151" s="1038">
        <f>224.422+71.993-0.406+9.481+17.777</f>
        <v>323.26699999999994</v>
      </c>
      <c r="G151" s="1023">
        <f>E151+F151</f>
        <v>390.89699999999993</v>
      </c>
      <c r="H151" s="1497">
        <v>270.60500000000002</v>
      </c>
      <c r="I151" s="1040">
        <f t="shared" si="197"/>
        <v>120.29199999999992</v>
      </c>
      <c r="J151" s="1065">
        <f t="shared" si="198"/>
        <v>0.69226676080911353</v>
      </c>
      <c r="K151" s="2474">
        <f>E151+E152</f>
        <v>90.173000000000002</v>
      </c>
      <c r="L151" s="2451">
        <f t="shared" ref="L151" si="211">F151+F152</f>
        <v>429.19249999999994</v>
      </c>
      <c r="M151" s="2451">
        <f t="shared" ref="M151" si="212">K151+L151</f>
        <v>519.36549999999988</v>
      </c>
      <c r="N151" s="2451">
        <f>H151+H152</f>
        <v>512.98500000000001</v>
      </c>
      <c r="O151" s="2451">
        <f>M151-N151</f>
        <v>6.3804999999998699</v>
      </c>
      <c r="P151" s="2480">
        <f t="shared" ref="P151" si="213">N151/M151</f>
        <v>0.98771481740700939</v>
      </c>
      <c r="Q151" s="1980"/>
    </row>
    <row r="152" spans="1:17" ht="15" customHeight="1">
      <c r="A152" s="2485"/>
      <c r="B152" s="2477"/>
      <c r="C152" s="1001">
        <v>42217</v>
      </c>
      <c r="D152" s="1877">
        <v>42369</v>
      </c>
      <c r="E152" s="1243">
        <v>22.542999999999999</v>
      </c>
      <c r="F152" s="1038">
        <f>5.926+99.9995</f>
        <v>105.9255</v>
      </c>
      <c r="G152" s="1023">
        <f>E152+F152+I151</f>
        <v>248.76049999999992</v>
      </c>
      <c r="H152" s="1885">
        <v>242.37999999999997</v>
      </c>
      <c r="I152" s="1040">
        <f t="shared" si="197"/>
        <v>6.3804999999999552</v>
      </c>
      <c r="J152" s="1065">
        <f t="shared" si="198"/>
        <v>0.97435083142219137</v>
      </c>
      <c r="K152" s="2475"/>
      <c r="L152" s="2452"/>
      <c r="M152" s="2452"/>
      <c r="N152" s="2452"/>
      <c r="O152" s="2452"/>
      <c r="P152" s="2481"/>
      <c r="Q152" s="1980"/>
    </row>
    <row r="153" spans="1:17" ht="15" customHeight="1">
      <c r="A153" s="2485"/>
      <c r="B153" s="2476" t="s">
        <v>26</v>
      </c>
      <c r="C153" s="1443">
        <v>42005</v>
      </c>
      <c r="D153" s="1873">
        <v>42216</v>
      </c>
      <c r="E153" s="1986">
        <v>85.811000000000007</v>
      </c>
      <c r="F153" s="1469"/>
      <c r="G153" s="1447">
        <f>E153+F153</f>
        <v>85.811000000000007</v>
      </c>
      <c r="H153" s="1497">
        <v>62.923000000000002</v>
      </c>
      <c r="I153" s="1927">
        <f>G153-H153</f>
        <v>22.888000000000005</v>
      </c>
      <c r="J153" s="1985">
        <f t="shared" si="198"/>
        <v>0.73327428884408752</v>
      </c>
      <c r="K153" s="2474">
        <f t="shared" ref="K153" si="214">E153+E154</f>
        <v>114.41500000000001</v>
      </c>
      <c r="L153" s="2451">
        <f t="shared" ref="L153" si="215">F153+F154</f>
        <v>0</v>
      </c>
      <c r="M153" s="2451">
        <f t="shared" ref="M153" si="216">K153+L153</f>
        <v>114.41500000000001</v>
      </c>
      <c r="N153" s="2451">
        <f>H153+H154</f>
        <v>112.739</v>
      </c>
      <c r="O153" s="2451">
        <f>M153-N153</f>
        <v>1.6760000000000019</v>
      </c>
      <c r="P153" s="2480">
        <f t="shared" ref="P153" si="217">N153/M153</f>
        <v>0.98535157103526638</v>
      </c>
      <c r="Q153" s="1980"/>
    </row>
    <row r="154" spans="1:17" ht="15" customHeight="1">
      <c r="A154" s="2485"/>
      <c r="B154" s="2477"/>
      <c r="C154" s="1001">
        <v>42217</v>
      </c>
      <c r="D154" s="1877">
        <v>42369</v>
      </c>
      <c r="E154" s="1064">
        <v>28.603999999999999</v>
      </c>
      <c r="F154" s="1871"/>
      <c r="G154" s="1035">
        <f>E154+F154+I153</f>
        <v>51.492000000000004</v>
      </c>
      <c r="H154" s="1885">
        <v>49.816000000000003</v>
      </c>
      <c r="I154" s="1924">
        <f>G154-H154</f>
        <v>1.6760000000000019</v>
      </c>
      <c r="J154" s="1984">
        <f t="shared" si="198"/>
        <v>0.96745125456381575</v>
      </c>
      <c r="K154" s="2475"/>
      <c r="L154" s="2452"/>
      <c r="M154" s="2452"/>
      <c r="N154" s="2452"/>
      <c r="O154" s="2452"/>
      <c r="P154" s="2481"/>
      <c r="Q154" s="1980"/>
    </row>
    <row r="155" spans="1:17" ht="15" customHeight="1">
      <c r="A155" s="2485"/>
      <c r="B155" s="2482" t="s">
        <v>50</v>
      </c>
      <c r="C155" s="1443">
        <v>42005</v>
      </c>
      <c r="D155" s="1873">
        <v>42216</v>
      </c>
      <c r="E155" s="1243">
        <v>107.22799999999999</v>
      </c>
      <c r="F155" s="1038">
        <f>23.703+229.771+188.8+400.411-4.0653-1.085+14.804+114.852</f>
        <v>967.19069999999988</v>
      </c>
      <c r="G155" s="1023">
        <f>E155+F155</f>
        <v>1074.4186999999999</v>
      </c>
      <c r="H155" s="1497">
        <v>497.99400000000003</v>
      </c>
      <c r="I155" s="1040">
        <f t="shared" si="197"/>
        <v>576.42469999999992</v>
      </c>
      <c r="J155" s="1065">
        <f t="shared" si="198"/>
        <v>0.46350086795771522</v>
      </c>
      <c r="K155" s="2474">
        <f t="shared" ref="K155" si="218">E155+E156</f>
        <v>142.971</v>
      </c>
      <c r="L155" s="2451">
        <f t="shared" ref="L155" si="219">F155+F156</f>
        <v>981.99469999999985</v>
      </c>
      <c r="M155" s="2451">
        <f t="shared" ref="M155" si="220">K155+L155</f>
        <v>1124.9656999999997</v>
      </c>
      <c r="N155" s="2451">
        <f>H155+H156</f>
        <v>1120.6460000000002</v>
      </c>
      <c r="O155" s="2451">
        <f>M155-N155</f>
        <v>4.3196999999995569</v>
      </c>
      <c r="P155" s="2480">
        <f t="shared" ref="P155" si="221">N155/M155</f>
        <v>0.99616014959389465</v>
      </c>
      <c r="Q155" s="1980"/>
    </row>
    <row r="156" spans="1:17" ht="15" customHeight="1">
      <c r="A156" s="2485"/>
      <c r="B156" s="2477"/>
      <c r="C156" s="1001">
        <v>42217</v>
      </c>
      <c r="D156" s="1877">
        <v>42369</v>
      </c>
      <c r="E156" s="1243">
        <v>35.743000000000002</v>
      </c>
      <c r="F156" s="1038">
        <f>14.804</f>
        <v>14.804</v>
      </c>
      <c r="G156" s="1023">
        <f>E156+F156+I155</f>
        <v>626.97169999999994</v>
      </c>
      <c r="H156" s="1885">
        <v>622.65200000000016</v>
      </c>
      <c r="I156" s="1040">
        <f t="shared" si="197"/>
        <v>4.3196999999997843</v>
      </c>
      <c r="J156" s="1065">
        <f t="shared" si="198"/>
        <v>0.99311021534145838</v>
      </c>
      <c r="K156" s="2475"/>
      <c r="L156" s="2452"/>
      <c r="M156" s="2452"/>
      <c r="N156" s="2452"/>
      <c r="O156" s="2452"/>
      <c r="P156" s="2481"/>
      <c r="Q156" s="1980"/>
    </row>
    <row r="157" spans="1:17" ht="15" customHeight="1">
      <c r="A157" s="2485"/>
      <c r="B157" s="2476" t="s">
        <v>27</v>
      </c>
      <c r="C157" s="1443">
        <v>42005</v>
      </c>
      <c r="D157" s="1873">
        <v>42216</v>
      </c>
      <c r="E157" s="1986">
        <v>175.42699999999999</v>
      </c>
      <c r="F157" s="1469">
        <f>-224.422-9.481</f>
        <v>-233.90299999999999</v>
      </c>
      <c r="G157" s="1447">
        <f>E157+F157</f>
        <v>-58.475999999999999</v>
      </c>
      <c r="H157" s="1446"/>
      <c r="I157" s="1927">
        <f t="shared" si="197"/>
        <v>-58.475999999999999</v>
      </c>
      <c r="J157" s="1985">
        <f t="shared" si="198"/>
        <v>0</v>
      </c>
      <c r="K157" s="2474">
        <f t="shared" ref="K157" si="222">E157+E158</f>
        <v>233.90299999999999</v>
      </c>
      <c r="L157" s="2451">
        <f t="shared" ref="L157" si="223">F157+F158</f>
        <v>-233.90299999999999</v>
      </c>
      <c r="M157" s="2451">
        <f t="shared" ref="M157" si="224">K157+L157</f>
        <v>0</v>
      </c>
      <c r="N157" s="2451">
        <f>H157+H158</f>
        <v>0</v>
      </c>
      <c r="O157" s="2451">
        <f>M157-N157</f>
        <v>0</v>
      </c>
      <c r="P157" s="2480">
        <v>0</v>
      </c>
      <c r="Q157" s="1980"/>
    </row>
    <row r="158" spans="1:17" ht="15" customHeight="1">
      <c r="A158" s="2485"/>
      <c r="B158" s="2477"/>
      <c r="C158" s="1001">
        <v>42217</v>
      </c>
      <c r="D158" s="1877">
        <v>42369</v>
      </c>
      <c r="E158" s="1064">
        <v>58.475999999999999</v>
      </c>
      <c r="F158" s="1871"/>
      <c r="G158" s="1035">
        <f>E158+F158+I157</f>
        <v>0</v>
      </c>
      <c r="H158" s="1937"/>
      <c r="I158" s="1924">
        <f t="shared" si="197"/>
        <v>0</v>
      </c>
      <c r="J158" s="1984" t="e">
        <f t="shared" si="198"/>
        <v>#DIV/0!</v>
      </c>
      <c r="K158" s="2475"/>
      <c r="L158" s="2452"/>
      <c r="M158" s="2452"/>
      <c r="N158" s="2452"/>
      <c r="O158" s="2452"/>
      <c r="P158" s="2481"/>
      <c r="Q158" s="1980"/>
    </row>
    <row r="159" spans="1:17" ht="15" customHeight="1">
      <c r="A159" s="2485"/>
      <c r="B159" s="2499" t="s">
        <v>109</v>
      </c>
      <c r="C159" s="1443">
        <v>42005</v>
      </c>
      <c r="D159" s="1873">
        <v>42216</v>
      </c>
      <c r="E159" s="1243">
        <v>300.30799999999999</v>
      </c>
      <c r="F159" s="1038">
        <v>-400.411</v>
      </c>
      <c r="G159" s="1023">
        <f>E159+F159</f>
        <v>-100.10300000000001</v>
      </c>
      <c r="H159" s="1068"/>
      <c r="I159" s="1040">
        <f t="shared" si="197"/>
        <v>-100.10300000000001</v>
      </c>
      <c r="J159" s="1065">
        <f t="shared" si="198"/>
        <v>0</v>
      </c>
      <c r="K159" s="2474">
        <f t="shared" ref="K159" si="225">E159+E160</f>
        <v>400.411</v>
      </c>
      <c r="L159" s="2451">
        <f t="shared" ref="L159" si="226">F159+F160</f>
        <v>-400.411</v>
      </c>
      <c r="M159" s="2451">
        <f t="shared" ref="M159" si="227">K159+L159</f>
        <v>0</v>
      </c>
      <c r="N159" s="2451">
        <f>H159+H160</f>
        <v>0</v>
      </c>
      <c r="O159" s="2451">
        <f>M159-N159</f>
        <v>0</v>
      </c>
      <c r="P159" s="2480">
        <v>0</v>
      </c>
      <c r="Q159" s="1980"/>
    </row>
    <row r="160" spans="1:17" ht="15" customHeight="1">
      <c r="A160" s="2485"/>
      <c r="B160" s="2500"/>
      <c r="C160" s="1001">
        <v>42217</v>
      </c>
      <c r="D160" s="1877">
        <v>42369</v>
      </c>
      <c r="E160" s="1243">
        <v>100.10299999999999</v>
      </c>
      <c r="F160" s="1038"/>
      <c r="G160" s="1023">
        <f>E160+F160+I159</f>
        <v>0</v>
      </c>
      <c r="H160" s="1937"/>
      <c r="I160" s="1040">
        <f t="shared" si="197"/>
        <v>0</v>
      </c>
      <c r="J160" s="1065" t="e">
        <f t="shared" si="198"/>
        <v>#DIV/0!</v>
      </c>
      <c r="K160" s="2475"/>
      <c r="L160" s="2452"/>
      <c r="M160" s="2452"/>
      <c r="N160" s="2452"/>
      <c r="O160" s="2452"/>
      <c r="P160" s="2481"/>
      <c r="Q160" s="1980"/>
    </row>
    <row r="161" spans="1:17" ht="15" customHeight="1">
      <c r="A161" s="2485"/>
      <c r="B161" s="2476" t="s">
        <v>41</v>
      </c>
      <c r="C161" s="1443">
        <v>42005</v>
      </c>
      <c r="D161" s="1988">
        <v>42216</v>
      </c>
      <c r="E161" s="1874">
        <v>1150.7059999999999</v>
      </c>
      <c r="F161" s="1446">
        <f>70.032-70.032+70.032+220.113-1426.201-107.9365-112.1345</f>
        <v>-1356.127</v>
      </c>
      <c r="G161" s="1447">
        <f>E161+F161</f>
        <v>-205.42100000000005</v>
      </c>
      <c r="H161" s="1446"/>
      <c r="I161" s="1927">
        <f t="shared" si="197"/>
        <v>-205.42100000000005</v>
      </c>
      <c r="J161" s="1985">
        <f t="shared" si="198"/>
        <v>0</v>
      </c>
      <c r="K161" s="2474">
        <f t="shared" ref="K161" si="228">E161+E162</f>
        <v>1534.2749999999999</v>
      </c>
      <c r="L161" s="2451">
        <f t="shared" ref="L161" si="229">F161+F162</f>
        <v>-1356.127</v>
      </c>
      <c r="M161" s="2451">
        <f t="shared" ref="M161" si="230">K161+L161</f>
        <v>178.14799999999991</v>
      </c>
      <c r="N161" s="2451">
        <f>H161+H162</f>
        <v>0</v>
      </c>
      <c r="O161" s="2451">
        <f>M161-N161</f>
        <v>178.14799999999991</v>
      </c>
      <c r="P161" s="2480">
        <f t="shared" ref="P161" si="231">N161/M161</f>
        <v>0</v>
      </c>
      <c r="Q161" s="1980"/>
    </row>
    <row r="162" spans="1:17" ht="15" customHeight="1">
      <c r="A162" s="2485"/>
      <c r="B162" s="2477"/>
      <c r="C162" s="1001">
        <v>42217</v>
      </c>
      <c r="D162" s="1063">
        <v>42369</v>
      </c>
      <c r="E162" s="1870">
        <v>383.56900000000002</v>
      </c>
      <c r="F162" s="1871"/>
      <c r="G162" s="1035">
        <f>E162+F162+I161</f>
        <v>178.14799999999997</v>
      </c>
      <c r="H162" s="1937"/>
      <c r="I162" s="1924">
        <f t="shared" si="197"/>
        <v>178.14799999999997</v>
      </c>
      <c r="J162" s="1984">
        <f t="shared" si="198"/>
        <v>0</v>
      </c>
      <c r="K162" s="2475"/>
      <c r="L162" s="2452"/>
      <c r="M162" s="2452"/>
      <c r="N162" s="2452"/>
      <c r="O162" s="2452"/>
      <c r="P162" s="2481"/>
      <c r="Q162" s="1980"/>
    </row>
    <row r="163" spans="1:17" ht="15" customHeight="1">
      <c r="A163" s="2485"/>
      <c r="B163" s="2482" t="s">
        <v>28</v>
      </c>
      <c r="C163" s="1443">
        <v>42005</v>
      </c>
      <c r="D163" s="1873">
        <v>42216</v>
      </c>
      <c r="E163" s="1243">
        <v>17.777000000000001</v>
      </c>
      <c r="F163" s="1038">
        <v>-23.702999999999999</v>
      </c>
      <c r="G163" s="1023">
        <f>E163+F163</f>
        <v>-5.9259999999999984</v>
      </c>
      <c r="H163" s="1446"/>
      <c r="I163" s="1040">
        <f t="shared" si="197"/>
        <v>-5.9259999999999984</v>
      </c>
      <c r="J163" s="1065">
        <f t="shared" si="198"/>
        <v>0</v>
      </c>
      <c r="K163" s="2474">
        <f>E163+E164</f>
        <v>23.703000000000003</v>
      </c>
      <c r="L163" s="2451">
        <f>F163+F164</f>
        <v>-23.702999999999999</v>
      </c>
      <c r="M163" s="2451">
        <f t="shared" ref="M163" si="232">K163+L163</f>
        <v>0</v>
      </c>
      <c r="N163" s="2451">
        <f>H163+H164</f>
        <v>0</v>
      </c>
      <c r="O163" s="2451">
        <f>M163-N163</f>
        <v>0</v>
      </c>
      <c r="P163" s="2480">
        <v>0</v>
      </c>
      <c r="Q163" s="1980"/>
    </row>
    <row r="164" spans="1:17" ht="15" customHeight="1">
      <c r="A164" s="2485"/>
      <c r="B164" s="2482"/>
      <c r="C164" s="1001">
        <v>42217</v>
      </c>
      <c r="D164" s="1877">
        <v>42369</v>
      </c>
      <c r="E164" s="1243">
        <v>5.9260000000000002</v>
      </c>
      <c r="F164" s="1038"/>
      <c r="G164" s="1023">
        <f>E164+F164+I163</f>
        <v>0</v>
      </c>
      <c r="H164" s="1068"/>
      <c r="I164" s="1040">
        <f t="shared" si="197"/>
        <v>0</v>
      </c>
      <c r="J164" s="1065" t="e">
        <f t="shared" si="198"/>
        <v>#DIV/0!</v>
      </c>
      <c r="K164" s="2475"/>
      <c r="L164" s="2452"/>
      <c r="M164" s="2452"/>
      <c r="N164" s="2452"/>
      <c r="O164" s="2452"/>
      <c r="P164" s="2481"/>
      <c r="Q164" s="1980"/>
    </row>
    <row r="165" spans="1:17" ht="15" customHeight="1">
      <c r="A165" s="2485"/>
      <c r="B165" s="2476" t="s">
        <v>12</v>
      </c>
      <c r="C165" s="1443">
        <v>42005</v>
      </c>
      <c r="D165" s="1873">
        <v>42216</v>
      </c>
      <c r="E165" s="1986">
        <v>2.8330000000000002</v>
      </c>
      <c r="F165" s="1469"/>
      <c r="G165" s="1447">
        <f>E165+F165</f>
        <v>2.8330000000000002</v>
      </c>
      <c r="H165" s="1497">
        <v>0.03</v>
      </c>
      <c r="I165" s="1927">
        <f t="shared" si="197"/>
        <v>2.8030000000000004</v>
      </c>
      <c r="J165" s="1985">
        <f>H165/G165</f>
        <v>1.0589481115425342E-2</v>
      </c>
      <c r="K165" s="2474">
        <f t="shared" ref="K165" si="233">E165+E166</f>
        <v>3.7770000000000001</v>
      </c>
      <c r="L165" s="2451">
        <f t="shared" ref="L165" si="234">F165+F166</f>
        <v>0</v>
      </c>
      <c r="M165" s="2451">
        <f t="shared" ref="M165" si="235">K165+L165</f>
        <v>3.7770000000000001</v>
      </c>
      <c r="N165" s="2451">
        <f>H165+H166</f>
        <v>5.2999999999999999E-2</v>
      </c>
      <c r="O165" s="2451">
        <f>M165-N165</f>
        <v>3.7240000000000002</v>
      </c>
      <c r="P165" s="2480">
        <f t="shared" ref="P165" si="236">N165/M165</f>
        <v>1.4032300767805135E-2</v>
      </c>
      <c r="Q165" s="1980"/>
    </row>
    <row r="166" spans="1:17" ht="15" customHeight="1">
      <c r="A166" s="2485"/>
      <c r="B166" s="2477"/>
      <c r="C166" s="1001">
        <v>42217</v>
      </c>
      <c r="D166" s="1877">
        <v>42369</v>
      </c>
      <c r="E166" s="1064">
        <v>0.94399999999999995</v>
      </c>
      <c r="F166" s="1871"/>
      <c r="G166" s="1035">
        <f>E166+F166+I165</f>
        <v>3.7470000000000003</v>
      </c>
      <c r="H166" s="1886">
        <v>2.3E-2</v>
      </c>
      <c r="I166" s="1924">
        <f t="shared" si="197"/>
        <v>3.7240000000000002</v>
      </c>
      <c r="J166" s="1984">
        <f t="shared" si="198"/>
        <v>6.1382439284761135E-3</v>
      </c>
      <c r="K166" s="2475"/>
      <c r="L166" s="2452"/>
      <c r="M166" s="2452"/>
      <c r="N166" s="2452"/>
      <c r="O166" s="2452"/>
      <c r="P166" s="2481"/>
      <c r="Q166" s="1980"/>
    </row>
    <row r="167" spans="1:17" ht="15" customHeight="1">
      <c r="A167" s="2485"/>
      <c r="B167" s="2476" t="s">
        <v>10</v>
      </c>
      <c r="C167" s="1443">
        <v>42005</v>
      </c>
      <c r="D167" s="1873">
        <v>42216</v>
      </c>
      <c r="E167" s="1986">
        <v>686.69600000000003</v>
      </c>
      <c r="F167" s="1446">
        <f>-2.844-0.2708-0.2708</f>
        <v>-3.3855999999999997</v>
      </c>
      <c r="G167" s="1447">
        <f>E167+F167</f>
        <v>683.31040000000007</v>
      </c>
      <c r="H167" s="1497">
        <v>383.09</v>
      </c>
      <c r="I167" s="1927">
        <f t="shared" si="197"/>
        <v>300.2204000000001</v>
      </c>
      <c r="J167" s="1985">
        <f t="shared" si="198"/>
        <v>0.56063832776436584</v>
      </c>
      <c r="K167" s="2474">
        <f t="shared" ref="K167" si="237">E167+E168</f>
        <v>915.59500000000003</v>
      </c>
      <c r="L167" s="2451">
        <f t="shared" ref="L167" si="238">F167+F168</f>
        <v>-3.3855999999999997</v>
      </c>
      <c r="M167" s="2451">
        <f t="shared" ref="M167" si="239">K167+L167</f>
        <v>912.20940000000007</v>
      </c>
      <c r="N167" s="2451">
        <f>H167+H168</f>
        <v>910.92000000000007</v>
      </c>
      <c r="O167" s="2451">
        <f>M167-N167</f>
        <v>1.2894000000000005</v>
      </c>
      <c r="P167" s="2463">
        <f t="shared" ref="P167" si="240">N167/M167</f>
        <v>0.99858650875555544</v>
      </c>
      <c r="Q167" s="1980"/>
    </row>
    <row r="168" spans="1:17" ht="15" customHeight="1">
      <c r="A168" s="2485"/>
      <c r="B168" s="2477"/>
      <c r="C168" s="1001">
        <v>42217</v>
      </c>
      <c r="D168" s="1877">
        <v>42369</v>
      </c>
      <c r="E168" s="1064">
        <v>228.899</v>
      </c>
      <c r="F168" s="1937"/>
      <c r="G168" s="1035">
        <f>E168+F168+I167</f>
        <v>529.11940000000004</v>
      </c>
      <c r="H168" s="1600">
        <v>527.83000000000004</v>
      </c>
      <c r="I168" s="1924">
        <f t="shared" si="197"/>
        <v>1.2894000000000005</v>
      </c>
      <c r="J168" s="1984">
        <f t="shared" si="198"/>
        <v>0.99756312091372945</v>
      </c>
      <c r="K168" s="2475"/>
      <c r="L168" s="2452"/>
      <c r="M168" s="2452"/>
      <c r="N168" s="2452"/>
      <c r="O168" s="2452"/>
      <c r="P168" s="2600"/>
      <c r="Q168" s="1980"/>
    </row>
    <row r="169" spans="1:17" ht="15" customHeight="1">
      <c r="A169" s="2485"/>
      <c r="B169" s="2482" t="s">
        <v>29</v>
      </c>
      <c r="C169" s="1443">
        <v>42005</v>
      </c>
      <c r="D169" s="1873">
        <v>42216</v>
      </c>
      <c r="E169" s="1243">
        <v>172.328</v>
      </c>
      <c r="F169" s="1038">
        <v>-172.328</v>
      </c>
      <c r="G169" s="1023">
        <f>E169+F169</f>
        <v>0</v>
      </c>
      <c r="H169" s="1446"/>
      <c r="I169" s="1040">
        <f t="shared" si="197"/>
        <v>0</v>
      </c>
      <c r="J169" s="1065" t="e">
        <f t="shared" si="198"/>
        <v>#DIV/0!</v>
      </c>
      <c r="K169" s="2474">
        <f t="shared" ref="K169" si="241">E169+E170</f>
        <v>229.77100000000002</v>
      </c>
      <c r="L169" s="2451">
        <f t="shared" ref="L169" si="242">F169+F170</f>
        <v>-229.77100000000002</v>
      </c>
      <c r="M169" s="2451">
        <f t="shared" ref="M169" si="243">K169+L169</f>
        <v>0</v>
      </c>
      <c r="N169" s="2451">
        <f>H169+H170</f>
        <v>0</v>
      </c>
      <c r="O169" s="2451">
        <f>M169-N169</f>
        <v>0</v>
      </c>
      <c r="P169" s="2480">
        <v>0</v>
      </c>
      <c r="Q169" s="1980"/>
    </row>
    <row r="170" spans="1:17" ht="15" customHeight="1">
      <c r="A170" s="2485"/>
      <c r="B170" s="2482"/>
      <c r="C170" s="1001">
        <v>42217</v>
      </c>
      <c r="D170" s="1877">
        <v>42369</v>
      </c>
      <c r="E170" s="1243">
        <v>57.442999999999998</v>
      </c>
      <c r="F170" s="1038">
        <v>-57.442999999999998</v>
      </c>
      <c r="G170" s="1023">
        <f>E170+F170+I169</f>
        <v>0</v>
      </c>
      <c r="H170" s="1937"/>
      <c r="I170" s="1040">
        <f t="shared" si="197"/>
        <v>0</v>
      </c>
      <c r="J170" s="1065" t="e">
        <f t="shared" si="198"/>
        <v>#DIV/0!</v>
      </c>
      <c r="K170" s="2475"/>
      <c r="L170" s="2452"/>
      <c r="M170" s="2452"/>
      <c r="N170" s="2452"/>
      <c r="O170" s="2452"/>
      <c r="P170" s="2481"/>
      <c r="Q170" s="1980"/>
    </row>
    <row r="171" spans="1:17" ht="15" customHeight="1">
      <c r="A171" s="2485"/>
      <c r="B171" s="2476" t="s">
        <v>13</v>
      </c>
      <c r="C171" s="1443">
        <v>42005</v>
      </c>
      <c r="D171" s="1873">
        <v>42216</v>
      </c>
      <c r="E171" s="1986">
        <v>53.994999999999997</v>
      </c>
      <c r="F171" s="1469">
        <v>-53.994999999999997</v>
      </c>
      <c r="G171" s="1447">
        <f>E171+F171</f>
        <v>0</v>
      </c>
      <c r="H171" s="1446"/>
      <c r="I171" s="1927">
        <f t="shared" si="197"/>
        <v>0</v>
      </c>
      <c r="J171" s="1985" t="e">
        <f t="shared" si="198"/>
        <v>#DIV/0!</v>
      </c>
      <c r="K171" s="2474">
        <f t="shared" ref="K171:L185" si="244">E171+E172</f>
        <v>71.992999999999995</v>
      </c>
      <c r="L171" s="2451">
        <f t="shared" ref="L171" si="245">F171+F172</f>
        <v>-71.992999999999995</v>
      </c>
      <c r="M171" s="2451">
        <f t="shared" ref="M171" si="246">K171+L171</f>
        <v>0</v>
      </c>
      <c r="N171" s="2451">
        <f>H171+H172</f>
        <v>0</v>
      </c>
      <c r="O171" s="2451">
        <f>M171-N171</f>
        <v>0</v>
      </c>
      <c r="P171" s="2480">
        <v>0</v>
      </c>
      <c r="Q171" s="1980"/>
    </row>
    <row r="172" spans="1:17" ht="15" customHeight="1">
      <c r="A172" s="2485"/>
      <c r="B172" s="2477"/>
      <c r="C172" s="1001">
        <v>42217</v>
      </c>
      <c r="D172" s="1877">
        <v>42369</v>
      </c>
      <c r="E172" s="1064">
        <v>17.998000000000001</v>
      </c>
      <c r="F172" s="1871">
        <v>-17.998000000000001</v>
      </c>
      <c r="G172" s="1035">
        <f>E172+F172+I171</f>
        <v>0</v>
      </c>
      <c r="H172" s="1937"/>
      <c r="I172" s="1924">
        <f t="shared" si="197"/>
        <v>0</v>
      </c>
      <c r="J172" s="1984" t="e">
        <f t="shared" si="198"/>
        <v>#DIV/0!</v>
      </c>
      <c r="K172" s="2475"/>
      <c r="L172" s="2452"/>
      <c r="M172" s="2452"/>
      <c r="N172" s="2452"/>
      <c r="O172" s="2452"/>
      <c r="P172" s="2481"/>
      <c r="Q172" s="1980"/>
    </row>
    <row r="173" spans="1:17" ht="15" customHeight="1">
      <c r="A173" s="2485"/>
      <c r="B173" s="2482" t="s">
        <v>11</v>
      </c>
      <c r="C173" s="1443">
        <v>42005</v>
      </c>
      <c r="D173" s="1873">
        <v>42216</v>
      </c>
      <c r="E173" s="1243">
        <v>124.337</v>
      </c>
      <c r="F173" s="1068"/>
      <c r="G173" s="1023">
        <f>E173+F173</f>
        <v>124.337</v>
      </c>
      <c r="H173" s="1068"/>
      <c r="I173" s="1040">
        <f t="shared" si="197"/>
        <v>124.337</v>
      </c>
      <c r="J173" s="1065">
        <f t="shared" si="198"/>
        <v>0</v>
      </c>
      <c r="K173" s="2474">
        <f t="shared" si="244"/>
        <v>165.78300000000002</v>
      </c>
      <c r="L173" s="2451">
        <f t="shared" si="244"/>
        <v>-99.999499999999998</v>
      </c>
      <c r="M173" s="2451">
        <f t="shared" ref="M173" si="247">K173+L173</f>
        <v>65.783500000000018</v>
      </c>
      <c r="N173" s="2451">
        <f>H173+H174</f>
        <v>0</v>
      </c>
      <c r="O173" s="2451">
        <f>M173-N173</f>
        <v>65.783500000000018</v>
      </c>
      <c r="P173" s="2480">
        <f t="shared" ref="P173" si="248">N173/M173</f>
        <v>0</v>
      </c>
      <c r="Q173" s="1980"/>
    </row>
    <row r="174" spans="1:17" ht="15" customHeight="1">
      <c r="A174" s="2485"/>
      <c r="B174" s="2482"/>
      <c r="C174" s="1001">
        <v>42217</v>
      </c>
      <c r="D174" s="1877">
        <v>42369</v>
      </c>
      <c r="E174" s="1243">
        <v>41.445999999999998</v>
      </c>
      <c r="F174" s="1068">
        <v>-99.999499999999998</v>
      </c>
      <c r="G174" s="1023">
        <f>E174+F174+I173</f>
        <v>65.783500000000004</v>
      </c>
      <c r="H174" s="1068"/>
      <c r="I174" s="1040">
        <f t="shared" si="197"/>
        <v>65.783500000000004</v>
      </c>
      <c r="J174" s="1065">
        <f t="shared" si="198"/>
        <v>0</v>
      </c>
      <c r="K174" s="2475"/>
      <c r="L174" s="2452"/>
      <c r="M174" s="2452"/>
      <c r="N174" s="2452"/>
      <c r="O174" s="2452"/>
      <c r="P174" s="2481"/>
      <c r="Q174" s="1980"/>
    </row>
    <row r="175" spans="1:17" ht="15" customHeight="1">
      <c r="A175" s="2485"/>
      <c r="B175" s="2476" t="s">
        <v>122</v>
      </c>
      <c r="C175" s="1443">
        <v>42005</v>
      </c>
      <c r="D175" s="1873">
        <v>42216</v>
      </c>
      <c r="E175" s="1986">
        <v>58.314</v>
      </c>
      <c r="F175" s="1469">
        <f>-70.032+70.032-70.032</f>
        <v>-70.031999999999996</v>
      </c>
      <c r="G175" s="1447">
        <f>E175+F175</f>
        <v>-11.717999999999996</v>
      </c>
      <c r="H175" s="1446"/>
      <c r="I175" s="1927">
        <f t="shared" si="197"/>
        <v>-11.717999999999996</v>
      </c>
      <c r="J175" s="1985">
        <f t="shared" si="198"/>
        <v>0</v>
      </c>
      <c r="K175" s="2474">
        <f t="shared" si="244"/>
        <v>77.751999999999995</v>
      </c>
      <c r="L175" s="2451">
        <f t="shared" si="244"/>
        <v>-70.031999999999996</v>
      </c>
      <c r="M175" s="2451">
        <f t="shared" ref="M175" si="249">K175+L175</f>
        <v>7.7199999999999989</v>
      </c>
      <c r="N175" s="2451">
        <f>H175+H176</f>
        <v>0</v>
      </c>
      <c r="O175" s="2451">
        <f>M175-N175</f>
        <v>7.7199999999999989</v>
      </c>
      <c r="P175" s="2480">
        <f t="shared" ref="P175" si="250">N175/M175</f>
        <v>0</v>
      </c>
      <c r="Q175" s="1980"/>
    </row>
    <row r="176" spans="1:17" ht="15" customHeight="1">
      <c r="A176" s="2485"/>
      <c r="B176" s="2477"/>
      <c r="C176" s="1001">
        <v>42217</v>
      </c>
      <c r="D176" s="1877">
        <v>42369</v>
      </c>
      <c r="E176" s="1064">
        <v>19.437999999999999</v>
      </c>
      <c r="F176" s="1871"/>
      <c r="G176" s="1035">
        <f>E176+F176+I175</f>
        <v>7.7200000000000024</v>
      </c>
      <c r="H176" s="1937"/>
      <c r="I176" s="1924">
        <f t="shared" si="197"/>
        <v>7.7200000000000024</v>
      </c>
      <c r="J176" s="1984">
        <f t="shared" si="198"/>
        <v>0</v>
      </c>
      <c r="K176" s="2475"/>
      <c r="L176" s="2452"/>
      <c r="M176" s="2452"/>
      <c r="N176" s="2452"/>
      <c r="O176" s="2452"/>
      <c r="P176" s="2481"/>
      <c r="Q176" s="1980"/>
    </row>
    <row r="177" spans="1:17" ht="15" customHeight="1">
      <c r="A177" s="2485"/>
      <c r="B177" s="2482" t="s">
        <v>30</v>
      </c>
      <c r="C177" s="1443">
        <v>42005</v>
      </c>
      <c r="D177" s="1873">
        <v>42216</v>
      </c>
      <c r="E177" s="1243">
        <v>141.6</v>
      </c>
      <c r="F177" s="1038">
        <v>-141.6</v>
      </c>
      <c r="G177" s="1023">
        <f>E177+F177</f>
        <v>0</v>
      </c>
      <c r="H177" s="1068"/>
      <c r="I177" s="1040">
        <f t="shared" si="197"/>
        <v>0</v>
      </c>
      <c r="J177" s="1065" t="e">
        <f t="shared" si="198"/>
        <v>#DIV/0!</v>
      </c>
      <c r="K177" s="2474">
        <f t="shared" si="244"/>
        <v>188.8</v>
      </c>
      <c r="L177" s="2451">
        <f t="shared" si="244"/>
        <v>-188.8</v>
      </c>
      <c r="M177" s="2451">
        <f t="shared" ref="M177" si="251">K177+L177</f>
        <v>0</v>
      </c>
      <c r="N177" s="2451">
        <f>H177+H178</f>
        <v>0</v>
      </c>
      <c r="O177" s="2451">
        <f>M177-N177</f>
        <v>0</v>
      </c>
      <c r="P177" s="2480">
        <v>0</v>
      </c>
      <c r="Q177" s="1980"/>
    </row>
    <row r="178" spans="1:17" ht="15" customHeight="1">
      <c r="A178" s="2485"/>
      <c r="B178" s="2482"/>
      <c r="C178" s="1001">
        <v>42217</v>
      </c>
      <c r="D178" s="1877">
        <v>42369</v>
      </c>
      <c r="E178" s="1243">
        <v>47.2</v>
      </c>
      <c r="F178" s="1038">
        <v>-47.2</v>
      </c>
      <c r="G178" s="1023">
        <f>E178+F178+I177</f>
        <v>0</v>
      </c>
      <c r="H178" s="1068"/>
      <c r="I178" s="1040">
        <f t="shared" si="197"/>
        <v>0</v>
      </c>
      <c r="J178" s="1065" t="e">
        <f t="shared" si="198"/>
        <v>#DIV/0!</v>
      </c>
      <c r="K178" s="2475"/>
      <c r="L178" s="2452"/>
      <c r="M178" s="2452"/>
      <c r="N178" s="2452"/>
      <c r="O178" s="2452"/>
      <c r="P178" s="2481"/>
      <c r="Q178" s="1980"/>
    </row>
    <row r="179" spans="1:17" ht="15" customHeight="1">
      <c r="A179" s="2485"/>
      <c r="B179" s="2476" t="s">
        <v>51</v>
      </c>
      <c r="C179" s="1443">
        <v>42005</v>
      </c>
      <c r="D179" s="1873">
        <v>42216</v>
      </c>
      <c r="E179" s="1874">
        <v>2.8450000000000002</v>
      </c>
      <c r="F179" s="1469">
        <v>-3.2509999999999999</v>
      </c>
      <c r="G179" s="1447">
        <f>E179+F179</f>
        <v>-0.40599999999999969</v>
      </c>
      <c r="H179" s="1446"/>
      <c r="I179" s="1927">
        <f t="shared" ref="I179:I182" si="252">G179-H179</f>
        <v>-0.40599999999999969</v>
      </c>
      <c r="J179" s="1985">
        <f>H179/G179</f>
        <v>0</v>
      </c>
      <c r="K179" s="2474">
        <f t="shared" si="244"/>
        <v>3.7930000000000001</v>
      </c>
      <c r="L179" s="2451">
        <f t="shared" si="244"/>
        <v>-3.2509999999999999</v>
      </c>
      <c r="M179" s="2451">
        <f t="shared" ref="M179" si="253">K179+L179</f>
        <v>0.54200000000000026</v>
      </c>
      <c r="N179" s="2451">
        <f>H179+H180</f>
        <v>0</v>
      </c>
      <c r="O179" s="2451">
        <f>M179-N179</f>
        <v>0.54200000000000026</v>
      </c>
      <c r="P179" s="2480">
        <f t="shared" ref="P179" si="254">N179/M179</f>
        <v>0</v>
      </c>
      <c r="Q179" s="1980"/>
    </row>
    <row r="180" spans="1:17" ht="15" customHeight="1">
      <c r="A180" s="2485"/>
      <c r="B180" s="2477"/>
      <c r="C180" s="1001">
        <v>42217</v>
      </c>
      <c r="D180" s="1877">
        <v>42369</v>
      </c>
      <c r="E180" s="1870">
        <v>0.94799999999999995</v>
      </c>
      <c r="F180" s="1871"/>
      <c r="G180" s="1035">
        <f t="shared" ref="G180:G182" si="255">E180+F180</f>
        <v>0.94799999999999995</v>
      </c>
      <c r="H180" s="1937"/>
      <c r="I180" s="1924">
        <f t="shared" si="252"/>
        <v>0.94799999999999995</v>
      </c>
      <c r="J180" s="1065">
        <f t="shared" si="198"/>
        <v>0</v>
      </c>
      <c r="K180" s="2475"/>
      <c r="L180" s="2452"/>
      <c r="M180" s="2452"/>
      <c r="N180" s="2452"/>
      <c r="O180" s="2452"/>
      <c r="P180" s="2481"/>
      <c r="Q180" s="1980"/>
    </row>
    <row r="181" spans="1:17">
      <c r="A181" s="2485"/>
      <c r="B181" s="2478" t="s">
        <v>204</v>
      </c>
      <c r="C181" s="1443">
        <v>42005</v>
      </c>
      <c r="D181" s="1873">
        <v>42216</v>
      </c>
      <c r="E181" s="1874">
        <v>0</v>
      </c>
      <c r="F181" s="1469">
        <f>4144.065+2574.906+1426.202</f>
        <v>8145.1729999999998</v>
      </c>
      <c r="G181" s="1447">
        <f t="shared" si="255"/>
        <v>8145.1729999999998</v>
      </c>
      <c r="H181" s="1469">
        <v>5941.5749999999998</v>
      </c>
      <c r="I181" s="1927">
        <f t="shared" si="252"/>
        <v>2203.598</v>
      </c>
      <c r="J181" s="1985">
        <f>H181/G181</f>
        <v>0.72945964438078847</v>
      </c>
      <c r="K181" s="2474">
        <f t="shared" si="244"/>
        <v>0</v>
      </c>
      <c r="L181" s="2451">
        <f t="shared" si="244"/>
        <v>10682.706</v>
      </c>
      <c r="M181" s="2451">
        <f t="shared" ref="M181" si="256">K181+L181</f>
        <v>10682.706</v>
      </c>
      <c r="N181" s="2451">
        <f>H181+H182</f>
        <v>9298.5049999999992</v>
      </c>
      <c r="O181" s="2451">
        <f>M181-N181</f>
        <v>1384.2010000000009</v>
      </c>
      <c r="P181" s="2480">
        <f t="shared" ref="P181" si="257">N181/M181</f>
        <v>0.87042599506155083</v>
      </c>
      <c r="Q181" s="2000"/>
    </row>
    <row r="182" spans="1:17">
      <c r="A182" s="2485"/>
      <c r="B182" s="2479"/>
      <c r="C182" s="1001">
        <v>42217</v>
      </c>
      <c r="D182" s="1877">
        <v>42369</v>
      </c>
      <c r="E182" s="1870">
        <v>0</v>
      </c>
      <c r="F182" s="1871">
        <v>2537.5329999999999</v>
      </c>
      <c r="G182" s="1035">
        <f t="shared" si="255"/>
        <v>2537.5329999999999</v>
      </c>
      <c r="H182" s="1886">
        <v>3356.93</v>
      </c>
      <c r="I182" s="1924">
        <f t="shared" si="252"/>
        <v>-819.39699999999993</v>
      </c>
      <c r="J182" s="1985">
        <f t="shared" si="198"/>
        <v>1.3229108744595637</v>
      </c>
      <c r="K182" s="2475"/>
      <c r="L182" s="2452"/>
      <c r="M182" s="2452"/>
      <c r="N182" s="2452"/>
      <c r="O182" s="2452"/>
      <c r="P182" s="2481"/>
      <c r="Q182" s="1980"/>
    </row>
    <row r="183" spans="1:17">
      <c r="A183" s="2485"/>
      <c r="B183" s="2483" t="s">
        <v>210</v>
      </c>
      <c r="C183" s="1443">
        <v>42005</v>
      </c>
      <c r="D183" s="1873">
        <v>42216</v>
      </c>
      <c r="E183" s="1874">
        <v>0</v>
      </c>
      <c r="F183" s="1469">
        <v>4.0652999999999997</v>
      </c>
      <c r="G183" s="1447">
        <f t="shared" ref="G183:G184" si="258">E183+F183</f>
        <v>4.0652999999999997</v>
      </c>
      <c r="H183" s="1068"/>
      <c r="I183" s="1927">
        <f t="shared" ref="I183:I184" si="259">G183-H183</f>
        <v>4.0652999999999997</v>
      </c>
      <c r="J183" s="1985">
        <f>H183/G183</f>
        <v>0</v>
      </c>
      <c r="K183" s="2474">
        <f t="shared" si="244"/>
        <v>0</v>
      </c>
      <c r="L183" s="2451">
        <f t="shared" ref="L183" si="260">F183+F184</f>
        <v>4.0652999999999997</v>
      </c>
      <c r="M183" s="2451">
        <f t="shared" ref="M183" si="261">K183+L183</f>
        <v>4.0652999999999997</v>
      </c>
      <c r="N183" s="2451">
        <f>H183+H184</f>
        <v>0</v>
      </c>
      <c r="O183" s="2451">
        <f>M183-N183</f>
        <v>4.0652999999999997</v>
      </c>
      <c r="P183" s="2480">
        <f t="shared" ref="P183" si="262">N183/M183</f>
        <v>0</v>
      </c>
      <c r="Q183" s="1980"/>
    </row>
    <row r="184" spans="1:17">
      <c r="A184" s="2485"/>
      <c r="B184" s="2483"/>
      <c r="C184" s="1001">
        <v>42217</v>
      </c>
      <c r="D184" s="1877">
        <v>42369</v>
      </c>
      <c r="E184" s="1870">
        <v>0</v>
      </c>
      <c r="F184" s="1871"/>
      <c r="G184" s="1035">
        <f t="shared" si="258"/>
        <v>0</v>
      </c>
      <c r="H184" s="1937"/>
      <c r="I184" s="1924">
        <f t="shared" si="259"/>
        <v>0</v>
      </c>
      <c r="J184" s="1985" t="e">
        <f>H184/G184</f>
        <v>#DIV/0!</v>
      </c>
      <c r="K184" s="2475"/>
      <c r="L184" s="2452"/>
      <c r="M184" s="2452"/>
      <c r="N184" s="2452"/>
      <c r="O184" s="2452"/>
      <c r="P184" s="2481"/>
      <c r="Q184" s="1980"/>
    </row>
    <row r="185" spans="1:17">
      <c r="A185" s="2485"/>
      <c r="B185" s="2483" t="s">
        <v>211</v>
      </c>
      <c r="C185" s="1443">
        <v>42005</v>
      </c>
      <c r="D185" s="1873">
        <v>42216</v>
      </c>
      <c r="E185" s="1874">
        <v>0</v>
      </c>
      <c r="F185" s="1446">
        <v>1.0847142000000001</v>
      </c>
      <c r="G185" s="1447">
        <f t="shared" ref="G185:G186" si="263">E185+F185</f>
        <v>1.0847142000000001</v>
      </c>
      <c r="H185" s="1038">
        <v>5.0000000000000001E-3</v>
      </c>
      <c r="I185" s="1927">
        <f t="shared" ref="I185:I186" si="264">G185-H185</f>
        <v>1.0797142000000002</v>
      </c>
      <c r="J185" s="1449">
        <f t="shared" ref="J185:J192" si="265">H185/G185</f>
        <v>4.6095091223107426E-3</v>
      </c>
      <c r="K185" s="2474">
        <f t="shared" si="244"/>
        <v>0</v>
      </c>
      <c r="L185" s="2451">
        <f t="shared" ref="L185" si="266">F185+F186</f>
        <v>1.0847142000000001</v>
      </c>
      <c r="M185" s="2451">
        <f t="shared" ref="M185" si="267">K185+L185</f>
        <v>1.0847142000000001</v>
      </c>
      <c r="N185" s="2451">
        <f>H185+H186</f>
        <v>5.0000000000000001E-3</v>
      </c>
      <c r="O185" s="2451">
        <f>M185-N185</f>
        <v>1.0797142000000002</v>
      </c>
      <c r="P185" s="2480">
        <f t="shared" ref="P185" si="268">N185/M185</f>
        <v>4.6095091223107426E-3</v>
      </c>
      <c r="Q185" s="1980"/>
    </row>
    <row r="186" spans="1:17">
      <c r="A186" s="2485"/>
      <c r="B186" s="2483"/>
      <c r="C186" s="1001">
        <v>42217</v>
      </c>
      <c r="D186" s="1877">
        <v>42369</v>
      </c>
      <c r="E186" s="1870">
        <v>0</v>
      </c>
      <c r="F186" s="1871"/>
      <c r="G186" s="1035">
        <f t="shared" si="263"/>
        <v>0</v>
      </c>
      <c r="H186" s="1937"/>
      <c r="I186" s="1924">
        <f t="shared" si="264"/>
        <v>0</v>
      </c>
      <c r="J186" s="1449" t="e">
        <f t="shared" si="265"/>
        <v>#DIV/0!</v>
      </c>
      <c r="K186" s="2475"/>
      <c r="L186" s="2452"/>
      <c r="M186" s="2452"/>
      <c r="N186" s="2452"/>
      <c r="O186" s="2452"/>
      <c r="P186" s="2481"/>
      <c r="Q186" s="1980"/>
    </row>
    <row r="187" spans="1:17">
      <c r="A187" s="2485"/>
      <c r="B187" s="2476" t="s">
        <v>219</v>
      </c>
      <c r="C187" s="1443">
        <v>42005</v>
      </c>
      <c r="D187" s="1873">
        <v>42216</v>
      </c>
      <c r="E187" s="1874">
        <v>0</v>
      </c>
      <c r="F187" s="1469">
        <v>2.8439999999999999</v>
      </c>
      <c r="G187" s="1447">
        <f>E187+F187</f>
        <v>2.8439999999999999</v>
      </c>
      <c r="H187" s="1446">
        <v>7.6999999999999999E-2</v>
      </c>
      <c r="I187" s="1927">
        <f t="shared" ref="I187:I192" si="269">G187-H187</f>
        <v>2.7669999999999999</v>
      </c>
      <c r="J187" s="1449">
        <f t="shared" si="265"/>
        <v>2.7074542897327709E-2</v>
      </c>
      <c r="K187" s="2470">
        <f t="shared" ref="K187" si="270">E187+E188</f>
        <v>0</v>
      </c>
      <c r="L187" s="2451">
        <f t="shared" ref="L187" si="271">F187+F188</f>
        <v>2.8439999999999999</v>
      </c>
      <c r="M187" s="2458">
        <f>K187+L187</f>
        <v>2.8439999999999999</v>
      </c>
      <c r="N187" s="2461">
        <f>H187+H188</f>
        <v>7.6999999999999999E-2</v>
      </c>
      <c r="O187" s="2451">
        <f>M187-N187</f>
        <v>2.7669999999999999</v>
      </c>
      <c r="P187" s="2480">
        <f t="shared" ref="P187" si="272">N187/M187</f>
        <v>2.7074542897327709E-2</v>
      </c>
      <c r="Q187" s="1980"/>
    </row>
    <row r="188" spans="1:17">
      <c r="A188" s="2485"/>
      <c r="B188" s="2477"/>
      <c r="C188" s="1001">
        <v>42217</v>
      </c>
      <c r="D188" s="1877">
        <v>42369</v>
      </c>
      <c r="E188" s="1870">
        <v>0</v>
      </c>
      <c r="F188" s="1871"/>
      <c r="G188" s="1035">
        <f>E188+F188+I187</f>
        <v>2.7669999999999999</v>
      </c>
      <c r="H188" s="1260"/>
      <c r="I188" s="1924">
        <f t="shared" si="269"/>
        <v>2.7669999999999999</v>
      </c>
      <c r="J188" s="1069">
        <f t="shared" si="265"/>
        <v>0</v>
      </c>
      <c r="K188" s="2471"/>
      <c r="L188" s="2452"/>
      <c r="M188" s="2469"/>
      <c r="N188" s="2472"/>
      <c r="O188" s="2452"/>
      <c r="P188" s="2481"/>
      <c r="Q188" s="1980"/>
    </row>
    <row r="189" spans="1:17" ht="15" customHeight="1">
      <c r="A189" s="2485"/>
      <c r="B189" s="2476" t="s">
        <v>278</v>
      </c>
      <c r="C189" s="1443">
        <v>42005</v>
      </c>
      <c r="D189" s="1873">
        <v>42216</v>
      </c>
      <c r="E189" s="1874">
        <v>0</v>
      </c>
      <c r="F189" s="1469">
        <v>0.27079999999999999</v>
      </c>
      <c r="G189" s="1447">
        <f>E189+F189</f>
        <v>0.27079999999999999</v>
      </c>
      <c r="H189" s="1446"/>
      <c r="I189" s="1927">
        <f t="shared" si="269"/>
        <v>0.27079999999999999</v>
      </c>
      <c r="J189" s="1449">
        <f t="shared" si="265"/>
        <v>0</v>
      </c>
      <c r="K189" s="2474">
        <f t="shared" ref="K189" si="273">E189+E190</f>
        <v>0</v>
      </c>
      <c r="L189" s="2451">
        <f t="shared" ref="L189" si="274">F189+F190</f>
        <v>0.27079999999999999</v>
      </c>
      <c r="M189" s="2451">
        <f>K189+L189</f>
        <v>0.27079999999999999</v>
      </c>
      <c r="N189" s="2451">
        <f>H189+H190</f>
        <v>0</v>
      </c>
      <c r="O189" s="2451">
        <f>M189-N189</f>
        <v>0.27079999999999999</v>
      </c>
      <c r="P189" s="2449">
        <f t="shared" ref="P189" si="275">N189/M189</f>
        <v>0</v>
      </c>
      <c r="Q189" s="1980"/>
    </row>
    <row r="190" spans="1:17">
      <c r="A190" s="2485"/>
      <c r="B190" s="2477"/>
      <c r="C190" s="1001">
        <v>42217</v>
      </c>
      <c r="D190" s="1877">
        <v>42369</v>
      </c>
      <c r="E190" s="1870">
        <v>0</v>
      </c>
      <c r="F190" s="1871"/>
      <c r="G190" s="1035">
        <f>E190+F190+I189</f>
        <v>0.27079999999999999</v>
      </c>
      <c r="H190" s="1944"/>
      <c r="I190" s="1924">
        <f t="shared" si="269"/>
        <v>0.27079999999999999</v>
      </c>
      <c r="J190" s="1069">
        <f t="shared" si="265"/>
        <v>0</v>
      </c>
      <c r="K190" s="2475"/>
      <c r="L190" s="2452"/>
      <c r="M190" s="2452"/>
      <c r="N190" s="2452"/>
      <c r="O190" s="2452"/>
      <c r="P190" s="2473"/>
      <c r="Q190" s="1980"/>
    </row>
    <row r="191" spans="1:17">
      <c r="A191" s="2485"/>
      <c r="B191" s="2476" t="s">
        <v>183</v>
      </c>
      <c r="C191" s="1443">
        <v>42005</v>
      </c>
      <c r="D191" s="1873">
        <v>42216</v>
      </c>
      <c r="E191" s="1874">
        <v>0</v>
      </c>
      <c r="F191" s="1469">
        <v>0.27079999999999999</v>
      </c>
      <c r="G191" s="1447">
        <f>E191+F191</f>
        <v>0.27079999999999999</v>
      </c>
      <c r="H191" s="1446"/>
      <c r="I191" s="1927">
        <f t="shared" si="269"/>
        <v>0.27079999999999999</v>
      </c>
      <c r="J191" s="1449">
        <f t="shared" si="265"/>
        <v>0</v>
      </c>
      <c r="K191" s="2474">
        <f t="shared" ref="K191" si="276">E191+E192</f>
        <v>0</v>
      </c>
      <c r="L191" s="2451">
        <f t="shared" ref="L191" si="277">F191+F192</f>
        <v>0.27079999999999999</v>
      </c>
      <c r="M191" s="2451">
        <f>K191+L191</f>
        <v>0.27079999999999999</v>
      </c>
      <c r="N191" s="2451">
        <f>H191+H192</f>
        <v>0</v>
      </c>
      <c r="O191" s="2451">
        <f>M191-N191</f>
        <v>0.27079999999999999</v>
      </c>
      <c r="P191" s="2449">
        <f t="shared" ref="P191" si="278">N191/M191</f>
        <v>0</v>
      </c>
      <c r="Q191" s="1980"/>
    </row>
    <row r="192" spans="1:17">
      <c r="A192" s="2485"/>
      <c r="B192" s="2477"/>
      <c r="C192" s="1001">
        <v>42217</v>
      </c>
      <c r="D192" s="1877">
        <v>42369</v>
      </c>
      <c r="E192" s="1870">
        <v>0</v>
      </c>
      <c r="F192" s="1871"/>
      <c r="G192" s="1035">
        <f>E192+F192+I191</f>
        <v>0.27079999999999999</v>
      </c>
      <c r="H192" s="1290"/>
      <c r="I192" s="1924">
        <f t="shared" si="269"/>
        <v>0.27079999999999999</v>
      </c>
      <c r="J192" s="1069">
        <f t="shared" si="265"/>
        <v>0</v>
      </c>
      <c r="K192" s="2475"/>
      <c r="L192" s="2452"/>
      <c r="M192" s="2452"/>
      <c r="N192" s="2452"/>
      <c r="O192" s="2452"/>
      <c r="P192" s="2473"/>
      <c r="Q192" s="1980"/>
    </row>
    <row r="193" spans="1:17">
      <c r="A193" s="2485"/>
      <c r="B193" s="2476" t="s">
        <v>174</v>
      </c>
      <c r="C193" s="1443">
        <v>42005</v>
      </c>
      <c r="D193" s="1873">
        <v>42216</v>
      </c>
      <c r="E193" s="1874">
        <v>0</v>
      </c>
      <c r="F193" s="1469">
        <v>0.40600000000000003</v>
      </c>
      <c r="G193" s="1447">
        <f>E193+F193</f>
        <v>0.40600000000000003</v>
      </c>
      <c r="H193" s="1446"/>
      <c r="I193" s="1927">
        <f t="shared" ref="I193:I194" si="279">G193-H193</f>
        <v>0.40600000000000003</v>
      </c>
      <c r="J193" s="1449">
        <f t="shared" ref="J193:J194" si="280">H193/G193</f>
        <v>0</v>
      </c>
      <c r="K193" s="2474">
        <f t="shared" ref="K193" si="281">E193+E194</f>
        <v>0</v>
      </c>
      <c r="L193" s="2451">
        <f t="shared" ref="L193" si="282">F193+F194</f>
        <v>0.40600000000000003</v>
      </c>
      <c r="M193" s="2451">
        <f>K193+L193</f>
        <v>0.40600000000000003</v>
      </c>
      <c r="N193" s="2451">
        <f>H193+H194</f>
        <v>0</v>
      </c>
      <c r="O193" s="2451">
        <f>M193-N193</f>
        <v>0.40600000000000003</v>
      </c>
      <c r="P193" s="2449">
        <f t="shared" ref="P193" si="283">N193/M193</f>
        <v>0</v>
      </c>
      <c r="Q193" s="1980"/>
    </row>
    <row r="194" spans="1:17" ht="15.75" thickBot="1">
      <c r="A194" s="2486"/>
      <c r="B194" s="2487"/>
      <c r="C194" s="1016">
        <v>42217</v>
      </c>
      <c r="D194" s="1989">
        <v>42369</v>
      </c>
      <c r="E194" s="1990">
        <v>0</v>
      </c>
      <c r="F194" s="1042"/>
      <c r="G194" s="1930">
        <f>E194+F194+I193</f>
        <v>0.40600000000000003</v>
      </c>
      <c r="H194" s="1528"/>
      <c r="I194" s="1991">
        <f t="shared" si="279"/>
        <v>0.40600000000000003</v>
      </c>
      <c r="J194" s="1992">
        <f t="shared" si="280"/>
        <v>0</v>
      </c>
      <c r="K194" s="2488"/>
      <c r="L194" s="2489"/>
      <c r="M194" s="2489"/>
      <c r="N194" s="2489"/>
      <c r="O194" s="2489"/>
      <c r="P194" s="2450"/>
      <c r="Q194" s="1980"/>
    </row>
    <row r="195" spans="1:17" ht="15.75" thickBot="1">
      <c r="A195" s="647"/>
      <c r="B195" s="647"/>
      <c r="C195" s="694"/>
      <c r="D195" s="694"/>
      <c r="E195" s="694"/>
      <c r="F195" s="694"/>
      <c r="G195" s="1070"/>
      <c r="H195" s="1494">
        <f>SUM(H141:H194)</f>
        <v>13445.022999999999</v>
      </c>
      <c r="I195" s="694"/>
      <c r="J195" s="694"/>
      <c r="K195" s="1538">
        <f>SUM(K141:K194)</f>
        <v>13542.000000000002</v>
      </c>
      <c r="L195" s="1539">
        <f t="shared" ref="L195:N195" si="284">SUM(L141:L194)</f>
        <v>107.55371420000208</v>
      </c>
      <c r="M195" s="1539">
        <f t="shared" si="284"/>
        <v>13649.553714200003</v>
      </c>
      <c r="N195" s="1539">
        <f t="shared" si="284"/>
        <v>13445.022999999997</v>
      </c>
      <c r="O195" s="1539">
        <f>SUM(O141:O194)</f>
        <v>204.53071420000211</v>
      </c>
      <c r="P195" s="1628">
        <f>+N195/M195</f>
        <v>0.98501557497903924</v>
      </c>
      <c r="Q195" s="1980"/>
    </row>
    <row r="196" spans="1:17">
      <c r="A196" s="647"/>
      <c r="B196" s="647"/>
      <c r="C196" s="694"/>
      <c r="D196" s="694"/>
      <c r="E196" s="694"/>
      <c r="F196" s="1638"/>
      <c r="G196" s="1639"/>
      <c r="H196" s="1638"/>
      <c r="I196" s="1638"/>
      <c r="J196" s="1638"/>
      <c r="K196" s="1370" t="s">
        <v>707</v>
      </c>
      <c r="L196" s="1370">
        <v>28.803999999999998</v>
      </c>
      <c r="M196" s="1370"/>
      <c r="N196" s="1370"/>
      <c r="O196" s="88"/>
      <c r="P196" s="364"/>
      <c r="Q196" s="1980"/>
    </row>
    <row r="197" spans="1:17">
      <c r="A197" s="647"/>
      <c r="B197" s="647"/>
      <c r="C197" s="694"/>
      <c r="D197" s="694"/>
      <c r="E197" s="694"/>
      <c r="F197" s="1638"/>
      <c r="G197" s="1639"/>
      <c r="H197" s="1639">
        <f>+H188+H186+H182+H168+H156+H154+H152+H148+H146+H144+H142</f>
        <v>4928.1099999999997</v>
      </c>
      <c r="I197" s="1638"/>
      <c r="J197" s="1638"/>
      <c r="K197" s="1370" t="s">
        <v>708</v>
      </c>
      <c r="L197" s="1370">
        <v>59.298000000000002</v>
      </c>
      <c r="M197" s="1370"/>
      <c r="N197" s="1370"/>
      <c r="O197" s="88"/>
      <c r="P197" s="364"/>
      <c r="Q197" s="1980"/>
    </row>
    <row r="198" spans="1:17">
      <c r="A198" s="647"/>
      <c r="B198" s="647"/>
      <c r="C198" s="694"/>
      <c r="D198" s="694"/>
      <c r="E198" s="694"/>
      <c r="F198" s="1638"/>
      <c r="G198" s="1639"/>
      <c r="H198" s="1640"/>
      <c r="I198" s="1638"/>
      <c r="J198" s="1638"/>
      <c r="K198" s="1370"/>
      <c r="L198" s="1371">
        <f>+L196-L197</f>
        <v>-30.494000000000003</v>
      </c>
      <c r="M198" s="1370"/>
      <c r="N198" s="1370"/>
      <c r="O198" s="88"/>
      <c r="P198" s="364"/>
      <c r="Q198" s="1980"/>
    </row>
    <row r="199" spans="1:17">
      <c r="A199" s="647"/>
      <c r="B199" s="647"/>
      <c r="C199" s="694"/>
      <c r="D199" s="694"/>
      <c r="E199" s="694"/>
      <c r="F199" s="1638"/>
      <c r="G199" s="1639"/>
      <c r="H199" s="1638"/>
      <c r="I199" s="1638"/>
      <c r="J199" s="1638"/>
      <c r="K199" s="1370"/>
      <c r="L199" s="1370"/>
      <c r="M199" s="1370"/>
      <c r="N199" s="1370"/>
      <c r="O199" s="88"/>
      <c r="P199" s="364"/>
      <c r="Q199" s="1980"/>
    </row>
    <row r="200" spans="1:17">
      <c r="A200" s="647"/>
      <c r="B200" s="647"/>
      <c r="C200" s="694"/>
      <c r="D200" s="694"/>
      <c r="E200" s="694"/>
      <c r="F200" s="1638"/>
      <c r="G200" s="1639"/>
      <c r="H200" s="1638"/>
      <c r="I200" s="1638"/>
      <c r="J200" s="1638"/>
      <c r="K200" s="1370"/>
      <c r="L200" s="1371">
        <f>+L195+L198</f>
        <v>77.059714200002077</v>
      </c>
      <c r="M200" s="1370"/>
      <c r="N200" s="1370"/>
      <c r="O200" s="88"/>
      <c r="P200" s="364"/>
      <c r="Q200" s="1980"/>
    </row>
    <row r="201" spans="1:17">
      <c r="A201" s="647"/>
      <c r="B201" s="647"/>
      <c r="C201" s="694"/>
      <c r="D201" s="694"/>
      <c r="E201" s="694"/>
      <c r="F201" s="1638"/>
      <c r="G201" s="1639"/>
      <c r="H201" s="1639"/>
      <c r="I201" s="1638"/>
      <c r="J201" s="1638"/>
      <c r="K201" s="1370"/>
      <c r="L201" s="1370"/>
      <c r="M201" s="1370"/>
      <c r="N201" s="1370"/>
      <c r="O201" s="88"/>
      <c r="P201" s="364"/>
      <c r="Q201" s="1980"/>
    </row>
    <row r="202" spans="1:17">
      <c r="A202" s="647"/>
      <c r="B202" s="647"/>
      <c r="C202" s="694"/>
      <c r="D202" s="694"/>
      <c r="E202" s="694"/>
      <c r="F202" s="694"/>
      <c r="G202" s="1070"/>
      <c r="H202" s="694"/>
      <c r="I202" s="694"/>
      <c r="J202" s="694"/>
      <c r="K202" s="364"/>
      <c r="L202" s="364"/>
      <c r="M202" s="364"/>
      <c r="N202" s="364"/>
      <c r="O202" s="88"/>
      <c r="P202" s="364"/>
      <c r="Q202" s="1980"/>
    </row>
    <row r="203" spans="1:17">
      <c r="A203" s="647"/>
      <c r="B203" s="647"/>
      <c r="C203" s="694"/>
      <c r="D203" s="694"/>
      <c r="E203" s="694"/>
      <c r="F203" s="694"/>
      <c r="G203" s="1070"/>
      <c r="H203" s="694"/>
      <c r="I203" s="694"/>
      <c r="J203" s="694"/>
      <c r="K203" s="364"/>
      <c r="L203" s="364"/>
      <c r="M203" s="364"/>
      <c r="N203" s="364"/>
      <c r="O203" s="88"/>
      <c r="P203" s="364"/>
      <c r="Q203" s="1980"/>
    </row>
    <row r="204" spans="1:17">
      <c r="A204" s="402"/>
      <c r="B204" s="402"/>
      <c r="C204" s="402"/>
      <c r="D204" s="402"/>
      <c r="E204" s="402"/>
      <c r="F204" s="402"/>
      <c r="G204" s="402"/>
      <c r="H204" s="648"/>
      <c r="I204" s="402"/>
      <c r="J204" s="402"/>
      <c r="K204" s="402"/>
      <c r="L204" s="402"/>
      <c r="M204" s="402"/>
      <c r="N204" s="402"/>
      <c r="O204" s="983"/>
      <c r="P204" s="402"/>
    </row>
    <row r="205" spans="1:17">
      <c r="A205" s="402"/>
      <c r="B205" s="402"/>
      <c r="C205" s="402"/>
      <c r="D205" s="402"/>
      <c r="E205" s="402"/>
      <c r="F205" s="402"/>
      <c r="G205" s="402"/>
      <c r="H205" s="648"/>
      <c r="I205" s="402"/>
      <c r="J205" s="402"/>
      <c r="K205" s="402"/>
      <c r="L205" s="402"/>
      <c r="M205" s="402"/>
      <c r="N205" s="402"/>
      <c r="O205" s="983"/>
      <c r="P205" s="402"/>
    </row>
    <row r="206" spans="1:17">
      <c r="A206" s="402"/>
      <c r="B206" s="402"/>
      <c r="C206" s="402"/>
      <c r="D206" s="402"/>
      <c r="E206" s="402"/>
      <c r="F206" s="402"/>
      <c r="G206" s="402"/>
      <c r="H206" s="648"/>
      <c r="I206" s="402"/>
      <c r="J206" s="402"/>
      <c r="K206" s="402"/>
      <c r="L206" s="402"/>
      <c r="M206" s="402"/>
      <c r="N206" s="402"/>
      <c r="O206" s="983"/>
      <c r="P206" s="402"/>
    </row>
    <row r="207" spans="1:17">
      <c r="A207" s="402"/>
      <c r="B207" s="402"/>
      <c r="C207" s="402"/>
      <c r="D207" s="402"/>
      <c r="E207" s="402"/>
      <c r="F207" s="402"/>
      <c r="G207" s="402"/>
      <c r="H207" s="648"/>
      <c r="I207" s="402"/>
      <c r="J207" s="402"/>
      <c r="K207" s="402"/>
      <c r="L207" s="402"/>
      <c r="M207" s="402"/>
      <c r="N207" s="402"/>
      <c r="O207" s="983"/>
      <c r="P207" s="402"/>
    </row>
    <row r="208" spans="1:17">
      <c r="A208" s="402"/>
      <c r="B208" s="402"/>
      <c r="C208" s="402"/>
      <c r="D208" s="402"/>
      <c r="E208" s="402"/>
      <c r="F208" s="402"/>
      <c r="G208" s="402"/>
      <c r="H208" s="648"/>
      <c r="I208" s="402"/>
      <c r="J208" s="402"/>
      <c r="K208" s="402"/>
      <c r="L208" s="402"/>
      <c r="M208" s="402"/>
      <c r="N208" s="402"/>
      <c r="O208" s="983"/>
      <c r="P208" s="402"/>
    </row>
    <row r="209" spans="1:16">
      <c r="A209" s="402"/>
      <c r="B209" s="402"/>
      <c r="C209" s="402"/>
      <c r="D209" s="402"/>
      <c r="E209" s="402"/>
      <c r="F209" s="402"/>
      <c r="G209" s="402"/>
      <c r="H209" s="648"/>
      <c r="I209" s="402"/>
      <c r="J209" s="402"/>
      <c r="K209" s="402"/>
      <c r="L209" s="402"/>
      <c r="M209" s="402"/>
      <c r="N209" s="402"/>
      <c r="O209" s="983"/>
      <c r="P209" s="402"/>
    </row>
    <row r="210" spans="1:16">
      <c r="B210" s="402"/>
      <c r="C210" s="402"/>
      <c r="D210" s="402"/>
      <c r="E210" s="402"/>
      <c r="F210" s="402"/>
      <c r="G210" s="402"/>
      <c r="H210" s="648"/>
      <c r="I210" s="402"/>
      <c r="J210" s="402"/>
      <c r="K210" s="402"/>
      <c r="L210" s="402"/>
      <c r="M210" s="402"/>
      <c r="N210" s="402"/>
      <c r="O210" s="983"/>
      <c r="P210" s="402"/>
    </row>
    <row r="211" spans="1:16">
      <c r="B211" s="402"/>
      <c r="C211" s="402"/>
      <c r="D211" s="402"/>
      <c r="E211" s="402"/>
      <c r="F211" s="402"/>
      <c r="G211" s="402"/>
      <c r="H211" s="648"/>
      <c r="I211" s="402"/>
      <c r="J211" s="402"/>
      <c r="K211" s="402"/>
      <c r="L211" s="402"/>
      <c r="M211" s="402"/>
      <c r="N211" s="402"/>
      <c r="O211" s="983"/>
      <c r="P211" s="402"/>
    </row>
    <row r="212" spans="1:16">
      <c r="B212" s="402"/>
      <c r="C212" s="402"/>
      <c r="D212" s="402"/>
      <c r="E212" s="402"/>
      <c r="F212" s="402"/>
      <c r="G212" s="402"/>
      <c r="H212" s="648"/>
      <c r="I212" s="402"/>
      <c r="J212" s="402"/>
      <c r="K212" s="402"/>
      <c r="L212" s="402"/>
      <c r="M212" s="402"/>
      <c r="N212" s="402"/>
      <c r="O212" s="983"/>
      <c r="P212" s="402"/>
    </row>
    <row r="213" spans="1:16">
      <c r="B213" s="402"/>
      <c r="C213" s="402"/>
      <c r="D213" s="402"/>
      <c r="E213" s="402"/>
      <c r="F213" s="402"/>
      <c r="G213" s="402"/>
      <c r="H213" s="648"/>
      <c r="I213" s="402"/>
      <c r="J213" s="402"/>
      <c r="K213" s="402"/>
      <c r="L213" s="402"/>
      <c r="M213" s="402"/>
      <c r="N213" s="402"/>
      <c r="O213" s="983"/>
      <c r="P213" s="402"/>
    </row>
    <row r="214" spans="1:16">
      <c r="B214" s="402"/>
      <c r="C214" s="402"/>
      <c r="D214" s="402"/>
      <c r="E214" s="402"/>
      <c r="F214" s="402"/>
      <c r="G214" s="402"/>
      <c r="H214" s="648"/>
      <c r="I214" s="402"/>
      <c r="J214" s="402"/>
      <c r="K214" s="402"/>
      <c r="L214" s="402"/>
      <c r="M214" s="402"/>
      <c r="N214" s="402"/>
      <c r="O214" s="983"/>
      <c r="P214" s="402"/>
    </row>
    <row r="215" spans="1:16">
      <c r="B215" s="402"/>
      <c r="C215" s="402"/>
      <c r="D215" s="402"/>
      <c r="E215" s="402"/>
      <c r="F215" s="402"/>
      <c r="G215" s="402"/>
      <c r="H215" s="648"/>
      <c r="I215" s="402"/>
      <c r="J215" s="402"/>
      <c r="K215" s="402"/>
      <c r="L215" s="402"/>
      <c r="M215" s="402"/>
      <c r="N215" s="402"/>
      <c r="O215" s="983"/>
      <c r="P215" s="402"/>
    </row>
    <row r="216" spans="1:16">
      <c r="B216" s="402"/>
      <c r="C216" s="402"/>
      <c r="D216" s="402"/>
      <c r="E216" s="402"/>
      <c r="F216" s="402"/>
      <c r="G216" s="402"/>
      <c r="H216" s="648"/>
      <c r="I216" s="402"/>
      <c r="J216" s="402"/>
      <c r="K216" s="402"/>
      <c r="L216" s="402"/>
      <c r="M216" s="402"/>
      <c r="N216" s="402"/>
      <c r="O216" s="983"/>
      <c r="P216" s="402"/>
    </row>
    <row r="217" spans="1:16">
      <c r="B217" s="402"/>
      <c r="C217" s="402"/>
      <c r="D217" s="402"/>
      <c r="E217" s="402"/>
      <c r="F217" s="402"/>
      <c r="G217" s="402"/>
      <c r="H217" s="648"/>
      <c r="I217" s="402"/>
      <c r="J217" s="402"/>
      <c r="K217" s="402"/>
      <c r="L217" s="402"/>
      <c r="M217" s="402"/>
      <c r="N217" s="402"/>
      <c r="O217" s="983"/>
      <c r="P217" s="402"/>
    </row>
    <row r="218" spans="1:16">
      <c r="B218" s="402"/>
      <c r="C218" s="402"/>
      <c r="D218" s="402"/>
      <c r="E218" s="402"/>
      <c r="F218" s="402"/>
      <c r="G218" s="402"/>
      <c r="H218" s="648"/>
      <c r="I218" s="402"/>
      <c r="J218" s="402"/>
      <c r="K218" s="402"/>
      <c r="L218" s="402"/>
      <c r="M218" s="402"/>
      <c r="N218" s="402"/>
      <c r="O218" s="983"/>
      <c r="P218" s="402"/>
    </row>
    <row r="219" spans="1:16">
      <c r="B219" s="402"/>
      <c r="C219" s="402"/>
      <c r="D219" s="402"/>
      <c r="E219" s="402"/>
      <c r="F219" s="402"/>
      <c r="G219" s="402"/>
      <c r="H219" s="648"/>
      <c r="I219" s="402"/>
      <c r="J219" s="402"/>
      <c r="K219" s="402"/>
      <c r="L219" s="402"/>
      <c r="M219" s="402"/>
      <c r="N219" s="402"/>
      <c r="O219" s="983"/>
      <c r="P219" s="402"/>
    </row>
    <row r="220" spans="1:16">
      <c r="B220" s="402"/>
      <c r="C220" s="402"/>
      <c r="D220" s="402"/>
      <c r="E220" s="402"/>
      <c r="F220" s="402"/>
      <c r="G220" s="402"/>
      <c r="H220" s="648"/>
      <c r="I220" s="402"/>
      <c r="J220" s="402"/>
      <c r="K220" s="402"/>
      <c r="L220" s="402"/>
      <c r="M220" s="402"/>
      <c r="N220" s="402"/>
      <c r="O220" s="983"/>
      <c r="P220" s="402"/>
    </row>
    <row r="221" spans="1:16">
      <c r="B221" s="402"/>
      <c r="C221" s="402"/>
      <c r="D221" s="402"/>
      <c r="E221" s="402"/>
      <c r="F221" s="402"/>
      <c r="G221" s="402"/>
      <c r="H221" s="648"/>
      <c r="I221" s="402"/>
      <c r="J221" s="402"/>
      <c r="K221" s="402"/>
      <c r="L221" s="402"/>
      <c r="M221" s="402"/>
      <c r="N221" s="402"/>
      <c r="O221" s="983"/>
      <c r="P221" s="402"/>
    </row>
    <row r="222" spans="1:16">
      <c r="B222" s="402"/>
      <c r="C222" s="402"/>
      <c r="D222" s="402"/>
      <c r="E222" s="402"/>
      <c r="F222" s="402"/>
      <c r="G222" s="402"/>
      <c r="H222" s="648"/>
      <c r="I222" s="402"/>
      <c r="J222" s="402"/>
      <c r="K222" s="402"/>
      <c r="L222" s="402"/>
      <c r="M222" s="402"/>
      <c r="N222" s="402"/>
      <c r="O222" s="983"/>
      <c r="P222" s="402"/>
    </row>
    <row r="223" spans="1:16">
      <c r="B223" s="402"/>
      <c r="C223" s="402"/>
      <c r="D223" s="402"/>
      <c r="E223" s="402"/>
      <c r="F223" s="402"/>
      <c r="G223" s="402"/>
      <c r="H223" s="648"/>
      <c r="I223" s="402"/>
      <c r="J223" s="402"/>
      <c r="K223" s="402"/>
      <c r="L223" s="402"/>
      <c r="M223" s="402"/>
      <c r="N223" s="402"/>
      <c r="O223" s="983"/>
      <c r="P223" s="402"/>
    </row>
    <row r="224" spans="1:16">
      <c r="B224" s="402"/>
      <c r="C224" s="402"/>
      <c r="D224" s="402"/>
      <c r="E224" s="402"/>
      <c r="F224" s="402"/>
      <c r="G224" s="402"/>
      <c r="H224" s="648"/>
      <c r="I224" s="402"/>
      <c r="J224" s="402"/>
      <c r="K224" s="402"/>
      <c r="L224" s="402"/>
      <c r="M224" s="402"/>
      <c r="N224" s="402"/>
      <c r="O224" s="983"/>
      <c r="P224" s="402"/>
    </row>
    <row r="225" spans="2:16">
      <c r="B225" s="402"/>
      <c r="C225" s="402"/>
      <c r="D225" s="402"/>
      <c r="E225" s="402"/>
      <c r="F225" s="402"/>
      <c r="G225" s="402"/>
      <c r="H225" s="648"/>
      <c r="I225" s="402"/>
      <c r="J225" s="402"/>
      <c r="K225" s="402"/>
      <c r="L225" s="402"/>
      <c r="M225" s="402"/>
      <c r="N225" s="402"/>
      <c r="O225" s="983"/>
      <c r="P225" s="402"/>
    </row>
    <row r="226" spans="2:16">
      <c r="B226" s="402"/>
      <c r="C226" s="402"/>
      <c r="D226" s="402"/>
      <c r="E226" s="402"/>
      <c r="F226" s="402"/>
      <c r="G226" s="402"/>
      <c r="H226" s="648"/>
      <c r="I226" s="402"/>
      <c r="J226" s="402"/>
      <c r="K226" s="402"/>
      <c r="L226" s="402"/>
      <c r="M226" s="402"/>
      <c r="N226" s="402"/>
      <c r="O226" s="983"/>
      <c r="P226" s="402"/>
    </row>
    <row r="227" spans="2:16">
      <c r="B227" s="402"/>
      <c r="C227" s="402"/>
      <c r="D227" s="402"/>
      <c r="E227" s="402"/>
      <c r="F227" s="402"/>
      <c r="G227" s="402"/>
      <c r="H227" s="648"/>
      <c r="I227" s="402"/>
      <c r="J227" s="402"/>
      <c r="K227" s="402"/>
      <c r="L227" s="402"/>
      <c r="M227" s="402"/>
      <c r="N227" s="402"/>
      <c r="O227" s="983"/>
      <c r="P227" s="402"/>
    </row>
    <row r="228" spans="2:16">
      <c r="B228" s="402"/>
      <c r="C228" s="402"/>
      <c r="D228" s="402"/>
      <c r="E228" s="402"/>
      <c r="F228" s="402"/>
      <c r="G228" s="402"/>
      <c r="H228" s="648"/>
      <c r="I228" s="402"/>
      <c r="J228" s="402"/>
      <c r="K228" s="402"/>
      <c r="L228" s="402"/>
      <c r="M228" s="402"/>
      <c r="N228" s="402"/>
      <c r="O228" s="983"/>
      <c r="P228" s="402"/>
    </row>
    <row r="229" spans="2:16">
      <c r="B229" s="402"/>
      <c r="C229" s="402"/>
      <c r="D229" s="402"/>
      <c r="E229" s="402"/>
      <c r="F229" s="402"/>
      <c r="G229" s="402"/>
      <c r="H229" s="648"/>
      <c r="I229" s="402"/>
      <c r="J229" s="402"/>
      <c r="K229" s="402"/>
      <c r="L229" s="402"/>
      <c r="M229" s="402"/>
      <c r="N229" s="402"/>
      <c r="O229" s="983"/>
      <c r="P229" s="402"/>
    </row>
    <row r="230" spans="2:16">
      <c r="B230" s="402"/>
      <c r="C230" s="402"/>
      <c r="D230" s="402"/>
      <c r="E230" s="402"/>
      <c r="F230" s="402"/>
      <c r="G230" s="402"/>
      <c r="H230" s="648"/>
      <c r="I230" s="402"/>
      <c r="J230" s="402"/>
      <c r="K230" s="402"/>
      <c r="L230" s="402"/>
      <c r="M230" s="402"/>
      <c r="N230" s="402"/>
      <c r="O230" s="983"/>
      <c r="P230" s="402"/>
    </row>
    <row r="231" spans="2:16">
      <c r="B231" s="402"/>
      <c r="C231" s="402"/>
      <c r="D231" s="402"/>
      <c r="E231" s="402"/>
      <c r="F231" s="402"/>
      <c r="G231" s="402"/>
      <c r="H231" s="648"/>
      <c r="I231" s="402"/>
      <c r="J231" s="402"/>
      <c r="K231" s="402"/>
      <c r="L231" s="402"/>
      <c r="M231" s="402"/>
      <c r="N231" s="402"/>
      <c r="O231" s="983"/>
      <c r="P231" s="402"/>
    </row>
    <row r="232" spans="2:16">
      <c r="B232" s="402"/>
      <c r="C232" s="402"/>
      <c r="D232" s="402"/>
      <c r="E232" s="402"/>
      <c r="F232" s="402"/>
      <c r="G232" s="402"/>
      <c r="H232" s="648"/>
      <c r="I232" s="402"/>
      <c r="J232" s="402"/>
      <c r="K232" s="402"/>
      <c r="L232" s="402"/>
      <c r="M232" s="402"/>
      <c r="N232" s="402"/>
      <c r="O232" s="983"/>
      <c r="P232" s="402"/>
    </row>
    <row r="233" spans="2:16">
      <c r="B233" s="402"/>
      <c r="C233" s="402"/>
      <c r="D233" s="402"/>
      <c r="E233" s="402"/>
      <c r="F233" s="402"/>
      <c r="G233" s="402"/>
      <c r="H233" s="648"/>
      <c r="I233" s="402"/>
      <c r="J233" s="402"/>
      <c r="K233" s="402"/>
      <c r="L233" s="402"/>
      <c r="M233" s="402"/>
      <c r="N233" s="402"/>
      <c r="O233" s="983"/>
      <c r="P233" s="402"/>
    </row>
    <row r="234" spans="2:16">
      <c r="B234" s="402"/>
      <c r="C234" s="402"/>
      <c r="D234" s="402"/>
      <c r="E234" s="402"/>
      <c r="F234" s="402"/>
      <c r="G234" s="402"/>
      <c r="H234" s="648"/>
      <c r="I234" s="402"/>
      <c r="J234" s="402"/>
      <c r="K234" s="402"/>
      <c r="L234" s="402"/>
      <c r="M234" s="402"/>
      <c r="N234" s="402"/>
      <c r="O234" s="983"/>
      <c r="P234" s="402"/>
    </row>
    <row r="235" spans="2:16">
      <c r="B235" s="402"/>
      <c r="C235" s="402"/>
      <c r="D235" s="402"/>
      <c r="E235" s="402"/>
      <c r="F235" s="402"/>
      <c r="G235" s="402"/>
      <c r="H235" s="648"/>
      <c r="I235" s="402"/>
      <c r="J235" s="402"/>
      <c r="K235" s="402"/>
      <c r="L235" s="402"/>
      <c r="M235" s="402"/>
      <c r="N235" s="402"/>
      <c r="O235" s="983"/>
      <c r="P235" s="402"/>
    </row>
    <row r="236" spans="2:16">
      <c r="B236" s="402"/>
      <c r="C236" s="402"/>
      <c r="D236" s="402"/>
      <c r="E236" s="402"/>
      <c r="F236" s="402"/>
      <c r="G236" s="402"/>
      <c r="H236" s="648"/>
      <c r="I236" s="402"/>
      <c r="J236" s="402"/>
      <c r="K236" s="402"/>
      <c r="L236" s="402"/>
      <c r="M236" s="402"/>
      <c r="N236" s="402"/>
      <c r="O236" s="983"/>
      <c r="P236" s="402"/>
    </row>
    <row r="237" spans="2:16">
      <c r="B237" s="402"/>
      <c r="C237" s="402"/>
      <c r="D237" s="402"/>
      <c r="E237" s="402"/>
      <c r="F237" s="402"/>
      <c r="G237" s="402"/>
      <c r="H237" s="648"/>
      <c r="I237" s="402"/>
      <c r="J237" s="402"/>
      <c r="K237" s="402"/>
      <c r="L237" s="402"/>
      <c r="M237" s="402"/>
      <c r="N237" s="402"/>
      <c r="O237" s="983"/>
      <c r="P237" s="402"/>
    </row>
    <row r="238" spans="2:16">
      <c r="B238" s="402"/>
      <c r="C238" s="402"/>
      <c r="D238" s="402"/>
      <c r="E238" s="402"/>
      <c r="F238" s="402"/>
      <c r="G238" s="402"/>
      <c r="H238" s="648"/>
      <c r="I238" s="402"/>
      <c r="J238" s="402"/>
      <c r="K238" s="402"/>
      <c r="L238" s="402"/>
      <c r="M238" s="402"/>
      <c r="N238" s="402"/>
      <c r="O238" s="983"/>
      <c r="P238" s="402"/>
    </row>
    <row r="239" spans="2:16">
      <c r="B239" s="402"/>
      <c r="C239" s="402"/>
      <c r="D239" s="402"/>
      <c r="E239" s="402"/>
      <c r="F239" s="402"/>
      <c r="G239" s="402"/>
      <c r="H239" s="648"/>
      <c r="I239" s="402"/>
      <c r="J239" s="402"/>
      <c r="K239" s="402"/>
      <c r="L239" s="402"/>
      <c r="M239" s="402"/>
      <c r="N239" s="402"/>
      <c r="O239" s="983"/>
      <c r="P239" s="402"/>
    </row>
    <row r="240" spans="2:16">
      <c r="B240" s="402"/>
      <c r="C240" s="402"/>
      <c r="D240" s="402"/>
      <c r="E240" s="402"/>
      <c r="F240" s="402"/>
      <c r="G240" s="402"/>
      <c r="H240" s="648"/>
      <c r="I240" s="402"/>
      <c r="J240" s="402"/>
      <c r="K240" s="402"/>
      <c r="L240" s="402"/>
      <c r="M240" s="402"/>
      <c r="N240" s="402"/>
      <c r="O240" s="983"/>
      <c r="P240" s="402"/>
    </row>
    <row r="241" spans="2:16">
      <c r="B241" s="402"/>
      <c r="C241" s="402"/>
      <c r="D241" s="402"/>
      <c r="E241" s="402"/>
      <c r="F241" s="402"/>
      <c r="G241" s="402"/>
      <c r="H241" s="648"/>
      <c r="I241" s="402"/>
      <c r="J241" s="402"/>
      <c r="K241" s="402"/>
      <c r="L241" s="402"/>
      <c r="M241" s="402"/>
      <c r="N241" s="402"/>
      <c r="O241" s="983"/>
      <c r="P241" s="402"/>
    </row>
    <row r="242" spans="2:16">
      <c r="B242" s="402"/>
      <c r="C242" s="402"/>
      <c r="D242" s="402"/>
      <c r="E242" s="402"/>
      <c r="F242" s="402"/>
      <c r="G242" s="402"/>
      <c r="H242" s="648"/>
      <c r="I242" s="402"/>
      <c r="J242" s="402"/>
      <c r="K242" s="402"/>
      <c r="L242" s="402"/>
      <c r="M242" s="402"/>
      <c r="N242" s="402"/>
      <c r="O242" s="983"/>
      <c r="P242" s="402"/>
    </row>
    <row r="243" spans="2:16">
      <c r="B243" s="402"/>
      <c r="C243" s="402"/>
      <c r="D243" s="402"/>
      <c r="E243" s="402"/>
      <c r="F243" s="402"/>
      <c r="G243" s="402"/>
      <c r="H243" s="648"/>
      <c r="I243" s="402"/>
      <c r="J243" s="402"/>
      <c r="K243" s="402"/>
      <c r="L243" s="402"/>
      <c r="M243" s="402"/>
      <c r="N243" s="402"/>
      <c r="O243" s="983"/>
      <c r="P243" s="402"/>
    </row>
    <row r="244" spans="2:16">
      <c r="B244" s="402"/>
      <c r="C244" s="402"/>
      <c r="D244" s="402"/>
      <c r="E244" s="402"/>
      <c r="F244" s="402"/>
      <c r="G244" s="402"/>
      <c r="H244" s="648"/>
      <c r="I244" s="402"/>
      <c r="J244" s="402"/>
      <c r="K244" s="402"/>
      <c r="L244" s="402"/>
      <c r="M244" s="402"/>
      <c r="N244" s="402"/>
      <c r="O244" s="983"/>
      <c r="P244" s="402"/>
    </row>
    <row r="245" spans="2:16">
      <c r="B245" s="402"/>
      <c r="C245" s="402"/>
      <c r="D245" s="402"/>
      <c r="E245" s="402"/>
      <c r="F245" s="402"/>
      <c r="G245" s="402"/>
      <c r="H245" s="648"/>
      <c r="I245" s="402"/>
      <c r="J245" s="402"/>
      <c r="K245" s="402"/>
      <c r="L245" s="402"/>
      <c r="M245" s="402"/>
      <c r="N245" s="402"/>
      <c r="O245" s="983"/>
      <c r="P245" s="402"/>
    </row>
    <row r="246" spans="2:16">
      <c r="B246" s="402"/>
      <c r="C246" s="402"/>
      <c r="D246" s="402"/>
      <c r="E246" s="402"/>
      <c r="F246" s="402"/>
      <c r="G246" s="402"/>
      <c r="H246" s="648"/>
      <c r="I246" s="402"/>
      <c r="J246" s="402"/>
      <c r="K246" s="402"/>
      <c r="L246" s="402"/>
      <c r="M246" s="402"/>
      <c r="N246" s="402"/>
      <c r="O246" s="983"/>
      <c r="P246" s="402"/>
    </row>
    <row r="247" spans="2:16">
      <c r="B247" s="402"/>
      <c r="C247" s="402"/>
      <c r="D247" s="402"/>
      <c r="E247" s="402"/>
      <c r="F247" s="402"/>
      <c r="G247" s="402"/>
      <c r="H247" s="648"/>
      <c r="I247" s="402"/>
      <c r="J247" s="402"/>
      <c r="K247" s="402"/>
      <c r="L247" s="402"/>
      <c r="M247" s="402"/>
      <c r="N247" s="402"/>
      <c r="O247" s="983"/>
      <c r="P247" s="402"/>
    </row>
    <row r="248" spans="2:16">
      <c r="B248" s="402"/>
      <c r="C248" s="402"/>
      <c r="D248" s="402"/>
      <c r="E248" s="402"/>
      <c r="F248" s="402"/>
      <c r="G248" s="402"/>
      <c r="H248" s="648"/>
      <c r="I248" s="402"/>
      <c r="J248" s="402"/>
      <c r="K248" s="402"/>
      <c r="L248" s="402"/>
      <c r="M248" s="402"/>
      <c r="N248" s="402"/>
      <c r="O248" s="983"/>
      <c r="P248" s="402"/>
    </row>
    <row r="249" spans="2:16">
      <c r="B249" s="402"/>
      <c r="C249" s="402"/>
      <c r="D249" s="402"/>
      <c r="E249" s="402"/>
      <c r="F249" s="402"/>
      <c r="G249" s="402"/>
      <c r="H249" s="648"/>
      <c r="I249" s="402"/>
      <c r="J249" s="402"/>
      <c r="K249" s="402"/>
      <c r="L249" s="402"/>
      <c r="M249" s="402"/>
      <c r="N249" s="402"/>
      <c r="O249" s="983"/>
      <c r="P249" s="402"/>
    </row>
    <row r="250" spans="2:16">
      <c r="B250" s="402"/>
      <c r="C250" s="402"/>
      <c r="D250" s="402"/>
      <c r="E250" s="402"/>
      <c r="F250" s="402"/>
      <c r="G250" s="402"/>
      <c r="H250" s="648"/>
      <c r="I250" s="402"/>
      <c r="J250" s="402"/>
      <c r="K250" s="402"/>
      <c r="L250" s="402"/>
      <c r="M250" s="402"/>
      <c r="N250" s="402"/>
      <c r="O250" s="983"/>
      <c r="P250" s="402"/>
    </row>
    <row r="251" spans="2:16">
      <c r="B251" s="402"/>
      <c r="C251" s="402"/>
      <c r="D251" s="402"/>
      <c r="E251" s="402"/>
      <c r="F251" s="402"/>
      <c r="G251" s="402"/>
      <c r="H251" s="648"/>
      <c r="I251" s="402"/>
      <c r="J251" s="402"/>
      <c r="K251" s="402"/>
      <c r="L251" s="402"/>
      <c r="M251" s="402"/>
      <c r="N251" s="402"/>
      <c r="O251" s="983"/>
      <c r="P251" s="402"/>
    </row>
    <row r="252" spans="2:16">
      <c r="B252" s="402"/>
      <c r="C252" s="402"/>
      <c r="D252" s="402"/>
      <c r="E252" s="402"/>
      <c r="F252" s="402"/>
      <c r="G252" s="402"/>
      <c r="H252" s="648"/>
      <c r="I252" s="402"/>
      <c r="J252" s="402"/>
      <c r="K252" s="402"/>
      <c r="L252" s="402"/>
      <c r="M252" s="402"/>
      <c r="N252" s="402"/>
      <c r="O252" s="983"/>
      <c r="P252" s="402"/>
    </row>
    <row r="253" spans="2:16">
      <c r="B253" s="402"/>
      <c r="C253" s="402"/>
      <c r="D253" s="402"/>
      <c r="E253" s="402"/>
      <c r="F253" s="402"/>
      <c r="G253" s="402"/>
      <c r="H253" s="648"/>
      <c r="I253" s="402"/>
      <c r="J253" s="402"/>
      <c r="K253" s="402"/>
      <c r="L253" s="402"/>
      <c r="M253" s="402"/>
      <c r="N253" s="402"/>
      <c r="O253" s="983"/>
      <c r="P253" s="402"/>
    </row>
    <row r="254" spans="2:16">
      <c r="B254" s="402"/>
      <c r="C254" s="402"/>
      <c r="D254" s="402"/>
      <c r="E254" s="402"/>
      <c r="F254" s="402"/>
      <c r="G254" s="402"/>
      <c r="H254" s="648"/>
      <c r="I254" s="402"/>
      <c r="J254" s="402"/>
      <c r="K254" s="402"/>
      <c r="L254" s="402"/>
      <c r="M254" s="402"/>
      <c r="N254" s="402"/>
      <c r="O254" s="983"/>
      <c r="P254" s="402"/>
    </row>
    <row r="255" spans="2:16">
      <c r="B255" s="402"/>
      <c r="C255" s="402"/>
      <c r="D255" s="402"/>
      <c r="E255" s="402"/>
      <c r="F255" s="402"/>
      <c r="G255" s="402"/>
      <c r="H255" s="648"/>
      <c r="I255" s="402"/>
      <c r="J255" s="402"/>
      <c r="K255" s="402"/>
      <c r="L255" s="402"/>
      <c r="M255" s="402"/>
      <c r="N255" s="402"/>
      <c r="O255" s="983"/>
      <c r="P255" s="402"/>
    </row>
    <row r="256" spans="2:16">
      <c r="B256" s="402"/>
      <c r="C256" s="402"/>
      <c r="D256" s="402"/>
      <c r="E256" s="402"/>
      <c r="F256" s="402"/>
      <c r="G256" s="402"/>
      <c r="H256" s="648"/>
      <c r="I256" s="402"/>
      <c r="J256" s="402"/>
      <c r="K256" s="402"/>
      <c r="L256" s="402"/>
      <c r="M256" s="402"/>
      <c r="N256" s="402"/>
      <c r="O256" s="983"/>
      <c r="P256" s="402"/>
    </row>
    <row r="257" spans="2:16">
      <c r="B257" s="402"/>
      <c r="C257" s="402"/>
      <c r="D257" s="402"/>
      <c r="E257" s="402"/>
      <c r="F257" s="402"/>
      <c r="G257" s="402"/>
      <c r="H257" s="648"/>
      <c r="I257" s="402"/>
      <c r="J257" s="402"/>
      <c r="K257" s="402"/>
      <c r="L257" s="402"/>
      <c r="M257" s="402"/>
      <c r="N257" s="402"/>
      <c r="O257" s="983"/>
      <c r="P257" s="402"/>
    </row>
    <row r="258" spans="2:16">
      <c r="B258" s="402"/>
      <c r="C258" s="402"/>
      <c r="D258" s="402"/>
      <c r="E258" s="402"/>
      <c r="F258" s="402"/>
      <c r="G258" s="402"/>
      <c r="H258" s="648"/>
      <c r="I258" s="402"/>
      <c r="J258" s="402"/>
      <c r="K258" s="402"/>
      <c r="L258" s="402"/>
      <c r="M258" s="402"/>
      <c r="N258" s="402"/>
      <c r="O258" s="983"/>
      <c r="P258" s="402"/>
    </row>
    <row r="259" spans="2:16">
      <c r="B259" s="402"/>
      <c r="C259" s="402"/>
      <c r="D259" s="402"/>
      <c r="E259" s="402"/>
      <c r="F259" s="402"/>
      <c r="G259" s="402"/>
      <c r="H259" s="648"/>
      <c r="I259" s="402"/>
      <c r="J259" s="402"/>
      <c r="K259" s="402"/>
      <c r="L259" s="402"/>
      <c r="M259" s="402"/>
      <c r="N259" s="402"/>
      <c r="O259" s="983"/>
      <c r="P259" s="402"/>
    </row>
    <row r="260" spans="2:16">
      <c r="B260" s="402"/>
      <c r="C260" s="402"/>
      <c r="D260" s="402"/>
      <c r="E260" s="402"/>
      <c r="F260" s="402"/>
      <c r="G260" s="402"/>
      <c r="H260" s="648"/>
      <c r="I260" s="402"/>
      <c r="J260" s="402"/>
      <c r="K260" s="402"/>
      <c r="L260" s="402"/>
      <c r="M260" s="402"/>
      <c r="N260" s="402"/>
      <c r="O260" s="983"/>
      <c r="P260" s="402"/>
    </row>
    <row r="261" spans="2:16">
      <c r="B261" s="402"/>
      <c r="C261" s="402"/>
      <c r="D261" s="402"/>
      <c r="E261" s="402"/>
      <c r="F261" s="402"/>
      <c r="G261" s="402"/>
      <c r="H261" s="648"/>
      <c r="I261" s="402"/>
      <c r="J261" s="402"/>
      <c r="K261" s="402"/>
      <c r="L261" s="402"/>
      <c r="M261" s="402"/>
      <c r="N261" s="402"/>
      <c r="O261" s="983"/>
      <c r="P261" s="402"/>
    </row>
    <row r="262" spans="2:16">
      <c r="B262" s="402"/>
      <c r="C262" s="402"/>
      <c r="D262" s="402"/>
      <c r="E262" s="402"/>
      <c r="F262" s="402"/>
      <c r="G262" s="402"/>
      <c r="H262" s="648"/>
      <c r="I262" s="402"/>
      <c r="J262" s="402"/>
      <c r="K262" s="402"/>
      <c r="L262" s="402"/>
      <c r="M262" s="402"/>
      <c r="N262" s="402"/>
      <c r="O262" s="983"/>
      <c r="P262" s="402"/>
    </row>
    <row r="263" spans="2:16">
      <c r="B263" s="402"/>
      <c r="C263" s="402"/>
      <c r="D263" s="402"/>
      <c r="E263" s="402"/>
      <c r="F263" s="402"/>
      <c r="G263" s="402"/>
      <c r="H263" s="648"/>
      <c r="I263" s="402"/>
      <c r="J263" s="402"/>
      <c r="K263" s="402"/>
      <c r="L263" s="402"/>
      <c r="M263" s="402"/>
      <c r="N263" s="402"/>
      <c r="O263" s="983"/>
      <c r="P263" s="402"/>
    </row>
    <row r="264" spans="2:16">
      <c r="B264" s="402"/>
      <c r="C264" s="402"/>
      <c r="D264" s="402"/>
      <c r="E264" s="402"/>
      <c r="F264" s="402"/>
      <c r="G264" s="402"/>
      <c r="H264" s="648"/>
      <c r="I264" s="402"/>
      <c r="J264" s="402"/>
      <c r="K264" s="402"/>
      <c r="L264" s="402"/>
      <c r="M264" s="402"/>
      <c r="N264" s="402"/>
      <c r="O264" s="983"/>
      <c r="P264" s="402"/>
    </row>
    <row r="265" spans="2:16">
      <c r="B265" s="402"/>
      <c r="C265" s="402"/>
      <c r="D265" s="402"/>
      <c r="E265" s="402"/>
      <c r="F265" s="402"/>
      <c r="G265" s="402"/>
      <c r="H265" s="648"/>
      <c r="I265" s="402"/>
      <c r="J265" s="402"/>
      <c r="K265" s="402"/>
      <c r="L265" s="402"/>
      <c r="M265" s="402"/>
      <c r="N265" s="402"/>
      <c r="O265" s="983"/>
      <c r="P265" s="402"/>
    </row>
    <row r="266" spans="2:16">
      <c r="B266" s="402"/>
      <c r="C266" s="402"/>
      <c r="D266" s="402"/>
      <c r="E266" s="402"/>
      <c r="F266" s="402"/>
      <c r="G266" s="402"/>
      <c r="H266" s="648"/>
      <c r="I266" s="402"/>
      <c r="J266" s="402"/>
      <c r="K266" s="402"/>
      <c r="L266" s="402"/>
      <c r="M266" s="402"/>
      <c r="N266" s="402"/>
      <c r="O266" s="983"/>
      <c r="P266" s="402"/>
    </row>
    <row r="267" spans="2:16">
      <c r="B267" s="402"/>
      <c r="C267" s="402"/>
      <c r="D267" s="402"/>
      <c r="E267" s="402"/>
      <c r="F267" s="402"/>
      <c r="G267" s="402"/>
      <c r="H267" s="648"/>
      <c r="I267" s="402"/>
      <c r="J267" s="402"/>
      <c r="K267" s="402"/>
      <c r="L267" s="402"/>
      <c r="M267" s="402"/>
      <c r="N267" s="402"/>
      <c r="O267" s="983"/>
      <c r="P267" s="402"/>
    </row>
    <row r="268" spans="2:16">
      <c r="B268" s="402"/>
      <c r="C268" s="402"/>
      <c r="D268" s="402"/>
      <c r="E268" s="402"/>
      <c r="F268" s="402"/>
      <c r="G268" s="402"/>
      <c r="H268" s="648"/>
      <c r="I268" s="402"/>
      <c r="J268" s="402"/>
      <c r="K268" s="402"/>
      <c r="L268" s="402"/>
      <c r="M268" s="402"/>
      <c r="N268" s="402"/>
      <c r="O268" s="983"/>
      <c r="P268" s="402"/>
    </row>
    <row r="269" spans="2:16">
      <c r="B269" s="402"/>
      <c r="C269" s="402"/>
      <c r="D269" s="402"/>
      <c r="E269" s="402"/>
      <c r="F269" s="402"/>
      <c r="G269" s="402"/>
      <c r="H269" s="648"/>
      <c r="I269" s="402"/>
      <c r="J269" s="402"/>
      <c r="K269" s="402"/>
      <c r="L269" s="402"/>
      <c r="M269" s="402"/>
      <c r="N269" s="402"/>
      <c r="O269" s="983"/>
      <c r="P269" s="402"/>
    </row>
    <row r="270" spans="2:16">
      <c r="B270" s="402"/>
      <c r="C270" s="402"/>
      <c r="D270" s="402"/>
      <c r="E270" s="402"/>
      <c r="F270" s="402"/>
      <c r="G270" s="402"/>
      <c r="H270" s="648"/>
      <c r="I270" s="402"/>
      <c r="J270" s="402"/>
      <c r="K270" s="402"/>
      <c r="L270" s="402"/>
      <c r="M270" s="402"/>
      <c r="N270" s="402"/>
      <c r="O270" s="983"/>
      <c r="P270" s="402"/>
    </row>
    <row r="271" spans="2:16">
      <c r="B271" s="402"/>
      <c r="C271" s="402"/>
      <c r="D271" s="402"/>
      <c r="E271" s="402"/>
      <c r="F271" s="402"/>
      <c r="G271" s="402"/>
      <c r="H271" s="648"/>
      <c r="I271" s="402"/>
      <c r="J271" s="402"/>
      <c r="K271" s="402"/>
      <c r="L271" s="402"/>
      <c r="M271" s="402"/>
      <c r="N271" s="402"/>
      <c r="O271" s="983"/>
      <c r="P271" s="402"/>
    </row>
    <row r="272" spans="2:16">
      <c r="B272" s="402"/>
      <c r="C272" s="402"/>
      <c r="D272" s="402"/>
      <c r="E272" s="402"/>
      <c r="F272" s="402"/>
      <c r="G272" s="402"/>
      <c r="H272" s="648"/>
      <c r="I272" s="402"/>
      <c r="J272" s="402"/>
      <c r="K272" s="402"/>
      <c r="L272" s="402"/>
      <c r="M272" s="402"/>
      <c r="N272" s="402"/>
      <c r="O272" s="983"/>
      <c r="P272" s="402"/>
    </row>
    <row r="273" spans="2:16">
      <c r="B273" s="402"/>
      <c r="C273" s="402"/>
      <c r="D273" s="402"/>
      <c r="E273" s="402"/>
      <c r="F273" s="402"/>
      <c r="G273" s="402"/>
      <c r="H273" s="648"/>
      <c r="I273" s="402"/>
      <c r="J273" s="402"/>
      <c r="K273" s="402"/>
      <c r="L273" s="402"/>
      <c r="M273" s="402"/>
      <c r="N273" s="402"/>
      <c r="O273" s="983"/>
      <c r="P273" s="402"/>
    </row>
    <row r="274" spans="2:16">
      <c r="B274" s="402"/>
      <c r="C274" s="402"/>
      <c r="D274" s="402"/>
      <c r="E274" s="402"/>
      <c r="F274" s="402"/>
      <c r="G274" s="402"/>
      <c r="H274" s="648"/>
      <c r="I274" s="402"/>
      <c r="J274" s="402"/>
      <c r="K274" s="402"/>
      <c r="L274" s="402"/>
      <c r="M274" s="402"/>
      <c r="N274" s="402"/>
      <c r="O274" s="983"/>
      <c r="P274" s="402"/>
    </row>
    <row r="275" spans="2:16">
      <c r="B275" s="402"/>
      <c r="C275" s="402"/>
      <c r="D275" s="402"/>
      <c r="E275" s="402"/>
      <c r="F275" s="402"/>
      <c r="G275" s="402"/>
      <c r="H275" s="648"/>
      <c r="I275" s="402"/>
      <c r="J275" s="402"/>
      <c r="K275" s="402"/>
      <c r="L275" s="402"/>
      <c r="M275" s="402"/>
      <c r="N275" s="402"/>
      <c r="O275" s="983"/>
      <c r="P275" s="402"/>
    </row>
    <row r="276" spans="2:16">
      <c r="B276" s="402"/>
      <c r="C276" s="402"/>
      <c r="D276" s="402"/>
      <c r="E276" s="402"/>
      <c r="F276" s="402"/>
      <c r="G276" s="402"/>
      <c r="H276" s="648"/>
      <c r="I276" s="402"/>
      <c r="J276" s="402"/>
      <c r="K276" s="402"/>
      <c r="L276" s="402"/>
      <c r="M276" s="402"/>
      <c r="N276" s="402"/>
      <c r="O276" s="983"/>
      <c r="P276" s="402"/>
    </row>
    <row r="277" spans="2:16">
      <c r="B277" s="402"/>
      <c r="C277" s="402"/>
      <c r="D277" s="402"/>
      <c r="E277" s="402"/>
      <c r="F277" s="402"/>
      <c r="G277" s="402"/>
      <c r="H277" s="648"/>
      <c r="I277" s="402"/>
      <c r="J277" s="402"/>
      <c r="K277" s="402"/>
      <c r="L277" s="402"/>
      <c r="M277" s="402"/>
      <c r="N277" s="402"/>
      <c r="O277" s="983"/>
      <c r="P277" s="402"/>
    </row>
    <row r="278" spans="2:16">
      <c r="B278" s="402"/>
      <c r="C278" s="402"/>
      <c r="D278" s="402"/>
      <c r="E278" s="402"/>
      <c r="F278" s="402"/>
      <c r="G278" s="402"/>
      <c r="H278" s="648"/>
      <c r="I278" s="402"/>
      <c r="J278" s="402"/>
      <c r="K278" s="402"/>
      <c r="L278" s="402"/>
      <c r="M278" s="402"/>
      <c r="N278" s="402"/>
      <c r="O278" s="983"/>
      <c r="P278" s="402"/>
    </row>
    <row r="279" spans="2:16">
      <c r="B279" s="402"/>
      <c r="C279" s="402"/>
      <c r="D279" s="402"/>
      <c r="E279" s="402"/>
      <c r="F279" s="402"/>
      <c r="G279" s="402"/>
      <c r="H279" s="648"/>
      <c r="I279" s="402"/>
      <c r="J279" s="402"/>
      <c r="K279" s="402"/>
      <c r="L279" s="402"/>
      <c r="M279" s="402"/>
      <c r="N279" s="402"/>
      <c r="O279" s="983"/>
      <c r="P279" s="402"/>
    </row>
    <row r="280" spans="2:16">
      <c r="B280" s="402"/>
      <c r="C280" s="402"/>
      <c r="D280" s="402"/>
      <c r="E280" s="402"/>
      <c r="F280" s="402"/>
      <c r="G280" s="402"/>
      <c r="H280" s="648"/>
      <c r="I280" s="402"/>
      <c r="J280" s="402"/>
      <c r="K280" s="402"/>
      <c r="L280" s="402"/>
      <c r="M280" s="402"/>
      <c r="N280" s="402"/>
      <c r="O280" s="983"/>
      <c r="P280" s="402"/>
    </row>
    <row r="281" spans="2:16">
      <c r="B281" s="402"/>
      <c r="C281" s="402"/>
      <c r="D281" s="402"/>
      <c r="E281" s="402"/>
      <c r="F281" s="402"/>
      <c r="G281" s="402"/>
      <c r="H281" s="648"/>
      <c r="I281" s="402"/>
      <c r="J281" s="402"/>
      <c r="K281" s="402"/>
      <c r="L281" s="402"/>
      <c r="M281" s="402"/>
      <c r="N281" s="402"/>
      <c r="O281" s="983"/>
      <c r="P281" s="402"/>
    </row>
    <row r="282" spans="2:16">
      <c r="B282" s="402"/>
      <c r="C282" s="402"/>
      <c r="D282" s="402"/>
      <c r="E282" s="402"/>
      <c r="F282" s="402"/>
      <c r="G282" s="402"/>
      <c r="H282" s="648"/>
      <c r="I282" s="402"/>
      <c r="J282" s="402"/>
      <c r="K282" s="402"/>
      <c r="L282" s="402"/>
      <c r="M282" s="402"/>
      <c r="N282" s="402"/>
      <c r="O282" s="983"/>
      <c r="P282" s="402"/>
    </row>
    <row r="283" spans="2:16">
      <c r="B283" s="402"/>
      <c r="C283" s="402"/>
      <c r="D283" s="402"/>
      <c r="E283" s="402"/>
      <c r="F283" s="402"/>
      <c r="G283" s="402"/>
      <c r="H283" s="648"/>
      <c r="I283" s="402"/>
      <c r="J283" s="402"/>
      <c r="K283" s="402"/>
      <c r="L283" s="402"/>
      <c r="M283" s="402"/>
      <c r="N283" s="402"/>
      <c r="O283" s="983"/>
      <c r="P283" s="402"/>
    </row>
    <row r="284" spans="2:16">
      <c r="B284" s="402"/>
      <c r="C284" s="402"/>
      <c r="D284" s="402"/>
      <c r="E284" s="402"/>
      <c r="F284" s="402"/>
      <c r="G284" s="402"/>
      <c r="H284" s="648"/>
      <c r="I284" s="402"/>
      <c r="J284" s="402"/>
      <c r="K284" s="402"/>
      <c r="L284" s="402"/>
      <c r="M284" s="402"/>
      <c r="N284" s="402"/>
      <c r="O284" s="983"/>
      <c r="P284" s="402"/>
    </row>
    <row r="285" spans="2:16">
      <c r="B285" s="402"/>
      <c r="C285" s="402"/>
      <c r="D285" s="402"/>
      <c r="E285" s="402"/>
      <c r="F285" s="402"/>
      <c r="G285" s="402"/>
      <c r="H285" s="648"/>
      <c r="I285" s="402"/>
      <c r="J285" s="402"/>
      <c r="K285" s="402"/>
      <c r="L285" s="402"/>
      <c r="M285" s="402"/>
      <c r="N285" s="402"/>
      <c r="O285" s="983"/>
      <c r="P285" s="402"/>
    </row>
    <row r="286" spans="2:16">
      <c r="B286" s="402"/>
      <c r="C286" s="402"/>
      <c r="D286" s="402"/>
      <c r="E286" s="402"/>
      <c r="F286" s="402"/>
      <c r="G286" s="402"/>
      <c r="H286" s="648"/>
      <c r="I286" s="402"/>
      <c r="J286" s="402"/>
      <c r="K286" s="402"/>
      <c r="L286" s="402"/>
      <c r="M286" s="402"/>
      <c r="N286" s="402"/>
      <c r="O286" s="983"/>
      <c r="P286" s="402"/>
    </row>
    <row r="287" spans="2:16">
      <c r="B287" s="402"/>
      <c r="C287" s="402"/>
      <c r="D287" s="402"/>
      <c r="E287" s="402"/>
      <c r="F287" s="402"/>
      <c r="G287" s="402"/>
      <c r="H287" s="648"/>
      <c r="I287" s="402"/>
      <c r="J287" s="402"/>
      <c r="K287" s="402"/>
      <c r="L287" s="402"/>
      <c r="M287" s="402"/>
      <c r="N287" s="402"/>
      <c r="O287" s="983"/>
      <c r="P287" s="402"/>
    </row>
    <row r="288" spans="2:16">
      <c r="B288" s="402"/>
      <c r="C288" s="402"/>
      <c r="D288" s="402"/>
      <c r="E288" s="402"/>
      <c r="F288" s="402"/>
      <c r="G288" s="402"/>
      <c r="H288" s="648"/>
      <c r="I288" s="402"/>
      <c r="J288" s="402"/>
      <c r="K288" s="402"/>
      <c r="L288" s="402"/>
      <c r="M288" s="402"/>
      <c r="N288" s="402"/>
      <c r="O288" s="983"/>
      <c r="P288" s="402"/>
    </row>
    <row r="289" spans="2:16">
      <c r="B289" s="402"/>
      <c r="C289" s="402"/>
      <c r="D289" s="402"/>
      <c r="E289" s="402"/>
      <c r="F289" s="402"/>
      <c r="G289" s="402"/>
      <c r="H289" s="648"/>
      <c r="I289" s="402"/>
      <c r="J289" s="402"/>
      <c r="K289" s="402"/>
      <c r="L289" s="402"/>
      <c r="M289" s="402"/>
      <c r="N289" s="402"/>
      <c r="O289" s="983"/>
      <c r="P289" s="402"/>
    </row>
    <row r="290" spans="2:16">
      <c r="B290" s="402"/>
      <c r="C290" s="402"/>
      <c r="D290" s="402"/>
      <c r="E290" s="402"/>
      <c r="F290" s="402"/>
      <c r="G290" s="402"/>
      <c r="H290" s="648"/>
      <c r="I290" s="402"/>
      <c r="J290" s="402"/>
      <c r="K290" s="402"/>
      <c r="L290" s="402"/>
      <c r="M290" s="402"/>
      <c r="N290" s="402"/>
      <c r="O290" s="983"/>
      <c r="P290" s="402"/>
    </row>
    <row r="291" spans="2:16">
      <c r="B291" s="402"/>
      <c r="C291" s="402"/>
      <c r="D291" s="402"/>
      <c r="E291" s="402"/>
      <c r="F291" s="402"/>
      <c r="G291" s="402"/>
      <c r="H291" s="648"/>
      <c r="I291" s="402"/>
      <c r="J291" s="402"/>
      <c r="K291" s="402"/>
      <c r="L291" s="402"/>
      <c r="M291" s="402"/>
      <c r="N291" s="402"/>
      <c r="O291" s="983"/>
      <c r="P291" s="402"/>
    </row>
    <row r="292" spans="2:16">
      <c r="B292" s="402"/>
      <c r="C292" s="402"/>
      <c r="D292" s="402"/>
      <c r="E292" s="402"/>
      <c r="F292" s="402"/>
      <c r="G292" s="402"/>
      <c r="H292" s="648"/>
      <c r="I292" s="402"/>
      <c r="J292" s="402"/>
      <c r="K292" s="402"/>
      <c r="L292" s="402"/>
      <c r="M292" s="402"/>
      <c r="N292" s="402"/>
      <c r="O292" s="983"/>
      <c r="P292" s="402"/>
    </row>
    <row r="293" spans="2:16">
      <c r="B293" s="402"/>
      <c r="C293" s="402"/>
      <c r="D293" s="402"/>
      <c r="E293" s="402"/>
      <c r="F293" s="402"/>
      <c r="G293" s="402"/>
      <c r="H293" s="648"/>
      <c r="I293" s="402"/>
      <c r="J293" s="402"/>
      <c r="K293" s="402"/>
      <c r="L293" s="402"/>
      <c r="M293" s="402"/>
      <c r="N293" s="402"/>
      <c r="O293" s="983"/>
      <c r="P293" s="402"/>
    </row>
    <row r="294" spans="2:16">
      <c r="B294" s="402"/>
      <c r="C294" s="402"/>
      <c r="D294" s="402"/>
      <c r="E294" s="402"/>
      <c r="F294" s="402"/>
      <c r="G294" s="402"/>
      <c r="H294" s="648"/>
      <c r="I294" s="402"/>
      <c r="J294" s="402"/>
      <c r="K294" s="402"/>
      <c r="L294" s="402"/>
      <c r="M294" s="402"/>
      <c r="N294" s="402"/>
      <c r="O294" s="983"/>
      <c r="P294" s="402"/>
    </row>
    <row r="295" spans="2:16">
      <c r="B295" s="402"/>
      <c r="C295" s="402"/>
      <c r="D295" s="402"/>
      <c r="E295" s="402"/>
      <c r="F295" s="402"/>
      <c r="G295" s="402"/>
      <c r="H295" s="648"/>
      <c r="I295" s="402"/>
      <c r="J295" s="402"/>
      <c r="K295" s="402"/>
      <c r="L295" s="402"/>
      <c r="M295" s="402"/>
      <c r="N295" s="402"/>
      <c r="O295" s="983"/>
      <c r="P295" s="402"/>
    </row>
    <row r="296" spans="2:16">
      <c r="B296" s="402"/>
      <c r="C296" s="402"/>
      <c r="D296" s="402"/>
      <c r="E296" s="402"/>
      <c r="F296" s="402"/>
      <c r="G296" s="402"/>
      <c r="H296" s="648"/>
      <c r="I296" s="402"/>
      <c r="J296" s="402"/>
      <c r="K296" s="402"/>
      <c r="L296" s="402"/>
      <c r="M296" s="402"/>
      <c r="N296" s="402"/>
      <c r="O296" s="983"/>
      <c r="P296" s="402"/>
    </row>
    <row r="297" spans="2:16">
      <c r="B297" s="402"/>
      <c r="C297" s="402"/>
      <c r="D297" s="402"/>
      <c r="E297" s="402"/>
      <c r="F297" s="402"/>
      <c r="G297" s="402"/>
      <c r="H297" s="648"/>
      <c r="I297" s="402"/>
      <c r="J297" s="402"/>
      <c r="K297" s="402"/>
      <c r="L297" s="402"/>
      <c r="M297" s="402"/>
      <c r="N297" s="402"/>
      <c r="O297" s="983"/>
      <c r="P297" s="402"/>
    </row>
    <row r="298" spans="2:16">
      <c r="B298" s="402"/>
      <c r="C298" s="402"/>
      <c r="D298" s="402"/>
      <c r="E298" s="402"/>
      <c r="F298" s="402"/>
      <c r="G298" s="402"/>
      <c r="H298" s="648"/>
      <c r="I298" s="402"/>
      <c r="J298" s="402"/>
      <c r="K298" s="402"/>
      <c r="L298" s="402"/>
      <c r="M298" s="402"/>
      <c r="N298" s="402"/>
      <c r="O298" s="983"/>
      <c r="P298" s="402"/>
    </row>
    <row r="299" spans="2:16">
      <c r="B299" s="402"/>
      <c r="C299" s="402"/>
      <c r="D299" s="402"/>
      <c r="E299" s="402"/>
      <c r="F299" s="402"/>
      <c r="G299" s="402"/>
      <c r="H299" s="648"/>
      <c r="I299" s="402"/>
      <c r="J299" s="402"/>
      <c r="K299" s="402"/>
      <c r="L299" s="402"/>
      <c r="M299" s="402"/>
      <c r="N299" s="402"/>
      <c r="O299" s="983"/>
      <c r="P299" s="402"/>
    </row>
    <row r="300" spans="2:16">
      <c r="B300" s="402"/>
      <c r="C300" s="402"/>
      <c r="D300" s="402"/>
      <c r="E300" s="402"/>
      <c r="F300" s="402"/>
      <c r="G300" s="402"/>
      <c r="H300" s="648"/>
      <c r="I300" s="402"/>
      <c r="J300" s="402"/>
      <c r="K300" s="402"/>
      <c r="L300" s="402"/>
      <c r="M300" s="402"/>
      <c r="N300" s="402"/>
      <c r="O300" s="983"/>
      <c r="P300" s="402"/>
    </row>
    <row r="301" spans="2:16">
      <c r="B301" s="402"/>
      <c r="C301" s="402"/>
      <c r="D301" s="402"/>
      <c r="E301" s="402"/>
      <c r="F301" s="402"/>
      <c r="G301" s="402"/>
      <c r="H301" s="648"/>
      <c r="I301" s="402"/>
      <c r="J301" s="402"/>
      <c r="K301" s="402"/>
      <c r="L301" s="402"/>
      <c r="M301" s="402"/>
      <c r="N301" s="402"/>
      <c r="O301" s="983"/>
      <c r="P301" s="402"/>
    </row>
    <row r="302" spans="2:16">
      <c r="B302" s="402"/>
      <c r="C302" s="402"/>
      <c r="D302" s="402"/>
      <c r="E302" s="402"/>
      <c r="F302" s="402"/>
      <c r="G302" s="402"/>
      <c r="H302" s="648"/>
      <c r="I302" s="402"/>
      <c r="J302" s="402"/>
      <c r="K302" s="402"/>
      <c r="L302" s="402"/>
      <c r="M302" s="402"/>
      <c r="N302" s="402"/>
      <c r="O302" s="983"/>
      <c r="P302" s="402"/>
    </row>
    <row r="303" spans="2:16">
      <c r="B303" s="402"/>
      <c r="C303" s="402"/>
      <c r="D303" s="402"/>
      <c r="E303" s="402"/>
      <c r="F303" s="402"/>
      <c r="G303" s="402"/>
      <c r="H303" s="648"/>
      <c r="I303" s="402"/>
      <c r="J303" s="402"/>
      <c r="K303" s="402"/>
      <c r="L303" s="402"/>
      <c r="M303" s="402"/>
      <c r="N303" s="402"/>
      <c r="O303" s="983"/>
      <c r="P303" s="402"/>
    </row>
    <row r="304" spans="2:16">
      <c r="B304" s="402"/>
      <c r="C304" s="402"/>
      <c r="D304" s="402"/>
      <c r="E304" s="402"/>
      <c r="F304" s="402"/>
      <c r="G304" s="402"/>
      <c r="H304" s="648"/>
      <c r="I304" s="402"/>
      <c r="J304" s="402"/>
      <c r="K304" s="402"/>
      <c r="L304" s="402"/>
      <c r="M304" s="402"/>
      <c r="N304" s="402"/>
      <c r="O304" s="983"/>
      <c r="P304" s="402"/>
    </row>
    <row r="305" spans="2:16">
      <c r="B305" s="402"/>
      <c r="C305" s="402"/>
      <c r="D305" s="402"/>
      <c r="E305" s="402"/>
      <c r="F305" s="402"/>
      <c r="G305" s="402"/>
      <c r="H305" s="648"/>
      <c r="I305" s="402"/>
      <c r="J305" s="402"/>
      <c r="K305" s="402"/>
      <c r="L305" s="402"/>
      <c r="M305" s="402"/>
      <c r="N305" s="402"/>
      <c r="O305" s="983"/>
      <c r="P305" s="402"/>
    </row>
    <row r="306" spans="2:16">
      <c r="B306" s="402"/>
      <c r="C306" s="402"/>
      <c r="D306" s="402"/>
      <c r="E306" s="402"/>
      <c r="F306" s="402"/>
      <c r="G306" s="402"/>
      <c r="H306" s="648"/>
      <c r="I306" s="402"/>
      <c r="J306" s="402"/>
      <c r="K306" s="402"/>
      <c r="L306" s="402"/>
      <c r="M306" s="402"/>
      <c r="N306" s="402"/>
      <c r="O306" s="983"/>
      <c r="P306" s="402"/>
    </row>
    <row r="307" spans="2:16">
      <c r="B307" s="402"/>
      <c r="C307" s="402"/>
      <c r="D307" s="402"/>
      <c r="E307" s="402"/>
      <c r="F307" s="402"/>
      <c r="G307" s="402"/>
      <c r="H307" s="648"/>
      <c r="I307" s="402"/>
      <c r="J307" s="402"/>
      <c r="K307" s="402"/>
      <c r="L307" s="402"/>
      <c r="M307" s="402"/>
      <c r="N307" s="402"/>
      <c r="O307" s="983"/>
      <c r="P307" s="402"/>
    </row>
    <row r="308" spans="2:16">
      <c r="B308" s="402"/>
      <c r="C308" s="402"/>
      <c r="D308" s="402"/>
      <c r="E308" s="402"/>
      <c r="F308" s="402"/>
      <c r="G308" s="402"/>
      <c r="H308" s="648"/>
      <c r="I308" s="402"/>
      <c r="J308" s="402"/>
      <c r="K308" s="402"/>
      <c r="L308" s="402"/>
      <c r="M308" s="402"/>
      <c r="N308" s="402"/>
      <c r="O308" s="983"/>
      <c r="P308" s="402"/>
    </row>
    <row r="309" spans="2:16">
      <c r="B309" s="402"/>
      <c r="C309" s="402"/>
      <c r="D309" s="402"/>
      <c r="E309" s="402"/>
      <c r="F309" s="402"/>
      <c r="G309" s="402"/>
      <c r="H309" s="648"/>
      <c r="I309" s="402"/>
      <c r="J309" s="402"/>
      <c r="K309" s="402"/>
      <c r="L309" s="402"/>
      <c r="M309" s="402"/>
      <c r="N309" s="402"/>
      <c r="O309" s="983"/>
      <c r="P309" s="402"/>
    </row>
    <row r="310" spans="2:16">
      <c r="B310" s="402"/>
      <c r="C310" s="402"/>
      <c r="D310" s="402"/>
      <c r="E310" s="402"/>
      <c r="F310" s="402"/>
      <c r="G310" s="402"/>
      <c r="H310" s="648"/>
      <c r="I310" s="402"/>
      <c r="J310" s="402"/>
      <c r="K310" s="402"/>
      <c r="L310" s="402"/>
      <c r="M310" s="402"/>
      <c r="N310" s="402"/>
      <c r="O310" s="983"/>
      <c r="P310" s="402"/>
    </row>
    <row r="311" spans="2:16">
      <c r="B311" s="402"/>
      <c r="C311" s="402"/>
      <c r="D311" s="402"/>
      <c r="E311" s="402"/>
      <c r="F311" s="402"/>
      <c r="G311" s="402"/>
      <c r="H311" s="648"/>
      <c r="I311" s="402"/>
      <c r="J311" s="402"/>
      <c r="K311" s="402"/>
      <c r="L311" s="402"/>
      <c r="M311" s="402"/>
      <c r="N311" s="402"/>
      <c r="O311" s="983"/>
      <c r="P311" s="402"/>
    </row>
    <row r="312" spans="2:16">
      <c r="B312" s="402"/>
      <c r="C312" s="402"/>
      <c r="D312" s="402"/>
      <c r="E312" s="402"/>
      <c r="F312" s="402"/>
      <c r="G312" s="402"/>
      <c r="H312" s="648"/>
      <c r="I312" s="402"/>
      <c r="J312" s="402"/>
      <c r="K312" s="402"/>
      <c r="L312" s="402"/>
      <c r="M312" s="402"/>
      <c r="N312" s="402"/>
      <c r="O312" s="983"/>
      <c r="P312" s="402"/>
    </row>
    <row r="313" spans="2:16">
      <c r="B313" s="402"/>
      <c r="C313" s="402"/>
      <c r="D313" s="402"/>
      <c r="E313" s="402"/>
      <c r="F313" s="402"/>
      <c r="G313" s="402"/>
      <c r="H313" s="648"/>
      <c r="I313" s="402"/>
      <c r="J313" s="402"/>
      <c r="K313" s="402"/>
      <c r="L313" s="402"/>
      <c r="M313" s="402"/>
      <c r="N313" s="402"/>
      <c r="O313" s="983"/>
      <c r="P313" s="402"/>
    </row>
    <row r="314" spans="2:16">
      <c r="B314" s="402"/>
      <c r="C314" s="402"/>
      <c r="D314" s="402"/>
      <c r="E314" s="402"/>
      <c r="F314" s="402"/>
      <c r="G314" s="402"/>
      <c r="H314" s="648"/>
      <c r="I314" s="402"/>
      <c r="J314" s="402"/>
      <c r="K314" s="402"/>
      <c r="L314" s="402"/>
      <c r="M314" s="402"/>
      <c r="N314" s="402"/>
      <c r="O314" s="983"/>
      <c r="P314" s="402"/>
    </row>
    <row r="315" spans="2:16">
      <c r="B315" s="402"/>
      <c r="C315" s="402"/>
      <c r="D315" s="402"/>
      <c r="E315" s="402"/>
      <c r="F315" s="402"/>
      <c r="G315" s="402"/>
      <c r="H315" s="648"/>
      <c r="I315" s="402"/>
      <c r="J315" s="402"/>
      <c r="K315" s="402"/>
      <c r="L315" s="402"/>
      <c r="M315" s="402"/>
      <c r="N315" s="402"/>
      <c r="O315" s="983"/>
      <c r="P315" s="402"/>
    </row>
    <row r="316" spans="2:16">
      <c r="B316" s="402"/>
      <c r="C316" s="402"/>
      <c r="D316" s="402"/>
      <c r="E316" s="402"/>
      <c r="F316" s="402"/>
      <c r="G316" s="402"/>
      <c r="H316" s="648"/>
      <c r="I316" s="402"/>
      <c r="J316" s="402"/>
      <c r="K316" s="402"/>
      <c r="L316" s="402"/>
      <c r="M316" s="402"/>
      <c r="N316" s="402"/>
      <c r="O316" s="983"/>
      <c r="P316" s="402"/>
    </row>
    <row r="317" spans="2:16">
      <c r="B317" s="402"/>
      <c r="C317" s="402"/>
      <c r="D317" s="402"/>
      <c r="E317" s="402"/>
      <c r="F317" s="402"/>
      <c r="G317" s="402"/>
      <c r="H317" s="648"/>
      <c r="I317" s="402"/>
      <c r="J317" s="402"/>
      <c r="K317" s="402"/>
      <c r="L317" s="402"/>
      <c r="M317" s="402"/>
      <c r="N317" s="402"/>
      <c r="O317" s="983"/>
      <c r="P317" s="402"/>
    </row>
    <row r="318" spans="2:16">
      <c r="B318" s="402"/>
      <c r="C318" s="402"/>
      <c r="D318" s="402"/>
      <c r="E318" s="402"/>
      <c r="F318" s="402"/>
      <c r="G318" s="402"/>
      <c r="H318" s="648"/>
      <c r="I318" s="402"/>
      <c r="J318" s="402"/>
      <c r="K318" s="402"/>
      <c r="L318" s="402"/>
      <c r="M318" s="402"/>
      <c r="N318" s="402"/>
      <c r="O318" s="983"/>
      <c r="P318" s="402"/>
    </row>
    <row r="319" spans="2:16">
      <c r="B319" s="402"/>
      <c r="C319" s="402"/>
      <c r="D319" s="402"/>
      <c r="E319" s="402"/>
      <c r="F319" s="402"/>
      <c r="G319" s="402"/>
      <c r="H319" s="648"/>
      <c r="I319" s="402"/>
      <c r="J319" s="402"/>
      <c r="K319" s="402"/>
      <c r="L319" s="402"/>
      <c r="M319" s="402"/>
      <c r="N319" s="402"/>
      <c r="O319" s="983"/>
      <c r="P319" s="402"/>
    </row>
    <row r="320" spans="2:16">
      <c r="B320" s="402"/>
      <c r="C320" s="402"/>
      <c r="D320" s="402"/>
      <c r="E320" s="402"/>
      <c r="F320" s="402"/>
      <c r="G320" s="402"/>
      <c r="H320" s="648"/>
      <c r="I320" s="402"/>
      <c r="J320" s="402"/>
      <c r="K320" s="402"/>
      <c r="L320" s="402"/>
      <c r="M320" s="402"/>
      <c r="N320" s="402"/>
      <c r="O320" s="983"/>
      <c r="P320" s="402"/>
    </row>
    <row r="321" spans="2:16">
      <c r="B321" s="402"/>
      <c r="C321" s="402"/>
      <c r="D321" s="402"/>
      <c r="E321" s="402"/>
      <c r="F321" s="402"/>
      <c r="G321" s="402"/>
      <c r="H321" s="648"/>
      <c r="I321" s="402"/>
      <c r="J321" s="402"/>
      <c r="K321" s="402"/>
      <c r="L321" s="402"/>
      <c r="M321" s="402"/>
      <c r="N321" s="402"/>
      <c r="O321" s="983"/>
      <c r="P321" s="402"/>
    </row>
    <row r="322" spans="2:16">
      <c r="B322" s="402"/>
      <c r="C322" s="402"/>
      <c r="D322" s="402"/>
      <c r="E322" s="402"/>
      <c r="F322" s="402"/>
      <c r="G322" s="402"/>
      <c r="H322" s="648"/>
      <c r="I322" s="402"/>
      <c r="J322" s="402"/>
      <c r="K322" s="402"/>
      <c r="L322" s="402"/>
      <c r="M322" s="402"/>
      <c r="N322" s="402"/>
      <c r="O322" s="983"/>
      <c r="P322" s="402"/>
    </row>
    <row r="323" spans="2:16">
      <c r="B323" s="402"/>
      <c r="C323" s="402"/>
      <c r="D323" s="402"/>
      <c r="E323" s="402"/>
      <c r="F323" s="402"/>
      <c r="G323" s="402"/>
      <c r="H323" s="648"/>
      <c r="I323" s="402"/>
      <c r="J323" s="402"/>
      <c r="K323" s="402"/>
      <c r="L323" s="402"/>
      <c r="M323" s="402"/>
      <c r="N323" s="402"/>
      <c r="O323" s="983"/>
      <c r="P323" s="402"/>
    </row>
    <row r="324" spans="2:16">
      <c r="B324" s="402"/>
      <c r="C324" s="402"/>
      <c r="D324" s="402"/>
      <c r="E324" s="402"/>
      <c r="F324" s="402"/>
      <c r="G324" s="402"/>
      <c r="H324" s="648"/>
      <c r="I324" s="402"/>
      <c r="J324" s="402"/>
      <c r="K324" s="402"/>
      <c r="L324" s="402"/>
      <c r="M324" s="402"/>
      <c r="N324" s="402"/>
      <c r="O324" s="983"/>
      <c r="P324" s="402"/>
    </row>
    <row r="325" spans="2:16">
      <c r="B325" s="402"/>
      <c r="C325" s="402"/>
      <c r="D325" s="402"/>
      <c r="E325" s="402"/>
      <c r="F325" s="402"/>
      <c r="G325" s="402"/>
      <c r="H325" s="648"/>
      <c r="I325" s="402"/>
      <c r="J325" s="402"/>
      <c r="K325" s="402"/>
      <c r="L325" s="402"/>
      <c r="M325" s="402"/>
      <c r="N325" s="402"/>
      <c r="O325" s="983"/>
      <c r="P325" s="402"/>
    </row>
    <row r="326" spans="2:16">
      <c r="B326" s="402"/>
      <c r="C326" s="402"/>
      <c r="D326" s="402"/>
      <c r="E326" s="402"/>
      <c r="F326" s="402"/>
      <c r="G326" s="402"/>
      <c r="H326" s="648"/>
      <c r="I326" s="402"/>
      <c r="J326" s="402"/>
      <c r="K326" s="402"/>
      <c r="L326" s="402"/>
      <c r="M326" s="402"/>
      <c r="N326" s="402"/>
      <c r="O326" s="983"/>
      <c r="P326" s="402"/>
    </row>
    <row r="327" spans="2:16">
      <c r="B327" s="402"/>
      <c r="C327" s="402"/>
      <c r="D327" s="402"/>
      <c r="E327" s="402"/>
      <c r="F327" s="402"/>
      <c r="G327" s="402"/>
      <c r="H327" s="648"/>
      <c r="I327" s="402"/>
      <c r="J327" s="402"/>
      <c r="K327" s="402"/>
      <c r="L327" s="402"/>
      <c r="M327" s="402"/>
      <c r="N327" s="402"/>
      <c r="O327" s="983"/>
      <c r="P327" s="402"/>
    </row>
    <row r="328" spans="2:16">
      <c r="B328" s="402"/>
      <c r="C328" s="402"/>
      <c r="D328" s="402"/>
      <c r="E328" s="402"/>
      <c r="F328" s="402"/>
      <c r="G328" s="402"/>
      <c r="H328" s="648"/>
      <c r="I328" s="402"/>
      <c r="J328" s="402"/>
      <c r="K328" s="402"/>
      <c r="L328" s="402"/>
      <c r="M328" s="402"/>
      <c r="N328" s="402"/>
      <c r="O328" s="983"/>
      <c r="P328" s="402"/>
    </row>
    <row r="329" spans="2:16">
      <c r="B329" s="402"/>
      <c r="C329" s="402"/>
      <c r="D329" s="402"/>
      <c r="E329" s="402"/>
      <c r="F329" s="402"/>
      <c r="G329" s="402"/>
      <c r="H329" s="648"/>
      <c r="I329" s="402"/>
      <c r="J329" s="402"/>
      <c r="K329" s="402"/>
      <c r="L329" s="402"/>
      <c r="M329" s="402"/>
      <c r="N329" s="402"/>
      <c r="O329" s="983"/>
      <c r="P329" s="402"/>
    </row>
    <row r="330" spans="2:16">
      <c r="B330" s="402"/>
      <c r="C330" s="402"/>
      <c r="D330" s="402"/>
      <c r="E330" s="402"/>
      <c r="F330" s="402"/>
      <c r="G330" s="402"/>
      <c r="H330" s="648"/>
      <c r="I330" s="402"/>
      <c r="J330" s="402"/>
      <c r="K330" s="402"/>
      <c r="L330" s="402"/>
      <c r="M330" s="402"/>
      <c r="N330" s="402"/>
      <c r="O330" s="983"/>
      <c r="P330" s="402"/>
    </row>
    <row r="331" spans="2:16">
      <c r="B331" s="402"/>
      <c r="C331" s="402"/>
      <c r="D331" s="402"/>
      <c r="E331" s="402"/>
      <c r="F331" s="402"/>
      <c r="G331" s="402"/>
      <c r="H331" s="648"/>
      <c r="I331" s="402"/>
      <c r="J331" s="402"/>
      <c r="K331" s="402"/>
      <c r="L331" s="402"/>
      <c r="M331" s="402"/>
      <c r="N331" s="402"/>
      <c r="O331" s="983"/>
      <c r="P331" s="402"/>
    </row>
    <row r="332" spans="2:16">
      <c r="B332" s="402"/>
      <c r="C332" s="402"/>
      <c r="D332" s="402"/>
      <c r="E332" s="402"/>
      <c r="F332" s="402"/>
      <c r="G332" s="402"/>
      <c r="H332" s="648"/>
      <c r="I332" s="402"/>
      <c r="J332" s="402"/>
      <c r="K332" s="402"/>
      <c r="L332" s="402"/>
      <c r="M332" s="402"/>
      <c r="N332" s="402"/>
      <c r="O332" s="983"/>
      <c r="P332" s="402"/>
    </row>
  </sheetData>
  <sortState ref="A205:M215">
    <sortCondition ref="J205:J215"/>
  </sortState>
  <mergeCells count="622">
    <mergeCell ref="A125:A138"/>
    <mergeCell ref="B17:B18"/>
    <mergeCell ref="K17:K18"/>
    <mergeCell ref="L17:L18"/>
    <mergeCell ref="M17:M18"/>
    <mergeCell ref="N17:N18"/>
    <mergeCell ref="O17:O18"/>
    <mergeCell ref="P17:P18"/>
    <mergeCell ref="A7:A18"/>
    <mergeCell ref="B121:B122"/>
    <mergeCell ref="K121:K122"/>
    <mergeCell ref="L121:L122"/>
    <mergeCell ref="M121:M122"/>
    <mergeCell ref="N121:N122"/>
    <mergeCell ref="O121:O122"/>
    <mergeCell ref="P121:P122"/>
    <mergeCell ref="B45:B46"/>
    <mergeCell ref="K45:K46"/>
    <mergeCell ref="L45:L46"/>
    <mergeCell ref="M45:M46"/>
    <mergeCell ref="N101:N102"/>
    <mergeCell ref="N109:N110"/>
    <mergeCell ref="O103:O104"/>
    <mergeCell ref="P111:P112"/>
    <mergeCell ref="P189:P190"/>
    <mergeCell ref="O149:O150"/>
    <mergeCell ref="P179:P180"/>
    <mergeCell ref="B187:B188"/>
    <mergeCell ref="K187:K188"/>
    <mergeCell ref="L187:L188"/>
    <mergeCell ref="M187:M188"/>
    <mergeCell ref="N187:N188"/>
    <mergeCell ref="O187:O188"/>
    <mergeCell ref="P187:P188"/>
    <mergeCell ref="N155:N156"/>
    <mergeCell ref="O155:O156"/>
    <mergeCell ref="P185:P186"/>
    <mergeCell ref="O163:O164"/>
    <mergeCell ref="P169:P170"/>
    <mergeCell ref="N161:N162"/>
    <mergeCell ref="O161:O162"/>
    <mergeCell ref="B169:B170"/>
    <mergeCell ref="P171:P172"/>
    <mergeCell ref="P167:P168"/>
    <mergeCell ref="K163:K164"/>
    <mergeCell ref="B157:B158"/>
    <mergeCell ref="B149:B150"/>
    <mergeCell ref="B189:B190"/>
    <mergeCell ref="K189:K190"/>
    <mergeCell ref="L189:L190"/>
    <mergeCell ref="M189:M190"/>
    <mergeCell ref="N189:N190"/>
    <mergeCell ref="O189:O190"/>
    <mergeCell ref="K169:K170"/>
    <mergeCell ref="M163:M164"/>
    <mergeCell ref="N169:N170"/>
    <mergeCell ref="O169:O170"/>
    <mergeCell ref="L165:L166"/>
    <mergeCell ref="K165:K166"/>
    <mergeCell ref="O167:O168"/>
    <mergeCell ref="M167:M168"/>
    <mergeCell ref="M175:M176"/>
    <mergeCell ref="M181:M182"/>
    <mergeCell ref="M169:M170"/>
    <mergeCell ref="M171:M172"/>
    <mergeCell ref="M183:M184"/>
    <mergeCell ref="N183:N184"/>
    <mergeCell ref="O183:O184"/>
    <mergeCell ref="L169:L170"/>
    <mergeCell ref="L171:L172"/>
    <mergeCell ref="L163:L164"/>
    <mergeCell ref="L179:L180"/>
    <mergeCell ref="B185:B186"/>
    <mergeCell ref="K185:K186"/>
    <mergeCell ref="L185:L186"/>
    <mergeCell ref="K175:K176"/>
    <mergeCell ref="K183:K184"/>
    <mergeCell ref="L183:L184"/>
    <mergeCell ref="P113:P114"/>
    <mergeCell ref="O127:O128"/>
    <mergeCell ref="O131:O132"/>
    <mergeCell ref="P129:P130"/>
    <mergeCell ref="P131:P132"/>
    <mergeCell ref="P133:P134"/>
    <mergeCell ref="O125:O126"/>
    <mergeCell ref="O117:O118"/>
    <mergeCell ref="N117:N118"/>
    <mergeCell ref="N125:N126"/>
    <mergeCell ref="N127:N128"/>
    <mergeCell ref="L131:L132"/>
    <mergeCell ref="L133:L134"/>
    <mergeCell ref="M131:M132"/>
    <mergeCell ref="B151:B152"/>
    <mergeCell ref="K147:K148"/>
    <mergeCell ref="N113:N114"/>
    <mergeCell ref="K127:K128"/>
    <mergeCell ref="O105:O106"/>
    <mergeCell ref="M111:M112"/>
    <mergeCell ref="L127:L128"/>
    <mergeCell ref="M127:M128"/>
    <mergeCell ref="M129:M130"/>
    <mergeCell ref="L113:L114"/>
    <mergeCell ref="B165:B166"/>
    <mergeCell ref="O113:O114"/>
    <mergeCell ref="O111:O112"/>
    <mergeCell ref="N107:N108"/>
    <mergeCell ref="N105:N106"/>
    <mergeCell ref="O109:O110"/>
    <mergeCell ref="L115:L116"/>
    <mergeCell ref="M115:M116"/>
    <mergeCell ref="M125:M126"/>
    <mergeCell ref="L119:L120"/>
    <mergeCell ref="M119:M120"/>
    <mergeCell ref="M117:M118"/>
    <mergeCell ref="M113:M114"/>
    <mergeCell ref="B129:B130"/>
    <mergeCell ref="K111:K112"/>
    <mergeCell ref="K115:K116"/>
    <mergeCell ref="B113:B114"/>
    <mergeCell ref="K113:K114"/>
    <mergeCell ref="P97:P98"/>
    <mergeCell ref="N99:N100"/>
    <mergeCell ref="O99:O100"/>
    <mergeCell ref="P99:P100"/>
    <mergeCell ref="O97:O98"/>
    <mergeCell ref="N93:N94"/>
    <mergeCell ref="O93:O94"/>
    <mergeCell ref="P101:P102"/>
    <mergeCell ref="O101:O102"/>
    <mergeCell ref="P103:P104"/>
    <mergeCell ref="N115:N116"/>
    <mergeCell ref="P115:P116"/>
    <mergeCell ref="P109:P110"/>
    <mergeCell ref="N103:N104"/>
    <mergeCell ref="O115:O116"/>
    <mergeCell ref="M137:M138"/>
    <mergeCell ref="N137:N138"/>
    <mergeCell ref="O137:O138"/>
    <mergeCell ref="P137:P138"/>
    <mergeCell ref="P105:P106"/>
    <mergeCell ref="O107:O108"/>
    <mergeCell ref="P107:P108"/>
    <mergeCell ref="P117:P118"/>
    <mergeCell ref="O119:O120"/>
    <mergeCell ref="P119:P120"/>
    <mergeCell ref="P125:P126"/>
    <mergeCell ref="N133:N134"/>
    <mergeCell ref="N131:N132"/>
    <mergeCell ref="N119:N120"/>
    <mergeCell ref="N129:N130"/>
    <mergeCell ref="P127:P128"/>
    <mergeCell ref="O129:O130"/>
    <mergeCell ref="O133:O134"/>
    <mergeCell ref="O87:O88"/>
    <mergeCell ref="P87:P88"/>
    <mergeCell ref="N89:N90"/>
    <mergeCell ref="O89:O90"/>
    <mergeCell ref="P89:P90"/>
    <mergeCell ref="P93:P94"/>
    <mergeCell ref="N95:N96"/>
    <mergeCell ref="O95:O96"/>
    <mergeCell ref="P95:P96"/>
    <mergeCell ref="N91:N92"/>
    <mergeCell ref="O91:O92"/>
    <mergeCell ref="P91:P92"/>
    <mergeCell ref="O81:O82"/>
    <mergeCell ref="P81:P82"/>
    <mergeCell ref="N83:N84"/>
    <mergeCell ref="O83:O84"/>
    <mergeCell ref="P83:P84"/>
    <mergeCell ref="N85:N86"/>
    <mergeCell ref="O85:O86"/>
    <mergeCell ref="P85:P86"/>
    <mergeCell ref="N81:N82"/>
    <mergeCell ref="O79:O80"/>
    <mergeCell ref="O65:O66"/>
    <mergeCell ref="P65:P66"/>
    <mergeCell ref="N65:N66"/>
    <mergeCell ref="N67:N68"/>
    <mergeCell ref="O67:O68"/>
    <mergeCell ref="P67:P68"/>
    <mergeCell ref="N69:N70"/>
    <mergeCell ref="O69:O70"/>
    <mergeCell ref="P69:P70"/>
    <mergeCell ref="N73:N74"/>
    <mergeCell ref="O73:O74"/>
    <mergeCell ref="P73:P74"/>
    <mergeCell ref="N75:N76"/>
    <mergeCell ref="O75:O76"/>
    <mergeCell ref="P75:P76"/>
    <mergeCell ref="N77:N78"/>
    <mergeCell ref="O77:O78"/>
    <mergeCell ref="P77:P78"/>
    <mergeCell ref="P79:P80"/>
    <mergeCell ref="N79:N80"/>
    <mergeCell ref="P53:P54"/>
    <mergeCell ref="O57:O58"/>
    <mergeCell ref="P57:P58"/>
    <mergeCell ref="N51:N52"/>
    <mergeCell ref="O55:O56"/>
    <mergeCell ref="P55:P56"/>
    <mergeCell ref="N55:N56"/>
    <mergeCell ref="P59:P60"/>
    <mergeCell ref="N63:N64"/>
    <mergeCell ref="O63:O64"/>
    <mergeCell ref="P63:P64"/>
    <mergeCell ref="P35:P36"/>
    <mergeCell ref="P41:P42"/>
    <mergeCell ref="N37:N38"/>
    <mergeCell ref="O37:O38"/>
    <mergeCell ref="P37:P38"/>
    <mergeCell ref="O39:O40"/>
    <mergeCell ref="P39:P40"/>
    <mergeCell ref="N35:N36"/>
    <mergeCell ref="O51:O52"/>
    <mergeCell ref="P51:P52"/>
    <mergeCell ref="N47:N48"/>
    <mergeCell ref="O47:O48"/>
    <mergeCell ref="P47:P48"/>
    <mergeCell ref="N45:N46"/>
    <mergeCell ref="O45:O46"/>
    <mergeCell ref="P45:P46"/>
    <mergeCell ref="K7:K8"/>
    <mergeCell ref="K9:K10"/>
    <mergeCell ref="K11:K12"/>
    <mergeCell ref="K13:K14"/>
    <mergeCell ref="L13:L14"/>
    <mergeCell ref="M13:M14"/>
    <mergeCell ref="L11:L12"/>
    <mergeCell ref="M11:M12"/>
    <mergeCell ref="P9:P10"/>
    <mergeCell ref="L7:L8"/>
    <mergeCell ref="M7:M8"/>
    <mergeCell ref="L9:L10"/>
    <mergeCell ref="B11:B12"/>
    <mergeCell ref="M9:M10"/>
    <mergeCell ref="N11:N12"/>
    <mergeCell ref="O11:O12"/>
    <mergeCell ref="P11:P12"/>
    <mergeCell ref="N13:N14"/>
    <mergeCell ref="O13:O14"/>
    <mergeCell ref="P13:P14"/>
    <mergeCell ref="O9:O10"/>
    <mergeCell ref="O29:O30"/>
    <mergeCell ref="P15:P16"/>
    <mergeCell ref="K15:K16"/>
    <mergeCell ref="B15:B16"/>
    <mergeCell ref="B13:B14"/>
    <mergeCell ref="N15:N16"/>
    <mergeCell ref="L15:L16"/>
    <mergeCell ref="M15:M16"/>
    <mergeCell ref="O15:O16"/>
    <mergeCell ref="P27:P28"/>
    <mergeCell ref="P29:P30"/>
    <mergeCell ref="P33:P34"/>
    <mergeCell ref="B21:B22"/>
    <mergeCell ref="K21:K22"/>
    <mergeCell ref="K23:K24"/>
    <mergeCell ref="K25:K26"/>
    <mergeCell ref="O21:O22"/>
    <mergeCell ref="N21:N22"/>
    <mergeCell ref="N23:N24"/>
    <mergeCell ref="N33:N34"/>
    <mergeCell ref="L25:L26"/>
    <mergeCell ref="M25:M26"/>
    <mergeCell ref="L27:L28"/>
    <mergeCell ref="M27:M28"/>
    <mergeCell ref="L29:L30"/>
    <mergeCell ref="M29:M30"/>
    <mergeCell ref="L21:L22"/>
    <mergeCell ref="M21:M22"/>
    <mergeCell ref="O25:O26"/>
    <mergeCell ref="B23:B24"/>
    <mergeCell ref="L23:L24"/>
    <mergeCell ref="M23:M24"/>
    <mergeCell ref="B29:B30"/>
    <mergeCell ref="L33:L34"/>
    <mergeCell ref="N29:N30"/>
    <mergeCell ref="B37:B38"/>
    <mergeCell ref="B33:B34"/>
    <mergeCell ref="B35:B36"/>
    <mergeCell ref="P21:P22"/>
    <mergeCell ref="O23:O24"/>
    <mergeCell ref="N39:N40"/>
    <mergeCell ref="N57:N58"/>
    <mergeCell ref="M51:M52"/>
    <mergeCell ref="M53:M54"/>
    <mergeCell ref="L37:L38"/>
    <mergeCell ref="L39:L40"/>
    <mergeCell ref="M39:M40"/>
    <mergeCell ref="L53:L54"/>
    <mergeCell ref="M57:M58"/>
    <mergeCell ref="L41:L42"/>
    <mergeCell ref="M41:M42"/>
    <mergeCell ref="P23:P24"/>
    <mergeCell ref="L35:L36"/>
    <mergeCell ref="M35:M36"/>
    <mergeCell ref="P25:P26"/>
    <mergeCell ref="N27:N28"/>
    <mergeCell ref="O27:O28"/>
    <mergeCell ref="N41:N42"/>
    <mergeCell ref="O41:O42"/>
    <mergeCell ref="B69:B70"/>
    <mergeCell ref="K63:K64"/>
    <mergeCell ref="K65:K66"/>
    <mergeCell ref="K67:K68"/>
    <mergeCell ref="K69:K70"/>
    <mergeCell ref="K59:K60"/>
    <mergeCell ref="K57:K58"/>
    <mergeCell ref="K55:K56"/>
    <mergeCell ref="B73:B74"/>
    <mergeCell ref="K73:K74"/>
    <mergeCell ref="A2:P3"/>
    <mergeCell ref="A63:A70"/>
    <mergeCell ref="K27:K28"/>
    <mergeCell ref="K29:K30"/>
    <mergeCell ref="K33:K34"/>
    <mergeCell ref="K35:K36"/>
    <mergeCell ref="A21:A30"/>
    <mergeCell ref="A51:A60"/>
    <mergeCell ref="C5:D5"/>
    <mergeCell ref="E5:G5"/>
    <mergeCell ref="B7:B8"/>
    <mergeCell ref="B9:B10"/>
    <mergeCell ref="H5:J5"/>
    <mergeCell ref="K5:P5"/>
    <mergeCell ref="N7:N8"/>
    <mergeCell ref="O7:O8"/>
    <mergeCell ref="P7:P8"/>
    <mergeCell ref="N9:N10"/>
    <mergeCell ref="B63:B64"/>
    <mergeCell ref="B65:B66"/>
    <mergeCell ref="B67:B68"/>
    <mergeCell ref="B25:B26"/>
    <mergeCell ref="B27:B28"/>
    <mergeCell ref="B59:B60"/>
    <mergeCell ref="O35:O36"/>
    <mergeCell ref="N53:N54"/>
    <mergeCell ref="O53:O54"/>
    <mergeCell ref="N59:N60"/>
    <mergeCell ref="O59:O60"/>
    <mergeCell ref="M33:M34"/>
    <mergeCell ref="M37:M38"/>
    <mergeCell ref="O33:O34"/>
    <mergeCell ref="K37:K38"/>
    <mergeCell ref="K39:K40"/>
    <mergeCell ref="K47:K48"/>
    <mergeCell ref="L47:L48"/>
    <mergeCell ref="L59:L60"/>
    <mergeCell ref="M59:M60"/>
    <mergeCell ref="L55:L56"/>
    <mergeCell ref="M47:M48"/>
    <mergeCell ref="K51:K52"/>
    <mergeCell ref="K53:K54"/>
    <mergeCell ref="M87:M88"/>
    <mergeCell ref="L103:L104"/>
    <mergeCell ref="N87:N88"/>
    <mergeCell ref="N97:N98"/>
    <mergeCell ref="M109:M110"/>
    <mergeCell ref="L107:L108"/>
    <mergeCell ref="B39:B40"/>
    <mergeCell ref="K41:K42"/>
    <mergeCell ref="N25:N26"/>
    <mergeCell ref="B41:B42"/>
    <mergeCell ref="B51:B52"/>
    <mergeCell ref="B53:B54"/>
    <mergeCell ref="B57:B58"/>
    <mergeCell ref="B55:B56"/>
    <mergeCell ref="B47:B48"/>
    <mergeCell ref="M73:M74"/>
    <mergeCell ref="B105:B106"/>
    <mergeCell ref="L97:L98"/>
    <mergeCell ref="M97:M98"/>
    <mergeCell ref="L99:L100"/>
    <mergeCell ref="M101:M102"/>
    <mergeCell ref="M103:M104"/>
    <mergeCell ref="L79:L80"/>
    <mergeCell ref="M79:M80"/>
    <mergeCell ref="M75:M76"/>
    <mergeCell ref="L95:L96"/>
    <mergeCell ref="M95:M96"/>
    <mergeCell ref="M99:M100"/>
    <mergeCell ref="L101:L102"/>
    <mergeCell ref="L51:L52"/>
    <mergeCell ref="L57:L58"/>
    <mergeCell ref="M69:M70"/>
    <mergeCell ref="L63:L64"/>
    <mergeCell ref="L65:L66"/>
    <mergeCell ref="M65:M66"/>
    <mergeCell ref="L67:L68"/>
    <mergeCell ref="M67:M68"/>
    <mergeCell ref="L69:L70"/>
    <mergeCell ref="M89:M90"/>
    <mergeCell ref="M91:M92"/>
    <mergeCell ref="M93:M94"/>
    <mergeCell ref="M63:M64"/>
    <mergeCell ref="M55:M56"/>
    <mergeCell ref="L73:L74"/>
    <mergeCell ref="M83:M84"/>
    <mergeCell ref="M85:M86"/>
    <mergeCell ref="M77:M78"/>
    <mergeCell ref="M81:M82"/>
    <mergeCell ref="L91:L92"/>
    <mergeCell ref="L93:L94"/>
    <mergeCell ref="K75:K76"/>
    <mergeCell ref="K77:K78"/>
    <mergeCell ref="B75:B76"/>
    <mergeCell ref="L85:L86"/>
    <mergeCell ref="L87:L88"/>
    <mergeCell ref="L77:L78"/>
    <mergeCell ref="B107:B108"/>
    <mergeCell ref="K101:K102"/>
    <mergeCell ref="B93:B94"/>
    <mergeCell ref="B103:B104"/>
    <mergeCell ref="B95:B96"/>
    <mergeCell ref="L81:L82"/>
    <mergeCell ref="B83:B84"/>
    <mergeCell ref="B85:B86"/>
    <mergeCell ref="B87:B88"/>
    <mergeCell ref="B89:B90"/>
    <mergeCell ref="B99:B100"/>
    <mergeCell ref="B101:B102"/>
    <mergeCell ref="B97:B98"/>
    <mergeCell ref="B91:B92"/>
    <mergeCell ref="B81:B82"/>
    <mergeCell ref="K79:K80"/>
    <mergeCell ref="L83:L84"/>
    <mergeCell ref="L75:L76"/>
    <mergeCell ref="K83:K84"/>
    <mergeCell ref="K85:K86"/>
    <mergeCell ref="K87:K88"/>
    <mergeCell ref="K89:K90"/>
    <mergeCell ref="B77:B78"/>
    <mergeCell ref="B79:B80"/>
    <mergeCell ref="L89:L90"/>
    <mergeCell ref="K81:K82"/>
    <mergeCell ref="K107:K108"/>
    <mergeCell ref="K109:K110"/>
    <mergeCell ref="K125:K126"/>
    <mergeCell ref="K117:K118"/>
    <mergeCell ref="B119:B120"/>
    <mergeCell ref="K119:K120"/>
    <mergeCell ref="B117:B118"/>
    <mergeCell ref="B109:B110"/>
    <mergeCell ref="L109:L110"/>
    <mergeCell ref="L111:L112"/>
    <mergeCell ref="L117:L118"/>
    <mergeCell ref="L125:L126"/>
    <mergeCell ref="B133:B134"/>
    <mergeCell ref="B111:B112"/>
    <mergeCell ref="K129:K130"/>
    <mergeCell ref="B127:B128"/>
    <mergeCell ref="B143:B144"/>
    <mergeCell ref="B135:B136"/>
    <mergeCell ref="K135:K136"/>
    <mergeCell ref="M133:M134"/>
    <mergeCell ref="M141:M142"/>
    <mergeCell ref="L137:L138"/>
    <mergeCell ref="B137:B138"/>
    <mergeCell ref="K137:K138"/>
    <mergeCell ref="B115:B116"/>
    <mergeCell ref="B125:B126"/>
    <mergeCell ref="L129:L130"/>
    <mergeCell ref="K131:K132"/>
    <mergeCell ref="K133:K134"/>
    <mergeCell ref="B141:B142"/>
    <mergeCell ref="L145:L146"/>
    <mergeCell ref="P147:P148"/>
    <mergeCell ref="P149:P150"/>
    <mergeCell ref="O147:O148"/>
    <mergeCell ref="P165:P166"/>
    <mergeCell ref="P153:P154"/>
    <mergeCell ref="O153:O154"/>
    <mergeCell ref="P155:P156"/>
    <mergeCell ref="N163:N164"/>
    <mergeCell ref="O159:O160"/>
    <mergeCell ref="N159:N160"/>
    <mergeCell ref="P159:P160"/>
    <mergeCell ref="N157:N158"/>
    <mergeCell ref="O157:O158"/>
    <mergeCell ref="P157:P158"/>
    <mergeCell ref="N149:N150"/>
    <mergeCell ref="O165:O166"/>
    <mergeCell ref="N165:N166"/>
    <mergeCell ref="N151:N152"/>
    <mergeCell ref="P161:P162"/>
    <mergeCell ref="B131:B132"/>
    <mergeCell ref="P163:P164"/>
    <mergeCell ref="B163:B164"/>
    <mergeCell ref="B167:B168"/>
    <mergeCell ref="K155:K156"/>
    <mergeCell ref="K151:K152"/>
    <mergeCell ref="K157:K158"/>
    <mergeCell ref="B161:B162"/>
    <mergeCell ref="B155:B156"/>
    <mergeCell ref="L147:L148"/>
    <mergeCell ref="K153:K154"/>
    <mergeCell ref="L149:L150"/>
    <mergeCell ref="B159:B160"/>
    <mergeCell ref="L157:L158"/>
    <mergeCell ref="N167:N168"/>
    <mergeCell ref="B145:B146"/>
    <mergeCell ref="B153:B154"/>
    <mergeCell ref="B147:B148"/>
    <mergeCell ref="L161:L162"/>
    <mergeCell ref="L159:L160"/>
    <mergeCell ref="K159:K160"/>
    <mergeCell ref="K161:K162"/>
    <mergeCell ref="K145:K146"/>
    <mergeCell ref="K149:K150"/>
    <mergeCell ref="N147:N148"/>
    <mergeCell ref="N153:N154"/>
    <mergeCell ref="M145:M146"/>
    <mergeCell ref="K141:K142"/>
    <mergeCell ref="K143:K144"/>
    <mergeCell ref="K167:K168"/>
    <mergeCell ref="M161:M162"/>
    <mergeCell ref="M149:M150"/>
    <mergeCell ref="M155:M156"/>
    <mergeCell ref="M159:M160"/>
    <mergeCell ref="M147:M148"/>
    <mergeCell ref="M157:M158"/>
    <mergeCell ref="L167:L168"/>
    <mergeCell ref="M165:M166"/>
    <mergeCell ref="P135:P136"/>
    <mergeCell ref="L155:L156"/>
    <mergeCell ref="L153:L154"/>
    <mergeCell ref="M153:M154"/>
    <mergeCell ref="P151:P152"/>
    <mergeCell ref="P141:P142"/>
    <mergeCell ref="L141:L142"/>
    <mergeCell ref="M135:M136"/>
    <mergeCell ref="L135:L136"/>
    <mergeCell ref="N135:N136"/>
    <mergeCell ref="O135:O136"/>
    <mergeCell ref="P145:P146"/>
    <mergeCell ref="O145:O146"/>
    <mergeCell ref="L151:L152"/>
    <mergeCell ref="M151:M152"/>
    <mergeCell ref="L143:L144"/>
    <mergeCell ref="M143:M144"/>
    <mergeCell ref="P143:P144"/>
    <mergeCell ref="N143:N144"/>
    <mergeCell ref="N145:N146"/>
    <mergeCell ref="O141:O142"/>
    <mergeCell ref="O143:O144"/>
    <mergeCell ref="N141:N142"/>
    <mergeCell ref="O151:O152"/>
    <mergeCell ref="P183:P184"/>
    <mergeCell ref="M179:M180"/>
    <mergeCell ref="B177:B178"/>
    <mergeCell ref="B183:B184"/>
    <mergeCell ref="P177:P178"/>
    <mergeCell ref="P175:P176"/>
    <mergeCell ref="P173:P174"/>
    <mergeCell ref="A141:A194"/>
    <mergeCell ref="B191:B192"/>
    <mergeCell ref="K191:K192"/>
    <mergeCell ref="L191:L192"/>
    <mergeCell ref="M191:M192"/>
    <mergeCell ref="N191:N192"/>
    <mergeCell ref="O191:O192"/>
    <mergeCell ref="B193:B194"/>
    <mergeCell ref="K193:K194"/>
    <mergeCell ref="L193:L194"/>
    <mergeCell ref="M193:M194"/>
    <mergeCell ref="N193:N194"/>
    <mergeCell ref="O193:O194"/>
    <mergeCell ref="M185:M186"/>
    <mergeCell ref="N185:N186"/>
    <mergeCell ref="O185:O186"/>
    <mergeCell ref="N175:N176"/>
    <mergeCell ref="B181:B182"/>
    <mergeCell ref="K181:K182"/>
    <mergeCell ref="N181:N182"/>
    <mergeCell ref="O181:O182"/>
    <mergeCell ref="P181:P182"/>
    <mergeCell ref="K177:K178"/>
    <mergeCell ref="B173:B174"/>
    <mergeCell ref="N177:N178"/>
    <mergeCell ref="O177:O178"/>
    <mergeCell ref="B179:B180"/>
    <mergeCell ref="O173:O174"/>
    <mergeCell ref="N173:N174"/>
    <mergeCell ref="L173:L174"/>
    <mergeCell ref="K171:K172"/>
    <mergeCell ref="M173:M174"/>
    <mergeCell ref="K173:K174"/>
    <mergeCell ref="B171:B172"/>
    <mergeCell ref="K179:K180"/>
    <mergeCell ref="B175:B176"/>
    <mergeCell ref="L175:L176"/>
    <mergeCell ref="L177:L178"/>
    <mergeCell ref="O171:O172"/>
    <mergeCell ref="O179:O180"/>
    <mergeCell ref="M177:M178"/>
    <mergeCell ref="N171:N172"/>
    <mergeCell ref="N179:N180"/>
    <mergeCell ref="P193:P194"/>
    <mergeCell ref="O175:O176"/>
    <mergeCell ref="A73:A122"/>
    <mergeCell ref="B43:B44"/>
    <mergeCell ref="K43:K44"/>
    <mergeCell ref="L43:L44"/>
    <mergeCell ref="M43:M44"/>
    <mergeCell ref="N43:N44"/>
    <mergeCell ref="O43:O44"/>
    <mergeCell ref="P43:P44"/>
    <mergeCell ref="A33:A48"/>
    <mergeCell ref="M105:M106"/>
    <mergeCell ref="L105:L106"/>
    <mergeCell ref="K105:K106"/>
    <mergeCell ref="N111:N112"/>
    <mergeCell ref="M107:M108"/>
    <mergeCell ref="K103:K104"/>
    <mergeCell ref="K91:K92"/>
    <mergeCell ref="K93:K94"/>
    <mergeCell ref="K95:K96"/>
    <mergeCell ref="K97:K98"/>
    <mergeCell ref="K99:K100"/>
    <mergeCell ref="P191:P192"/>
    <mergeCell ref="L181:L182"/>
  </mergeCells>
  <conditionalFormatting sqref="P195:P203">
    <cfRule type="cellIs" dxfId="16" priority="9" operator="greaterThan">
      <formula>0.5</formula>
    </cfRule>
  </conditionalFormatting>
  <conditionalFormatting sqref="F81:F88 F91:F104 F145:F203 F107:F142 F7:F78">
    <cfRule type="cellIs" dxfId="15" priority="6" operator="lessThan">
      <formula>0</formula>
    </cfRule>
  </conditionalFormatting>
  <conditionalFormatting sqref="P7:P75 P77:P194">
    <cfRule type="cellIs" dxfId="14" priority="4" operator="greaterThan">
      <formula>1</formula>
    </cfRule>
  </conditionalFormatting>
  <conditionalFormatting sqref="J7:J203">
    <cfRule type="colorScale" priority="78">
      <colorScale>
        <cfvo type="percent" val="100"/>
        <cfvo type="max" val="0"/>
        <color rgb="FFFF0000"/>
        <color rgb="FFFFEF9C"/>
      </colorScale>
    </cfRule>
  </conditionalFormatting>
  <conditionalFormatting sqref="F75">
    <cfRule type="cellIs" dxfId="13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G8:G9 G22:G25 G34:G35 G74 G126:G134 G163:G179 G111:G112 G39 G62:G70 G142:G160 G29 G79:G96 G99:G109 G52:G54 G59:G60 G55 G11:G15 G37:G38" formula="1"/>
    <ignoredError sqref="J141:J146 J148 J150:J159" evalError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2:O73"/>
  <sheetViews>
    <sheetView topLeftCell="A16" zoomScale="90" zoomScaleNormal="90" workbookViewId="0">
      <selection activeCell="I45" sqref="I45"/>
    </sheetView>
  </sheetViews>
  <sheetFormatPr baseColWidth="10" defaultRowHeight="15"/>
  <cols>
    <col min="1" max="1" width="32.140625" customWidth="1"/>
    <col min="2" max="2" width="17.5703125" customWidth="1"/>
    <col min="3" max="3" width="19" customWidth="1"/>
    <col min="4" max="4" width="24" customWidth="1"/>
    <col min="5" max="5" width="13.140625" customWidth="1"/>
    <col min="9" max="9" width="10" customWidth="1"/>
    <col min="10" max="10" width="20.5703125" customWidth="1"/>
    <col min="11" max="11" width="15" customWidth="1"/>
  </cols>
  <sheetData>
    <row r="2" spans="1:15">
      <c r="A2" s="2158" t="s">
        <v>821</v>
      </c>
      <c r="B2" s="2624" t="s">
        <v>114</v>
      </c>
      <c r="C2" s="2624"/>
      <c r="D2" s="2624" t="s">
        <v>765</v>
      </c>
      <c r="E2" s="2624"/>
      <c r="F2" s="2624"/>
      <c r="G2" s="2624" t="s">
        <v>5</v>
      </c>
      <c r="H2" s="2624"/>
      <c r="I2" s="2624"/>
      <c r="J2" s="2625" t="s">
        <v>137</v>
      </c>
      <c r="K2" s="2625"/>
      <c r="L2" s="2625"/>
      <c r="M2" s="2625"/>
      <c r="N2" s="2625"/>
      <c r="O2" s="2625"/>
    </row>
    <row r="3" spans="1:15" ht="25.5" customHeight="1">
      <c r="A3" s="2159" t="s">
        <v>68</v>
      </c>
      <c r="B3" s="2160" t="s">
        <v>112</v>
      </c>
      <c r="C3" s="2160" t="s">
        <v>113</v>
      </c>
      <c r="D3" s="2161" t="s">
        <v>115</v>
      </c>
      <c r="E3" s="2161" t="s">
        <v>116</v>
      </c>
      <c r="F3" s="2161" t="s">
        <v>117</v>
      </c>
      <c r="G3" s="2162" t="s">
        <v>2</v>
      </c>
      <c r="H3" s="2162" t="s">
        <v>3</v>
      </c>
      <c r="I3" s="2162" t="s">
        <v>4</v>
      </c>
      <c r="J3" s="2163" t="s">
        <v>118</v>
      </c>
      <c r="K3" s="2163" t="s">
        <v>116</v>
      </c>
      <c r="L3" s="2163" t="s">
        <v>117</v>
      </c>
      <c r="M3" s="2163" t="s">
        <v>2</v>
      </c>
      <c r="N3" s="2164" t="s">
        <v>3</v>
      </c>
      <c r="O3" s="2163" t="s">
        <v>4</v>
      </c>
    </row>
    <row r="4" spans="1:15">
      <c r="A4" s="2632" t="s">
        <v>800</v>
      </c>
      <c r="B4" s="2165">
        <v>42005</v>
      </c>
      <c r="C4" s="2165">
        <v>42216</v>
      </c>
      <c r="D4" s="2166">
        <v>3750.94</v>
      </c>
      <c r="E4" s="2166">
        <f>-2574.906+32.514+107.937</f>
        <v>-2434.4549999999999</v>
      </c>
      <c r="F4" s="2167">
        <f>D4+E4</f>
        <v>1316.4850000000001</v>
      </c>
      <c r="G4" s="2168">
        <v>1360.5909999999999</v>
      </c>
      <c r="H4" s="2169">
        <f>F4-G4</f>
        <v>-44.105999999999767</v>
      </c>
      <c r="I4" s="2170">
        <f>G4/F4</f>
        <v>1.0335028503932819</v>
      </c>
      <c r="J4" s="2630">
        <f t="shared" ref="J4:K4" si="0">D4+D5</f>
        <v>5001.2530000000006</v>
      </c>
      <c r="K4" s="2630">
        <f t="shared" si="0"/>
        <v>-4971.9879999999994</v>
      </c>
      <c r="L4" s="2630">
        <f>J4+K4</f>
        <v>29.265000000001237</v>
      </c>
      <c r="M4" s="2630">
        <f>G4+G5</f>
        <v>1488.9779999999998</v>
      </c>
      <c r="N4" s="2630">
        <f>L4-M4</f>
        <v>-1459.7129999999986</v>
      </c>
      <c r="O4" s="2631">
        <f>M4/L4</f>
        <v>50.879138903124449</v>
      </c>
    </row>
    <row r="5" spans="1:15">
      <c r="A5" s="2632"/>
      <c r="B5" s="2165">
        <v>42217</v>
      </c>
      <c r="C5" s="2165">
        <v>42369</v>
      </c>
      <c r="D5" s="2166">
        <v>1250.3130000000001</v>
      </c>
      <c r="E5" s="2166">
        <v>-2537.5329999999999</v>
      </c>
      <c r="F5" s="2167">
        <f>D5+E5+H4</f>
        <v>-1331.3259999999996</v>
      </c>
      <c r="G5" s="2171">
        <v>128.387</v>
      </c>
      <c r="H5" s="2169">
        <f t="shared" ref="H5" si="1">F5-G5</f>
        <v>-1459.7129999999995</v>
      </c>
      <c r="I5" s="2170">
        <f t="shared" ref="I5" si="2">G5/F5</f>
        <v>-9.6435433545202329E-2</v>
      </c>
      <c r="J5" s="2630"/>
      <c r="K5" s="2630"/>
      <c r="L5" s="2630"/>
      <c r="M5" s="2630"/>
      <c r="N5" s="2630"/>
      <c r="O5" s="2631"/>
    </row>
    <row r="8" spans="1:15">
      <c r="A8" s="2111" t="s">
        <v>766</v>
      </c>
    </row>
    <row r="9" spans="1:15">
      <c r="A9" s="2112"/>
    </row>
    <row r="10" spans="1:15" s="2143" customFormat="1" ht="12" customHeight="1" thickBot="1">
      <c r="A10" s="2142" t="s">
        <v>767</v>
      </c>
    </row>
    <row r="11" spans="1:15" s="2143" customFormat="1" ht="12" customHeight="1" thickBot="1">
      <c r="A11" s="2113" t="s">
        <v>768</v>
      </c>
      <c r="B11" s="2114" t="s">
        <v>769</v>
      </c>
      <c r="C11" s="2114" t="s">
        <v>770</v>
      </c>
      <c r="D11" s="2114" t="s">
        <v>771</v>
      </c>
      <c r="E11" s="2114" t="s">
        <v>772</v>
      </c>
      <c r="F11" s="2114" t="s">
        <v>773</v>
      </c>
      <c r="G11" s="2114" t="s">
        <v>774</v>
      </c>
      <c r="H11" s="2114" t="s">
        <v>775</v>
      </c>
      <c r="I11" s="2114" t="s">
        <v>776</v>
      </c>
    </row>
    <row r="12" spans="1:15" s="2143" customFormat="1" ht="12" customHeight="1" thickBot="1">
      <c r="A12" s="2115">
        <v>42179</v>
      </c>
      <c r="B12" s="2116">
        <v>2012</v>
      </c>
      <c r="C12" s="2117" t="s">
        <v>777</v>
      </c>
      <c r="D12" s="2117" t="s">
        <v>778</v>
      </c>
      <c r="E12" s="2117" t="s">
        <v>295</v>
      </c>
      <c r="F12" s="2117" t="s">
        <v>248</v>
      </c>
      <c r="G12" s="2116">
        <v>7.3885300000000001E-2</v>
      </c>
      <c r="H12" s="2116">
        <v>13542</v>
      </c>
      <c r="I12" s="2118">
        <v>1000.554</v>
      </c>
    </row>
    <row r="13" spans="1:15" s="2143" customFormat="1" ht="12" customHeight="1" thickBot="1">
      <c r="A13" s="2119">
        <v>42389</v>
      </c>
      <c r="B13" s="2118">
        <v>104</v>
      </c>
      <c r="C13" s="2120" t="s">
        <v>777</v>
      </c>
      <c r="D13" s="2120" t="s">
        <v>778</v>
      </c>
      <c r="E13" s="2120" t="s">
        <v>238</v>
      </c>
      <c r="F13" s="2120" t="s">
        <v>248</v>
      </c>
      <c r="G13" s="2118">
        <v>2.4009999999999999E-3</v>
      </c>
      <c r="H13" s="2118">
        <v>13542</v>
      </c>
      <c r="I13" s="2121">
        <v>32.514000000000003</v>
      </c>
    </row>
    <row r="14" spans="1:15" s="2143" customFormat="1" ht="12" customHeight="1" thickBot="1">
      <c r="A14" s="2119">
        <v>42389</v>
      </c>
      <c r="B14" s="2118">
        <v>106</v>
      </c>
      <c r="C14" s="2120" t="s">
        <v>777</v>
      </c>
      <c r="D14" s="2120" t="s">
        <v>778</v>
      </c>
      <c r="E14" s="2120" t="s">
        <v>295</v>
      </c>
      <c r="F14" s="2120" t="s">
        <v>248</v>
      </c>
      <c r="G14" s="2118">
        <v>7.9705000000000002E-3</v>
      </c>
      <c r="H14" s="2118">
        <v>13542</v>
      </c>
      <c r="I14" s="2121">
        <v>107.937</v>
      </c>
    </row>
    <row r="15" spans="1:15" s="2143" customFormat="1" ht="12" customHeight="1" thickBot="1">
      <c r="A15" s="2119">
        <v>42389</v>
      </c>
      <c r="B15" s="2118">
        <v>107</v>
      </c>
      <c r="C15" s="2120" t="s">
        <v>779</v>
      </c>
      <c r="D15" s="2120" t="s">
        <v>778</v>
      </c>
      <c r="E15" s="2120" t="s">
        <v>295</v>
      </c>
      <c r="F15" s="2120" t="s">
        <v>248</v>
      </c>
      <c r="G15" s="2118">
        <v>8.2804999999999997E-3</v>
      </c>
      <c r="H15" s="2118">
        <v>13542</v>
      </c>
      <c r="I15" s="2121">
        <v>112.13500000000001</v>
      </c>
    </row>
    <row r="16" spans="1:15" s="2143" customFormat="1" ht="12" customHeight="1">
      <c r="A16" s="2142"/>
    </row>
    <row r="17" spans="1:13" s="2143" customFormat="1" ht="12" customHeight="1" thickBot="1">
      <c r="A17" s="2142" t="s">
        <v>767</v>
      </c>
    </row>
    <row r="18" spans="1:13" s="2143" customFormat="1" ht="12" customHeight="1" thickBot="1">
      <c r="A18" s="2113" t="s">
        <v>768</v>
      </c>
      <c r="B18" s="2114" t="s">
        <v>769</v>
      </c>
      <c r="C18" s="2114" t="s">
        <v>770</v>
      </c>
      <c r="D18" s="2114" t="s">
        <v>771</v>
      </c>
      <c r="E18" s="2114" t="s">
        <v>772</v>
      </c>
      <c r="F18" s="2114" t="s">
        <v>773</v>
      </c>
      <c r="G18" s="2114" t="s">
        <v>774</v>
      </c>
      <c r="H18" s="2114" t="s">
        <v>775</v>
      </c>
      <c r="I18" s="2114" t="s">
        <v>780</v>
      </c>
    </row>
    <row r="19" spans="1:13" s="2143" customFormat="1" ht="12" customHeight="1" thickBot="1">
      <c r="A19" s="2115">
        <v>42212</v>
      </c>
      <c r="B19" s="2116">
        <v>2013</v>
      </c>
      <c r="C19" s="2117" t="s">
        <v>777</v>
      </c>
      <c r="D19" s="2117" t="s">
        <v>778</v>
      </c>
      <c r="E19" s="2117" t="s">
        <v>248</v>
      </c>
      <c r="F19" s="2117" t="s">
        <v>295</v>
      </c>
      <c r="G19" s="2116">
        <v>9.7043400000000002E-2</v>
      </c>
      <c r="H19" s="2116">
        <v>13542</v>
      </c>
      <c r="I19" s="2116">
        <v>1314.162</v>
      </c>
    </row>
    <row r="20" spans="1:13" s="2143" customFormat="1" ht="12" customHeight="1"/>
    <row r="21" spans="1:13" s="2143" customFormat="1" ht="12" customHeight="1"/>
    <row r="22" spans="1:13" s="2143" customFormat="1" ht="12" customHeight="1" thickBot="1">
      <c r="A22" s="2143" t="s">
        <v>781</v>
      </c>
    </row>
    <row r="23" spans="1:13" s="2143" customFormat="1" ht="12" customHeight="1" thickBot="1">
      <c r="A23" s="2122" t="s">
        <v>782</v>
      </c>
      <c r="B23" s="2123" t="s">
        <v>783</v>
      </c>
      <c r="C23" s="2123" t="s">
        <v>784</v>
      </c>
      <c r="D23" s="2124" t="s">
        <v>436</v>
      </c>
      <c r="E23" s="2125" t="s">
        <v>785</v>
      </c>
      <c r="F23" s="2126" t="s">
        <v>786</v>
      </c>
      <c r="G23" s="2127" t="s">
        <v>787</v>
      </c>
      <c r="H23" s="2125" t="s">
        <v>788</v>
      </c>
      <c r="I23" s="2127" t="s">
        <v>789</v>
      </c>
      <c r="J23" s="2144" t="s">
        <v>790</v>
      </c>
      <c r="K23" s="2123" t="s">
        <v>775</v>
      </c>
      <c r="L23" s="2129" t="s">
        <v>791</v>
      </c>
      <c r="M23" s="2128" t="s">
        <v>792</v>
      </c>
    </row>
    <row r="24" spans="1:13" s="2143" customFormat="1" ht="12" customHeight="1" thickBot="1">
      <c r="A24" s="2130">
        <v>41662</v>
      </c>
      <c r="B24" s="2131">
        <v>156</v>
      </c>
      <c r="C24" s="2132" t="s">
        <v>793</v>
      </c>
      <c r="D24" s="2133" t="s">
        <v>794</v>
      </c>
      <c r="E24" s="2117" t="s">
        <v>795</v>
      </c>
      <c r="F24" s="2117" t="s">
        <v>369</v>
      </c>
      <c r="G24" s="2117" t="s">
        <v>178</v>
      </c>
      <c r="H24" s="2134"/>
      <c r="I24" s="2117" t="s">
        <v>796</v>
      </c>
      <c r="J24" s="2117"/>
      <c r="K24" s="2132"/>
      <c r="L24" s="2134"/>
      <c r="M24" s="2135">
        <v>41662</v>
      </c>
    </row>
    <row r="25" spans="1:13" s="2143" customFormat="1" ht="12" customHeight="1" thickBot="1">
      <c r="A25" s="2115">
        <v>41675</v>
      </c>
      <c r="B25" s="2136">
        <v>163</v>
      </c>
      <c r="C25" s="2134" t="s">
        <v>793</v>
      </c>
      <c r="D25" s="2134" t="s">
        <v>794</v>
      </c>
      <c r="E25" s="2134" t="s">
        <v>795</v>
      </c>
      <c r="F25" s="2134" t="s">
        <v>369</v>
      </c>
      <c r="G25" s="2134" t="s">
        <v>178</v>
      </c>
      <c r="H25" s="2134" t="s">
        <v>795</v>
      </c>
      <c r="I25" s="2116">
        <v>3298.9949999999999</v>
      </c>
      <c r="J25" s="2116">
        <v>0.29544999999999999</v>
      </c>
      <c r="K25" s="2116">
        <v>13542</v>
      </c>
      <c r="L25" s="2137">
        <v>4000.9839999999999</v>
      </c>
      <c r="M25" s="2138">
        <v>41675</v>
      </c>
    </row>
    <row r="26" spans="1:13" s="2143" customFormat="1" ht="12" customHeight="1" thickBot="1">
      <c r="A26" s="2115">
        <v>42405</v>
      </c>
      <c r="B26" s="2136">
        <v>17</v>
      </c>
      <c r="C26" s="2134" t="s">
        <v>797</v>
      </c>
      <c r="D26" s="2134" t="s">
        <v>794</v>
      </c>
      <c r="E26" s="2134" t="s">
        <v>795</v>
      </c>
      <c r="F26" s="2134" t="s">
        <v>369</v>
      </c>
      <c r="G26" s="2134" t="s">
        <v>178</v>
      </c>
      <c r="H26" s="2134" t="s">
        <v>795</v>
      </c>
      <c r="I26" s="2116"/>
      <c r="J26" s="2117"/>
      <c r="K26" s="2117"/>
      <c r="L26" s="2134"/>
      <c r="M26" s="2138">
        <v>42405</v>
      </c>
    </row>
    <row r="27" spans="1:13" s="2143" customFormat="1" ht="12" customHeight="1" thickBot="1">
      <c r="A27" s="2119">
        <v>42492</v>
      </c>
      <c r="B27" s="2139">
        <v>73</v>
      </c>
      <c r="C27" s="2140" t="s">
        <v>798</v>
      </c>
      <c r="D27" s="2140" t="s">
        <v>794</v>
      </c>
      <c r="E27" s="2140" t="s">
        <v>795</v>
      </c>
      <c r="F27" s="2140" t="s">
        <v>369</v>
      </c>
      <c r="G27" s="2140" t="s">
        <v>178</v>
      </c>
      <c r="H27" s="2140" t="s">
        <v>795</v>
      </c>
      <c r="I27" s="2118">
        <v>2574.9059999999999</v>
      </c>
      <c r="J27" s="2120"/>
      <c r="K27" s="2120"/>
      <c r="L27" s="2120"/>
      <c r="M27" s="2141">
        <v>42492</v>
      </c>
    </row>
    <row r="28" spans="1:13" s="2143" customFormat="1" ht="12" customHeight="1" thickBot="1">
      <c r="A28" s="2119">
        <v>42655</v>
      </c>
      <c r="B28" s="2139">
        <v>120</v>
      </c>
      <c r="C28" s="2140" t="s">
        <v>793</v>
      </c>
      <c r="D28" s="2140" t="s">
        <v>794</v>
      </c>
      <c r="E28" s="2120" t="s">
        <v>795</v>
      </c>
      <c r="F28" s="2140" t="s">
        <v>369</v>
      </c>
      <c r="G28" s="2120" t="s">
        <v>178</v>
      </c>
      <c r="H28" s="2120" t="s">
        <v>795</v>
      </c>
      <c r="I28" s="2118">
        <v>2537.5329999999999</v>
      </c>
      <c r="J28" s="2118">
        <v>0.1873824</v>
      </c>
      <c r="K28" s="2118">
        <v>13542</v>
      </c>
      <c r="L28" s="2118">
        <v>2537.5320000000002</v>
      </c>
      <c r="M28" s="2141">
        <v>42655</v>
      </c>
    </row>
    <row r="31" spans="1:13" ht="13.5" customHeight="1">
      <c r="A31" s="2621" t="s">
        <v>820</v>
      </c>
      <c r="B31" s="2621"/>
      <c r="C31" s="2621"/>
      <c r="D31" s="2621"/>
    </row>
    <row r="32" spans="1:13" ht="12" customHeight="1">
      <c r="A32" s="2155" t="s">
        <v>802</v>
      </c>
      <c r="B32" s="2155" t="s">
        <v>761</v>
      </c>
      <c r="C32" s="2156" t="s">
        <v>801</v>
      </c>
      <c r="D32" s="2155" t="s">
        <v>762</v>
      </c>
    </row>
    <row r="33" spans="1:5" s="1522" customFormat="1" ht="12" customHeight="1">
      <c r="A33" s="2153" t="s">
        <v>817</v>
      </c>
      <c r="B33" s="2152">
        <v>1000.111</v>
      </c>
      <c r="C33" s="2149"/>
      <c r="D33" s="2153" t="s">
        <v>799</v>
      </c>
    </row>
    <row r="34" spans="1:5" ht="12" customHeight="1">
      <c r="A34" s="2153" t="s">
        <v>812</v>
      </c>
      <c r="B34" s="2151">
        <v>3.2513999999999998</v>
      </c>
      <c r="C34" s="2150">
        <v>32.514000000000003</v>
      </c>
      <c r="D34" s="2151" t="s">
        <v>818</v>
      </c>
    </row>
    <row r="35" spans="1:5" ht="12" customHeight="1">
      <c r="A35" s="2153" t="s">
        <v>813</v>
      </c>
      <c r="B35" s="2148">
        <v>107.937</v>
      </c>
      <c r="C35" s="2150">
        <v>107.937</v>
      </c>
      <c r="D35" s="2148" t="s">
        <v>763</v>
      </c>
    </row>
    <row r="36" spans="1:5" ht="12" customHeight="1">
      <c r="A36" s="2154" t="s">
        <v>815</v>
      </c>
      <c r="B36" s="2151">
        <v>-1426.078</v>
      </c>
      <c r="C36" s="2150">
        <v>-2574.9059999999999</v>
      </c>
      <c r="D36" s="2151" t="s">
        <v>803</v>
      </c>
    </row>
    <row r="37" spans="1:5" ht="12" customHeight="1">
      <c r="A37" s="2154" t="s">
        <v>816</v>
      </c>
      <c r="B37" s="2148">
        <v>-2537.5329999999999</v>
      </c>
      <c r="C37" s="2150">
        <v>-2537.5329999999999</v>
      </c>
      <c r="D37" s="2148" t="s">
        <v>763</v>
      </c>
    </row>
    <row r="38" spans="1:5">
      <c r="A38" s="2172"/>
      <c r="B38" s="2173">
        <f>SUM(B33:B37)</f>
        <v>-2852.3116</v>
      </c>
      <c r="C38" s="2174">
        <f>SUM(C33:C37)</f>
        <v>-4971.9879999999994</v>
      </c>
      <c r="D38" s="2175"/>
    </row>
    <row r="40" spans="1:5" s="1522" customFormat="1"/>
    <row r="41" spans="1:5">
      <c r="A41" s="74"/>
      <c r="B41" s="74"/>
      <c r="C41" s="74"/>
      <c r="D41" s="74"/>
    </row>
    <row r="42" spans="1:5">
      <c r="A42" s="2146" t="s">
        <v>804</v>
      </c>
      <c r="B42" s="2146">
        <v>13542</v>
      </c>
      <c r="C42" s="2146" t="s">
        <v>805</v>
      </c>
      <c r="D42" s="2146" t="s">
        <v>806</v>
      </c>
    </row>
    <row r="43" spans="1:5" s="1522" customFormat="1">
      <c r="A43" s="2179" t="s">
        <v>764</v>
      </c>
      <c r="B43" s="2180">
        <v>7.3852550000000003E-2</v>
      </c>
      <c r="C43" s="2180">
        <f>+B42*B43</f>
        <v>1000.1112321000001</v>
      </c>
      <c r="D43" s="2181" t="s">
        <v>809</v>
      </c>
      <c r="E43" s="2180"/>
    </row>
    <row r="44" spans="1:5">
      <c r="A44" s="1412" t="s">
        <v>812</v>
      </c>
      <c r="B44" s="1412">
        <v>2.4009999999999999E-3</v>
      </c>
      <c r="C44" s="1412">
        <f>+B42*B44</f>
        <v>32.514341999999999</v>
      </c>
      <c r="D44" s="2145" t="s">
        <v>811</v>
      </c>
    </row>
    <row r="45" spans="1:5">
      <c r="A45" s="1412" t="s">
        <v>813</v>
      </c>
      <c r="B45" s="2145">
        <v>7.9705000000000002E-3</v>
      </c>
      <c r="C45" s="1412">
        <f>+B42*B45</f>
        <v>107.936511</v>
      </c>
      <c r="D45" s="2145" t="s">
        <v>810</v>
      </c>
    </row>
    <row r="46" spans="1:5" s="1522" customFormat="1">
      <c r="A46" s="1412" t="s">
        <v>814</v>
      </c>
      <c r="B46" s="2145"/>
      <c r="C46" s="1412"/>
      <c r="D46" s="2157" t="s">
        <v>819</v>
      </c>
    </row>
    <row r="47" spans="1:5">
      <c r="A47" s="1412" t="s">
        <v>815</v>
      </c>
      <c r="B47" s="1412">
        <v>-0.19014220000000001</v>
      </c>
      <c r="C47" s="1412">
        <f>+B42*B47</f>
        <v>-2574.9056724000002</v>
      </c>
      <c r="D47" s="2145" t="s">
        <v>808</v>
      </c>
    </row>
    <row r="48" spans="1:5">
      <c r="A48" s="1412" t="s">
        <v>816</v>
      </c>
      <c r="B48" s="1412">
        <v>-0.1873824</v>
      </c>
      <c r="C48" s="1412">
        <f>+B42*B48</f>
        <v>-2537.5324608000001</v>
      </c>
      <c r="D48" s="2145" t="s">
        <v>807</v>
      </c>
    </row>
    <row r="49" spans="1:15">
      <c r="C49">
        <f>SUM(C44:C48)</f>
        <v>-4971.9872802000009</v>
      </c>
    </row>
    <row r="51" spans="1:15">
      <c r="A51" s="2158" t="s">
        <v>829</v>
      </c>
      <c r="B51" s="2624" t="s">
        <v>114</v>
      </c>
      <c r="C51" s="2624"/>
      <c r="D51" s="2624" t="s">
        <v>765</v>
      </c>
      <c r="E51" s="2624"/>
      <c r="F51" s="2624"/>
      <c r="G51" s="2624" t="s">
        <v>5</v>
      </c>
      <c r="H51" s="2624"/>
      <c r="I51" s="2624"/>
      <c r="J51" s="2625" t="s">
        <v>137</v>
      </c>
      <c r="K51" s="2625"/>
      <c r="L51" s="2625"/>
      <c r="M51" s="2625"/>
      <c r="N51" s="2625"/>
      <c r="O51" s="2625"/>
    </row>
    <row r="52" spans="1:15" ht="38.25">
      <c r="A52" s="2159" t="s">
        <v>68</v>
      </c>
      <c r="B52" s="2160" t="s">
        <v>112</v>
      </c>
      <c r="C52" s="2160" t="s">
        <v>113</v>
      </c>
      <c r="D52" s="2161" t="s">
        <v>115</v>
      </c>
      <c r="E52" s="2161" t="s">
        <v>116</v>
      </c>
      <c r="F52" s="2161" t="s">
        <v>117</v>
      </c>
      <c r="G52" s="2162" t="s">
        <v>2</v>
      </c>
      <c r="H52" s="2162" t="s">
        <v>3</v>
      </c>
      <c r="I52" s="2162" t="s">
        <v>4</v>
      </c>
      <c r="J52" s="2163" t="s">
        <v>118</v>
      </c>
      <c r="K52" s="2163" t="s">
        <v>116</v>
      </c>
      <c r="L52" s="2163" t="s">
        <v>117</v>
      </c>
      <c r="M52" s="2163" t="s">
        <v>2</v>
      </c>
      <c r="N52" s="2164" t="s">
        <v>3</v>
      </c>
      <c r="O52" s="2163" t="s">
        <v>4</v>
      </c>
    </row>
    <row r="53" spans="1:15">
      <c r="A53" s="2626" t="s">
        <v>47</v>
      </c>
      <c r="B53" s="1960">
        <v>42005</v>
      </c>
      <c r="C53" s="1961">
        <v>42094</v>
      </c>
      <c r="D53" s="1962">
        <v>302.58</v>
      </c>
      <c r="E53" s="1963">
        <f>0.483-0.241+6.088-0.72399-755.742+949.506-949.505</f>
        <v>-750.13499000000002</v>
      </c>
      <c r="F53" s="1987">
        <f>D53+E53</f>
        <v>-447.55499000000003</v>
      </c>
      <c r="G53" s="1963">
        <v>61.820999999999998</v>
      </c>
      <c r="H53" s="1965">
        <f t="shared" ref="H53" si="3">F53-G53</f>
        <v>-509.37599</v>
      </c>
      <c r="I53" s="1966">
        <f t="shared" ref="I53" si="4">G53/F53</f>
        <v>-0.13813051218577629</v>
      </c>
      <c r="J53" s="2520">
        <f t="shared" ref="J53:K53" si="5">D53+D54</f>
        <v>756.46600000000001</v>
      </c>
      <c r="K53" s="2495">
        <f t="shared" si="5"/>
        <v>-750.13499000000002</v>
      </c>
      <c r="L53" s="2628">
        <f t="shared" ref="L53" si="6">J53+K53</f>
        <v>6.331009999999992</v>
      </c>
      <c r="M53" s="2601">
        <f>G53+G54</f>
        <v>67.795000000000002</v>
      </c>
      <c r="N53" s="2495">
        <f>L53-M53</f>
        <v>-61.46399000000001</v>
      </c>
      <c r="O53" s="2622">
        <f>M53/L53</f>
        <v>10.708401976935763</v>
      </c>
    </row>
    <row r="54" spans="1:15">
      <c r="A54" s="2627"/>
      <c r="B54" s="1954">
        <v>42095</v>
      </c>
      <c r="C54" s="1957">
        <v>42369</v>
      </c>
      <c r="D54" s="1958">
        <v>453.88600000000002</v>
      </c>
      <c r="E54" s="1959"/>
      <c r="F54" s="2176">
        <f>D54+E54+H53</f>
        <v>-55.489989999999977</v>
      </c>
      <c r="G54" s="1956">
        <v>5.9740000000000002</v>
      </c>
      <c r="H54" s="2177">
        <f>F54-G54</f>
        <v>-61.463989999999981</v>
      </c>
      <c r="I54" s="2178">
        <f>G54/F54</f>
        <v>-0.10765905706596816</v>
      </c>
      <c r="J54" s="2521"/>
      <c r="K54" s="2496"/>
      <c r="L54" s="2629"/>
      <c r="M54" s="2605"/>
      <c r="N54" s="2496"/>
      <c r="O54" s="2623"/>
    </row>
    <row r="55" spans="1:15" ht="15.75" thickBot="1">
      <c r="A55" s="2147"/>
      <c r="B55" s="2147"/>
      <c r="C55" s="2147"/>
      <c r="D55" s="2147"/>
      <c r="E55" s="2147"/>
    </row>
    <row r="56" spans="1:15" ht="15.75" thickTop="1"/>
    <row r="57" spans="1:15">
      <c r="A57" s="2621"/>
      <c r="B57" s="2621"/>
      <c r="C57" s="2621"/>
      <c r="D57" s="2621"/>
    </row>
    <row r="58" spans="1:15">
      <c r="A58" s="2155" t="s">
        <v>802</v>
      </c>
      <c r="B58" s="2155" t="s">
        <v>761</v>
      </c>
      <c r="C58" s="2156" t="s">
        <v>801</v>
      </c>
      <c r="D58" s="2155" t="s">
        <v>762</v>
      </c>
    </row>
    <row r="59" spans="1:15">
      <c r="A59" s="2153" t="s">
        <v>817</v>
      </c>
      <c r="B59" s="2152">
        <v>1000.111</v>
      </c>
      <c r="C59" s="2149"/>
      <c r="D59" s="2153" t="s">
        <v>799</v>
      </c>
    </row>
    <row r="60" spans="1:15" ht="42">
      <c r="A60" s="2153" t="s">
        <v>812</v>
      </c>
      <c r="B60" s="2151">
        <v>3.2513999999999998</v>
      </c>
      <c r="C60" s="2150">
        <v>32.514000000000003</v>
      </c>
      <c r="D60" s="2151" t="s">
        <v>818</v>
      </c>
    </row>
    <row r="61" spans="1:15">
      <c r="A61" s="2153" t="s">
        <v>813</v>
      </c>
      <c r="B61" s="2148">
        <v>107.937</v>
      </c>
      <c r="C61" s="2150">
        <v>107.937</v>
      </c>
      <c r="D61" s="2148" t="s">
        <v>763</v>
      </c>
    </row>
    <row r="62" spans="1:15" ht="42">
      <c r="A62" s="2154" t="s">
        <v>815</v>
      </c>
      <c r="B62" s="2151">
        <v>-1426.078</v>
      </c>
      <c r="C62" s="2150">
        <v>-2574.9059999999999</v>
      </c>
      <c r="D62" s="2151" t="s">
        <v>803</v>
      </c>
    </row>
    <row r="63" spans="1:15">
      <c r="A63" s="2154" t="s">
        <v>816</v>
      </c>
      <c r="B63" s="2148">
        <v>-2537.5329999999999</v>
      </c>
      <c r="C63" s="2150">
        <v>-2537.5329999999999</v>
      </c>
      <c r="D63" s="2148" t="s">
        <v>763</v>
      </c>
    </row>
    <row r="64" spans="1:15">
      <c r="A64" s="2172"/>
      <c r="B64" s="2173">
        <f>SUM(B59:B63)</f>
        <v>-2852.3116</v>
      </c>
      <c r="C64" s="2174">
        <f>SUM(C59:C63)</f>
        <v>-4971.9879999999994</v>
      </c>
      <c r="D64" s="2175"/>
    </row>
    <row r="67" spans="1:1">
      <c r="A67" s="1522" t="s">
        <v>822</v>
      </c>
    </row>
    <row r="68" spans="1:1">
      <c r="A68" s="1522" t="s">
        <v>823</v>
      </c>
    </row>
    <row r="69" spans="1:1">
      <c r="A69" s="1522" t="s">
        <v>824</v>
      </c>
    </row>
    <row r="70" spans="1:1">
      <c r="A70" s="1522" t="s">
        <v>825</v>
      </c>
    </row>
    <row r="71" spans="1:1">
      <c r="A71" s="1522" t="s">
        <v>826</v>
      </c>
    </row>
    <row r="72" spans="1:1">
      <c r="A72" s="1522" t="s">
        <v>827</v>
      </c>
    </row>
    <row r="73" spans="1:1">
      <c r="A73" s="1522" t="s">
        <v>828</v>
      </c>
    </row>
  </sheetData>
  <mergeCells count="24">
    <mergeCell ref="M4:M5"/>
    <mergeCell ref="N4:N5"/>
    <mergeCell ref="O4:O5"/>
    <mergeCell ref="J2:O2"/>
    <mergeCell ref="A31:D31"/>
    <mergeCell ref="A4:A5"/>
    <mergeCell ref="J4:J5"/>
    <mergeCell ref="K4:K5"/>
    <mergeCell ref="L4:L5"/>
    <mergeCell ref="B2:C2"/>
    <mergeCell ref="D2:F2"/>
    <mergeCell ref="G2:I2"/>
    <mergeCell ref="A57:D57"/>
    <mergeCell ref="N53:N54"/>
    <mergeCell ref="O53:O54"/>
    <mergeCell ref="B51:C51"/>
    <mergeCell ref="D51:F51"/>
    <mergeCell ref="G51:I51"/>
    <mergeCell ref="J51:O51"/>
    <mergeCell ref="A53:A54"/>
    <mergeCell ref="J53:J54"/>
    <mergeCell ref="K53:K54"/>
    <mergeCell ref="L53:L54"/>
    <mergeCell ref="M53:M54"/>
  </mergeCells>
  <conditionalFormatting sqref="E4:E5">
    <cfRule type="cellIs" dxfId="12" priority="9" operator="lessThan">
      <formula>0</formula>
    </cfRule>
  </conditionalFormatting>
  <conditionalFormatting sqref="O4:O5">
    <cfRule type="cellIs" dxfId="11" priority="8" operator="greaterThan">
      <formula>1</formula>
    </cfRule>
  </conditionalFormatting>
  <conditionalFormatting sqref="I4:I5">
    <cfRule type="colorScale" priority="4">
      <colorScale>
        <cfvo type="percent" val="100"/>
        <cfvo type="max" val="0"/>
        <color rgb="FFFF0000"/>
        <color rgb="FFFFEF9C"/>
      </colorScale>
    </cfRule>
  </conditionalFormatting>
  <conditionalFormatting sqref="E53:E54">
    <cfRule type="cellIs" dxfId="10" priority="3" operator="lessThan">
      <formula>0</formula>
    </cfRule>
  </conditionalFormatting>
  <conditionalFormatting sqref="O53">
    <cfRule type="cellIs" dxfId="9" priority="2" operator="greaterThan">
      <formula>1</formula>
    </cfRule>
  </conditionalFormatting>
  <conditionalFormatting sqref="I53:I54">
    <cfRule type="colorScale" priority="1">
      <colorScale>
        <cfvo type="percent" val="100"/>
        <cfvo type="max" val="0"/>
        <color rgb="FFFF0000"/>
        <color rgb="FFFFEF9C"/>
      </colorScale>
    </cfRule>
  </conditionalFormatting>
  <pageMargins left="0.7" right="0.7" top="0.75" bottom="0.75" header="0.3" footer="0.3"/>
  <pageSetup paperSize="16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C00FF"/>
  </sheetPr>
  <dimension ref="A1:BX1329"/>
  <sheetViews>
    <sheetView zoomScale="80" zoomScaleNormal="80" workbookViewId="0">
      <pane xSplit="2" ySplit="5" topLeftCell="C50" activePane="bottomRight" state="frozen"/>
      <selection pane="topRight" activeCell="C1" sqref="C1"/>
      <selection pane="bottomLeft" activeCell="A6" sqref="A6"/>
      <selection pane="bottomRight" activeCell="B56" sqref="B56:B57"/>
    </sheetView>
  </sheetViews>
  <sheetFormatPr baseColWidth="10" defaultColWidth="11.42578125" defaultRowHeight="15"/>
  <cols>
    <col min="1" max="1" width="11" style="1075" customWidth="1"/>
    <col min="2" max="2" width="30.28515625" style="1075" customWidth="1"/>
    <col min="3" max="3" width="18.28515625" style="1075" customWidth="1"/>
    <col min="4" max="4" width="10.7109375" style="1075" customWidth="1"/>
    <col min="5" max="5" width="10.5703125" style="1075" customWidth="1"/>
    <col min="6" max="6" width="12.28515625" style="1075" customWidth="1"/>
    <col min="7" max="7" width="12.140625" style="1075" customWidth="1"/>
    <col min="8" max="8" width="11.5703125" style="1075" customWidth="1"/>
    <col min="9" max="9" width="10.7109375" style="1075" customWidth="1"/>
    <col min="10" max="11" width="11.42578125" style="1075" customWidth="1"/>
    <col min="12" max="12" width="12.28515625" style="1075" customWidth="1"/>
    <col min="13" max="13" width="13.5703125" style="1075" customWidth="1"/>
    <col min="14" max="14" width="13" style="1194" customWidth="1"/>
    <col min="15" max="15" width="11.42578125" style="1075" customWidth="1"/>
    <col min="16" max="16" width="15.5703125" style="1075" customWidth="1"/>
    <col min="17" max="18" width="12.42578125" style="1075" customWidth="1"/>
    <col min="19" max="19" width="11.28515625" style="1075" customWidth="1"/>
    <col min="20" max="20" width="13.140625" style="1194" customWidth="1"/>
    <col min="21" max="21" width="11.42578125" style="1075" customWidth="1"/>
    <col min="22" max="22" width="12.28515625" style="1075" customWidth="1"/>
    <col min="23" max="23" width="13.42578125" style="1075" customWidth="1"/>
    <col min="24" max="24" width="13.7109375" style="1075" customWidth="1"/>
    <col min="25" max="25" width="13.5703125" style="1075" customWidth="1"/>
    <col min="26" max="26" width="13.7109375" style="1075" customWidth="1"/>
    <col min="27" max="27" width="13.42578125" style="1075" customWidth="1"/>
    <col min="28" max="28" width="12.85546875" style="1075" customWidth="1"/>
    <col min="29" max="29" width="11.42578125" style="1075" customWidth="1"/>
    <col min="30" max="30" width="12.140625" style="1075" customWidth="1"/>
    <col min="31" max="31" width="11.42578125" style="1075" customWidth="1"/>
    <col min="32" max="32" width="14.42578125" style="1075" customWidth="1"/>
    <col min="33" max="35" width="11.42578125" style="1075" customWidth="1"/>
    <col min="36" max="36" width="12.28515625" style="1075" customWidth="1"/>
    <col min="37" max="37" width="12.85546875" style="1075" customWidth="1"/>
    <col min="38" max="38" width="13.85546875" style="1075" customWidth="1"/>
    <col min="39" max="39" width="14.28515625" style="1075" customWidth="1"/>
    <col min="40" max="40" width="11.42578125" style="1075" customWidth="1"/>
    <col min="41" max="41" width="13.140625" style="1075" customWidth="1"/>
    <col min="42" max="42" width="12.5703125" style="1075" customWidth="1"/>
    <col min="43" max="43" width="11.42578125" style="1075" customWidth="1"/>
    <col min="44" max="44" width="14.28515625" style="1075" customWidth="1"/>
    <col min="45" max="46" width="11.42578125" style="1075" customWidth="1"/>
    <col min="47" max="47" width="15.140625" style="1075" customWidth="1"/>
    <col min="48" max="48" width="11.85546875" style="1075" customWidth="1"/>
    <col min="49" max="49" width="13.85546875" style="1075" customWidth="1"/>
    <col min="50" max="50" width="13.42578125" style="1075" customWidth="1"/>
    <col min="51" max="51" width="13" style="1075" customWidth="1"/>
    <col min="52" max="52" width="15.85546875" style="1075" customWidth="1"/>
    <col min="53" max="53" width="0.140625" style="1076" customWidth="1"/>
    <col min="54" max="76" width="11.42578125" style="863"/>
    <col min="77" max="16384" width="11.42578125" style="1075"/>
  </cols>
  <sheetData>
    <row r="1" spans="1:76" ht="15" customHeight="1">
      <c r="A1" s="2633" t="s">
        <v>753</v>
      </c>
      <c r="B1" s="2634"/>
      <c r="C1" s="2634"/>
      <c r="D1" s="2634"/>
      <c r="E1" s="2634"/>
      <c r="F1" s="2634"/>
      <c r="G1" s="2634"/>
      <c r="H1" s="2634"/>
      <c r="I1" s="2634"/>
      <c r="J1" s="2634"/>
      <c r="K1" s="2634"/>
      <c r="L1" s="2634"/>
      <c r="M1" s="2634"/>
      <c r="N1" s="2634"/>
      <c r="O1" s="2634"/>
      <c r="P1" s="2634"/>
      <c r="Q1" s="2635"/>
      <c r="R1" s="863"/>
      <c r="S1" s="863"/>
      <c r="T1" s="1072"/>
      <c r="U1" s="1073"/>
      <c r="V1" s="863"/>
      <c r="W1" s="863"/>
      <c r="X1" s="863"/>
      <c r="Y1" s="863"/>
      <c r="Z1" s="863"/>
      <c r="AA1" s="863"/>
      <c r="AB1" s="863"/>
      <c r="AC1" s="863"/>
      <c r="AD1" s="863"/>
      <c r="AE1" s="863"/>
      <c r="AF1" s="863"/>
      <c r="AG1" s="863"/>
      <c r="AH1" s="863"/>
      <c r="AI1" s="863"/>
      <c r="AJ1" s="863"/>
      <c r="AK1" s="863"/>
      <c r="AL1" s="1074"/>
      <c r="AM1" s="1074"/>
      <c r="AN1" s="863"/>
      <c r="AO1" s="863"/>
      <c r="AP1" s="863"/>
      <c r="AQ1" s="863"/>
      <c r="AR1" s="863"/>
      <c r="AS1" s="863"/>
      <c r="AT1" s="863"/>
      <c r="AU1" s="863"/>
      <c r="AW1" s="863"/>
      <c r="AX1" s="863"/>
      <c r="AY1" s="863"/>
      <c r="AZ1" s="863"/>
      <c r="BK1" s="1075"/>
      <c r="BL1" s="1075"/>
      <c r="BM1" s="1075"/>
      <c r="BN1" s="1075"/>
      <c r="BO1" s="1075"/>
      <c r="BP1" s="1075"/>
      <c r="BQ1" s="1075"/>
      <c r="BR1" s="1075"/>
      <c r="BS1" s="1075"/>
      <c r="BT1" s="1075"/>
      <c r="BU1" s="1075"/>
      <c r="BV1" s="1075"/>
      <c r="BW1" s="1075"/>
      <c r="BX1" s="1075"/>
    </row>
    <row r="2" spans="1:76" ht="30.75" customHeight="1" thickBot="1">
      <c r="A2" s="2636"/>
      <c r="B2" s="2637"/>
      <c r="C2" s="2637"/>
      <c r="D2" s="2637"/>
      <c r="E2" s="2637"/>
      <c r="F2" s="2637"/>
      <c r="G2" s="2637"/>
      <c r="H2" s="2637"/>
      <c r="I2" s="2637"/>
      <c r="J2" s="2637"/>
      <c r="K2" s="2637"/>
      <c r="L2" s="2637"/>
      <c r="M2" s="2637"/>
      <c r="N2" s="2637"/>
      <c r="O2" s="2637"/>
      <c r="P2" s="2637"/>
      <c r="Q2" s="2638"/>
      <c r="R2" s="1509" t="e">
        <f>+R14+X14+Z14:AD15</f>
        <v>#VALUE!</v>
      </c>
      <c r="S2" s="863"/>
      <c r="T2" s="1072"/>
      <c r="U2" s="863"/>
      <c r="V2" s="863"/>
      <c r="W2" s="863"/>
      <c r="X2" s="863"/>
      <c r="Y2" s="863"/>
      <c r="Z2" s="863"/>
      <c r="AA2" s="863"/>
      <c r="AB2" s="863"/>
      <c r="AC2" s="863"/>
      <c r="AD2" s="863"/>
      <c r="AE2" s="863"/>
      <c r="AF2" s="863"/>
      <c r="AG2" s="863"/>
      <c r="AH2" s="863"/>
      <c r="AI2" s="863"/>
      <c r="AJ2" s="863"/>
      <c r="AK2" s="863"/>
      <c r="AL2" s="863"/>
      <c r="AM2" s="863"/>
      <c r="AN2" s="863"/>
      <c r="AO2" s="863"/>
      <c r="AP2" s="863">
        <v>0</v>
      </c>
      <c r="AQ2" s="863"/>
      <c r="AR2" s="863"/>
      <c r="AS2" s="863"/>
      <c r="AT2" s="863"/>
      <c r="AU2" s="863"/>
      <c r="AV2" s="1077"/>
      <c r="AW2" s="863"/>
      <c r="AX2" s="863"/>
      <c r="AY2" s="863"/>
      <c r="AZ2" s="863"/>
      <c r="BK2" s="1075"/>
      <c r="BL2" s="1075"/>
      <c r="BM2" s="1075"/>
      <c r="BN2" s="1075"/>
      <c r="BO2" s="1075"/>
      <c r="BP2" s="1075"/>
      <c r="BQ2" s="1075"/>
      <c r="BR2" s="1075"/>
      <c r="BS2" s="1075"/>
      <c r="BT2" s="1075"/>
      <c r="BU2" s="1075"/>
      <c r="BV2" s="1075"/>
      <c r="BW2" s="1075"/>
      <c r="BX2" s="1075"/>
    </row>
    <row r="3" spans="1:76" s="863" customFormat="1" ht="24.75" customHeight="1" thickBot="1">
      <c r="N3" s="1072"/>
      <c r="T3" s="1072"/>
      <c r="AV3" s="1078" t="s">
        <v>603</v>
      </c>
      <c r="BA3" s="1076"/>
    </row>
    <row r="4" spans="1:76" ht="15.75" thickBot="1">
      <c r="A4" s="863"/>
      <c r="B4" s="1079"/>
      <c r="C4" s="2639" t="s">
        <v>114</v>
      </c>
      <c r="D4" s="2640"/>
      <c r="E4" s="2641" t="s">
        <v>727</v>
      </c>
      <c r="F4" s="2642"/>
      <c r="G4" s="2643"/>
      <c r="H4" s="2641" t="s">
        <v>605</v>
      </c>
      <c r="I4" s="2643"/>
      <c r="J4" s="1080"/>
      <c r="K4" s="2644" t="s">
        <v>606</v>
      </c>
      <c r="L4" s="2645"/>
      <c r="M4" s="2646"/>
      <c r="N4" s="2644" t="s">
        <v>607</v>
      </c>
      <c r="O4" s="2646"/>
      <c r="P4" s="1081"/>
      <c r="Q4" s="2647" t="s">
        <v>608</v>
      </c>
      <c r="R4" s="2648"/>
      <c r="S4" s="2649"/>
      <c r="T4" s="2647" t="s">
        <v>609</v>
      </c>
      <c r="U4" s="2649"/>
      <c r="V4" s="1081"/>
      <c r="W4" s="2647" t="s">
        <v>610</v>
      </c>
      <c r="X4" s="2648"/>
      <c r="Y4" s="2649"/>
      <c r="Z4" s="2647" t="s">
        <v>611</v>
      </c>
      <c r="AA4" s="2649"/>
      <c r="AB4" s="1081"/>
      <c r="AC4" s="2647" t="s">
        <v>612</v>
      </c>
      <c r="AD4" s="2648"/>
      <c r="AE4" s="2649"/>
      <c r="AF4" s="2647" t="s">
        <v>613</v>
      </c>
      <c r="AG4" s="2649"/>
      <c r="AH4" s="1081"/>
      <c r="AI4" s="2647" t="s">
        <v>614</v>
      </c>
      <c r="AJ4" s="2648"/>
      <c r="AK4" s="2649"/>
      <c r="AL4" s="2647" t="s">
        <v>615</v>
      </c>
      <c r="AM4" s="2649"/>
      <c r="AN4" s="1081"/>
      <c r="AO4" s="2650" t="s">
        <v>616</v>
      </c>
      <c r="AP4" s="2651"/>
      <c r="AQ4" s="2651"/>
      <c r="AR4" s="2651"/>
      <c r="AS4" s="2651"/>
      <c r="AT4" s="2652"/>
      <c r="AU4" s="2650" t="s">
        <v>617</v>
      </c>
      <c r="AV4" s="2651"/>
      <c r="AW4" s="2651"/>
      <c r="AX4" s="2651"/>
      <c r="AY4" s="2651"/>
      <c r="AZ4" s="2652"/>
      <c r="BK4" s="1075"/>
      <c r="BL4" s="1075"/>
      <c r="BM4" s="1075"/>
      <c r="BN4" s="1075"/>
      <c r="BO4" s="1075"/>
      <c r="BP4" s="1075"/>
      <c r="BQ4" s="1075"/>
      <c r="BR4" s="1075"/>
      <c r="BS4" s="1075"/>
      <c r="BT4" s="1075"/>
      <c r="BU4" s="1075"/>
      <c r="BV4" s="1075"/>
      <c r="BW4" s="1075"/>
      <c r="BX4" s="1075"/>
    </row>
    <row r="5" spans="1:76" ht="62.25" customHeight="1" thickBot="1">
      <c r="A5" s="1082" t="s">
        <v>19</v>
      </c>
      <c r="B5" s="1083" t="s">
        <v>618</v>
      </c>
      <c r="C5" s="1417" t="s">
        <v>112</v>
      </c>
      <c r="D5" s="1084" t="s">
        <v>113</v>
      </c>
      <c r="E5" s="1085" t="s">
        <v>115</v>
      </c>
      <c r="F5" s="1086" t="s">
        <v>116</v>
      </c>
      <c r="G5" s="1087" t="s">
        <v>117</v>
      </c>
      <c r="H5" s="1088" t="s">
        <v>2</v>
      </c>
      <c r="I5" s="1089" t="s">
        <v>3</v>
      </c>
      <c r="J5" s="1088" t="s">
        <v>118</v>
      </c>
      <c r="K5" s="1090" t="s">
        <v>115</v>
      </c>
      <c r="L5" s="1091" t="s">
        <v>116</v>
      </c>
      <c r="M5" s="1092" t="s">
        <v>117</v>
      </c>
      <c r="N5" s="1655" t="s">
        <v>2</v>
      </c>
      <c r="O5" s="1093" t="s">
        <v>3</v>
      </c>
      <c r="P5" s="1094" t="s">
        <v>673</v>
      </c>
      <c r="Q5" s="1095" t="s">
        <v>115</v>
      </c>
      <c r="R5" s="1096" t="s">
        <v>116</v>
      </c>
      <c r="S5" s="1239" t="s">
        <v>117</v>
      </c>
      <c r="T5" s="1237" t="s">
        <v>2</v>
      </c>
      <c r="U5" s="1238" t="s">
        <v>3</v>
      </c>
      <c r="V5" s="1097" t="s">
        <v>619</v>
      </c>
      <c r="W5" s="1665" t="s">
        <v>115</v>
      </c>
      <c r="X5" s="1666" t="s">
        <v>116</v>
      </c>
      <c r="Y5" s="1667" t="s">
        <v>117</v>
      </c>
      <c r="Z5" s="1098" t="s">
        <v>2</v>
      </c>
      <c r="AA5" s="1668" t="s">
        <v>3</v>
      </c>
      <c r="AB5" s="1098" t="s">
        <v>619</v>
      </c>
      <c r="AC5" s="1099" t="s">
        <v>115</v>
      </c>
      <c r="AD5" s="1100" t="s">
        <v>116</v>
      </c>
      <c r="AE5" s="1100" t="s">
        <v>117</v>
      </c>
      <c r="AF5" s="1101" t="s">
        <v>2</v>
      </c>
      <c r="AG5" s="1102" t="s">
        <v>3</v>
      </c>
      <c r="AH5" s="1103" t="s">
        <v>619</v>
      </c>
      <c r="AI5" s="1662" t="s">
        <v>115</v>
      </c>
      <c r="AJ5" s="1104" t="s">
        <v>116</v>
      </c>
      <c r="AK5" s="1104" t="s">
        <v>117</v>
      </c>
      <c r="AL5" s="1105" t="s">
        <v>2</v>
      </c>
      <c r="AM5" s="1106" t="s">
        <v>3</v>
      </c>
      <c r="AN5" s="1107" t="s">
        <v>619</v>
      </c>
      <c r="AO5" s="1108" t="s">
        <v>620</v>
      </c>
      <c r="AP5" s="1109" t="s">
        <v>621</v>
      </c>
      <c r="AQ5" s="1109" t="s">
        <v>117</v>
      </c>
      <c r="AR5" s="1110" t="s">
        <v>622</v>
      </c>
      <c r="AS5" s="1110" t="s">
        <v>3</v>
      </c>
      <c r="AT5" s="1111" t="s">
        <v>4</v>
      </c>
      <c r="AU5" s="1233" t="s">
        <v>118</v>
      </c>
      <c r="AV5" s="1234" t="s">
        <v>621</v>
      </c>
      <c r="AW5" s="1235" t="s">
        <v>117</v>
      </c>
      <c r="AX5" s="1233" t="s">
        <v>2</v>
      </c>
      <c r="AY5" s="1233" t="s">
        <v>3</v>
      </c>
      <c r="AZ5" s="1236" t="s">
        <v>4</v>
      </c>
      <c r="BK5" s="1075"/>
      <c r="BL5" s="1075"/>
      <c r="BM5" s="1075"/>
      <c r="BN5" s="1075"/>
      <c r="BO5" s="1075"/>
      <c r="BP5" s="1075"/>
      <c r="BQ5" s="1075"/>
      <c r="BR5" s="1075"/>
      <c r="BS5" s="1075"/>
      <c r="BT5" s="1075"/>
      <c r="BU5" s="1075"/>
      <c r="BV5" s="1075"/>
      <c r="BW5" s="1075"/>
      <c r="BX5" s="1075"/>
    </row>
    <row r="6" spans="1:76">
      <c r="A6" s="2653" t="s">
        <v>623</v>
      </c>
      <c r="B6" s="2656" t="s">
        <v>291</v>
      </c>
      <c r="C6" s="1641">
        <v>42005</v>
      </c>
      <c r="D6" s="1642">
        <v>42216</v>
      </c>
      <c r="E6" s="1113">
        <f>7.278+0.588</f>
        <v>7.8659999999999997</v>
      </c>
      <c r="F6" s="1114">
        <f>1.7136955+0.2145</f>
        <v>1.9281955</v>
      </c>
      <c r="G6" s="1557">
        <f>E6+F6</f>
        <v>9.7941954999999989</v>
      </c>
      <c r="H6" s="1261"/>
      <c r="I6" s="1557">
        <f t="shared" ref="I6:I45" si="0">G6-H6</f>
        <v>9.7941954999999989</v>
      </c>
      <c r="J6" s="2658">
        <f>E6+E7+F6+F7</f>
        <v>10.757195499999998</v>
      </c>
      <c r="K6" s="1559">
        <f>66.839+5.4</f>
        <v>72.239000000000004</v>
      </c>
      <c r="L6" s="1537">
        <f>15.57905+1.95</f>
        <v>17.529050000000002</v>
      </c>
      <c r="M6" s="1557">
        <f>K6+L6</f>
        <v>89.768050000000002</v>
      </c>
      <c r="N6" s="1470">
        <v>17.59</v>
      </c>
      <c r="O6" s="1557">
        <f t="shared" ref="O6:O51" si="1">M6-N6</f>
        <v>72.178049999999999</v>
      </c>
      <c r="P6" s="2658">
        <f>K6+K7+L6+L7</f>
        <v>97.795050000000003</v>
      </c>
      <c r="Q6" s="1113">
        <f>97.586+7.884</f>
        <v>105.47</v>
      </c>
      <c r="R6" s="1537">
        <f>22.745413+2.847</f>
        <v>25.592413000000001</v>
      </c>
      <c r="S6" s="1115">
        <f>Q6+R6</f>
        <v>131.06241299999999</v>
      </c>
      <c r="T6" s="1484">
        <v>90.05</v>
      </c>
      <c r="U6" s="1557">
        <f t="shared" ref="U6:U51" si="2">S6-T6</f>
        <v>41.012412999999995</v>
      </c>
      <c r="V6" s="2658">
        <f>Q6+Q7+R6+R7</f>
        <v>142.78141299999999</v>
      </c>
      <c r="W6" s="1113">
        <f>139.026+11.232</f>
        <v>150.25800000000001</v>
      </c>
      <c r="X6" s="1537">
        <f>32.404424+4.056</f>
        <v>36.460423999999996</v>
      </c>
      <c r="Y6" s="1557">
        <f>W6+X6</f>
        <v>186.718424</v>
      </c>
      <c r="Z6" s="1261">
        <v>98.081000000000003</v>
      </c>
      <c r="AA6" s="1557">
        <f t="shared" ref="AA6:AA51" si="3">Y6-Z6</f>
        <v>88.637423999999996</v>
      </c>
      <c r="AB6" s="2658">
        <f>W6+W7+X6+X7</f>
        <v>203.41342399999999</v>
      </c>
      <c r="AC6" s="1113">
        <f>139.026+11.232</f>
        <v>150.25800000000001</v>
      </c>
      <c r="AD6" s="1537">
        <f>32.404424+4.056</f>
        <v>36.460423999999996</v>
      </c>
      <c r="AE6" s="1115">
        <f>AC6+AD6</f>
        <v>186.718424</v>
      </c>
      <c r="AF6" s="1484">
        <v>191.02199999999996</v>
      </c>
      <c r="AG6" s="1557">
        <f t="shared" ref="AG6:AG45" si="4">AE6-AF6</f>
        <v>-4.3035759999999641</v>
      </c>
      <c r="AH6" s="2661">
        <f>AC6+AC7+AD6+AD7</f>
        <v>203.41342399999999</v>
      </c>
      <c r="AI6" s="1557">
        <f>139.159724+11.2428</f>
        <v>150.402524</v>
      </c>
      <c r="AJ6" s="1537">
        <f>32.4355821+4.0599</f>
        <v>36.495482099999997</v>
      </c>
      <c r="AK6" s="1557">
        <f>AI6+AJ6</f>
        <v>186.8980061</v>
      </c>
      <c r="AL6" s="1261">
        <v>193.32499999999996</v>
      </c>
      <c r="AM6" s="1557">
        <f t="shared" ref="AM6:AM51" si="5">AK6-AL6</f>
        <v>-6.4269938999999567</v>
      </c>
      <c r="AN6" s="2658">
        <f>AI6+AI7+AJ6+AJ7</f>
        <v>203.60939769999999</v>
      </c>
      <c r="AO6" s="1114">
        <f t="shared" ref="AO6:AP9" si="6">E6+K6+Q6+W6+AC6+AI6</f>
        <v>636.49352399999998</v>
      </c>
      <c r="AP6" s="1557">
        <f t="shared" si="6"/>
        <v>154.4659886</v>
      </c>
      <c r="AQ6" s="1537">
        <f>AO6+AP6</f>
        <v>790.95951259999993</v>
      </c>
      <c r="AR6" s="1537">
        <f t="shared" ref="AR6:AR49" si="7">H6+N6+T6+Z6+AF6+AL6</f>
        <v>590.06799999999987</v>
      </c>
      <c r="AS6" s="1557">
        <f t="shared" ref="AS6:AS51" si="8">AQ6-AR6</f>
        <v>200.89151260000006</v>
      </c>
      <c r="AT6" s="1432">
        <f t="shared" ref="AT6:AT51" si="9">AR6/AQ6</f>
        <v>0.74601542885597238</v>
      </c>
      <c r="AU6" s="2666">
        <f>AO6+AO7</f>
        <v>707.30391559999998</v>
      </c>
      <c r="AV6" s="2666">
        <f>AP6+AP7</f>
        <v>154.4659886</v>
      </c>
      <c r="AW6" s="2667">
        <f>AU6+AV6</f>
        <v>861.76990419999993</v>
      </c>
      <c r="AX6" s="2666">
        <f>AR6+AR7</f>
        <v>807.55099999999982</v>
      </c>
      <c r="AY6" s="2666">
        <f>AW6-AX6</f>
        <v>54.218904200000111</v>
      </c>
      <c r="AZ6" s="2584">
        <f>AX6/AW6</f>
        <v>0.93708424495244735</v>
      </c>
      <c r="BK6" s="1075"/>
      <c r="BL6" s="1075"/>
      <c r="BM6" s="1075"/>
      <c r="BN6" s="1075"/>
      <c r="BO6" s="1075"/>
      <c r="BP6" s="1075"/>
      <c r="BQ6" s="1075"/>
      <c r="BR6" s="1075"/>
      <c r="BS6" s="1075"/>
      <c r="BT6" s="1075"/>
      <c r="BU6" s="1075"/>
      <c r="BV6" s="1075"/>
      <c r="BW6" s="1075"/>
      <c r="BX6" s="1075"/>
    </row>
    <row r="7" spans="1:76">
      <c r="A7" s="2654"/>
      <c r="B7" s="2657"/>
      <c r="C7" s="1643">
        <v>42278</v>
      </c>
      <c r="D7" s="1644">
        <v>42369</v>
      </c>
      <c r="E7" s="1116">
        <f>0.891+0.072</f>
        <v>0.96299999999999997</v>
      </c>
      <c r="F7" s="1117"/>
      <c r="G7" s="1554">
        <f>E7+F7+I6</f>
        <v>10.757195499999998</v>
      </c>
      <c r="H7" s="1260">
        <v>0.20799999999999999</v>
      </c>
      <c r="I7" s="1517">
        <f t="shared" si="0"/>
        <v>10.549195499999998</v>
      </c>
      <c r="J7" s="2659"/>
      <c r="K7" s="1555">
        <f>7.427+0.6</f>
        <v>8.0269999999999992</v>
      </c>
      <c r="L7" s="1418"/>
      <c r="M7" s="1517">
        <f>K7+L7+O6</f>
        <v>80.20505</v>
      </c>
      <c r="N7" s="1260">
        <v>60.145000000000003</v>
      </c>
      <c r="O7" s="1517">
        <f t="shared" si="1"/>
        <v>20.060049999999997</v>
      </c>
      <c r="P7" s="2659"/>
      <c r="Q7" s="1118">
        <f>10.843+0.876</f>
        <v>11.718999999999999</v>
      </c>
      <c r="R7" s="1418"/>
      <c r="S7" s="1419">
        <f>Q7+R7+U6</f>
        <v>52.731412999999996</v>
      </c>
      <c r="T7" s="1260">
        <v>49.665999999999997</v>
      </c>
      <c r="U7" s="1554">
        <f t="shared" si="2"/>
        <v>3.0654129999999995</v>
      </c>
      <c r="V7" s="2660"/>
      <c r="W7" s="1116">
        <f>15.447+1.248</f>
        <v>16.695</v>
      </c>
      <c r="X7" s="1536"/>
      <c r="Y7" s="1554">
        <f>W7+X7+AA6</f>
        <v>105.332424</v>
      </c>
      <c r="Z7" s="1260">
        <v>94.978999999999999</v>
      </c>
      <c r="AA7" s="1554">
        <f t="shared" si="3"/>
        <v>10.353424000000004</v>
      </c>
      <c r="AB7" s="2660"/>
      <c r="AC7" s="1116">
        <f>15.447+1.248</f>
        <v>16.695</v>
      </c>
      <c r="AD7" s="1536"/>
      <c r="AE7" s="1419">
        <f>AC7+AD7+AG6</f>
        <v>12.391424000000036</v>
      </c>
      <c r="AF7" s="1260">
        <v>7.4580000000000002</v>
      </c>
      <c r="AG7" s="1517">
        <f t="shared" si="4"/>
        <v>4.933424000000036</v>
      </c>
      <c r="AH7" s="2659"/>
      <c r="AI7" s="1517">
        <f>15.4621916+1.2492</f>
        <v>16.711391599999999</v>
      </c>
      <c r="AJ7" s="1418"/>
      <c r="AK7" s="1517">
        <f>AI7+AJ7+AM6</f>
        <v>10.284397700000042</v>
      </c>
      <c r="AL7" s="1260">
        <v>5.0270000000000001</v>
      </c>
      <c r="AM7" s="1517">
        <f t="shared" si="5"/>
        <v>5.257397700000042</v>
      </c>
      <c r="AN7" s="2659"/>
      <c r="AO7" s="1508">
        <f t="shared" si="6"/>
        <v>70.810391600000003</v>
      </c>
      <c r="AP7" s="1556">
        <f t="shared" si="6"/>
        <v>0</v>
      </c>
      <c r="AQ7" s="1418">
        <f>AO7+AP7+AS6</f>
        <v>271.70190420000006</v>
      </c>
      <c r="AR7" s="1418">
        <f t="shared" si="7"/>
        <v>217.48299999999998</v>
      </c>
      <c r="AS7" s="1556">
        <f t="shared" si="8"/>
        <v>54.218904200000082</v>
      </c>
      <c r="AT7" s="1433">
        <f>AR7/AQ7</f>
        <v>0.80044709528392011</v>
      </c>
      <c r="AU7" s="2665"/>
      <c r="AV7" s="2665"/>
      <c r="AW7" s="2668"/>
      <c r="AX7" s="2665"/>
      <c r="AY7" s="2665"/>
      <c r="AZ7" s="2572"/>
      <c r="BK7" s="1075"/>
      <c r="BL7" s="1075"/>
      <c r="BM7" s="1075"/>
      <c r="BN7" s="1075"/>
      <c r="BO7" s="1075"/>
      <c r="BP7" s="1075"/>
      <c r="BQ7" s="1075"/>
      <c r="BR7" s="1075"/>
      <c r="BS7" s="1075"/>
      <c r="BT7" s="1075"/>
      <c r="BU7" s="1075"/>
      <c r="BV7" s="1075"/>
      <c r="BW7" s="1075"/>
      <c r="BX7" s="1075"/>
    </row>
    <row r="8" spans="1:76">
      <c r="A8" s="2654"/>
      <c r="B8" s="2662" t="s">
        <v>292</v>
      </c>
      <c r="C8" s="1420">
        <v>41640</v>
      </c>
      <c r="D8" s="1669">
        <v>42216</v>
      </c>
      <c r="E8" s="1562">
        <v>2.7749999999999999</v>
      </c>
      <c r="F8" s="1659">
        <f>-3.1134455</f>
        <v>-3.1134455000000001</v>
      </c>
      <c r="G8" s="1511">
        <f>E8+F8</f>
        <v>-0.33844550000000018</v>
      </c>
      <c r="H8" s="1512"/>
      <c r="I8" s="1511">
        <f t="shared" si="0"/>
        <v>-0.33844550000000018</v>
      </c>
      <c r="J8" s="2661">
        <f>E8+E9+F8+F9</f>
        <v>1.5544999999996811E-3</v>
      </c>
      <c r="K8" s="1550">
        <v>25.486999999999998</v>
      </c>
      <c r="L8" s="1512">
        <f>-28.30405</f>
        <v>-28.30405</v>
      </c>
      <c r="M8" s="1511">
        <f>K8+L8</f>
        <v>-2.8170500000000018</v>
      </c>
      <c r="N8" s="1512"/>
      <c r="O8" s="1511">
        <f t="shared" si="1"/>
        <v>-2.8170500000000018</v>
      </c>
      <c r="P8" s="2661">
        <f>K8+K9+L8+L9</f>
        <v>1.4949999999998909E-2</v>
      </c>
      <c r="Q8" s="1562">
        <v>37.210999999999999</v>
      </c>
      <c r="R8" s="1512">
        <f>-41.323913</f>
        <v>-41.323912999999997</v>
      </c>
      <c r="S8" s="1663">
        <f>Q8+R8</f>
        <v>-4.1129129999999989</v>
      </c>
      <c r="T8" s="1512"/>
      <c r="U8" s="1511">
        <f t="shared" si="2"/>
        <v>-4.1129129999999989</v>
      </c>
      <c r="V8" s="2661">
        <f>Q8+Q9+R8+R9</f>
        <v>2.208699999999908E-2</v>
      </c>
      <c r="W8" s="1562">
        <v>53.012999999999998</v>
      </c>
      <c r="X8" s="1512">
        <f>-58.872424</f>
        <v>-58.872424000000002</v>
      </c>
      <c r="Y8" s="1511">
        <f>W8+X8</f>
        <v>-5.8594240000000042</v>
      </c>
      <c r="Z8" s="1512"/>
      <c r="AA8" s="1511">
        <f t="shared" si="3"/>
        <v>-5.8594240000000042</v>
      </c>
      <c r="AB8" s="2661">
        <f>W8+W9+X8+X9</f>
        <v>3.0575999999996384E-2</v>
      </c>
      <c r="AC8" s="1562">
        <v>53.012999999999998</v>
      </c>
      <c r="AD8" s="1512">
        <f>-58.872424</f>
        <v>-58.872424000000002</v>
      </c>
      <c r="AE8" s="1663">
        <f>AC8+AD8</f>
        <v>-5.8594240000000042</v>
      </c>
      <c r="AF8" s="1512"/>
      <c r="AG8" s="1511">
        <f t="shared" si="4"/>
        <v>-5.8594240000000042</v>
      </c>
      <c r="AH8" s="2661">
        <f>AC8+AC9+AD8+AD9</f>
        <v>3.0575999999996384E-2</v>
      </c>
      <c r="AI8" s="1511">
        <v>53.0642359</v>
      </c>
      <c r="AJ8" s="1512">
        <f>-58.9290321</f>
        <v>-58.929032100000001</v>
      </c>
      <c r="AK8" s="1511">
        <f>AI8+AJ8</f>
        <v>-5.8647962000000007</v>
      </c>
      <c r="AL8" s="1512"/>
      <c r="AM8" s="1511">
        <f t="shared" si="5"/>
        <v>-5.8647962000000007</v>
      </c>
      <c r="AN8" s="2661">
        <f>AI8+AI9+AJ8+AJ9</f>
        <v>3.1230010000001585E-2</v>
      </c>
      <c r="AO8" s="1659">
        <f t="shared" si="6"/>
        <v>224.5632359</v>
      </c>
      <c r="AP8" s="1554">
        <f t="shared" si="6"/>
        <v>-249.4152886</v>
      </c>
      <c r="AQ8" s="1422">
        <f>AO8+AP8</f>
        <v>-24.852052700000002</v>
      </c>
      <c r="AR8" s="1422">
        <f t="shared" si="7"/>
        <v>0</v>
      </c>
      <c r="AS8" s="1552">
        <f t="shared" si="8"/>
        <v>-24.852052700000002</v>
      </c>
      <c r="AT8" s="1434">
        <f>AR8/AQ8</f>
        <v>0</v>
      </c>
      <c r="AU8" s="2664">
        <f>AO8+AO9</f>
        <v>249.54626210999999</v>
      </c>
      <c r="AV8" s="2664">
        <f>AP8+AP9</f>
        <v>-249.4152886</v>
      </c>
      <c r="AW8" s="2669">
        <f>AU8+AV8</f>
        <v>0.1309735099999898</v>
      </c>
      <c r="AX8" s="2664">
        <f>AR8+AR9</f>
        <v>0</v>
      </c>
      <c r="AY8" s="2664">
        <f>AW8-AX8</f>
        <v>0.1309735099999898</v>
      </c>
      <c r="AZ8" s="2584">
        <f>AX8/AW8</f>
        <v>0</v>
      </c>
      <c r="BK8" s="1075"/>
      <c r="BL8" s="1075"/>
      <c r="BM8" s="1075"/>
      <c r="BN8" s="1075"/>
      <c r="BO8" s="1075"/>
      <c r="BP8" s="1075"/>
      <c r="BQ8" s="1075"/>
      <c r="BR8" s="1075"/>
      <c r="BS8" s="1075"/>
      <c r="BT8" s="1075"/>
      <c r="BU8" s="1075"/>
      <c r="BV8" s="1075"/>
      <c r="BW8" s="1075"/>
      <c r="BX8" s="1075"/>
    </row>
    <row r="9" spans="1:76">
      <c r="A9" s="2654"/>
      <c r="B9" s="2663"/>
      <c r="C9" s="1119">
        <v>42278</v>
      </c>
      <c r="D9" s="1120">
        <v>42369</v>
      </c>
      <c r="E9" s="1118">
        <v>0.34</v>
      </c>
      <c r="F9" s="1508"/>
      <c r="G9" s="1517">
        <f>E9+F9+I8</f>
        <v>1.5544999999998477E-3</v>
      </c>
      <c r="H9" s="1418"/>
      <c r="I9" s="1517">
        <f t="shared" si="0"/>
        <v>1.5544999999998477E-3</v>
      </c>
      <c r="J9" s="2659"/>
      <c r="K9" s="1555">
        <v>2.8319999999999999</v>
      </c>
      <c r="L9" s="1418"/>
      <c r="M9" s="1517">
        <f>K9+L9+O8</f>
        <v>1.494999999999802E-2</v>
      </c>
      <c r="N9" s="1418"/>
      <c r="O9" s="1517">
        <f t="shared" si="1"/>
        <v>1.494999999999802E-2</v>
      </c>
      <c r="P9" s="2659"/>
      <c r="Q9" s="1118">
        <v>4.1349999999999998</v>
      </c>
      <c r="R9" s="1418"/>
      <c r="S9" s="1419">
        <f>Q9+R9+U8</f>
        <v>2.2087000000000856E-2</v>
      </c>
      <c r="T9" s="1418"/>
      <c r="U9" s="1517">
        <f t="shared" si="2"/>
        <v>2.2087000000000856E-2</v>
      </c>
      <c r="V9" s="2659"/>
      <c r="W9" s="1118">
        <v>5.89</v>
      </c>
      <c r="X9" s="1418"/>
      <c r="Y9" s="1517">
        <f>W9+X9+AA8</f>
        <v>3.0575999999995496E-2</v>
      </c>
      <c r="Z9" s="1418"/>
      <c r="AA9" s="1517">
        <f t="shared" si="3"/>
        <v>3.0575999999995496E-2</v>
      </c>
      <c r="AB9" s="2659"/>
      <c r="AC9" s="1118">
        <v>5.89</v>
      </c>
      <c r="AD9" s="1418"/>
      <c r="AE9" s="1419">
        <f>AC9+AD9+AG8</f>
        <v>3.0575999999995496E-2</v>
      </c>
      <c r="AF9" s="1418"/>
      <c r="AG9" s="1517">
        <f t="shared" si="4"/>
        <v>3.0575999999995496E-2</v>
      </c>
      <c r="AH9" s="2659"/>
      <c r="AI9" s="1517">
        <v>5.8960262099999996</v>
      </c>
      <c r="AJ9" s="1418"/>
      <c r="AK9" s="1517">
        <f>AI9+AJ9+AM8</f>
        <v>3.123000999999892E-2</v>
      </c>
      <c r="AL9" s="1418"/>
      <c r="AM9" s="1517">
        <f t="shared" si="5"/>
        <v>3.123000999999892E-2</v>
      </c>
      <c r="AN9" s="2659"/>
      <c r="AO9" s="1508">
        <f t="shared" si="6"/>
        <v>24.983026209999998</v>
      </c>
      <c r="AP9" s="1556">
        <f t="shared" si="6"/>
        <v>0</v>
      </c>
      <c r="AQ9" s="1418">
        <f>AO9+AP9+AS8</f>
        <v>0.13097350999999691</v>
      </c>
      <c r="AR9" s="1418">
        <f t="shared" si="7"/>
        <v>0</v>
      </c>
      <c r="AS9" s="1556">
        <f t="shared" si="8"/>
        <v>0.13097350999999691</v>
      </c>
      <c r="AT9" s="1433">
        <f t="shared" si="9"/>
        <v>0</v>
      </c>
      <c r="AU9" s="2665"/>
      <c r="AV9" s="2665"/>
      <c r="AW9" s="2668"/>
      <c r="AX9" s="2665"/>
      <c r="AY9" s="2665"/>
      <c r="AZ9" s="2572"/>
      <c r="BK9" s="1075"/>
      <c r="BL9" s="1075"/>
      <c r="BM9" s="1075"/>
      <c r="BN9" s="1075"/>
      <c r="BO9" s="1075"/>
      <c r="BP9" s="1075"/>
      <c r="BQ9" s="1075"/>
      <c r="BR9" s="1075"/>
      <c r="BS9" s="1075"/>
      <c r="BT9" s="1075"/>
      <c r="BU9" s="1075"/>
      <c r="BV9" s="1075"/>
      <c r="BW9" s="1075"/>
      <c r="BX9" s="1075"/>
    </row>
    <row r="10" spans="1:76">
      <c r="A10" s="2654"/>
      <c r="B10" s="2662" t="s">
        <v>167</v>
      </c>
      <c r="C10" s="1420">
        <v>41640</v>
      </c>
      <c r="D10" s="1669">
        <v>42216</v>
      </c>
      <c r="E10" s="1562">
        <v>0.88900000000000001</v>
      </c>
      <c r="F10" s="1659">
        <f>-0.0044-0.9552455</f>
        <v>-0.95964549999999993</v>
      </c>
      <c r="G10" s="1511">
        <f>E10+F10</f>
        <v>-7.0645499999999917E-2</v>
      </c>
      <c r="H10" s="1512"/>
      <c r="I10" s="1554">
        <f t="shared" si="0"/>
        <v>-7.0645499999999917E-2</v>
      </c>
      <c r="J10" s="2660">
        <f>E10+E11+F10+F11</f>
        <v>3.8354500000000069E-2</v>
      </c>
      <c r="K10" s="1553">
        <v>8.1669999999999998</v>
      </c>
      <c r="L10" s="1121">
        <f>-0.0441-0.044-8.68405</f>
        <v>-8.7721499999999999</v>
      </c>
      <c r="M10" s="1554">
        <f>K10+L10</f>
        <v>-0.60515000000000008</v>
      </c>
      <c r="N10" s="1536"/>
      <c r="O10" s="1554">
        <f t="shared" si="1"/>
        <v>-0.60515000000000008</v>
      </c>
      <c r="P10" s="2660">
        <f>K10+K11+L10+L11</f>
        <v>0.30184999999999995</v>
      </c>
      <c r="Q10" s="1116">
        <v>11.923999999999999</v>
      </c>
      <c r="R10" s="1121">
        <f>-0.0441-0.0584-12.678713</f>
        <v>-12.781212999999999</v>
      </c>
      <c r="S10" s="1122">
        <f>Q10+R10</f>
        <v>-0.85721299999999978</v>
      </c>
      <c r="T10" s="1536"/>
      <c r="U10" s="1554">
        <f t="shared" si="2"/>
        <v>-0.85721299999999978</v>
      </c>
      <c r="V10" s="2660">
        <f>Q10+Q11+R10+R11</f>
        <v>0.46778699999999951</v>
      </c>
      <c r="W10" s="1116">
        <v>16.986999999999998</v>
      </c>
      <c r="X10" s="1121">
        <f>-0.0441-0.0832-18.062824</f>
        <v>-18.190124000000001</v>
      </c>
      <c r="Y10" s="1554">
        <f>W10+X10</f>
        <v>-1.2031240000000025</v>
      </c>
      <c r="Z10" s="1536"/>
      <c r="AA10" s="1554">
        <f t="shared" si="3"/>
        <v>-1.2031240000000025</v>
      </c>
      <c r="AB10" s="2660">
        <f>W10+W11+X10+X11</f>
        <v>0.68387599999999793</v>
      </c>
      <c r="AC10" s="1116">
        <v>16.986999999999998</v>
      </c>
      <c r="AD10" s="1121">
        <f>-0.0441-0.0832-18.062824</f>
        <v>-18.190124000000001</v>
      </c>
      <c r="AE10" s="1122">
        <f>AC10+AD10</f>
        <v>-1.2031240000000025</v>
      </c>
      <c r="AF10" s="1512"/>
      <c r="AG10" s="1554">
        <f t="shared" si="4"/>
        <v>-1.2031240000000025</v>
      </c>
      <c r="AH10" s="2660">
        <f>AC10+AC11+AD10+AD11</f>
        <v>0.68387599999999793</v>
      </c>
      <c r="AI10" s="1554">
        <v>17.003329699999998</v>
      </c>
      <c r="AJ10" s="1121">
        <f>-0.0441-0.08328-18.0801921</f>
        <v>-18.2075721</v>
      </c>
      <c r="AK10" s="1554">
        <f>AI10+AJ10</f>
        <v>-1.2042424000000018</v>
      </c>
      <c r="AL10" s="1536"/>
      <c r="AM10" s="1554">
        <f t="shared" si="5"/>
        <v>-1.2042424000000018</v>
      </c>
      <c r="AN10" s="2660">
        <f>AI10+AI11+AJ10+AJ11</f>
        <v>0.68501644999999911</v>
      </c>
      <c r="AO10" s="1117">
        <f t="shared" ref="AO10:AP51" si="10">E10+K10+Q10+W10+AC10+AI10</f>
        <v>71.957329699999988</v>
      </c>
      <c r="AP10" s="1123">
        <f>F10+L10+R10+X10+AD10+AJ10-0.66106-2.20353</f>
        <v>-79.965418600000007</v>
      </c>
      <c r="AQ10" s="1536">
        <f>AO10+AP10</f>
        <v>-8.0080889000000184</v>
      </c>
      <c r="AR10" s="1536">
        <f t="shared" si="7"/>
        <v>0</v>
      </c>
      <c r="AS10" s="1554">
        <f t="shared" si="8"/>
        <v>-8.0080889000000184</v>
      </c>
      <c r="AT10" s="1435">
        <f t="shared" si="9"/>
        <v>0</v>
      </c>
      <c r="AU10" s="2670">
        <f>AO10+AO11</f>
        <v>79.961588549999988</v>
      </c>
      <c r="AV10" s="2670">
        <f>AP10+AP11</f>
        <v>-79.965418600000007</v>
      </c>
      <c r="AW10" s="2671">
        <f>AU10+AV10</f>
        <v>-3.8300500000190141E-3</v>
      </c>
      <c r="AX10" s="2670">
        <f>AR10+AR11</f>
        <v>0</v>
      </c>
      <c r="AY10" s="2670">
        <f>AW10-AX10</f>
        <v>-3.8300500000190141E-3</v>
      </c>
      <c r="AZ10" s="2584">
        <f>AX10/AW10</f>
        <v>0</v>
      </c>
      <c r="BK10" s="1075"/>
      <c r="BL10" s="1075"/>
      <c r="BM10" s="1075"/>
      <c r="BN10" s="1075"/>
      <c r="BO10" s="1075"/>
      <c r="BP10" s="1075"/>
      <c r="BQ10" s="1075"/>
      <c r="BR10" s="1075"/>
      <c r="BS10" s="1075"/>
      <c r="BT10" s="1075"/>
      <c r="BU10" s="1075"/>
      <c r="BV10" s="1075"/>
      <c r="BW10" s="1075"/>
      <c r="BX10" s="1075"/>
    </row>
    <row r="11" spans="1:76">
      <c r="A11" s="2654"/>
      <c r="B11" s="2663"/>
      <c r="C11" s="1119">
        <v>42278</v>
      </c>
      <c r="D11" s="1120">
        <v>42369</v>
      </c>
      <c r="E11" s="1118">
        <v>0.109</v>
      </c>
      <c r="F11" s="1508"/>
      <c r="G11" s="1517">
        <f>E11+F11+I10</f>
        <v>3.8354500000000083E-2</v>
      </c>
      <c r="H11" s="1418"/>
      <c r="I11" s="1517">
        <f t="shared" si="0"/>
        <v>3.8354500000000083E-2</v>
      </c>
      <c r="J11" s="2659"/>
      <c r="K11" s="1555">
        <v>0.90700000000000003</v>
      </c>
      <c r="L11" s="1423"/>
      <c r="M11" s="1517">
        <f>K11+L11+O10</f>
        <v>0.30184999999999995</v>
      </c>
      <c r="N11" s="1418"/>
      <c r="O11" s="1517">
        <f t="shared" si="1"/>
        <v>0.30184999999999995</v>
      </c>
      <c r="P11" s="2659"/>
      <c r="Q11" s="1118">
        <v>1.325</v>
      </c>
      <c r="R11" s="1418"/>
      <c r="S11" s="1419">
        <f>Q11+R11+U10</f>
        <v>0.46778700000000017</v>
      </c>
      <c r="T11" s="1536"/>
      <c r="U11" s="1554">
        <f t="shared" si="2"/>
        <v>0.46778700000000017</v>
      </c>
      <c r="V11" s="2660"/>
      <c r="W11" s="1116">
        <v>1.887</v>
      </c>
      <c r="X11" s="1536"/>
      <c r="Y11" s="1554">
        <f>W11+X11+AA10</f>
        <v>0.68387599999999749</v>
      </c>
      <c r="Z11" s="1536"/>
      <c r="AA11" s="1554">
        <f t="shared" si="3"/>
        <v>0.68387599999999749</v>
      </c>
      <c r="AB11" s="2660"/>
      <c r="AC11" s="1116">
        <v>1.887</v>
      </c>
      <c r="AD11" s="1418"/>
      <c r="AE11" s="1419">
        <f>AC11+AD11+AG10</f>
        <v>0.68387599999999749</v>
      </c>
      <c r="AF11" s="1418"/>
      <c r="AG11" s="1517">
        <f t="shared" si="4"/>
        <v>0.68387599999999749</v>
      </c>
      <c r="AH11" s="2659"/>
      <c r="AI11" s="1517">
        <v>1.88925885</v>
      </c>
      <c r="AJ11" s="1418"/>
      <c r="AK11" s="1517">
        <f>AI11+AJ11+AM10</f>
        <v>0.68501644999999822</v>
      </c>
      <c r="AL11" s="1418"/>
      <c r="AM11" s="1517">
        <f t="shared" si="5"/>
        <v>0.68501644999999822</v>
      </c>
      <c r="AN11" s="2659"/>
      <c r="AO11" s="1508">
        <f t="shared" si="10"/>
        <v>8.0042588499999994</v>
      </c>
      <c r="AP11" s="1556">
        <f>F11+L11+R11+X11+AD11+AJ11</f>
        <v>0</v>
      </c>
      <c r="AQ11" s="1418">
        <f>AO11+AP11+AS10</f>
        <v>-3.8300500000190141E-3</v>
      </c>
      <c r="AR11" s="1418">
        <f t="shared" si="7"/>
        <v>0</v>
      </c>
      <c r="AS11" s="1556">
        <f t="shared" si="8"/>
        <v>-3.8300500000190141E-3</v>
      </c>
      <c r="AT11" s="1433">
        <f t="shared" si="9"/>
        <v>0</v>
      </c>
      <c r="AU11" s="2665"/>
      <c r="AV11" s="2665"/>
      <c r="AW11" s="2668"/>
      <c r="AX11" s="2665"/>
      <c r="AY11" s="2665"/>
      <c r="AZ11" s="2572"/>
      <c r="BK11" s="1075"/>
      <c r="BL11" s="1075"/>
      <c r="BM11" s="1075"/>
      <c r="BN11" s="1075"/>
      <c r="BO11" s="1075"/>
      <c r="BP11" s="1075"/>
      <c r="BQ11" s="1075"/>
      <c r="BR11" s="1075"/>
      <c r="BS11" s="1075"/>
      <c r="BT11" s="1075"/>
      <c r="BU11" s="1075"/>
      <c r="BV11" s="1075"/>
      <c r="BW11" s="1075"/>
      <c r="BX11" s="1075"/>
    </row>
    <row r="12" spans="1:76">
      <c r="A12" s="2654"/>
      <c r="B12" s="2662" t="s">
        <v>169</v>
      </c>
      <c r="C12" s="1643">
        <v>41640</v>
      </c>
      <c r="D12" s="1644">
        <v>42216</v>
      </c>
      <c r="E12" s="1116">
        <f>7.147+0.442</f>
        <v>7.5890000000000004</v>
      </c>
      <c r="F12" s="1645">
        <f>0.9552455+0.37125</f>
        <v>1.3264955</v>
      </c>
      <c r="G12" s="1554">
        <f>E12+F12</f>
        <v>8.9154955000000005</v>
      </c>
      <c r="H12" s="1536"/>
      <c r="I12" s="1554">
        <f t="shared" si="0"/>
        <v>8.9154955000000005</v>
      </c>
      <c r="J12" s="2660">
        <f>E12+E13+F12+F13</f>
        <v>9.8444955000000007</v>
      </c>
      <c r="K12" s="1553">
        <f>65.634+4.05</f>
        <v>69.683999999999997</v>
      </c>
      <c r="L12" s="1532">
        <f>21.17-59.82+8.68405+3.375</f>
        <v>-26.590949999999999</v>
      </c>
      <c r="M12" s="1554">
        <f>K12+L12</f>
        <v>43.093049999999998</v>
      </c>
      <c r="N12" s="1260">
        <v>10.776000000000002</v>
      </c>
      <c r="O12" s="1554">
        <f t="shared" si="1"/>
        <v>32.317049999999995</v>
      </c>
      <c r="P12" s="2660">
        <f>K12+K13+L12+L13</f>
        <v>50.836049999999993</v>
      </c>
      <c r="Q12" s="1116">
        <f>95.826+5.914</f>
        <v>101.74</v>
      </c>
      <c r="R12" s="1536">
        <f>12.678713+4.9275</f>
        <v>17.606213</v>
      </c>
      <c r="S12" s="1122">
        <f>Q12+R12</f>
        <v>119.34621299999999</v>
      </c>
      <c r="T12" s="1484">
        <v>73.647999999999982</v>
      </c>
      <c r="U12" s="1511">
        <f t="shared" si="2"/>
        <v>45.69821300000001</v>
      </c>
      <c r="V12" s="2661">
        <f>Q12+Q13+R12+R13</f>
        <v>130.65121299999998</v>
      </c>
      <c r="W12" s="1562">
        <f>136.519+8.424</f>
        <v>144.94300000000001</v>
      </c>
      <c r="X12" s="1512">
        <f>18.062824+7.02</f>
        <v>25.082823999999999</v>
      </c>
      <c r="Y12" s="1511">
        <f>W12+X12</f>
        <v>170.025824</v>
      </c>
      <c r="Z12" s="1484">
        <v>59.869</v>
      </c>
      <c r="AA12" s="1511">
        <f t="shared" si="3"/>
        <v>110.156824</v>
      </c>
      <c r="AB12" s="2661">
        <f>W12+W13+X12+X13</f>
        <v>186.13082399999999</v>
      </c>
      <c r="AC12" s="1562">
        <f>136.519+8.424</f>
        <v>144.94300000000001</v>
      </c>
      <c r="AD12" s="1536">
        <f>18.062824+7.02</f>
        <v>25.082823999999999</v>
      </c>
      <c r="AE12" s="1122">
        <f>AC12+AD12</f>
        <v>170.025824</v>
      </c>
      <c r="AF12" s="1257">
        <v>135.71899999999999</v>
      </c>
      <c r="AG12" s="1554">
        <f t="shared" si="4"/>
        <v>34.306824000000006</v>
      </c>
      <c r="AH12" s="2660">
        <f>AC12+AC13+AD12+AD13</f>
        <v>186.13082399999999</v>
      </c>
      <c r="AI12" s="1554">
        <f>136.65005+8.4321</f>
        <v>145.08214999999998</v>
      </c>
      <c r="AJ12" s="1536">
        <f>18.0801921+7.02675</f>
        <v>25.106942100000001</v>
      </c>
      <c r="AK12" s="1554">
        <f>AI12+AJ12</f>
        <v>170.18909209999998</v>
      </c>
      <c r="AL12" s="1484">
        <v>133.38</v>
      </c>
      <c r="AM12" s="1554">
        <f t="shared" si="5"/>
        <v>36.809092099999987</v>
      </c>
      <c r="AN12" s="2660">
        <f>AI12+AI13+AJ12+AJ13</f>
        <v>186.30933099999999</v>
      </c>
      <c r="AO12" s="1117">
        <f t="shared" si="10"/>
        <v>613.98114999999996</v>
      </c>
      <c r="AP12" s="1554">
        <f>F12+L12+R12+X12+AD12+AJ12</f>
        <v>67.6143486</v>
      </c>
      <c r="AQ12" s="1536">
        <f>AO12+AP12</f>
        <v>681.59549859999993</v>
      </c>
      <c r="AR12" s="1536">
        <f t="shared" si="7"/>
        <v>413.39199999999994</v>
      </c>
      <c r="AS12" s="1554">
        <f t="shared" si="8"/>
        <v>268.20349859999999</v>
      </c>
      <c r="AT12" s="1435">
        <f t="shared" si="9"/>
        <v>0.60650635288687915</v>
      </c>
      <c r="AU12" s="2670">
        <f>AO12+AO13</f>
        <v>682.28838889999997</v>
      </c>
      <c r="AV12" s="2670">
        <f>AP12+AP13</f>
        <v>67.6143486</v>
      </c>
      <c r="AW12" s="2671">
        <f>AU12+AV12</f>
        <v>749.90273749999994</v>
      </c>
      <c r="AX12" s="2670">
        <f>AR12+AR13</f>
        <v>481.65999999999997</v>
      </c>
      <c r="AY12" s="2670">
        <f>AW12-AX12</f>
        <v>268.24273749999998</v>
      </c>
      <c r="AZ12" s="2584">
        <f>AX12/AW12</f>
        <v>0.64229662850110614</v>
      </c>
      <c r="BK12" s="1075"/>
      <c r="BL12" s="1075"/>
      <c r="BM12" s="1075"/>
      <c r="BN12" s="1075"/>
      <c r="BO12" s="1075"/>
      <c r="BP12" s="1075"/>
      <c r="BQ12" s="1075"/>
      <c r="BR12" s="1075"/>
      <c r="BS12" s="1075"/>
      <c r="BT12" s="1075"/>
      <c r="BU12" s="1075"/>
      <c r="BV12" s="1075"/>
      <c r="BW12" s="1075"/>
      <c r="BX12" s="1075"/>
    </row>
    <row r="13" spans="1:76">
      <c r="A13" s="2654"/>
      <c r="B13" s="2663"/>
      <c r="C13" s="1119">
        <v>42278</v>
      </c>
      <c r="D13" s="1120">
        <v>42369</v>
      </c>
      <c r="E13" s="1118">
        <f>0.875+0.054</f>
        <v>0.92900000000000005</v>
      </c>
      <c r="F13" s="1418"/>
      <c r="G13" s="1517">
        <f>E13+F13+I12</f>
        <v>9.8444955000000007</v>
      </c>
      <c r="H13" s="1418"/>
      <c r="I13" s="1554">
        <f t="shared" si="0"/>
        <v>9.8444955000000007</v>
      </c>
      <c r="J13" s="2659"/>
      <c r="K13" s="1553">
        <f>7.293+0.45</f>
        <v>7.7430000000000003</v>
      </c>
      <c r="L13" s="1418"/>
      <c r="M13" s="1517">
        <f>K13+L13+O12</f>
        <v>40.060049999999997</v>
      </c>
      <c r="N13" s="1260">
        <v>1.1060000000000001</v>
      </c>
      <c r="O13" s="1554">
        <f t="shared" si="1"/>
        <v>38.954049999999995</v>
      </c>
      <c r="P13" s="2659"/>
      <c r="Q13" s="1116">
        <f>10.647+0.658</f>
        <v>11.305</v>
      </c>
      <c r="R13" s="1536"/>
      <c r="S13" s="1122">
        <f>Q13+R13+U12</f>
        <v>57.003213000000009</v>
      </c>
      <c r="T13" s="1418"/>
      <c r="U13" s="1517">
        <f t="shared" si="2"/>
        <v>57.003213000000009</v>
      </c>
      <c r="V13" s="2659"/>
      <c r="W13" s="1118">
        <f>15.169+0.936</f>
        <v>16.105</v>
      </c>
      <c r="X13" s="1418"/>
      <c r="Y13" s="1517">
        <f>W13+X13+AA12</f>
        <v>126.261824</v>
      </c>
      <c r="Z13" s="1260">
        <v>9.157</v>
      </c>
      <c r="AA13" s="1517">
        <f t="shared" si="3"/>
        <v>117.10482400000001</v>
      </c>
      <c r="AB13" s="2659"/>
      <c r="AC13" s="1118">
        <f>15.169+0.936</f>
        <v>16.105</v>
      </c>
      <c r="AD13" s="1536"/>
      <c r="AE13" s="1122">
        <f>AC13+AD13+AG12</f>
        <v>50.41182400000001</v>
      </c>
      <c r="AF13" s="1418">
        <v>41.517000000000003</v>
      </c>
      <c r="AG13" s="1554">
        <f t="shared" si="4"/>
        <v>8.8948240000000069</v>
      </c>
      <c r="AH13" s="2659"/>
      <c r="AI13" s="1554">
        <f>15.1833389+0.9369</f>
        <v>16.1202389</v>
      </c>
      <c r="AJ13" s="1536"/>
      <c r="AK13" s="1554">
        <f>AI13+AJ13+AM12</f>
        <v>52.929330999999991</v>
      </c>
      <c r="AL13" s="1627">
        <v>16.488</v>
      </c>
      <c r="AM13" s="1554">
        <f t="shared" si="5"/>
        <v>36.441330999999991</v>
      </c>
      <c r="AN13" s="2659"/>
      <c r="AO13" s="1508">
        <f t="shared" si="10"/>
        <v>68.307238900000002</v>
      </c>
      <c r="AP13" s="1556">
        <f>F13+L13+R13+X13+AD13+AJ13</f>
        <v>0</v>
      </c>
      <c r="AQ13" s="1418">
        <f>AO13+AP13+AS12</f>
        <v>336.5107375</v>
      </c>
      <c r="AR13" s="1418">
        <f t="shared" si="7"/>
        <v>68.268000000000001</v>
      </c>
      <c r="AS13" s="1554">
        <f t="shared" si="8"/>
        <v>268.24273749999998</v>
      </c>
      <c r="AT13" s="1435">
        <f t="shared" si="9"/>
        <v>0.20287019816121024</v>
      </c>
      <c r="AU13" s="2665"/>
      <c r="AV13" s="2665"/>
      <c r="AW13" s="2668"/>
      <c r="AX13" s="2665"/>
      <c r="AY13" s="2665"/>
      <c r="AZ13" s="2572"/>
      <c r="BK13" s="1075"/>
      <c r="BL13" s="1075"/>
      <c r="BM13" s="1075"/>
      <c r="BN13" s="1075"/>
      <c r="BO13" s="1075"/>
      <c r="BP13" s="1075"/>
      <c r="BQ13" s="1075"/>
      <c r="BR13" s="1075"/>
      <c r="BS13" s="1075"/>
      <c r="BT13" s="1075"/>
      <c r="BU13" s="1075"/>
      <c r="BV13" s="1075"/>
      <c r="BW13" s="1075"/>
      <c r="BX13" s="1075"/>
    </row>
    <row r="14" spans="1:76" ht="15" customHeight="1">
      <c r="A14" s="2654"/>
      <c r="B14" s="2672" t="s">
        <v>219</v>
      </c>
      <c r="C14" s="1643">
        <v>41640</v>
      </c>
      <c r="D14" s="1644">
        <v>42216</v>
      </c>
      <c r="E14" s="1116">
        <f>0.037+0.221</f>
        <v>0.25800000000000001</v>
      </c>
      <c r="F14" s="1659">
        <f>-0.0000404*55</f>
        <v>-2.222E-3</v>
      </c>
      <c r="G14" s="1554">
        <f>E14+F14</f>
        <v>0.25577800000000001</v>
      </c>
      <c r="H14" s="1536"/>
      <c r="I14" s="1511">
        <f t="shared" si="0"/>
        <v>0.25577800000000001</v>
      </c>
      <c r="J14" s="2661">
        <f>E14+E15+F14+F15</f>
        <v>0.28777800000000003</v>
      </c>
      <c r="K14" s="1550">
        <f>0.341+2.025</f>
        <v>2.3660000000000001</v>
      </c>
      <c r="L14" s="1512">
        <f>-0.0000404*500</f>
        <v>-2.0199999999999999E-2</v>
      </c>
      <c r="M14" s="1511">
        <f>K14+L14</f>
        <v>2.3458000000000001</v>
      </c>
      <c r="N14" s="1512"/>
      <c r="O14" s="1511">
        <f t="shared" si="1"/>
        <v>2.3458000000000001</v>
      </c>
      <c r="P14" s="2661">
        <f>K14+K15+L14+L15</f>
        <v>2.6088</v>
      </c>
      <c r="Q14" s="1562">
        <f>0.497+2.957</f>
        <v>3.4539999999999997</v>
      </c>
      <c r="R14" s="1510">
        <f>-0.04445-0.0295</f>
        <v>-7.3950000000000002E-2</v>
      </c>
      <c r="S14" s="1663">
        <f>Q14+R14</f>
        <v>3.3800499999999998</v>
      </c>
      <c r="T14" s="1512"/>
      <c r="U14" s="1511">
        <f t="shared" si="2"/>
        <v>3.3800499999999998</v>
      </c>
      <c r="V14" s="2661">
        <f>Q14+Q15+R14+R15</f>
        <v>3.7640499999999997</v>
      </c>
      <c r="W14" s="1562">
        <f>0.708+4.212</f>
        <v>4.92</v>
      </c>
      <c r="X14" s="1510">
        <f>-0.04445-0.042</f>
        <v>-8.6449999999999999E-2</v>
      </c>
      <c r="Y14" s="1511">
        <f>W14+X14</f>
        <v>4.8335499999999998</v>
      </c>
      <c r="Z14" s="1512"/>
      <c r="AA14" s="1511">
        <f t="shared" si="3"/>
        <v>4.8335499999999998</v>
      </c>
      <c r="AB14" s="2661">
        <f>W14+W15+X14+X15</f>
        <v>5.3805499999999995</v>
      </c>
      <c r="AC14" s="1562">
        <f>0.708+4.212</f>
        <v>4.92</v>
      </c>
      <c r="AD14" s="1510">
        <f>-0.04445-0.042</f>
        <v>-8.6449999999999999E-2</v>
      </c>
      <c r="AE14" s="1663">
        <f>AC14+AD14</f>
        <v>4.8335499999999998</v>
      </c>
      <c r="AF14" s="1257">
        <v>1.9510000000000001</v>
      </c>
      <c r="AG14" s="1511">
        <f t="shared" si="4"/>
        <v>2.8825499999999997</v>
      </c>
      <c r="AH14" s="2661">
        <f>AC14+AC15+AD14+AD15</f>
        <v>5.3805499999999995</v>
      </c>
      <c r="AI14" s="1511">
        <f>0.70904592+4.21605</f>
        <v>4.9250959200000004</v>
      </c>
      <c r="AJ14" s="1510">
        <f>-0.04445-0.0421</f>
        <v>-8.6550000000000002E-2</v>
      </c>
      <c r="AK14" s="1511">
        <f>AI14+AJ14</f>
        <v>4.8385459200000005</v>
      </c>
      <c r="AL14" s="1260">
        <v>2.7649999999999997</v>
      </c>
      <c r="AM14" s="1511">
        <f t="shared" si="5"/>
        <v>2.0735459200000008</v>
      </c>
      <c r="AN14" s="2661">
        <f>AI14+AI15+AJ14+AJ15</f>
        <v>5.3857788000000006</v>
      </c>
      <c r="AO14" s="1659">
        <f t="shared" si="10"/>
        <v>20.84309592</v>
      </c>
      <c r="AP14" s="1511">
        <f>F14+L14+R14+X14+AD14+AJ14</f>
        <v>-0.35582199999999997</v>
      </c>
      <c r="AQ14" s="1512">
        <f>AO14+AP14</f>
        <v>20.48727392</v>
      </c>
      <c r="AR14" s="1512">
        <f t="shared" si="7"/>
        <v>4.7159999999999993</v>
      </c>
      <c r="AS14" s="1511">
        <f t="shared" si="8"/>
        <v>15.771273920000001</v>
      </c>
      <c r="AT14" s="1514">
        <f t="shared" si="9"/>
        <v>0.23019167988944422</v>
      </c>
      <c r="AU14" s="2664">
        <f>AO14+AO15</f>
        <v>23.163328799999999</v>
      </c>
      <c r="AV14" s="2664">
        <f>AP14+AP15</f>
        <v>-0.35582199999999997</v>
      </c>
      <c r="AW14" s="2669">
        <f>AU14+AV14</f>
        <v>22.807506799999999</v>
      </c>
      <c r="AX14" s="2664">
        <f>AR14+AR15</f>
        <v>5.044999999999999</v>
      </c>
      <c r="AY14" s="2664">
        <f>AW14-AX14</f>
        <v>17.762506800000001</v>
      </c>
      <c r="AZ14" s="2584">
        <f>AX14/AW14</f>
        <v>0.22119910099073167</v>
      </c>
      <c r="BK14" s="1075"/>
      <c r="BL14" s="1075"/>
      <c r="BM14" s="1075"/>
      <c r="BN14" s="1075"/>
      <c r="BO14" s="1075"/>
      <c r="BP14" s="1075"/>
      <c r="BQ14" s="1075"/>
      <c r="BR14" s="1075"/>
      <c r="BS14" s="1075"/>
      <c r="BT14" s="1075"/>
      <c r="BU14" s="1075"/>
      <c r="BV14" s="1075"/>
      <c r="BW14" s="1075"/>
      <c r="BX14" s="1075"/>
    </row>
    <row r="15" spans="1:76" ht="18" customHeight="1">
      <c r="A15" s="2654"/>
      <c r="B15" s="2672"/>
      <c r="C15" s="1643">
        <v>42278</v>
      </c>
      <c r="D15" s="1644">
        <v>42369</v>
      </c>
      <c r="E15" s="1116">
        <f>0.005+0.027</f>
        <v>3.2000000000000001E-2</v>
      </c>
      <c r="F15" s="1117"/>
      <c r="G15" s="1554">
        <f>E15+F15+I14</f>
        <v>0.28777799999999998</v>
      </c>
      <c r="H15" s="1536"/>
      <c r="I15" s="1517">
        <f t="shared" si="0"/>
        <v>0.28777799999999998</v>
      </c>
      <c r="J15" s="2659"/>
      <c r="K15" s="1555">
        <f>0.038+0.225</f>
        <v>0.26300000000000001</v>
      </c>
      <c r="L15" s="1418"/>
      <c r="M15" s="1517">
        <f>K15+L15+O14</f>
        <v>2.6088</v>
      </c>
      <c r="N15" s="1536"/>
      <c r="O15" s="1517">
        <f t="shared" si="1"/>
        <v>2.6088</v>
      </c>
      <c r="P15" s="2659"/>
      <c r="Q15" s="1118">
        <f>0.055+0.329</f>
        <v>0.38400000000000001</v>
      </c>
      <c r="R15" s="1418"/>
      <c r="S15" s="1419">
        <f>Q15+R15+U14</f>
        <v>3.7640499999999997</v>
      </c>
      <c r="T15" s="1418"/>
      <c r="U15" s="1517">
        <f t="shared" si="2"/>
        <v>3.7640499999999997</v>
      </c>
      <c r="V15" s="2659"/>
      <c r="W15" s="1118">
        <f>0.079+0.468</f>
        <v>0.54700000000000004</v>
      </c>
      <c r="X15" s="1418"/>
      <c r="Y15" s="1517">
        <f>W15+X15+AA14</f>
        <v>5.3805499999999995</v>
      </c>
      <c r="Z15" s="1418"/>
      <c r="AA15" s="1517">
        <f t="shared" si="3"/>
        <v>5.3805499999999995</v>
      </c>
      <c r="AB15" s="2659"/>
      <c r="AC15" s="1118">
        <f>0.079+0.468</f>
        <v>0.54700000000000004</v>
      </c>
      <c r="AD15" s="1418"/>
      <c r="AE15" s="1419">
        <f>AC15+AD15+AG14</f>
        <v>3.4295499999999999</v>
      </c>
      <c r="AF15" s="1260">
        <v>9.4E-2</v>
      </c>
      <c r="AG15" s="1517">
        <f t="shared" si="4"/>
        <v>3.33555</v>
      </c>
      <c r="AH15" s="2659"/>
      <c r="AI15" s="1517">
        <f>0.07878288+0.46845</f>
        <v>0.54723287999999992</v>
      </c>
      <c r="AJ15" s="1418"/>
      <c r="AK15" s="1517">
        <f>AI15+AJ15+AM14</f>
        <v>2.620778800000001</v>
      </c>
      <c r="AL15" s="1260">
        <v>0.23499999999999999</v>
      </c>
      <c r="AM15" s="1517">
        <f t="shared" si="5"/>
        <v>2.3857788000000011</v>
      </c>
      <c r="AN15" s="2659"/>
      <c r="AO15" s="1508">
        <f t="shared" si="10"/>
        <v>2.3202328799999998</v>
      </c>
      <c r="AP15" s="1517">
        <f t="shared" si="10"/>
        <v>0</v>
      </c>
      <c r="AQ15" s="1418">
        <f>AO15+AP15+AS14</f>
        <v>18.091506800000001</v>
      </c>
      <c r="AR15" s="1418">
        <f t="shared" si="7"/>
        <v>0.32899999999999996</v>
      </c>
      <c r="AS15" s="1517">
        <f t="shared" si="8"/>
        <v>17.762506800000001</v>
      </c>
      <c r="AT15" s="1519">
        <f t="shared" si="9"/>
        <v>1.8185328819598372E-2</v>
      </c>
      <c r="AU15" s="2665"/>
      <c r="AV15" s="2665"/>
      <c r="AW15" s="2668"/>
      <c r="AX15" s="2665"/>
      <c r="AY15" s="2665"/>
      <c r="AZ15" s="2572"/>
      <c r="BK15" s="1075"/>
      <c r="BL15" s="1075"/>
      <c r="BM15" s="1075"/>
      <c r="BN15" s="1075"/>
      <c r="BO15" s="1075"/>
      <c r="BP15" s="1075"/>
      <c r="BQ15" s="1075"/>
      <c r="BR15" s="1075"/>
      <c r="BS15" s="1075"/>
      <c r="BT15" s="1075"/>
      <c r="BU15" s="1075"/>
      <c r="BV15" s="1075"/>
      <c r="BW15" s="1075"/>
      <c r="BX15" s="1075"/>
    </row>
    <row r="16" spans="1:76" ht="17.45" customHeight="1">
      <c r="A16" s="2654"/>
      <c r="B16" s="2662" t="s">
        <v>294</v>
      </c>
      <c r="C16" s="1420">
        <v>41640</v>
      </c>
      <c r="D16" s="1669">
        <v>42216</v>
      </c>
      <c r="E16" s="1562">
        <v>1.0149999999999999</v>
      </c>
      <c r="F16" s="1659">
        <f>-1.1389785</f>
        <v>-1.1389784999999999</v>
      </c>
      <c r="G16" s="1511">
        <f>E16+F16</f>
        <v>-0.12397849999999999</v>
      </c>
      <c r="H16" s="1512"/>
      <c r="I16" s="1511">
        <f t="shared" si="0"/>
        <v>-0.12397849999999999</v>
      </c>
      <c r="J16" s="2661">
        <f>E16+E17+F16+F17</f>
        <v>2.1499999999896602E-5</v>
      </c>
      <c r="K16" s="1550">
        <v>9.3190000000000008</v>
      </c>
      <c r="L16" s="1512">
        <f>-10.35435</f>
        <v>-10.35435</v>
      </c>
      <c r="M16" s="1511">
        <f>K16+L16</f>
        <v>-1.0353499999999993</v>
      </c>
      <c r="N16" s="1512"/>
      <c r="O16" s="1511">
        <f t="shared" si="1"/>
        <v>-1.0353499999999993</v>
      </c>
      <c r="P16" s="2661">
        <f>K16+K17+L16+L17</f>
        <v>-3.499999999991843E-4</v>
      </c>
      <c r="Q16" s="1562">
        <v>13.606</v>
      </c>
      <c r="R16" s="1512">
        <f>-15.117351</f>
        <v>-15.117350999999999</v>
      </c>
      <c r="S16" s="1663">
        <f>Q16+R16</f>
        <v>-1.5113509999999994</v>
      </c>
      <c r="T16" s="1512"/>
      <c r="U16" s="1511">
        <f t="shared" si="2"/>
        <v>-1.5113509999999994</v>
      </c>
      <c r="V16" s="2661">
        <f>Q16+Q17+R16+R17</f>
        <v>6.4900000000100988E-4</v>
      </c>
      <c r="W16" s="1562">
        <v>19.382999999999999</v>
      </c>
      <c r="X16" s="1512">
        <f>-21.537048</f>
        <v>-21.537047999999999</v>
      </c>
      <c r="Y16" s="1511">
        <f>W16+X16</f>
        <v>-2.1540479999999995</v>
      </c>
      <c r="Z16" s="1512"/>
      <c r="AA16" s="1511">
        <f t="shared" si="3"/>
        <v>-2.1540479999999995</v>
      </c>
      <c r="AB16" s="2661">
        <f>W16+W17+X16+X17</f>
        <v>-4.7999999999603915E-5</v>
      </c>
      <c r="AC16" s="1562">
        <v>19.382999999999999</v>
      </c>
      <c r="AD16" s="1512">
        <f>-21.537048</f>
        <v>-21.537047999999999</v>
      </c>
      <c r="AE16" s="1663">
        <f>AC16+AD16</f>
        <v>-2.1540479999999995</v>
      </c>
      <c r="AF16" s="1512"/>
      <c r="AG16" s="1511">
        <f t="shared" si="4"/>
        <v>-2.1540479999999995</v>
      </c>
      <c r="AH16" s="2661">
        <f>AC16+AC17+AD16+AD17</f>
        <v>-4.7999999999603915E-5</v>
      </c>
      <c r="AI16" s="1511">
        <v>19.401980999999999</v>
      </c>
      <c r="AJ16" s="1512">
        <f>-21.5577567</f>
        <v>-21.557756699999999</v>
      </c>
      <c r="AK16" s="1511">
        <f>AI16+AJ16</f>
        <v>-2.1557756999999995</v>
      </c>
      <c r="AL16" s="1512"/>
      <c r="AM16" s="1511">
        <f t="shared" si="5"/>
        <v>-2.1557756999999995</v>
      </c>
      <c r="AN16" s="2661">
        <f>AI16+AI17+AJ16+AJ17</f>
        <v>-2.9999998929497451E-8</v>
      </c>
      <c r="AO16" s="1659">
        <f t="shared" si="10"/>
        <v>82.107980999999995</v>
      </c>
      <c r="AP16" s="1552">
        <f t="shared" ref="AP16:AP37" si="11">F16+L16+R16+X16+AD16+AJ16</f>
        <v>-91.242532199999999</v>
      </c>
      <c r="AQ16" s="1422">
        <f>AO16+AP16</f>
        <v>-9.1345512000000042</v>
      </c>
      <c r="AR16" s="1422">
        <f t="shared" si="7"/>
        <v>0</v>
      </c>
      <c r="AS16" s="1552">
        <f t="shared" si="8"/>
        <v>-9.1345512000000042</v>
      </c>
      <c r="AT16" s="1434">
        <f t="shared" si="9"/>
        <v>0</v>
      </c>
      <c r="AU16" s="2664">
        <f>AO16+AO17</f>
        <v>91.242756669999991</v>
      </c>
      <c r="AV16" s="2664">
        <f>AP16+AP17</f>
        <v>-91.242532199999999</v>
      </c>
      <c r="AW16" s="2669">
        <f>AU16+AV16</f>
        <v>2.2446999999203854E-4</v>
      </c>
      <c r="AX16" s="2664">
        <f>AR16+AR17</f>
        <v>0</v>
      </c>
      <c r="AY16" s="2664">
        <f>AW16-AX16</f>
        <v>2.2446999999203854E-4</v>
      </c>
      <c r="AZ16" s="2584">
        <f>AX16/AW16</f>
        <v>0</v>
      </c>
      <c r="BK16" s="1075"/>
      <c r="BL16" s="1075"/>
      <c r="BM16" s="1075"/>
      <c r="BN16" s="1075"/>
      <c r="BO16" s="1075"/>
      <c r="BP16" s="1075"/>
      <c r="BQ16" s="1075"/>
      <c r="BR16" s="1075"/>
      <c r="BS16" s="1075"/>
      <c r="BT16" s="1075"/>
      <c r="BU16" s="1075"/>
      <c r="BV16" s="1075"/>
      <c r="BW16" s="1075"/>
      <c r="BX16" s="1075"/>
    </row>
    <row r="17" spans="1:76" ht="18" customHeight="1">
      <c r="A17" s="2654"/>
      <c r="B17" s="2663"/>
      <c r="C17" s="1119">
        <v>42278</v>
      </c>
      <c r="D17" s="1120">
        <v>42369</v>
      </c>
      <c r="E17" s="1118">
        <v>0.124</v>
      </c>
      <c r="F17" s="1508"/>
      <c r="G17" s="1517">
        <f>E17+F17+I16</f>
        <v>2.1500000000007624E-5</v>
      </c>
      <c r="H17" s="1418"/>
      <c r="I17" s="1517">
        <f t="shared" si="0"/>
        <v>2.1500000000007624E-5</v>
      </c>
      <c r="J17" s="2659"/>
      <c r="K17" s="1555">
        <v>1.0349999999999999</v>
      </c>
      <c r="L17" s="1418"/>
      <c r="M17" s="1517">
        <f>K17+L17+O16</f>
        <v>-3.4999999999940634E-4</v>
      </c>
      <c r="N17" s="1418"/>
      <c r="O17" s="1517">
        <f t="shared" si="1"/>
        <v>-3.4999999999940634E-4</v>
      </c>
      <c r="P17" s="2659"/>
      <c r="Q17" s="1118">
        <v>1.512</v>
      </c>
      <c r="R17" s="1418"/>
      <c r="S17" s="1419">
        <f>Q17+R17+U16</f>
        <v>6.4900000000056579E-4</v>
      </c>
      <c r="T17" s="1418"/>
      <c r="U17" s="1517">
        <f t="shared" si="2"/>
        <v>6.4900000000056579E-4</v>
      </c>
      <c r="V17" s="2659"/>
      <c r="W17" s="1118">
        <v>2.1539999999999999</v>
      </c>
      <c r="X17" s="1418"/>
      <c r="Y17" s="1517">
        <f>W17+X17+AA16</f>
        <v>-4.7999999999603915E-5</v>
      </c>
      <c r="Z17" s="1418"/>
      <c r="AA17" s="1517">
        <f t="shared" si="3"/>
        <v>-4.7999999999603915E-5</v>
      </c>
      <c r="AB17" s="2659"/>
      <c r="AC17" s="1118">
        <v>2.1539999999999999</v>
      </c>
      <c r="AD17" s="1418"/>
      <c r="AE17" s="1419">
        <f>AC17+AD17+AG16</f>
        <v>-4.7999999999603915E-5</v>
      </c>
      <c r="AF17" s="1418"/>
      <c r="AG17" s="1517">
        <f t="shared" si="4"/>
        <v>-4.7999999999603915E-5</v>
      </c>
      <c r="AH17" s="2659"/>
      <c r="AI17" s="1517">
        <v>2.1557756700000001</v>
      </c>
      <c r="AJ17" s="1418"/>
      <c r="AK17" s="1517">
        <f>AI17+AJ17+AM16</f>
        <v>-2.9999999373586661E-8</v>
      </c>
      <c r="AL17" s="1418"/>
      <c r="AM17" s="1517">
        <f t="shared" si="5"/>
        <v>-2.9999999373586661E-8</v>
      </c>
      <c r="AN17" s="2659"/>
      <c r="AO17" s="1508">
        <f t="shared" si="10"/>
        <v>9.1347756699999998</v>
      </c>
      <c r="AP17" s="1556">
        <f t="shared" si="11"/>
        <v>0</v>
      </c>
      <c r="AQ17" s="1418">
        <f>AO17+AP17+AS16</f>
        <v>2.2446999999559125E-4</v>
      </c>
      <c r="AR17" s="1418">
        <f t="shared" si="7"/>
        <v>0</v>
      </c>
      <c r="AS17" s="1556">
        <f t="shared" si="8"/>
        <v>2.2446999999559125E-4</v>
      </c>
      <c r="AT17" s="1433">
        <f t="shared" si="9"/>
        <v>0</v>
      </c>
      <c r="AU17" s="2665"/>
      <c r="AV17" s="2665"/>
      <c r="AW17" s="2668"/>
      <c r="AX17" s="2665"/>
      <c r="AY17" s="2665"/>
      <c r="AZ17" s="2572"/>
    </row>
    <row r="18" spans="1:76" ht="18" customHeight="1">
      <c r="A18" s="2654"/>
      <c r="B18" s="2662" t="s">
        <v>295</v>
      </c>
      <c r="C18" s="1420">
        <v>41640</v>
      </c>
      <c r="D18" s="1669">
        <v>42216</v>
      </c>
      <c r="E18" s="1562">
        <v>0.13900000000000001</v>
      </c>
      <c r="F18" s="1659"/>
      <c r="G18" s="1554">
        <f>E18+F18</f>
        <v>0.13900000000000001</v>
      </c>
      <c r="H18" s="1512"/>
      <c r="I18" s="1511">
        <f t="shared" si="0"/>
        <v>0.13900000000000001</v>
      </c>
      <c r="J18" s="2661">
        <f>E18+E19+F18+F19</f>
        <v>0.15600000000000003</v>
      </c>
      <c r="K18" s="1550">
        <v>1.278</v>
      </c>
      <c r="L18" s="1512"/>
      <c r="M18" s="1511">
        <f>K18+L18</f>
        <v>1.278</v>
      </c>
      <c r="N18" s="1512"/>
      <c r="O18" s="1511">
        <f t="shared" si="1"/>
        <v>1.278</v>
      </c>
      <c r="P18" s="2661">
        <f>K18+K19+L18+L19</f>
        <v>1.42</v>
      </c>
      <c r="Q18" s="1562">
        <v>1.865</v>
      </c>
      <c r="R18" s="1512"/>
      <c r="S18" s="1663">
        <f>Q18+R18</f>
        <v>1.865</v>
      </c>
      <c r="T18" s="1512"/>
      <c r="U18" s="1511">
        <f t="shared" si="2"/>
        <v>1.865</v>
      </c>
      <c r="V18" s="2661">
        <f>Q18+Q19+R18+R19</f>
        <v>2.0720000000000001</v>
      </c>
      <c r="W18" s="1562">
        <v>2.657</v>
      </c>
      <c r="X18" s="1512"/>
      <c r="Y18" s="1511">
        <f>W18+X18</f>
        <v>2.657</v>
      </c>
      <c r="Z18" s="1512"/>
      <c r="AA18" s="1511">
        <f t="shared" si="3"/>
        <v>2.657</v>
      </c>
      <c r="AB18" s="2661">
        <f>W18+W19+X18+X19</f>
        <v>2.952</v>
      </c>
      <c r="AC18" s="1562">
        <v>2.657</v>
      </c>
      <c r="AD18" s="1512"/>
      <c r="AE18" s="1663">
        <f>AC18+AD18</f>
        <v>2.657</v>
      </c>
      <c r="AF18" s="1512"/>
      <c r="AG18" s="1511">
        <f t="shared" si="4"/>
        <v>2.657</v>
      </c>
      <c r="AH18" s="2661">
        <f>AC18+AC19+AD18+AD19</f>
        <v>2.952</v>
      </c>
      <c r="AI18" s="1511">
        <v>2.6598590999999998</v>
      </c>
      <c r="AJ18" s="1512"/>
      <c r="AK18" s="1511">
        <f>AI18+AJ18</f>
        <v>2.6598590999999998</v>
      </c>
      <c r="AL18" s="1512"/>
      <c r="AM18" s="1511">
        <f t="shared" si="5"/>
        <v>2.6598590999999998</v>
      </c>
      <c r="AN18" s="2661">
        <f>AI18+AI19+AJ18+AJ19</f>
        <v>2.9553989999999999</v>
      </c>
      <c r="AO18" s="1659">
        <f t="shared" si="10"/>
        <v>11.2558591</v>
      </c>
      <c r="AP18" s="1552">
        <f t="shared" si="11"/>
        <v>0</v>
      </c>
      <c r="AQ18" s="1422">
        <f>AO18+AP18</f>
        <v>11.2558591</v>
      </c>
      <c r="AR18" s="1422">
        <f t="shared" si="7"/>
        <v>0</v>
      </c>
      <c r="AS18" s="1552">
        <f t="shared" si="8"/>
        <v>11.2558591</v>
      </c>
      <c r="AT18" s="1434">
        <f t="shared" si="9"/>
        <v>0</v>
      </c>
      <c r="AU18" s="2664">
        <f>AO18+AO19</f>
        <v>12.507398999999999</v>
      </c>
      <c r="AV18" s="2664">
        <f>AP18+AP19</f>
        <v>0</v>
      </c>
      <c r="AW18" s="2669">
        <f>AU18+AV18</f>
        <v>12.507398999999999</v>
      </c>
      <c r="AX18" s="2664">
        <f>AR18+AR19</f>
        <v>0</v>
      </c>
      <c r="AY18" s="2664">
        <f>AW18-AX18</f>
        <v>12.507398999999999</v>
      </c>
      <c r="AZ18" s="2584">
        <f>AX18/AW18</f>
        <v>0</v>
      </c>
    </row>
    <row r="19" spans="1:76" ht="18" customHeight="1">
      <c r="A19" s="2654"/>
      <c r="B19" s="2663"/>
      <c r="C19" s="1119">
        <v>42278</v>
      </c>
      <c r="D19" s="1120">
        <v>42369</v>
      </c>
      <c r="E19" s="1118">
        <v>1.7000000000000001E-2</v>
      </c>
      <c r="F19" s="1508"/>
      <c r="G19" s="1554">
        <f>E19+F19+I18</f>
        <v>0.15600000000000003</v>
      </c>
      <c r="H19" s="1536"/>
      <c r="I19" s="1554">
        <f t="shared" si="0"/>
        <v>0.15600000000000003</v>
      </c>
      <c r="J19" s="2659"/>
      <c r="K19" s="1553">
        <v>0.14199999999999999</v>
      </c>
      <c r="L19" s="1536"/>
      <c r="M19" s="1554">
        <f>K19+L19+O18</f>
        <v>1.42</v>
      </c>
      <c r="N19" s="1536"/>
      <c r="O19" s="1554">
        <f t="shared" si="1"/>
        <v>1.42</v>
      </c>
      <c r="P19" s="2659"/>
      <c r="Q19" s="1116">
        <v>0.20699999999999999</v>
      </c>
      <c r="R19" s="1536"/>
      <c r="S19" s="1122">
        <f>Q19+R19+U18</f>
        <v>2.0720000000000001</v>
      </c>
      <c r="T19" s="1536"/>
      <c r="U19" s="1554">
        <f t="shared" si="2"/>
        <v>2.0720000000000001</v>
      </c>
      <c r="V19" s="2660"/>
      <c r="W19" s="1116">
        <v>0.29499999999999998</v>
      </c>
      <c r="X19" s="1536"/>
      <c r="Y19" s="1554">
        <f>W19+X19+AA18</f>
        <v>2.952</v>
      </c>
      <c r="Z19" s="1536"/>
      <c r="AA19" s="1554">
        <f t="shared" si="3"/>
        <v>2.952</v>
      </c>
      <c r="AB19" s="2660"/>
      <c r="AC19" s="1116">
        <v>0.29499999999999998</v>
      </c>
      <c r="AD19" s="1536"/>
      <c r="AE19" s="1122">
        <f>AC19+AD19+AG18</f>
        <v>2.952</v>
      </c>
      <c r="AF19" s="1536"/>
      <c r="AG19" s="1554">
        <f t="shared" si="4"/>
        <v>2.952</v>
      </c>
      <c r="AH19" s="2660"/>
      <c r="AI19" s="1554">
        <v>0.29553990000000002</v>
      </c>
      <c r="AJ19" s="1536"/>
      <c r="AK19" s="1554">
        <f>AI19+AJ19+AM18</f>
        <v>2.9553989999999999</v>
      </c>
      <c r="AL19" s="1536"/>
      <c r="AM19" s="1554">
        <f t="shared" si="5"/>
        <v>2.9553989999999999</v>
      </c>
      <c r="AN19" s="2660"/>
      <c r="AO19" s="1117">
        <f t="shared" si="10"/>
        <v>1.2515399</v>
      </c>
      <c r="AP19" s="1554">
        <f t="shared" si="11"/>
        <v>0</v>
      </c>
      <c r="AQ19" s="1536">
        <f>AO19+AP19+AS18</f>
        <v>12.507398999999999</v>
      </c>
      <c r="AR19" s="1536">
        <f t="shared" si="7"/>
        <v>0</v>
      </c>
      <c r="AS19" s="1554">
        <f t="shared" si="8"/>
        <v>12.507398999999999</v>
      </c>
      <c r="AT19" s="1435">
        <f t="shared" si="9"/>
        <v>0</v>
      </c>
      <c r="AU19" s="2670"/>
      <c r="AV19" s="2670"/>
      <c r="AW19" s="2671"/>
      <c r="AX19" s="2670"/>
      <c r="AY19" s="2670"/>
      <c r="AZ19" s="2572"/>
    </row>
    <row r="20" spans="1:76" ht="15.75" customHeight="1">
      <c r="A20" s="2654"/>
      <c r="B20" s="2662" t="s">
        <v>234</v>
      </c>
      <c r="C20" s="1420">
        <v>41640</v>
      </c>
      <c r="D20" s="1669">
        <v>42216</v>
      </c>
      <c r="E20" s="1562">
        <f>6.423+0.368</f>
        <v>6.7910000000000004</v>
      </c>
      <c r="F20" s="1659">
        <f>0.0998855+0.561+0.14025+2.5047+1.1389785+2.0301215+0.2475+0.2475+0.12925</f>
        <v>7.099185499999999</v>
      </c>
      <c r="G20" s="1511">
        <f>E20+F20</f>
        <v>13.890185499999999</v>
      </c>
      <c r="H20" s="1512"/>
      <c r="I20" s="1511">
        <f t="shared" si="0"/>
        <v>13.890185499999999</v>
      </c>
      <c r="J20" s="2661">
        <f>E20+E21+F20+F21</f>
        <v>14.721185500000001</v>
      </c>
      <c r="K20" s="1550">
        <f>58.987+3.375</f>
        <v>62.362000000000002</v>
      </c>
      <c r="L20" s="1512">
        <f>0.90805+5.1+1.275+22.77+10.35435+18.45565+2.25+2.25+1.175</f>
        <v>64.538049999999998</v>
      </c>
      <c r="M20" s="1511">
        <f>K20+L20</f>
        <v>126.90004999999999</v>
      </c>
      <c r="N20" s="1869">
        <v>13.864000000000001</v>
      </c>
      <c r="O20" s="1511">
        <f t="shared" si="1"/>
        <v>113.03604999999999</v>
      </c>
      <c r="P20" s="2661">
        <f>K20+K21+L20+L21</f>
        <v>133.82905</v>
      </c>
      <c r="Q20" s="1562">
        <f>86.121+4.928</f>
        <v>91.048999999999992</v>
      </c>
      <c r="R20" s="1512">
        <f>1.325753+7.446+1.8615+33.2442+15.117351+26.945249+3.285+3.285+1.7155</f>
        <v>94.225553000000005</v>
      </c>
      <c r="S20" s="1663">
        <f>Q20+R20</f>
        <v>185.274553</v>
      </c>
      <c r="T20" s="1484">
        <f>82.975+3.583</f>
        <v>86.557999999999993</v>
      </c>
      <c r="U20" s="1511">
        <f t="shared" si="2"/>
        <v>98.716553000000005</v>
      </c>
      <c r="V20" s="2661">
        <f>Q20+Q21+X20+R21</f>
        <v>235.40514400000001</v>
      </c>
      <c r="W20" s="1562">
        <f>122.693+7.02</f>
        <v>129.71299999999999</v>
      </c>
      <c r="X20" s="1512">
        <f>1.888744+10.608+2.652+47.3616+21.537048+38.387752+4.68+4.68+2.444</f>
        <v>134.23914400000001</v>
      </c>
      <c r="Y20" s="1511">
        <f>W20+X20</f>
        <v>263.95214399999998</v>
      </c>
      <c r="Z20" s="1484">
        <f>82.781+2.723</f>
        <v>85.504000000000005</v>
      </c>
      <c r="AA20" s="1511">
        <f t="shared" si="3"/>
        <v>178.44814399999996</v>
      </c>
      <c r="AB20" s="2661">
        <f>W20+W21+X20+X21</f>
        <v>278.36514399999999</v>
      </c>
      <c r="AC20" s="1562">
        <f>122.693+7.02</f>
        <v>129.71299999999999</v>
      </c>
      <c r="AD20" s="1512">
        <f>1.888744+10.608+2.652+47.3616+21.537048+38.387752+4.68+4.68+2.444</f>
        <v>134.23914400000001</v>
      </c>
      <c r="AE20" s="1663">
        <f>AC20+AD20</f>
        <v>263.95214399999998</v>
      </c>
      <c r="AF20" s="1484">
        <f>171.553+36.502</f>
        <v>208.05500000000001</v>
      </c>
      <c r="AG20" s="1511">
        <f t="shared" si="4"/>
        <v>55.897143999999969</v>
      </c>
      <c r="AH20" s="2661">
        <f>AC20+AC21+AD20+AD21</f>
        <v>278.36514399999999</v>
      </c>
      <c r="AI20" s="1511">
        <f>122.811007+7.02675</f>
        <v>129.83775700000001</v>
      </c>
      <c r="AJ20" s="1512">
        <f>1.8905601+10.6182+2.65455+47.40714+21.5577567+38.4246633+4.6845+4.6845+2.44635</f>
        <v>134.3682201</v>
      </c>
      <c r="AK20" s="1511">
        <f>AI20+AJ20</f>
        <v>264.20597710000004</v>
      </c>
      <c r="AL20" s="1484">
        <f>75.292+13.687</f>
        <v>88.978999999999999</v>
      </c>
      <c r="AM20" s="1511">
        <f t="shared" si="5"/>
        <v>175.22697710000006</v>
      </c>
      <c r="AN20" s="2661">
        <f>AI20+AI21+AJ20+AJ21</f>
        <v>278.63239450000003</v>
      </c>
      <c r="AO20" s="1659">
        <f t="shared" si="10"/>
        <v>549.46575699999994</v>
      </c>
      <c r="AP20" s="1552">
        <f t="shared" si="11"/>
        <v>568.70929660000002</v>
      </c>
      <c r="AQ20" s="1422">
        <f>AO20+AP20</f>
        <v>1118.1750536</v>
      </c>
      <c r="AR20" s="1422">
        <f t="shared" si="7"/>
        <v>482.96</v>
      </c>
      <c r="AS20" s="1552">
        <f t="shared" si="8"/>
        <v>635.21505359999992</v>
      </c>
      <c r="AT20" s="1434">
        <f t="shared" si="9"/>
        <v>0.43191806009720479</v>
      </c>
      <c r="AU20" s="2664">
        <f>AO20+AO21</f>
        <v>610.59517439999991</v>
      </c>
      <c r="AV20" s="2664">
        <f>AP20+AP21</f>
        <v>568.70929660000002</v>
      </c>
      <c r="AW20" s="2669">
        <f>AU20+AV20</f>
        <v>1179.3044709999999</v>
      </c>
      <c r="AX20" s="2664">
        <f>AR20+AR21</f>
        <v>856.43399999999997</v>
      </c>
      <c r="AY20" s="2664">
        <f>AW20-AX20</f>
        <v>322.87047099999995</v>
      </c>
      <c r="AZ20" s="2584">
        <f>AX20/AW20</f>
        <v>0.72621958201666148</v>
      </c>
    </row>
    <row r="21" spans="1:76" ht="15.75" customHeight="1">
      <c r="A21" s="2654"/>
      <c r="B21" s="2663"/>
      <c r="C21" s="1119">
        <v>42278</v>
      </c>
      <c r="D21" s="1120">
        <v>42369</v>
      </c>
      <c r="E21" s="1118">
        <f>0.786+0.045</f>
        <v>0.83100000000000007</v>
      </c>
      <c r="F21" s="1508"/>
      <c r="G21" s="1517">
        <f>E21+F21+I20</f>
        <v>14.721185499999999</v>
      </c>
      <c r="H21" s="1418"/>
      <c r="I21" s="1517">
        <f t="shared" si="0"/>
        <v>14.721185499999999</v>
      </c>
      <c r="J21" s="2659"/>
      <c r="K21" s="1555">
        <f>6.554+0.375</f>
        <v>6.9290000000000003</v>
      </c>
      <c r="L21" s="1418"/>
      <c r="M21" s="1517">
        <f>K21+L21+O20</f>
        <v>119.96504999999999</v>
      </c>
      <c r="N21" s="1890">
        <f>20.92+5.079</f>
        <v>25.999000000000002</v>
      </c>
      <c r="O21" s="1517">
        <f t="shared" si="1"/>
        <v>93.966049999999996</v>
      </c>
      <c r="P21" s="2659"/>
      <c r="Q21" s="1118">
        <f>9.569+0.548</f>
        <v>10.117000000000001</v>
      </c>
      <c r="R21" s="1536"/>
      <c r="S21" s="1419">
        <f>Q21+R21+U20</f>
        <v>108.83355300000001</v>
      </c>
      <c r="T21" s="1260">
        <v>73.954999999999998</v>
      </c>
      <c r="U21" s="1517">
        <f t="shared" si="2"/>
        <v>34.878553000000011</v>
      </c>
      <c r="V21" s="2659"/>
      <c r="W21" s="1118">
        <f>13.633+0.78</f>
        <v>14.412999999999998</v>
      </c>
      <c r="X21" s="1418"/>
      <c r="Y21" s="1517">
        <f>W21+X21+AA20</f>
        <v>192.86114399999997</v>
      </c>
      <c r="Z21" s="1484">
        <v>35.686</v>
      </c>
      <c r="AA21" s="1517">
        <f t="shared" si="3"/>
        <v>157.17514399999996</v>
      </c>
      <c r="AB21" s="2659"/>
      <c r="AC21" s="1118">
        <f>13.633+0.78</f>
        <v>14.412999999999998</v>
      </c>
      <c r="AD21" s="1418"/>
      <c r="AE21" s="1419">
        <f>AC21+AD21+AG20</f>
        <v>70.310143999999966</v>
      </c>
      <c r="AF21" s="1038">
        <v>66.251000000000005</v>
      </c>
      <c r="AG21" s="1517">
        <f t="shared" si="4"/>
        <v>4.0591439999999608</v>
      </c>
      <c r="AH21" s="2659"/>
      <c r="AI21" s="1517">
        <f>13.6456674+0.78075</f>
        <v>14.4264174</v>
      </c>
      <c r="AJ21" s="1418"/>
      <c r="AK21" s="1517">
        <f>AI21+AJ21+AM20</f>
        <v>189.65339450000005</v>
      </c>
      <c r="AL21" s="1038">
        <v>171.583</v>
      </c>
      <c r="AM21" s="1517">
        <f t="shared" si="5"/>
        <v>18.070394500000049</v>
      </c>
      <c r="AN21" s="2659"/>
      <c r="AO21" s="1508">
        <f t="shared" si="10"/>
        <v>61.129417399999994</v>
      </c>
      <c r="AP21" s="1556">
        <f t="shared" si="11"/>
        <v>0</v>
      </c>
      <c r="AQ21" s="1418">
        <f>AO21+AP21+AS20</f>
        <v>696.34447099999988</v>
      </c>
      <c r="AR21" s="1418">
        <f t="shared" si="7"/>
        <v>373.47400000000005</v>
      </c>
      <c r="AS21" s="1556">
        <f t="shared" si="8"/>
        <v>322.87047099999984</v>
      </c>
      <c r="AT21" s="1433">
        <f t="shared" si="9"/>
        <v>0.53633512658421056</v>
      </c>
      <c r="AU21" s="2665"/>
      <c r="AV21" s="2665"/>
      <c r="AW21" s="2668"/>
      <c r="AX21" s="2665"/>
      <c r="AY21" s="2665"/>
      <c r="AZ21" s="2572"/>
    </row>
    <row r="22" spans="1:76" s="1125" customFormat="1" ht="15" customHeight="1">
      <c r="A22" s="2654"/>
      <c r="B22" s="2662" t="s">
        <v>227</v>
      </c>
      <c r="C22" s="1420">
        <v>41640</v>
      </c>
      <c r="D22" s="1669">
        <v>42216</v>
      </c>
      <c r="E22" s="1562">
        <v>7.5999999999999998E-2</v>
      </c>
      <c r="F22" s="1659"/>
      <c r="G22" s="1511">
        <f>E22+F22</f>
        <v>7.5999999999999998E-2</v>
      </c>
      <c r="H22" s="1512"/>
      <c r="I22" s="1511">
        <f t="shared" si="0"/>
        <v>7.5999999999999998E-2</v>
      </c>
      <c r="J22" s="2661">
        <f>E22+E23+F22+F23</f>
        <v>8.4999999999999992E-2</v>
      </c>
      <c r="K22" s="1550">
        <v>0.69699999999999995</v>
      </c>
      <c r="L22" s="1512"/>
      <c r="M22" s="1511">
        <f>K22+L22</f>
        <v>0.69699999999999995</v>
      </c>
      <c r="N22" s="1512"/>
      <c r="O22" s="1511">
        <f t="shared" si="1"/>
        <v>0.69699999999999995</v>
      </c>
      <c r="P22" s="2661">
        <f>K22+K23+L22+L23</f>
        <v>0.77399999999999991</v>
      </c>
      <c r="Q22" s="1562">
        <v>1.018</v>
      </c>
      <c r="R22" s="1512"/>
      <c r="S22" s="1663">
        <f>Q22+R22</f>
        <v>1.018</v>
      </c>
      <c r="T22" s="1512"/>
      <c r="U22" s="1511">
        <f t="shared" si="2"/>
        <v>1.018</v>
      </c>
      <c r="V22" s="2661">
        <f>Q22+Q23+R22+R23</f>
        <v>1.131</v>
      </c>
      <c r="W22" s="1562">
        <v>1.4510000000000001</v>
      </c>
      <c r="X22" s="1512"/>
      <c r="Y22" s="1511">
        <f>W22+X22</f>
        <v>1.4510000000000001</v>
      </c>
      <c r="Z22" s="1512"/>
      <c r="AA22" s="1511">
        <f t="shared" si="3"/>
        <v>1.4510000000000001</v>
      </c>
      <c r="AB22" s="2661">
        <f>W22+W23+X22+X23</f>
        <v>1.6120000000000001</v>
      </c>
      <c r="AC22" s="1562">
        <v>1.4510000000000001</v>
      </c>
      <c r="AD22" s="1512"/>
      <c r="AE22" s="1663">
        <f>AC22+AD22</f>
        <v>1.4510000000000001</v>
      </c>
      <c r="AF22" s="1512"/>
      <c r="AG22" s="1511">
        <f t="shared" si="4"/>
        <v>1.4510000000000001</v>
      </c>
      <c r="AH22" s="2661">
        <f>AC22+AC23+AD22+AD23</f>
        <v>1.6120000000000001</v>
      </c>
      <c r="AI22" s="1511">
        <v>1.4519139299999999</v>
      </c>
      <c r="AJ22" s="1512"/>
      <c r="AK22" s="1511">
        <f>AI22+AJ22</f>
        <v>1.4519139299999999</v>
      </c>
      <c r="AL22" s="1512"/>
      <c r="AM22" s="1511">
        <f t="shared" si="5"/>
        <v>1.4519139299999999</v>
      </c>
      <c r="AN22" s="2661">
        <f>AI22+AI23+AJ22+AJ23</f>
        <v>1.6132377</v>
      </c>
      <c r="AO22" s="1659">
        <f t="shared" si="10"/>
        <v>6.1449139299999995</v>
      </c>
      <c r="AP22" s="1552">
        <f t="shared" si="11"/>
        <v>0</v>
      </c>
      <c r="AQ22" s="1422">
        <f>AO22+AP22</f>
        <v>6.1449139299999995</v>
      </c>
      <c r="AR22" s="1422">
        <f t="shared" si="7"/>
        <v>0</v>
      </c>
      <c r="AS22" s="1552">
        <f t="shared" si="8"/>
        <v>6.1449139299999995</v>
      </c>
      <c r="AT22" s="1434">
        <f t="shared" si="9"/>
        <v>0</v>
      </c>
      <c r="AU22" s="2664">
        <f>AO22+AO23</f>
        <v>6.8272376999999995</v>
      </c>
      <c r="AV22" s="2664">
        <f>AP22+AP23</f>
        <v>0</v>
      </c>
      <c r="AW22" s="2669">
        <f>AU22+AV22</f>
        <v>6.8272376999999995</v>
      </c>
      <c r="AX22" s="2664">
        <f>AR22+AR23</f>
        <v>0</v>
      </c>
      <c r="AY22" s="2664">
        <f>AW22-AX22</f>
        <v>6.8272376999999995</v>
      </c>
      <c r="AZ22" s="2584">
        <f>AX22/AW22</f>
        <v>0</v>
      </c>
      <c r="BA22" s="1076"/>
      <c r="BB22" s="863"/>
      <c r="BC22" s="863"/>
      <c r="BD22" s="863"/>
      <c r="BE22" s="863"/>
      <c r="BF22" s="863"/>
      <c r="BG22" s="863"/>
      <c r="BH22" s="863"/>
      <c r="BI22" s="863"/>
      <c r="BJ22" s="863"/>
      <c r="BK22" s="863"/>
      <c r="BL22" s="863"/>
      <c r="BM22" s="863"/>
      <c r="BN22" s="863"/>
      <c r="BO22" s="863"/>
      <c r="BP22" s="863"/>
      <c r="BQ22" s="863"/>
      <c r="BR22" s="863"/>
      <c r="BS22" s="863"/>
      <c r="BT22" s="863"/>
      <c r="BU22" s="863"/>
      <c r="BV22" s="863"/>
      <c r="BW22" s="863"/>
      <c r="BX22" s="863"/>
    </row>
    <row r="23" spans="1:76" s="1125" customFormat="1" ht="15" customHeight="1">
      <c r="A23" s="2654"/>
      <c r="B23" s="2663"/>
      <c r="C23" s="1119">
        <v>42278</v>
      </c>
      <c r="D23" s="1120">
        <v>42369</v>
      </c>
      <c r="E23" s="1118">
        <v>8.9999999999999993E-3</v>
      </c>
      <c r="F23" s="1508"/>
      <c r="G23" s="1517">
        <f>E23+F23+I22</f>
        <v>8.4999999999999992E-2</v>
      </c>
      <c r="H23" s="1418"/>
      <c r="I23" s="1517">
        <f t="shared" si="0"/>
        <v>8.4999999999999992E-2</v>
      </c>
      <c r="J23" s="2659"/>
      <c r="K23" s="1555">
        <v>7.6999999999999999E-2</v>
      </c>
      <c r="L23" s="1418"/>
      <c r="M23" s="1517">
        <f>K23+L23+O22</f>
        <v>0.77399999999999991</v>
      </c>
      <c r="N23" s="1418"/>
      <c r="O23" s="1517">
        <f t="shared" si="1"/>
        <v>0.77399999999999991</v>
      </c>
      <c r="P23" s="2659"/>
      <c r="Q23" s="1118">
        <v>0.113</v>
      </c>
      <c r="R23" s="1418"/>
      <c r="S23" s="1419">
        <f>Q23+R23+U22</f>
        <v>1.131</v>
      </c>
      <c r="T23" s="1418"/>
      <c r="U23" s="1517">
        <f t="shared" si="2"/>
        <v>1.131</v>
      </c>
      <c r="V23" s="2659"/>
      <c r="W23" s="1118">
        <v>0.161</v>
      </c>
      <c r="X23" s="1418"/>
      <c r="Y23" s="1517">
        <f>W23+X23+AA22</f>
        <v>1.6120000000000001</v>
      </c>
      <c r="Z23" s="1418"/>
      <c r="AA23" s="1517">
        <f t="shared" si="3"/>
        <v>1.6120000000000001</v>
      </c>
      <c r="AB23" s="2659"/>
      <c r="AC23" s="1118">
        <v>0.161</v>
      </c>
      <c r="AD23" s="1418"/>
      <c r="AE23" s="1419">
        <f>AC23+AD23+AG22</f>
        <v>1.6120000000000001</v>
      </c>
      <c r="AF23" s="1418"/>
      <c r="AG23" s="1517">
        <f t="shared" si="4"/>
        <v>1.6120000000000001</v>
      </c>
      <c r="AH23" s="2659"/>
      <c r="AI23" s="1517">
        <v>0.16132377000000001</v>
      </c>
      <c r="AJ23" s="1418"/>
      <c r="AK23" s="1517">
        <f>AI23+AJ23+AM22</f>
        <v>1.6132377</v>
      </c>
      <c r="AL23" s="1418"/>
      <c r="AM23" s="1517">
        <f t="shared" si="5"/>
        <v>1.6132377</v>
      </c>
      <c r="AN23" s="2659"/>
      <c r="AO23" s="1508">
        <f t="shared" si="10"/>
        <v>0.68232377</v>
      </c>
      <c r="AP23" s="1556">
        <f t="shared" si="11"/>
        <v>0</v>
      </c>
      <c r="AQ23" s="1418">
        <f>AO23+AP23+AS22</f>
        <v>6.8272376999999995</v>
      </c>
      <c r="AR23" s="1418">
        <f t="shared" si="7"/>
        <v>0</v>
      </c>
      <c r="AS23" s="1556">
        <f t="shared" si="8"/>
        <v>6.8272376999999995</v>
      </c>
      <c r="AT23" s="1433">
        <f t="shared" si="9"/>
        <v>0</v>
      </c>
      <c r="AU23" s="2665"/>
      <c r="AV23" s="2665"/>
      <c r="AW23" s="2668"/>
      <c r="AX23" s="2665"/>
      <c r="AY23" s="2665"/>
      <c r="AZ23" s="2572"/>
      <c r="BA23" s="1076"/>
      <c r="BB23" s="863"/>
      <c r="BC23" s="863"/>
      <c r="BD23" s="863"/>
      <c r="BE23" s="863"/>
      <c r="BF23" s="863"/>
      <c r="BG23" s="863"/>
      <c r="BH23" s="863"/>
      <c r="BI23" s="863"/>
      <c r="BJ23" s="863"/>
      <c r="BK23" s="863"/>
      <c r="BL23" s="863"/>
      <c r="BM23" s="863"/>
      <c r="BN23" s="863"/>
      <c r="BO23" s="863"/>
      <c r="BP23" s="863"/>
      <c r="BQ23" s="863"/>
      <c r="BR23" s="863"/>
      <c r="BS23" s="863"/>
      <c r="BT23" s="863"/>
      <c r="BU23" s="863"/>
      <c r="BV23" s="863"/>
      <c r="BW23" s="863"/>
      <c r="BX23" s="863"/>
    </row>
    <row r="24" spans="1:76" ht="15" customHeight="1">
      <c r="A24" s="2654"/>
      <c r="B24" s="2662" t="s">
        <v>296</v>
      </c>
      <c r="C24" s="1420">
        <v>41640</v>
      </c>
      <c r="D24" s="1669">
        <v>42216</v>
      </c>
      <c r="E24" s="1562">
        <v>1.5920000000000001</v>
      </c>
      <c r="F24" s="1659">
        <f>-1.7850635</f>
        <v>-1.7850634999999999</v>
      </c>
      <c r="G24" s="1511">
        <f>E24+F24</f>
        <v>-0.19306349999999983</v>
      </c>
      <c r="H24" s="1512"/>
      <c r="I24" s="1511">
        <f t="shared" si="0"/>
        <v>-0.19306349999999983</v>
      </c>
      <c r="J24" s="2661">
        <f>E24+E25+F24+F25</f>
        <v>1.9365000000002297E-3</v>
      </c>
      <c r="K24" s="1550">
        <v>14.619</v>
      </c>
      <c r="L24" s="1512">
        <f>-16.22785</f>
        <v>-16.22785</v>
      </c>
      <c r="M24" s="1511">
        <f>K24+L24</f>
        <v>-1.6088500000000003</v>
      </c>
      <c r="N24" s="1512"/>
      <c r="O24" s="1511">
        <f t="shared" si="1"/>
        <v>-1.6088500000000003</v>
      </c>
      <c r="P24" s="2661">
        <f>K24+K25+L24+L25</f>
        <v>1.5149999999998442E-2</v>
      </c>
      <c r="Q24" s="1562">
        <v>21.343</v>
      </c>
      <c r="R24" s="1512">
        <f>-23.692661</f>
        <v>-23.692661000000001</v>
      </c>
      <c r="S24" s="1663">
        <f>Q24+R24</f>
        <v>-2.3496610000000011</v>
      </c>
      <c r="T24" s="1512"/>
      <c r="U24" s="1511">
        <f t="shared" si="2"/>
        <v>-2.3496610000000011</v>
      </c>
      <c r="V24" s="2661">
        <f>Q24+Q25+R24+R25</f>
        <v>2.1338999999997554E-2</v>
      </c>
      <c r="W24" s="1562">
        <v>30.407</v>
      </c>
      <c r="X24" s="1512">
        <f>-33.753928</f>
        <v>-33.753928000000002</v>
      </c>
      <c r="Y24" s="1511">
        <f>W24+X24</f>
        <v>-3.3469280000000019</v>
      </c>
      <c r="Z24" s="1512"/>
      <c r="AA24" s="1511">
        <f t="shared" si="3"/>
        <v>-3.3469280000000019</v>
      </c>
      <c r="AB24" s="2661">
        <f>W24+W25+X24+X25</f>
        <v>3.2071999999999434E-2</v>
      </c>
      <c r="AC24" s="1562">
        <v>30.407</v>
      </c>
      <c r="AD24" s="1512">
        <f>-33.753928</f>
        <v>-33.753928000000002</v>
      </c>
      <c r="AE24" s="1663">
        <f>AC24+AD24</f>
        <v>-3.3469280000000019</v>
      </c>
      <c r="AF24" s="1512"/>
      <c r="AG24" s="1511">
        <f t="shared" si="4"/>
        <v>-3.3469280000000019</v>
      </c>
      <c r="AH24" s="2661">
        <f>AC24+AC25+AD24+AD25</f>
        <v>3.2071999999999434E-2</v>
      </c>
      <c r="AI24" s="1511">
        <v>30.435852300000001</v>
      </c>
      <c r="AJ24" s="1512">
        <f>-33.7863837</f>
        <v>-33.786383700000002</v>
      </c>
      <c r="AK24" s="1511">
        <f>AI24+AJ24</f>
        <v>-3.3505314000000013</v>
      </c>
      <c r="AL24" s="1512"/>
      <c r="AM24" s="1511">
        <f t="shared" si="5"/>
        <v>-3.3505314000000013</v>
      </c>
      <c r="AN24" s="2661">
        <f>AI24+AI25+AJ24+AJ25</f>
        <v>3.1229969999998275E-2</v>
      </c>
      <c r="AO24" s="1659">
        <f t="shared" si="10"/>
        <v>128.80385229999999</v>
      </c>
      <c r="AP24" s="1552">
        <f t="shared" si="11"/>
        <v>-142.9998142</v>
      </c>
      <c r="AQ24" s="1422">
        <f>AO24+AP24</f>
        <v>-14.195961900000015</v>
      </c>
      <c r="AR24" s="1422">
        <f t="shared" si="7"/>
        <v>0</v>
      </c>
      <c r="AS24" s="1552">
        <f t="shared" si="8"/>
        <v>-14.195961900000015</v>
      </c>
      <c r="AT24" s="1434">
        <f t="shared" si="9"/>
        <v>0</v>
      </c>
      <c r="AU24" s="2664">
        <f>AO24+AO25</f>
        <v>143.13361366999999</v>
      </c>
      <c r="AV24" s="2664">
        <f>AP24+AP25</f>
        <v>-142.9998142</v>
      </c>
      <c r="AW24" s="2669">
        <f>AU24+AV24</f>
        <v>0.13379946999998538</v>
      </c>
      <c r="AX24" s="2664">
        <f>AR24+AR25</f>
        <v>0</v>
      </c>
      <c r="AY24" s="2664">
        <f>AW24-AX24</f>
        <v>0.13379946999998538</v>
      </c>
      <c r="AZ24" s="2584">
        <f>AX24/AW24</f>
        <v>0</v>
      </c>
    </row>
    <row r="25" spans="1:76" ht="15" customHeight="1">
      <c r="A25" s="2654"/>
      <c r="B25" s="2663"/>
      <c r="C25" s="1119">
        <v>42278</v>
      </c>
      <c r="D25" s="1120">
        <v>42369</v>
      </c>
      <c r="E25" s="1118">
        <v>0.19500000000000001</v>
      </c>
      <c r="F25" s="1508"/>
      <c r="G25" s="1517">
        <f>E25+F25+I24</f>
        <v>1.9365000000001742E-3</v>
      </c>
      <c r="H25" s="1418"/>
      <c r="I25" s="1517">
        <f t="shared" si="0"/>
        <v>1.9365000000001742E-3</v>
      </c>
      <c r="J25" s="2659"/>
      <c r="K25" s="1555">
        <v>1.6240000000000001</v>
      </c>
      <c r="L25" s="1418"/>
      <c r="M25" s="1517">
        <f>K25+L25+O24</f>
        <v>1.5149999999999775E-2</v>
      </c>
      <c r="N25" s="1418"/>
      <c r="O25" s="1517">
        <f t="shared" si="1"/>
        <v>1.5149999999999775E-2</v>
      </c>
      <c r="P25" s="2659"/>
      <c r="Q25" s="1118">
        <v>2.371</v>
      </c>
      <c r="R25" s="1418"/>
      <c r="S25" s="1419">
        <f>Q25+R25+U24</f>
        <v>2.1338999999998887E-2</v>
      </c>
      <c r="T25" s="1418"/>
      <c r="U25" s="1517">
        <f t="shared" si="2"/>
        <v>2.1338999999998887E-2</v>
      </c>
      <c r="V25" s="2659"/>
      <c r="W25" s="1118">
        <v>3.379</v>
      </c>
      <c r="X25" s="1418"/>
      <c r="Y25" s="1517">
        <f>W25+X25+AA24</f>
        <v>3.2071999999998102E-2</v>
      </c>
      <c r="Z25" s="1418"/>
      <c r="AA25" s="1517">
        <f t="shared" si="3"/>
        <v>3.2071999999998102E-2</v>
      </c>
      <c r="AB25" s="2659"/>
      <c r="AC25" s="1118">
        <v>3.379</v>
      </c>
      <c r="AD25" s="1418"/>
      <c r="AE25" s="1419">
        <f>AC25+AD25+AG24</f>
        <v>3.2071999999998102E-2</v>
      </c>
      <c r="AF25" s="1418"/>
      <c r="AG25" s="1517">
        <f t="shared" si="4"/>
        <v>3.2071999999998102E-2</v>
      </c>
      <c r="AH25" s="2659"/>
      <c r="AI25" s="1517">
        <v>3.38176137</v>
      </c>
      <c r="AJ25" s="1418"/>
      <c r="AK25" s="1517">
        <f>AI25+AJ25+AM24</f>
        <v>3.1229969999998719E-2</v>
      </c>
      <c r="AL25" s="1418"/>
      <c r="AM25" s="1517">
        <f t="shared" si="5"/>
        <v>3.1229969999998719E-2</v>
      </c>
      <c r="AN25" s="2659"/>
      <c r="AO25" s="1508">
        <f t="shared" si="10"/>
        <v>14.32976137</v>
      </c>
      <c r="AP25" s="1556">
        <f t="shared" si="11"/>
        <v>0</v>
      </c>
      <c r="AQ25" s="1418">
        <f>AO25+AP25+AS24</f>
        <v>0.13379946999998538</v>
      </c>
      <c r="AR25" s="1418">
        <f t="shared" si="7"/>
        <v>0</v>
      </c>
      <c r="AS25" s="1556">
        <f t="shared" si="8"/>
        <v>0.13379946999998538</v>
      </c>
      <c r="AT25" s="1433">
        <f t="shared" si="9"/>
        <v>0</v>
      </c>
      <c r="AU25" s="2665"/>
      <c r="AV25" s="2665"/>
      <c r="AW25" s="2668"/>
      <c r="AX25" s="2665"/>
      <c r="AY25" s="2665"/>
      <c r="AZ25" s="2572"/>
    </row>
    <row r="26" spans="1:76" ht="15" customHeight="1">
      <c r="A26" s="2654"/>
      <c r="B26" s="2662" t="s">
        <v>297</v>
      </c>
      <c r="C26" s="1420">
        <v>41640</v>
      </c>
      <c r="D26" s="1669">
        <v>42216</v>
      </c>
      <c r="E26" s="1562">
        <v>3.59</v>
      </c>
      <c r="F26" s="1659">
        <f>-4.0280295</f>
        <v>-4.0280294999999997</v>
      </c>
      <c r="G26" s="1554">
        <f>E26+F26</f>
        <v>-0.43802949999999985</v>
      </c>
      <c r="H26" s="1536"/>
      <c r="I26" s="1554">
        <f t="shared" si="0"/>
        <v>-0.43802949999999985</v>
      </c>
      <c r="J26" s="2661">
        <f>E26+E27+F26+F27</f>
        <v>1.9705000000005413E-3</v>
      </c>
      <c r="K26" s="1553">
        <v>32.97</v>
      </c>
      <c r="L26" s="1536">
        <f>-36.61845</f>
        <v>-36.618450000000003</v>
      </c>
      <c r="M26" s="1554">
        <f>K26+L26</f>
        <v>-3.648450000000004</v>
      </c>
      <c r="N26" s="1512"/>
      <c r="O26" s="1554">
        <f t="shared" si="1"/>
        <v>-3.648450000000004</v>
      </c>
      <c r="P26" s="2661">
        <f>K26+K27+L26+L27</f>
        <v>1.4549999999992735E-2</v>
      </c>
      <c r="Q26" s="1116">
        <v>48.136000000000003</v>
      </c>
      <c r="R26" s="1536">
        <f>-53.462937</f>
        <v>-53.462936999999997</v>
      </c>
      <c r="S26" s="1122">
        <f>Q26+R26</f>
        <v>-5.3269369999999938</v>
      </c>
      <c r="T26" s="1536"/>
      <c r="U26" s="1554">
        <f t="shared" si="2"/>
        <v>-5.3269369999999938</v>
      </c>
      <c r="V26" s="2661">
        <f>Q26+Q27+R26+R27</f>
        <v>2.1063000000005161E-2</v>
      </c>
      <c r="W26" s="1116">
        <v>68.577799999999996</v>
      </c>
      <c r="X26" s="1536">
        <f>-76.166376</f>
        <v>-76.166376</v>
      </c>
      <c r="Y26" s="1554">
        <f>W26+X26</f>
        <v>-7.5885760000000033</v>
      </c>
      <c r="Z26" s="1536"/>
      <c r="AA26" s="1554">
        <f t="shared" si="3"/>
        <v>-7.5885760000000033</v>
      </c>
      <c r="AB26" s="2661">
        <f>W26+W27+X26+X27</f>
        <v>3.1424000000001229E-2</v>
      </c>
      <c r="AC26" s="1116">
        <v>68.578000000000003</v>
      </c>
      <c r="AD26" s="1536">
        <f>-76.166376</f>
        <v>-76.166376</v>
      </c>
      <c r="AE26" s="1122">
        <f>AC26+AD26</f>
        <v>-7.5883759999999967</v>
      </c>
      <c r="AF26" s="1536"/>
      <c r="AG26" s="1554">
        <f t="shared" si="4"/>
        <v>-7.5883759999999967</v>
      </c>
      <c r="AH26" s="2661">
        <f>AC26+AC27+AD26+AD27</f>
        <v>3.1624000000007868E-2</v>
      </c>
      <c r="AI26" s="1554">
        <v>68.643758599999998</v>
      </c>
      <c r="AJ26" s="1536">
        <f>-76.2396129</f>
        <v>-76.239612899999997</v>
      </c>
      <c r="AK26" s="1554">
        <f>AI26+AJ26</f>
        <v>-7.5958542999999992</v>
      </c>
      <c r="AL26" s="1536"/>
      <c r="AM26" s="1554">
        <f t="shared" si="5"/>
        <v>-7.5958542999999992</v>
      </c>
      <c r="AN26" s="2661">
        <f>AI26+AI27+AJ26+AJ27</f>
        <v>3.122998999999993E-2</v>
      </c>
      <c r="AO26" s="1659">
        <f t="shared" si="10"/>
        <v>290.49555859999998</v>
      </c>
      <c r="AP26" s="1552">
        <f t="shared" si="11"/>
        <v>-322.68178140000003</v>
      </c>
      <c r="AQ26" s="1422">
        <f>AO26+AP26</f>
        <v>-32.186222800000053</v>
      </c>
      <c r="AR26" s="1422">
        <f t="shared" si="7"/>
        <v>0</v>
      </c>
      <c r="AS26" s="1554">
        <f t="shared" si="8"/>
        <v>-32.186222800000053</v>
      </c>
      <c r="AT26" s="1435">
        <f t="shared" si="9"/>
        <v>0</v>
      </c>
      <c r="AU26" s="2664">
        <f>AO26+AO27</f>
        <v>322.81364288999998</v>
      </c>
      <c r="AV26" s="2664">
        <f>AP26+AP27</f>
        <v>-322.68178140000003</v>
      </c>
      <c r="AW26" s="2669">
        <f>AU26+AV26</f>
        <v>0.13186148999994884</v>
      </c>
      <c r="AX26" s="2664">
        <f>AR26+AR27</f>
        <v>0</v>
      </c>
      <c r="AY26" s="2664">
        <f>AW26-AX26</f>
        <v>0.13186148999994884</v>
      </c>
      <c r="AZ26" s="2584">
        <f>AX26/AW26</f>
        <v>0</v>
      </c>
    </row>
    <row r="27" spans="1:76" ht="15" customHeight="1">
      <c r="A27" s="2654"/>
      <c r="B27" s="2663"/>
      <c r="C27" s="1119">
        <v>42278</v>
      </c>
      <c r="D27" s="1120">
        <v>42369</v>
      </c>
      <c r="E27" s="1118">
        <v>0.44</v>
      </c>
      <c r="F27" s="1508"/>
      <c r="G27" s="1554">
        <f>E27+F27+I26</f>
        <v>1.9705000000001527E-3</v>
      </c>
      <c r="H27" s="1536"/>
      <c r="I27" s="1554">
        <f t="shared" si="0"/>
        <v>1.9705000000001527E-3</v>
      </c>
      <c r="J27" s="2659"/>
      <c r="K27" s="1553">
        <v>3.6629999999999998</v>
      </c>
      <c r="L27" s="1536"/>
      <c r="M27" s="1554">
        <f>K27+L27+O26</f>
        <v>1.4549999999995844E-2</v>
      </c>
      <c r="N27" s="1418"/>
      <c r="O27" s="1554">
        <f t="shared" si="1"/>
        <v>1.4549999999995844E-2</v>
      </c>
      <c r="P27" s="2659"/>
      <c r="Q27" s="1116">
        <v>5.3479999999999999</v>
      </c>
      <c r="R27" s="1536"/>
      <c r="S27" s="1122">
        <f>Q27+R27+U26</f>
        <v>2.1063000000006049E-2</v>
      </c>
      <c r="T27" s="1536"/>
      <c r="U27" s="1554">
        <f t="shared" si="2"/>
        <v>2.1063000000006049E-2</v>
      </c>
      <c r="V27" s="2659"/>
      <c r="W27" s="1116">
        <v>7.62</v>
      </c>
      <c r="X27" s="1536"/>
      <c r="Y27" s="1554">
        <f>W27+X27+AA26</f>
        <v>3.1423999999996788E-2</v>
      </c>
      <c r="Z27" s="1536"/>
      <c r="AA27" s="1554">
        <f t="shared" si="3"/>
        <v>3.1423999999996788E-2</v>
      </c>
      <c r="AB27" s="2659"/>
      <c r="AC27" s="1116">
        <v>7.62</v>
      </c>
      <c r="AD27" s="1536"/>
      <c r="AE27" s="1122">
        <f>AC27+AD27+AG26</f>
        <v>3.1624000000003427E-2</v>
      </c>
      <c r="AF27" s="1536"/>
      <c r="AG27" s="1554">
        <f t="shared" si="4"/>
        <v>3.1624000000003427E-2</v>
      </c>
      <c r="AH27" s="2659"/>
      <c r="AI27" s="1554">
        <v>7.62708429</v>
      </c>
      <c r="AJ27" s="1536"/>
      <c r="AK27" s="1554">
        <f>AI27+AJ27+AM26</f>
        <v>3.1229990000000818E-2</v>
      </c>
      <c r="AL27" s="1536"/>
      <c r="AM27" s="1554">
        <f t="shared" si="5"/>
        <v>3.1229990000000818E-2</v>
      </c>
      <c r="AN27" s="2659"/>
      <c r="AO27" s="1508">
        <f t="shared" si="10"/>
        <v>32.318084290000002</v>
      </c>
      <c r="AP27" s="1556">
        <f t="shared" si="11"/>
        <v>0</v>
      </c>
      <c r="AQ27" s="1418">
        <f>AO27+AP27+AS26</f>
        <v>0.13186148999994884</v>
      </c>
      <c r="AR27" s="1418">
        <f t="shared" si="7"/>
        <v>0</v>
      </c>
      <c r="AS27" s="1554">
        <f t="shared" si="8"/>
        <v>0.13186148999994884</v>
      </c>
      <c r="AT27" s="1435">
        <f t="shared" si="9"/>
        <v>0</v>
      </c>
      <c r="AU27" s="2665"/>
      <c r="AV27" s="2665"/>
      <c r="AW27" s="2668"/>
      <c r="AX27" s="2665"/>
      <c r="AY27" s="2665"/>
      <c r="AZ27" s="2572"/>
    </row>
    <row r="28" spans="1:76" ht="15" customHeight="1">
      <c r="A28" s="2654"/>
      <c r="B28" s="2679" t="s">
        <v>298</v>
      </c>
      <c r="C28" s="2085">
        <v>41640</v>
      </c>
      <c r="D28" s="2086">
        <v>42216</v>
      </c>
      <c r="E28" s="2087">
        <v>0.85899999999999999</v>
      </c>
      <c r="F28" s="2088">
        <f>-0.9636165</f>
        <v>-0.96361649999999999</v>
      </c>
      <c r="G28" s="2089">
        <f>E28+F28</f>
        <v>-0.1046165</v>
      </c>
      <c r="H28" s="2090"/>
      <c r="I28" s="2089">
        <f t="shared" si="0"/>
        <v>-0.1046165</v>
      </c>
      <c r="J28" s="2681">
        <f>E28+E29+F28+F29</f>
        <v>3.8349999999998108E-4</v>
      </c>
      <c r="K28" s="2091">
        <v>7.8929999999999998</v>
      </c>
      <c r="L28" s="2090">
        <f>-8.76015</f>
        <v>-8.7601499999999994</v>
      </c>
      <c r="M28" s="2089">
        <f>K28+L28</f>
        <v>-0.86714999999999964</v>
      </c>
      <c r="N28" s="2092"/>
      <c r="O28" s="2089">
        <f t="shared" si="1"/>
        <v>-0.86714999999999964</v>
      </c>
      <c r="P28" s="2681">
        <f>K28+K29+L28+L29</f>
        <v>9.8500000000001364E-3</v>
      </c>
      <c r="Q28" s="2087">
        <v>11.523999999999999</v>
      </c>
      <c r="R28" s="2090">
        <f>-12.789819</f>
        <v>-12.789819</v>
      </c>
      <c r="S28" s="2093">
        <f>Q28+R28</f>
        <v>-1.2658190000000005</v>
      </c>
      <c r="T28" s="2094"/>
      <c r="U28" s="2089">
        <f t="shared" si="2"/>
        <v>-1.2658190000000005</v>
      </c>
      <c r="V28" s="2681">
        <f>Q28+Q29+R28+R29</f>
        <v>1.4180999999998889E-2</v>
      </c>
      <c r="W28" s="2087">
        <v>16.417999999999999</v>
      </c>
      <c r="X28" s="2090">
        <f>-18.221112</f>
        <v>-18.221112000000002</v>
      </c>
      <c r="Y28" s="2089">
        <f>W28+X28</f>
        <v>-1.8031120000000023</v>
      </c>
      <c r="Z28" s="2094">
        <v>0.105</v>
      </c>
      <c r="AA28" s="2089">
        <f t="shared" si="3"/>
        <v>-1.9081120000000023</v>
      </c>
      <c r="AB28" s="2681">
        <f>W28+W29+X28+X29</f>
        <v>2.0887999999999352E-2</v>
      </c>
      <c r="AC28" s="2087">
        <v>16.417999999999999</v>
      </c>
      <c r="AD28" s="2090">
        <f>-18.221112</f>
        <v>-18.221112000000002</v>
      </c>
      <c r="AE28" s="2093">
        <f>AC28+AD28</f>
        <v>-1.8031120000000023</v>
      </c>
      <c r="AF28" s="2090"/>
      <c r="AG28" s="2089">
        <f t="shared" si="4"/>
        <v>-1.8031120000000023</v>
      </c>
      <c r="AH28" s="2681">
        <f>AC28+AC29+AD28+AD29</f>
        <v>2.0887999999999352E-2</v>
      </c>
      <c r="AI28" s="2089">
        <v>16.4335071</v>
      </c>
      <c r="AJ28" s="2090">
        <f>-18.2386323</f>
        <v>-18.238632299999999</v>
      </c>
      <c r="AK28" s="2089">
        <f>AI28+AJ28</f>
        <v>-1.8051251999999991</v>
      </c>
      <c r="AL28" s="2090"/>
      <c r="AM28" s="2089">
        <f t="shared" si="5"/>
        <v>-1.8051251999999991</v>
      </c>
      <c r="AN28" s="2681">
        <f>AI28+AI29+AJ28+AJ29</f>
        <v>2.0820029999999434E-2</v>
      </c>
      <c r="AO28" s="2088">
        <f t="shared" si="10"/>
        <v>69.545507099999995</v>
      </c>
      <c r="AP28" s="2095">
        <f t="shared" si="11"/>
        <v>-77.194441799999993</v>
      </c>
      <c r="AQ28" s="2096">
        <f>AO28+AP28</f>
        <v>-7.6489346999999981</v>
      </c>
      <c r="AR28" s="2096">
        <f t="shared" si="7"/>
        <v>0.105</v>
      </c>
      <c r="AS28" s="2095">
        <f t="shared" si="8"/>
        <v>-7.7539346999999985</v>
      </c>
      <c r="AT28" s="2097">
        <f t="shared" si="9"/>
        <v>-1.3727401804070836E-2</v>
      </c>
      <c r="AU28" s="2673">
        <f>AO28+AO29</f>
        <v>77.281452329999993</v>
      </c>
      <c r="AV28" s="2673">
        <f>AP28+AP29</f>
        <v>-77.194441799999993</v>
      </c>
      <c r="AW28" s="2675">
        <f>AU28+AV28</f>
        <v>8.7010530000000585E-2</v>
      </c>
      <c r="AX28" s="2673">
        <f>AR28+AR29</f>
        <v>0.105</v>
      </c>
      <c r="AY28" s="2673">
        <f>AW28-AX28</f>
        <v>-1.7989469999999411E-2</v>
      </c>
      <c r="AZ28" s="2677">
        <f>AX28/AW28</f>
        <v>1.2067504933023543</v>
      </c>
    </row>
    <row r="29" spans="1:76" ht="15" customHeight="1">
      <c r="A29" s="2654"/>
      <c r="B29" s="2680"/>
      <c r="C29" s="2098">
        <v>42278</v>
      </c>
      <c r="D29" s="2099">
        <v>42369</v>
      </c>
      <c r="E29" s="2100">
        <v>0.105</v>
      </c>
      <c r="F29" s="2101"/>
      <c r="G29" s="2102">
        <f>E29+F29+I28</f>
        <v>3.8349999999999496E-4</v>
      </c>
      <c r="H29" s="2103"/>
      <c r="I29" s="2102">
        <f t="shared" si="0"/>
        <v>3.8349999999999496E-4</v>
      </c>
      <c r="J29" s="2682"/>
      <c r="K29" s="2104">
        <v>0.877</v>
      </c>
      <c r="L29" s="2103"/>
      <c r="M29" s="2102">
        <f>K29+L29+O28</f>
        <v>9.8500000000003585E-3</v>
      </c>
      <c r="N29" s="2103"/>
      <c r="O29" s="2102">
        <f t="shared" si="1"/>
        <v>9.8500000000003585E-3</v>
      </c>
      <c r="P29" s="2682"/>
      <c r="Q29" s="2100">
        <v>1.28</v>
      </c>
      <c r="R29" s="2103"/>
      <c r="S29" s="2105">
        <f>Q29+R29+U28</f>
        <v>1.4180999999999555E-2</v>
      </c>
      <c r="T29" s="2106"/>
      <c r="U29" s="2102">
        <f t="shared" si="2"/>
        <v>1.4180999999999555E-2</v>
      </c>
      <c r="V29" s="2682"/>
      <c r="W29" s="2100">
        <v>1.8240000000000001</v>
      </c>
      <c r="X29" s="2103"/>
      <c r="Y29" s="2102">
        <f>W29+X29+AA28</f>
        <v>-8.4112000000002185E-2</v>
      </c>
      <c r="Z29" s="2106"/>
      <c r="AA29" s="2102">
        <f t="shared" si="3"/>
        <v>-8.4112000000002185E-2</v>
      </c>
      <c r="AB29" s="2682"/>
      <c r="AC29" s="2100">
        <v>1.8240000000000001</v>
      </c>
      <c r="AD29" s="2103"/>
      <c r="AE29" s="2105">
        <f>AC29+AD29+AG28</f>
        <v>2.0887999999997797E-2</v>
      </c>
      <c r="AF29" s="2103"/>
      <c r="AG29" s="2102">
        <f t="shared" si="4"/>
        <v>2.0887999999997797E-2</v>
      </c>
      <c r="AH29" s="2682"/>
      <c r="AI29" s="2102">
        <v>1.8259452300000001</v>
      </c>
      <c r="AJ29" s="2103"/>
      <c r="AK29" s="2102">
        <f>AI29+AJ29+AM28</f>
        <v>2.0820030000000989E-2</v>
      </c>
      <c r="AL29" s="2103"/>
      <c r="AM29" s="2102">
        <f t="shared" si="5"/>
        <v>2.0820030000000989E-2</v>
      </c>
      <c r="AN29" s="2682"/>
      <c r="AO29" s="2101">
        <f t="shared" si="10"/>
        <v>7.7359452300000004</v>
      </c>
      <c r="AP29" s="2107">
        <f t="shared" si="11"/>
        <v>0</v>
      </c>
      <c r="AQ29" s="2103">
        <f>AO29+AP29+AS28</f>
        <v>-1.7989469999998065E-2</v>
      </c>
      <c r="AR29" s="2103">
        <f t="shared" si="7"/>
        <v>0</v>
      </c>
      <c r="AS29" s="2107">
        <f t="shared" si="8"/>
        <v>-1.7989469999998065E-2</v>
      </c>
      <c r="AT29" s="2108">
        <f t="shared" si="9"/>
        <v>0</v>
      </c>
      <c r="AU29" s="2674"/>
      <c r="AV29" s="2674"/>
      <c r="AW29" s="2676"/>
      <c r="AX29" s="2674"/>
      <c r="AY29" s="2674"/>
      <c r="AZ29" s="2678"/>
    </row>
    <row r="30" spans="1:76" ht="15.75" customHeight="1">
      <c r="A30" s="2654"/>
      <c r="B30" s="2662" t="s">
        <v>210</v>
      </c>
      <c r="C30" s="1420">
        <v>41640</v>
      </c>
      <c r="D30" s="1669">
        <v>42216</v>
      </c>
      <c r="E30" s="1562">
        <f>6.262+2.647</f>
        <v>8.9089999999999989</v>
      </c>
      <c r="F30" s="1659">
        <f>-0.561-0.2145+3.1134455+0.9636165+4.0280295-0.37125+1.7850635-0.01485</f>
        <v>8.7285550000000001</v>
      </c>
      <c r="G30" s="1511">
        <f>E30+F30</f>
        <v>17.637554999999999</v>
      </c>
      <c r="H30" s="1512"/>
      <c r="I30" s="1511">
        <f t="shared" si="0"/>
        <v>17.637554999999999</v>
      </c>
      <c r="J30" s="2661">
        <f>E30+E31+F30+F31</f>
        <v>18.728555</v>
      </c>
      <c r="K30" s="1562">
        <f>57.511+24.3</f>
        <v>81.811000000000007</v>
      </c>
      <c r="L30" s="1659">
        <f>135-5.1-1.95+28.30405+8.76015+36.61845-3.375+16.22785-0.135</f>
        <v>214.35050000000001</v>
      </c>
      <c r="M30" s="1511">
        <f>K30+L30</f>
        <v>296.16150000000005</v>
      </c>
      <c r="N30" s="1889">
        <v>111.572</v>
      </c>
      <c r="O30" s="1511">
        <f t="shared" si="1"/>
        <v>184.58950000000004</v>
      </c>
      <c r="P30" s="2661">
        <f>K30+K31+L30+L31</f>
        <v>305.25150000000002</v>
      </c>
      <c r="Q30" s="1562">
        <f>83.966+35.479</f>
        <v>119.44499999999999</v>
      </c>
      <c r="R30" s="1512">
        <f>-7.446-2.487+41.323913+12.789819+53.462937-4.9275+23.692661-0.1971</f>
        <v>116.21172999999999</v>
      </c>
      <c r="S30" s="1663">
        <f>Q30+R30</f>
        <v>235.65672999999998</v>
      </c>
      <c r="T30" s="1656">
        <v>138.52199999999999</v>
      </c>
      <c r="U30" s="1511">
        <f t="shared" si="2"/>
        <v>97.13472999999999</v>
      </c>
      <c r="V30" s="2661">
        <f>Q30+Q31+R30+R31</f>
        <v>248.92972999999998</v>
      </c>
      <c r="W30" s="1562">
        <f>119.622+50.544</f>
        <v>170.166</v>
      </c>
      <c r="X30" s="1512">
        <f>-10.608-4.056+58.872424+18.221112+76.166376-7.02+33.753928-0.2808</f>
        <v>165.04903999999999</v>
      </c>
      <c r="Y30" s="1511">
        <f>W30+X30</f>
        <v>335.21503999999999</v>
      </c>
      <c r="Z30" s="1656">
        <f>229.932-0.105</f>
        <v>229.827</v>
      </c>
      <c r="AA30" s="1511">
        <f t="shared" si="3"/>
        <v>105.38803999999999</v>
      </c>
      <c r="AB30" s="2661">
        <f>W30+W31+X30+X31</f>
        <v>354.12203999999997</v>
      </c>
      <c r="AC30" s="1562">
        <f>119.622+50.544</f>
        <v>170.166</v>
      </c>
      <c r="AD30" s="1512">
        <f>-10.608-4.056+58.872424+18.221112+76.166376-7.02+33.753928-0.2808</f>
        <v>165.04903999999999</v>
      </c>
      <c r="AE30" s="1663">
        <f>AC30+AD30</f>
        <v>335.21503999999999</v>
      </c>
      <c r="AF30" s="1656">
        <v>259.57900000000001</v>
      </c>
      <c r="AG30" s="1511">
        <f t="shared" si="4"/>
        <v>75.63603999999998</v>
      </c>
      <c r="AH30" s="2661">
        <f>AC30+AC31+AD30+AD31</f>
        <v>354.12203999999997</v>
      </c>
      <c r="AI30" s="1511">
        <f>119.737506+50.5926</f>
        <v>170.330106</v>
      </c>
      <c r="AJ30" s="1512">
        <f>-10.6182-4.0599+58.9290321+18.2386323+76.2396129-7.02675+33.7863837-0.28107</f>
        <v>165.207741</v>
      </c>
      <c r="AK30" s="1511">
        <f>AI30+AJ30</f>
        <v>335.537847</v>
      </c>
      <c r="AL30" s="1484">
        <v>199.23000000000002</v>
      </c>
      <c r="AM30" s="1511">
        <f t="shared" si="5"/>
        <v>136.30784699999998</v>
      </c>
      <c r="AN30" s="2661">
        <f>AI30+AI31+AJ30+AJ31</f>
        <v>354.46341440000003</v>
      </c>
      <c r="AO30" s="1659">
        <f t="shared" si="10"/>
        <v>720.82710600000007</v>
      </c>
      <c r="AP30" s="1552">
        <f t="shared" si="11"/>
        <v>834.59660600000007</v>
      </c>
      <c r="AQ30" s="1422">
        <f>AO30+AP30</f>
        <v>1555.4237120000003</v>
      </c>
      <c r="AR30" s="1422">
        <f t="shared" si="7"/>
        <v>938.73</v>
      </c>
      <c r="AS30" s="1552">
        <f t="shared" si="8"/>
        <v>616.69371200000023</v>
      </c>
      <c r="AT30" s="1434">
        <f t="shared" si="9"/>
        <v>0.60352043803740074</v>
      </c>
      <c r="AU30" s="2664">
        <f>AO30+AO31</f>
        <v>801.02067340000008</v>
      </c>
      <c r="AV30" s="2664">
        <f>AP30+AP31</f>
        <v>834.59660600000007</v>
      </c>
      <c r="AW30" s="2669">
        <f>AU30+AV30</f>
        <v>1635.6172794000001</v>
      </c>
      <c r="AX30" s="2664">
        <f>AR30+AR31</f>
        <v>1507.194</v>
      </c>
      <c r="AY30" s="2664">
        <f>AW30-AX30</f>
        <v>128.42327940000018</v>
      </c>
      <c r="AZ30" s="2584">
        <f>AX30/AW30</f>
        <v>0.92148329501195403</v>
      </c>
    </row>
    <row r="31" spans="1:76" ht="15" customHeight="1">
      <c r="A31" s="2654"/>
      <c r="B31" s="2663"/>
      <c r="C31" s="1119">
        <v>42278</v>
      </c>
      <c r="D31" s="1120">
        <v>42369</v>
      </c>
      <c r="E31" s="1118">
        <f>0.767+0.324</f>
        <v>1.091</v>
      </c>
      <c r="F31" s="1508"/>
      <c r="G31" s="1554">
        <f>E31+F31+I30</f>
        <v>18.728555</v>
      </c>
      <c r="H31" s="1536"/>
      <c r="I31" s="1554">
        <f t="shared" si="0"/>
        <v>18.728555</v>
      </c>
      <c r="J31" s="2660"/>
      <c r="K31" s="1553">
        <f>6.39+2.7</f>
        <v>9.09</v>
      </c>
      <c r="L31" s="1536"/>
      <c r="M31" s="1554">
        <f>K31+L31+O30</f>
        <v>193.67950000000005</v>
      </c>
      <c r="N31" s="1890">
        <v>97.801000000000002</v>
      </c>
      <c r="O31" s="1554">
        <f t="shared" si="1"/>
        <v>95.878500000000045</v>
      </c>
      <c r="P31" s="2660"/>
      <c r="Q31" s="1116">
        <f>9.33+3.943</f>
        <v>13.273</v>
      </c>
      <c r="R31" s="1536"/>
      <c r="S31" s="1122">
        <f>Q31+R31+U30</f>
        <v>110.40772999999999</v>
      </c>
      <c r="T31" s="1657">
        <v>106.892</v>
      </c>
      <c r="U31" s="1554">
        <f t="shared" si="2"/>
        <v>3.5157299999999907</v>
      </c>
      <c r="V31" s="2660"/>
      <c r="W31" s="1116">
        <f>13.291+5.616</f>
        <v>18.907</v>
      </c>
      <c r="X31" s="1536"/>
      <c r="Y31" s="1554">
        <f>W31+X31+AA30</f>
        <v>124.29503999999999</v>
      </c>
      <c r="Z31" s="1038">
        <v>120.20699999999999</v>
      </c>
      <c r="AA31" s="1554">
        <f t="shared" si="3"/>
        <v>4.0880399999999923</v>
      </c>
      <c r="AB31" s="2660"/>
      <c r="AC31" s="1116">
        <f>13.291+5.616</f>
        <v>18.907</v>
      </c>
      <c r="AD31" s="1536"/>
      <c r="AE31" s="1122">
        <f>AC31+AD31+AG30</f>
        <v>94.543039999999976</v>
      </c>
      <c r="AF31" s="1038">
        <v>91.685000000000002</v>
      </c>
      <c r="AG31" s="1554">
        <f t="shared" si="4"/>
        <v>2.8580399999999742</v>
      </c>
      <c r="AH31" s="2660"/>
      <c r="AI31" s="1554">
        <f>13.3041674+5.6214</f>
        <v>18.925567400000002</v>
      </c>
      <c r="AJ31" s="1536"/>
      <c r="AK31" s="1554">
        <f>AI31+AJ31+AM30</f>
        <v>155.23341439999999</v>
      </c>
      <c r="AL31" s="1038">
        <v>151.87899999999999</v>
      </c>
      <c r="AM31" s="1554">
        <f t="shared" si="5"/>
        <v>3.354414399999996</v>
      </c>
      <c r="AN31" s="2660"/>
      <c r="AO31" s="1117">
        <f t="shared" si="10"/>
        <v>80.193567400000006</v>
      </c>
      <c r="AP31" s="1554">
        <f t="shared" si="11"/>
        <v>0</v>
      </c>
      <c r="AQ31" s="1536">
        <f>AO31+AP31+AS30</f>
        <v>696.88727940000024</v>
      </c>
      <c r="AR31" s="1536">
        <f t="shared" si="7"/>
        <v>568.46399999999994</v>
      </c>
      <c r="AS31" s="1554">
        <f t="shared" si="8"/>
        <v>128.4232794000003</v>
      </c>
      <c r="AT31" s="1435">
        <f t="shared" si="9"/>
        <v>0.81571872066517126</v>
      </c>
      <c r="AU31" s="2670"/>
      <c r="AV31" s="2670"/>
      <c r="AW31" s="2671"/>
      <c r="AX31" s="2670"/>
      <c r="AY31" s="2670"/>
      <c r="AZ31" s="2572"/>
    </row>
    <row r="32" spans="1:76" ht="15" customHeight="1">
      <c r="A32" s="2654"/>
      <c r="B32" s="2662" t="s">
        <v>174</v>
      </c>
      <c r="C32" s="1420">
        <v>41640</v>
      </c>
      <c r="D32" s="1669">
        <v>42216</v>
      </c>
      <c r="E32" s="1562">
        <f>1.527+0.294</f>
        <v>1.821</v>
      </c>
      <c r="F32" s="1659">
        <f>-0.14025-1.7136955</f>
        <v>-1.8539455</v>
      </c>
      <c r="G32" s="1511">
        <f>E32+L32</f>
        <v>175.49695</v>
      </c>
      <c r="H32" s="1512"/>
      <c r="I32" s="1511">
        <f t="shared" si="0"/>
        <v>175.49695</v>
      </c>
      <c r="J32" s="2661">
        <f>E32+E33+L32+F33</f>
        <v>175.71995000000001</v>
      </c>
      <c r="K32" s="1562">
        <f>14.021+2.7</f>
        <v>16.721</v>
      </c>
      <c r="L32" s="1659">
        <f>190.53-1.275-15.57905</f>
        <v>173.67595</v>
      </c>
      <c r="M32" s="1663">
        <f>K32+L32</f>
        <v>190.39695</v>
      </c>
      <c r="N32" s="1891">
        <v>93.188000000000002</v>
      </c>
      <c r="O32" s="1511">
        <f t="shared" si="1"/>
        <v>97.208950000000002</v>
      </c>
      <c r="P32" s="2661">
        <f>K32+K33+L32+L33</f>
        <v>192.25495000000001</v>
      </c>
      <c r="Q32" s="1562">
        <f>20.471+3.942</f>
        <v>24.413</v>
      </c>
      <c r="R32" s="1512">
        <f>-1.8615-22.745413</f>
        <v>-24.606912999999999</v>
      </c>
      <c r="S32" s="1663">
        <f>Q32+R32</f>
        <v>-0.19391299999999845</v>
      </c>
      <c r="T32" s="1536"/>
      <c r="U32" s="1511">
        <f t="shared" si="2"/>
        <v>-0.19391299999999845</v>
      </c>
      <c r="V32" s="2661">
        <f>Q32+Q33+R32+R33</f>
        <v>2.5190870000000025</v>
      </c>
      <c r="W32" s="1562">
        <f>29.164+5.616</f>
        <v>34.78</v>
      </c>
      <c r="X32" s="1512">
        <f>-2.652-32.404424</f>
        <v>-35.056424</v>
      </c>
      <c r="Y32" s="1511">
        <f>W32+X32</f>
        <v>-0.27642399999999867</v>
      </c>
      <c r="Z32" s="1512"/>
      <c r="AA32" s="1511">
        <f t="shared" si="3"/>
        <v>-0.27642399999999867</v>
      </c>
      <c r="AB32" s="2661">
        <f>W32+W33+X32+X33</f>
        <v>3.5875759999999985</v>
      </c>
      <c r="AC32" s="1562">
        <f>29.164+5.616</f>
        <v>34.78</v>
      </c>
      <c r="AD32" s="1512">
        <f>-2.652-32.404424</f>
        <v>-35.056424</v>
      </c>
      <c r="AE32" s="1663">
        <f>AC32+AD32</f>
        <v>-0.27642399999999867</v>
      </c>
      <c r="AF32" s="1512"/>
      <c r="AG32" s="1511">
        <f t="shared" si="4"/>
        <v>-0.27642399999999867</v>
      </c>
      <c r="AH32" s="2661">
        <f>AC32+AC33+AD32+AD33</f>
        <v>3.5875759999999985</v>
      </c>
      <c r="AI32" s="1511">
        <f>29.1920239+5.6214</f>
        <v>34.813423899999997</v>
      </c>
      <c r="AJ32" s="1512">
        <f>-2.65455-32.4355821</f>
        <v>-35.090132099999998</v>
      </c>
      <c r="AK32" s="1511">
        <f>AI32+AJ32</f>
        <v>-0.27670820000000163</v>
      </c>
      <c r="AL32" s="1512"/>
      <c r="AM32" s="1511">
        <f t="shared" si="5"/>
        <v>-0.27670820000000163</v>
      </c>
      <c r="AN32" s="2661">
        <f>AI32+AI33+AJ32+AJ33</f>
        <v>3.5914500099999955</v>
      </c>
      <c r="AO32" s="1659">
        <f t="shared" si="10"/>
        <v>147.32842389999999</v>
      </c>
      <c r="AP32" s="1552">
        <f t="shared" si="11"/>
        <v>42.012111400000016</v>
      </c>
      <c r="AQ32" s="1422">
        <f>AO32+AP32</f>
        <v>189.3405353</v>
      </c>
      <c r="AR32" s="1422">
        <f t="shared" si="7"/>
        <v>93.188000000000002</v>
      </c>
      <c r="AS32" s="1552">
        <f t="shared" si="8"/>
        <v>96.152535299999997</v>
      </c>
      <c r="AT32" s="1434">
        <f t="shared" si="9"/>
        <v>0.49217141935480735</v>
      </c>
      <c r="AU32" s="2664">
        <f>AO32+AO33</f>
        <v>163.71858211</v>
      </c>
      <c r="AV32" s="2664">
        <f>AP32+AP33</f>
        <v>42.012111400000016</v>
      </c>
      <c r="AW32" s="2669">
        <f>AU32+AV32</f>
        <v>205.73069351000001</v>
      </c>
      <c r="AX32" s="2664">
        <f>AR32+AR33</f>
        <v>186.93099999999998</v>
      </c>
      <c r="AY32" s="2664">
        <f>AW32-AX32</f>
        <v>18.799693510000026</v>
      </c>
      <c r="AZ32" s="2584">
        <f>AX32/AW32</f>
        <v>0.90861988948145833</v>
      </c>
    </row>
    <row r="33" spans="1:76" ht="15" customHeight="1">
      <c r="A33" s="2654"/>
      <c r="B33" s="2663"/>
      <c r="C33" s="1119">
        <v>42278</v>
      </c>
      <c r="D33" s="1120">
        <v>42369</v>
      </c>
      <c r="E33" s="1118">
        <f>0.187+0.036</f>
        <v>0.223</v>
      </c>
      <c r="F33" s="1418"/>
      <c r="G33" s="1517">
        <f>E33+F33+I32</f>
        <v>175.71995000000001</v>
      </c>
      <c r="H33" s="1418"/>
      <c r="I33" s="1517">
        <f t="shared" si="0"/>
        <v>175.71995000000001</v>
      </c>
      <c r="J33" s="2659"/>
      <c r="K33" s="1118">
        <f>1.558+0.3</f>
        <v>1.8580000000000001</v>
      </c>
      <c r="L33" s="1508"/>
      <c r="M33" s="1419">
        <f>K33+L33+O32</f>
        <v>99.066950000000006</v>
      </c>
      <c r="N33" s="1888">
        <v>93.742999999999995</v>
      </c>
      <c r="O33" s="1517">
        <f t="shared" si="1"/>
        <v>5.3239500000000106</v>
      </c>
      <c r="P33" s="2659"/>
      <c r="Q33" s="1118">
        <f>2.275+0.438</f>
        <v>2.7130000000000001</v>
      </c>
      <c r="R33" s="1418"/>
      <c r="S33" s="1419">
        <f>Q33+R33+U32</f>
        <v>2.5190870000000016</v>
      </c>
      <c r="T33" s="1418"/>
      <c r="U33" s="1517">
        <f t="shared" si="2"/>
        <v>2.5190870000000016</v>
      </c>
      <c r="V33" s="2659"/>
      <c r="W33" s="1118">
        <f>3.24+0.624</f>
        <v>3.8640000000000003</v>
      </c>
      <c r="X33" s="1418"/>
      <c r="Y33" s="1517">
        <f>W33+X33+AA32</f>
        <v>3.5875760000000017</v>
      </c>
      <c r="Z33" s="1418"/>
      <c r="AA33" s="1517">
        <f t="shared" si="3"/>
        <v>3.5875760000000017</v>
      </c>
      <c r="AB33" s="2659"/>
      <c r="AC33" s="1118">
        <f>3.24+0.624</f>
        <v>3.8640000000000003</v>
      </c>
      <c r="AD33" s="1418"/>
      <c r="AE33" s="1419">
        <f>AC33+AD33+AG32</f>
        <v>3.5875760000000017</v>
      </c>
      <c r="AF33" s="1418"/>
      <c r="AG33" s="1517">
        <f t="shared" si="4"/>
        <v>3.5875760000000017</v>
      </c>
      <c r="AH33" s="2659"/>
      <c r="AI33" s="1517">
        <f>3.24355821+0.6246</f>
        <v>3.8681582100000003</v>
      </c>
      <c r="AJ33" s="1418"/>
      <c r="AK33" s="1517">
        <f>AI33+AJ33+AM32</f>
        <v>3.5914500099999986</v>
      </c>
      <c r="AL33" s="1418"/>
      <c r="AM33" s="1517">
        <f t="shared" si="5"/>
        <v>3.5914500099999986</v>
      </c>
      <c r="AN33" s="2659"/>
      <c r="AO33" s="1508">
        <f t="shared" si="10"/>
        <v>16.390158210000003</v>
      </c>
      <c r="AP33" s="1556">
        <f t="shared" si="11"/>
        <v>0</v>
      </c>
      <c r="AQ33" s="1418">
        <f>AO33+AP33+AS32</f>
        <v>112.54269350999999</v>
      </c>
      <c r="AR33" s="1418">
        <f t="shared" si="7"/>
        <v>93.742999999999995</v>
      </c>
      <c r="AS33" s="1556">
        <f t="shared" si="8"/>
        <v>18.799693509999997</v>
      </c>
      <c r="AT33" s="1433">
        <f t="shared" si="9"/>
        <v>0.83295500646312903</v>
      </c>
      <c r="AU33" s="2665"/>
      <c r="AV33" s="2665"/>
      <c r="AW33" s="2668"/>
      <c r="AX33" s="2665"/>
      <c r="AY33" s="2665"/>
      <c r="AZ33" s="2572"/>
      <c r="BA33" s="1126"/>
    </row>
    <row r="34" spans="1:76" ht="15" customHeight="1">
      <c r="A34" s="2654"/>
      <c r="B34" s="2662" t="s">
        <v>299</v>
      </c>
      <c r="C34" s="1420">
        <v>41640</v>
      </c>
      <c r="D34" s="1669">
        <v>42216</v>
      </c>
      <c r="E34" s="1562">
        <v>1.8089999999999999</v>
      </c>
      <c r="F34" s="1659">
        <f>-2.0301215</f>
        <v>-2.0301214999999999</v>
      </c>
      <c r="G34" s="1554">
        <f>E34+F34</f>
        <v>-0.22112149999999997</v>
      </c>
      <c r="H34" s="1536"/>
      <c r="I34" s="1554">
        <f t="shared" si="0"/>
        <v>-0.22112149999999997</v>
      </c>
      <c r="J34" s="2660">
        <f>E34+E35+F34+F35</f>
        <v>-1.2150000000010763E-4</v>
      </c>
      <c r="K34" s="1553">
        <v>16.61</v>
      </c>
      <c r="L34" s="1536">
        <f>-18.45565</f>
        <v>-18.455649999999999</v>
      </c>
      <c r="M34" s="1554">
        <f>K34+L34</f>
        <v>-1.8456499999999991</v>
      </c>
      <c r="N34" s="1536"/>
      <c r="O34" s="1554">
        <f t="shared" si="1"/>
        <v>-1.8456499999999991</v>
      </c>
      <c r="P34" s="2660">
        <f>K34+K35+L34+L35</f>
        <v>3.5000000000096065E-4</v>
      </c>
      <c r="Q34" s="1116">
        <v>24.25</v>
      </c>
      <c r="R34" s="1512">
        <f>-26.945249</f>
        <v>-26.945249</v>
      </c>
      <c r="S34" s="1122">
        <f>Q34+R34</f>
        <v>-2.6952490000000004</v>
      </c>
      <c r="T34" s="1257"/>
      <c r="U34" s="1554">
        <f t="shared" si="2"/>
        <v>-2.6952490000000004</v>
      </c>
      <c r="V34" s="2660">
        <f>Q34+Q35+R34+R35</f>
        <v>-2.4900000000016576E-4</v>
      </c>
      <c r="W34" s="1116">
        <v>34.548999999999999</v>
      </c>
      <c r="X34" s="1536">
        <f>-38.387752</f>
        <v>-38.387751999999999</v>
      </c>
      <c r="Y34" s="1554">
        <f>W34+X34</f>
        <v>-3.8387519999999995</v>
      </c>
      <c r="Z34" s="1257"/>
      <c r="AA34" s="1554">
        <f t="shared" si="3"/>
        <v>-3.8387519999999995</v>
      </c>
      <c r="AB34" s="2660">
        <f>W34+W35+X34+X35</f>
        <v>2.479999999991378E-4</v>
      </c>
      <c r="AC34" s="1116">
        <v>34.548999999999999</v>
      </c>
      <c r="AD34" s="1536">
        <f>-38.387752</f>
        <v>-38.387751999999999</v>
      </c>
      <c r="AE34" s="1122">
        <f>AC34+AD34</f>
        <v>-3.8387519999999995</v>
      </c>
      <c r="AF34" s="1257"/>
      <c r="AG34" s="1554">
        <f t="shared" si="4"/>
        <v>-3.8387519999999995</v>
      </c>
      <c r="AH34" s="2660">
        <f>AC34+AC35+AD34+AD35</f>
        <v>2.479999999991378E-4</v>
      </c>
      <c r="AI34" s="1554">
        <v>34.582197000000001</v>
      </c>
      <c r="AJ34" s="1536">
        <f>-38.4246633</f>
        <v>-38.424663299999999</v>
      </c>
      <c r="AK34" s="1554">
        <f>AI34+AJ34</f>
        <v>-3.8424662999999981</v>
      </c>
      <c r="AL34" s="1257"/>
      <c r="AM34" s="1554">
        <f t="shared" si="5"/>
        <v>-3.8424662999999981</v>
      </c>
      <c r="AN34" s="2660">
        <f>AI34+AI35+AJ34+AJ35</f>
        <v>3.000000248221113E-8</v>
      </c>
      <c r="AO34" s="1117">
        <f t="shared" si="10"/>
        <v>146.349197</v>
      </c>
      <c r="AP34" s="1554">
        <f t="shared" si="11"/>
        <v>-162.63118779999999</v>
      </c>
      <c r="AQ34" s="1536">
        <f>AO34+AP34</f>
        <v>-16.281990799999988</v>
      </c>
      <c r="AR34" s="1536">
        <f t="shared" si="7"/>
        <v>0</v>
      </c>
      <c r="AS34" s="1554">
        <f t="shared" si="8"/>
        <v>-16.281990799999988</v>
      </c>
      <c r="AT34" s="1435">
        <f t="shared" si="9"/>
        <v>0</v>
      </c>
      <c r="AU34" s="2670">
        <f>AO34+AO35</f>
        <v>162.63166333000001</v>
      </c>
      <c r="AV34" s="2670">
        <f>AP34+AP35</f>
        <v>-162.63118779999999</v>
      </c>
      <c r="AW34" s="2671">
        <f>AU34+AV34</f>
        <v>4.755300000169882E-4</v>
      </c>
      <c r="AX34" s="2670">
        <f>AR34+AR35</f>
        <v>0</v>
      </c>
      <c r="AY34" s="2670">
        <f>AW34-AX34</f>
        <v>4.755300000169882E-4</v>
      </c>
      <c r="AZ34" s="2584">
        <f>AX34/AW34</f>
        <v>0</v>
      </c>
    </row>
    <row r="35" spans="1:76" ht="15" customHeight="1">
      <c r="A35" s="2654"/>
      <c r="B35" s="2663"/>
      <c r="C35" s="1119">
        <v>42278</v>
      </c>
      <c r="D35" s="1120">
        <v>42369</v>
      </c>
      <c r="E35" s="1118">
        <v>0.221</v>
      </c>
      <c r="F35" s="1508"/>
      <c r="G35" s="1517">
        <f>E35+F35+I34</f>
        <v>-1.2149999999996886E-4</v>
      </c>
      <c r="H35" s="1418"/>
      <c r="I35" s="1517">
        <f t="shared" si="0"/>
        <v>-1.2149999999996886E-4</v>
      </c>
      <c r="J35" s="2659"/>
      <c r="K35" s="1555">
        <v>1.8460000000000001</v>
      </c>
      <c r="L35" s="1418"/>
      <c r="M35" s="1517">
        <f>K35+L35+O34</f>
        <v>3.5000000000096065E-4</v>
      </c>
      <c r="N35" s="1418"/>
      <c r="O35" s="1517">
        <f t="shared" si="1"/>
        <v>3.5000000000096065E-4</v>
      </c>
      <c r="P35" s="2659"/>
      <c r="Q35" s="1118">
        <v>2.6949999999999998</v>
      </c>
      <c r="R35" s="1418"/>
      <c r="S35" s="1419">
        <f>Q35+R35+U34</f>
        <v>-2.4900000000060984E-4</v>
      </c>
      <c r="T35" s="1418"/>
      <c r="U35" s="1517">
        <f t="shared" si="2"/>
        <v>-2.4900000000060984E-4</v>
      </c>
      <c r="V35" s="2659"/>
      <c r="W35" s="1118">
        <v>3.839</v>
      </c>
      <c r="X35" s="1418"/>
      <c r="Y35" s="1517">
        <f>W35+X35+AA34</f>
        <v>2.4800000000047007E-4</v>
      </c>
      <c r="Z35" s="1418"/>
      <c r="AA35" s="1517">
        <f t="shared" si="3"/>
        <v>2.4800000000047007E-4</v>
      </c>
      <c r="AB35" s="2659"/>
      <c r="AC35" s="1118">
        <v>3.839</v>
      </c>
      <c r="AD35" s="1418"/>
      <c r="AE35" s="1419">
        <f>AC35+AD35+AG34</f>
        <v>2.4800000000047007E-4</v>
      </c>
      <c r="AF35" s="1418"/>
      <c r="AG35" s="1517">
        <f t="shared" si="4"/>
        <v>2.4800000000047007E-4</v>
      </c>
      <c r="AH35" s="2659"/>
      <c r="AI35" s="1517">
        <v>3.8424663300000002</v>
      </c>
      <c r="AJ35" s="1418"/>
      <c r="AK35" s="1517">
        <f>AI35+AJ35+AM34</f>
        <v>3.000000203812192E-8</v>
      </c>
      <c r="AL35" s="1418"/>
      <c r="AM35" s="1517">
        <f t="shared" si="5"/>
        <v>3.000000203812192E-8</v>
      </c>
      <c r="AN35" s="2659"/>
      <c r="AO35" s="1508">
        <f t="shared" si="10"/>
        <v>16.282466330000002</v>
      </c>
      <c r="AP35" s="1556">
        <f t="shared" si="11"/>
        <v>0</v>
      </c>
      <c r="AQ35" s="1418">
        <f>AO35+AP35+AS34</f>
        <v>4.7553000001343548E-4</v>
      </c>
      <c r="AR35" s="1418">
        <f t="shared" si="7"/>
        <v>0</v>
      </c>
      <c r="AS35" s="1556">
        <f t="shared" si="8"/>
        <v>4.7553000001343548E-4</v>
      </c>
      <c r="AT35" s="1433">
        <f t="shared" si="9"/>
        <v>0</v>
      </c>
      <c r="AU35" s="2665"/>
      <c r="AV35" s="2665"/>
      <c r="AW35" s="2668"/>
      <c r="AX35" s="2665"/>
      <c r="AY35" s="2665"/>
      <c r="AZ35" s="2572"/>
    </row>
    <row r="36" spans="1:76" s="1127" customFormat="1" ht="15" customHeight="1">
      <c r="A36" s="2654"/>
      <c r="B36" s="2662" t="s">
        <v>293</v>
      </c>
      <c r="C36" s="1420">
        <v>41640</v>
      </c>
      <c r="D36" s="1669">
        <v>42216</v>
      </c>
      <c r="E36" s="1562">
        <v>0.23</v>
      </c>
      <c r="F36" s="1659">
        <f>-0.0998855</f>
        <v>-9.9885500000000002E-2</v>
      </c>
      <c r="G36" s="1511">
        <f>E36+F36</f>
        <v>0.13011450000000002</v>
      </c>
      <c r="H36" s="1512"/>
      <c r="I36" s="1511">
        <f t="shared" si="0"/>
        <v>0.13011450000000002</v>
      </c>
      <c r="J36" s="2661">
        <f>E36+E37+F36+F37</f>
        <v>0.15811449999999999</v>
      </c>
      <c r="K36" s="1550">
        <v>2.1120000000000001</v>
      </c>
      <c r="L36" s="1512">
        <f>-0.90805</f>
        <v>-0.90805000000000002</v>
      </c>
      <c r="M36" s="1511">
        <f>K36+L36</f>
        <v>1.2039500000000001</v>
      </c>
      <c r="N36" s="1512"/>
      <c r="O36" s="1511">
        <f t="shared" si="1"/>
        <v>1.2039500000000001</v>
      </c>
      <c r="P36" s="2661">
        <f>K36+K37+L36+L37</f>
        <v>1.43895</v>
      </c>
      <c r="Q36" s="1562">
        <v>3.0830000000000002</v>
      </c>
      <c r="R36" s="1512">
        <f>-1.325753</f>
        <v>-1.325753</v>
      </c>
      <c r="S36" s="1663">
        <f>Q36+R36</f>
        <v>1.7572470000000002</v>
      </c>
      <c r="T36" s="1512"/>
      <c r="U36" s="1511">
        <f t="shared" si="2"/>
        <v>1.7572470000000002</v>
      </c>
      <c r="V36" s="2661">
        <f>Q36+Q37+R36+R37</f>
        <v>2.1002470000000004</v>
      </c>
      <c r="W36" s="1562">
        <v>4.3929999999999998</v>
      </c>
      <c r="X36" s="1512">
        <f>-1.888744</f>
        <v>-1.888744</v>
      </c>
      <c r="Y36" s="1511">
        <f>W36+X36</f>
        <v>2.5042559999999998</v>
      </c>
      <c r="Z36" s="1512"/>
      <c r="AA36" s="1511">
        <f t="shared" si="3"/>
        <v>2.5042559999999998</v>
      </c>
      <c r="AB36" s="2661">
        <f>W36+W37+X36+X37</f>
        <v>2.9922560000000002</v>
      </c>
      <c r="AC36" s="1562">
        <v>4.3929999999999998</v>
      </c>
      <c r="AD36" s="1512">
        <f>-1.888744</f>
        <v>-1.888744</v>
      </c>
      <c r="AE36" s="1663">
        <f>AC36+AD36</f>
        <v>2.5042559999999998</v>
      </c>
      <c r="AF36" s="1512"/>
      <c r="AG36" s="1511">
        <f t="shared" si="4"/>
        <v>2.5042559999999998</v>
      </c>
      <c r="AH36" s="2661">
        <f>AC36+AC37+AD36+AD37</f>
        <v>2.9922560000000002</v>
      </c>
      <c r="AI36" s="1511">
        <v>4.3968717000000002</v>
      </c>
      <c r="AJ36" s="1512">
        <f>-1.8905601</f>
        <v>-1.8905601000000001</v>
      </c>
      <c r="AK36" s="1511">
        <f>AI36+AJ36</f>
        <v>2.5063116000000001</v>
      </c>
      <c r="AL36" s="1512"/>
      <c r="AM36" s="1511">
        <f t="shared" si="5"/>
        <v>2.5063116000000001</v>
      </c>
      <c r="AN36" s="2661">
        <f>AI36+AI37+AJ36+AJ37</f>
        <v>2.9948528999999997</v>
      </c>
      <c r="AO36" s="1659">
        <f t="shared" si="10"/>
        <v>18.607871700000004</v>
      </c>
      <c r="AP36" s="1552">
        <f t="shared" si="11"/>
        <v>-8.001736600000001</v>
      </c>
      <c r="AQ36" s="1422">
        <f>AO36+AP36</f>
        <v>10.606135100000003</v>
      </c>
      <c r="AR36" s="1422">
        <f t="shared" si="7"/>
        <v>0</v>
      </c>
      <c r="AS36" s="1552">
        <f t="shared" si="8"/>
        <v>10.606135100000003</v>
      </c>
      <c r="AT36" s="1434">
        <f t="shared" si="9"/>
        <v>0</v>
      </c>
      <c r="AU36" s="2664">
        <f>AO36+AO37</f>
        <v>20.678413000000003</v>
      </c>
      <c r="AV36" s="2664">
        <f>AP36+AP37</f>
        <v>-8.001736600000001</v>
      </c>
      <c r="AW36" s="2669">
        <f>AU36+AV36</f>
        <v>12.676676400000002</v>
      </c>
      <c r="AX36" s="2664">
        <f>AR36+AR37</f>
        <v>10.754999999999999</v>
      </c>
      <c r="AY36" s="2664">
        <f>AW36-AX36</f>
        <v>1.9216764000000026</v>
      </c>
      <c r="AZ36" s="2584">
        <f>AX36/AW36</f>
        <v>0.84840849924985051</v>
      </c>
      <c r="BA36" s="1076"/>
      <c r="BB36" s="863"/>
      <c r="BC36" s="863"/>
      <c r="BD36" s="863"/>
      <c r="BE36" s="863"/>
      <c r="BF36" s="863"/>
      <c r="BG36" s="863"/>
      <c r="BH36" s="863"/>
      <c r="BI36" s="863"/>
      <c r="BJ36" s="863"/>
      <c r="BK36" s="863"/>
      <c r="BL36" s="863"/>
      <c r="BM36" s="863"/>
      <c r="BN36" s="863"/>
      <c r="BO36" s="863"/>
      <c r="BP36" s="863"/>
      <c r="BQ36" s="863"/>
      <c r="BR36" s="863"/>
      <c r="BS36" s="863"/>
      <c r="BT36" s="863"/>
      <c r="BU36" s="863"/>
      <c r="BV36" s="863"/>
      <c r="BW36" s="863"/>
      <c r="BX36" s="863"/>
    </row>
    <row r="37" spans="1:76" s="1127" customFormat="1" ht="15" customHeight="1">
      <c r="A37" s="2654"/>
      <c r="B37" s="2657"/>
      <c r="C37" s="1643">
        <v>42278</v>
      </c>
      <c r="D37" s="1644">
        <v>42369</v>
      </c>
      <c r="E37" s="1116">
        <v>2.8000000000000001E-2</v>
      </c>
      <c r="F37" s="1117"/>
      <c r="G37" s="1554">
        <f>E37+F37+I36</f>
        <v>0.15811450000000002</v>
      </c>
      <c r="H37" s="1536"/>
      <c r="I37" s="1554">
        <f t="shared" si="0"/>
        <v>0.15811450000000002</v>
      </c>
      <c r="J37" s="2660"/>
      <c r="K37" s="1553">
        <v>0.23499999999999999</v>
      </c>
      <c r="L37" s="1536"/>
      <c r="M37" s="1554">
        <f>K37+L37+O36</f>
        <v>1.4389500000000002</v>
      </c>
      <c r="N37" s="1536"/>
      <c r="O37" s="1554">
        <f t="shared" si="1"/>
        <v>1.4389500000000002</v>
      </c>
      <c r="P37" s="2660"/>
      <c r="Q37" s="1116">
        <v>0.34300000000000003</v>
      </c>
      <c r="R37" s="1536"/>
      <c r="S37" s="1122">
        <f>Q37+R37+U36</f>
        <v>2.1002470000000004</v>
      </c>
      <c r="T37" s="1536">
        <v>1.3480000000000001</v>
      </c>
      <c r="U37" s="1554">
        <f t="shared" si="2"/>
        <v>0.75224700000000033</v>
      </c>
      <c r="V37" s="2660"/>
      <c r="W37" s="1116">
        <v>0.48799999999999999</v>
      </c>
      <c r="X37" s="1536"/>
      <c r="Y37" s="1554">
        <f>W37+X37+AA36</f>
        <v>2.9922559999999998</v>
      </c>
      <c r="Z37" s="1257">
        <v>2.0640000000000001</v>
      </c>
      <c r="AA37" s="1554">
        <f t="shared" si="3"/>
        <v>0.92825599999999975</v>
      </c>
      <c r="AB37" s="2660"/>
      <c r="AC37" s="1116">
        <v>0.48799999999999999</v>
      </c>
      <c r="AD37" s="1536"/>
      <c r="AE37" s="1122">
        <f>AC37+AD37+AG36</f>
        <v>2.9922559999999998</v>
      </c>
      <c r="AF37" s="1257">
        <v>3.2269999999999999</v>
      </c>
      <c r="AG37" s="1554">
        <f t="shared" si="4"/>
        <v>-0.23474400000000006</v>
      </c>
      <c r="AH37" s="2660"/>
      <c r="AI37" s="1554">
        <v>0.48854130000000001</v>
      </c>
      <c r="AJ37" s="1536"/>
      <c r="AK37" s="1554">
        <f>AI37+AJ37+AM36</f>
        <v>2.9948529000000002</v>
      </c>
      <c r="AL37" s="1257">
        <v>4.1159999999999997</v>
      </c>
      <c r="AM37" s="1554">
        <f t="shared" si="5"/>
        <v>-1.1211470999999995</v>
      </c>
      <c r="AN37" s="2660"/>
      <c r="AO37" s="1117">
        <f t="shared" si="10"/>
        <v>2.0705412999999999</v>
      </c>
      <c r="AP37" s="1554">
        <f t="shared" si="11"/>
        <v>0</v>
      </c>
      <c r="AQ37" s="1536">
        <f>AO37+AP37+AS36</f>
        <v>12.676676400000003</v>
      </c>
      <c r="AR37" s="1536">
        <f t="shared" si="7"/>
        <v>10.754999999999999</v>
      </c>
      <c r="AS37" s="1554">
        <f t="shared" si="8"/>
        <v>1.9216764000000044</v>
      </c>
      <c r="AT37" s="1435">
        <f t="shared" si="9"/>
        <v>0.8484084992498504</v>
      </c>
      <c r="AU37" s="2670"/>
      <c r="AV37" s="2670"/>
      <c r="AW37" s="2671"/>
      <c r="AX37" s="2670"/>
      <c r="AY37" s="2670"/>
      <c r="AZ37" s="2572"/>
      <c r="BA37" s="1076"/>
      <c r="BB37" s="863"/>
      <c r="BC37" s="863"/>
      <c r="BD37" s="863"/>
      <c r="BE37" s="863"/>
      <c r="BF37" s="863"/>
      <c r="BG37" s="863"/>
      <c r="BH37" s="863"/>
      <c r="BI37" s="863"/>
      <c r="BJ37" s="863"/>
      <c r="BK37" s="863"/>
      <c r="BL37" s="863"/>
      <c r="BM37" s="863"/>
      <c r="BN37" s="863"/>
      <c r="BO37" s="863"/>
      <c r="BP37" s="863"/>
      <c r="BQ37" s="863"/>
      <c r="BR37" s="863"/>
      <c r="BS37" s="863"/>
      <c r="BT37" s="863"/>
      <c r="BU37" s="863"/>
      <c r="BV37" s="863"/>
      <c r="BW37" s="863"/>
      <c r="BX37" s="863"/>
    </row>
    <row r="38" spans="1:76" ht="15" customHeight="1">
      <c r="A38" s="2654"/>
      <c r="B38" s="2662" t="s">
        <v>248</v>
      </c>
      <c r="C38" s="1420">
        <v>41640</v>
      </c>
      <c r="D38" s="1669">
        <v>42216</v>
      </c>
      <c r="E38" s="1562">
        <v>2E-3</v>
      </c>
      <c r="F38" s="1659">
        <f>0.0044</f>
        <v>4.4000000000000003E-3</v>
      </c>
      <c r="G38" s="1511">
        <f>E38+F38</f>
        <v>6.4000000000000003E-3</v>
      </c>
      <c r="H38" s="1512"/>
      <c r="I38" s="1511">
        <f t="shared" si="0"/>
        <v>6.4000000000000003E-3</v>
      </c>
      <c r="J38" s="2661">
        <f>E38+E39+F38+F39</f>
        <v>6.4000000000000003E-3</v>
      </c>
      <c r="K38" s="1550">
        <v>1.4999999999999999E-2</v>
      </c>
      <c r="L38" s="1512">
        <f>0.04</f>
        <v>0.04</v>
      </c>
      <c r="M38" s="1511">
        <f>K38+L38</f>
        <v>5.5E-2</v>
      </c>
      <c r="N38" s="1512"/>
      <c r="O38" s="1511">
        <f t="shared" si="1"/>
        <v>5.5E-2</v>
      </c>
      <c r="P38" s="2661">
        <f>K38+K39+L38+L39</f>
        <v>5.7000000000000002E-2</v>
      </c>
      <c r="Q38" s="1562">
        <v>2.1999999999999999E-2</v>
      </c>
      <c r="R38" s="1481">
        <f>0.0584</f>
        <v>5.8400000000000001E-2</v>
      </c>
      <c r="S38" s="1663">
        <f>Q38+R38</f>
        <v>8.0399999999999999E-2</v>
      </c>
      <c r="T38" s="1512"/>
      <c r="U38" s="1511">
        <f t="shared" si="2"/>
        <v>8.0399999999999999E-2</v>
      </c>
      <c r="V38" s="2661">
        <f>Q38+Q39+R38+R39</f>
        <v>8.2400000000000001E-2</v>
      </c>
      <c r="W38" s="1562">
        <v>3.2000000000000001E-2</v>
      </c>
      <c r="X38" s="1481">
        <f>0.0832</f>
        <v>8.3199999999999996E-2</v>
      </c>
      <c r="Y38" s="1511">
        <f>W38+X38</f>
        <v>0.1152</v>
      </c>
      <c r="Z38" s="1512"/>
      <c r="AA38" s="1511">
        <f t="shared" si="3"/>
        <v>0.1152</v>
      </c>
      <c r="AB38" s="2661">
        <f>W38+W39+X38+X39</f>
        <v>0.1192</v>
      </c>
      <c r="AC38" s="1562">
        <v>3.2000000000000001E-2</v>
      </c>
      <c r="AD38" s="1481">
        <f>0.0832</f>
        <v>8.3199999999999996E-2</v>
      </c>
      <c r="AE38" s="1663">
        <f>AC38+AD38</f>
        <v>0.1152</v>
      </c>
      <c r="AF38" s="1512"/>
      <c r="AG38" s="1511">
        <f t="shared" si="4"/>
        <v>0.1152</v>
      </c>
      <c r="AH38" s="2683">
        <f>AC38+AC39+AD38+AD39</f>
        <v>0.1192</v>
      </c>
      <c r="AI38" s="1511">
        <v>3.1854599999999997E-2</v>
      </c>
      <c r="AJ38" s="1481">
        <f>0.08328</f>
        <v>8.3280000000000007E-2</v>
      </c>
      <c r="AK38" s="1511">
        <f>AI38+AJ38</f>
        <v>0.1151346</v>
      </c>
      <c r="AL38" s="1512"/>
      <c r="AM38" s="1511">
        <f t="shared" si="5"/>
        <v>0.1151346</v>
      </c>
      <c r="AN38" s="2683">
        <f>AI38+AI39+AJ38+AJ39</f>
        <v>0.118674</v>
      </c>
      <c r="AO38" s="1659">
        <f t="shared" si="10"/>
        <v>0.13485459999999999</v>
      </c>
      <c r="AP38" s="1552">
        <f>F38+L38+R38+X38+AD38+AJ38-0.503</f>
        <v>-0.15051999999999999</v>
      </c>
      <c r="AQ38" s="1422">
        <f>AO38+AP38</f>
        <v>-1.5665399999999996E-2</v>
      </c>
      <c r="AR38" s="1422">
        <f t="shared" si="7"/>
        <v>0</v>
      </c>
      <c r="AS38" s="1552">
        <f t="shared" si="8"/>
        <v>-1.5665399999999996E-2</v>
      </c>
      <c r="AT38" s="1434">
        <f t="shared" si="9"/>
        <v>0</v>
      </c>
      <c r="AU38" s="2664">
        <f>AO38+AO39</f>
        <v>0.150394</v>
      </c>
      <c r="AV38" s="2664">
        <f>AP38+AP39</f>
        <v>-0.15051999999999999</v>
      </c>
      <c r="AW38" s="2664">
        <f>AU38+AV38</f>
        <v>-1.2599999999998723E-4</v>
      </c>
      <c r="AX38" s="2664">
        <f>AR38+AR39</f>
        <v>0</v>
      </c>
      <c r="AY38" s="2664">
        <f>AW38-AX38</f>
        <v>-1.2599999999998723E-4</v>
      </c>
      <c r="AZ38" s="2584">
        <f>AX38/AW38</f>
        <v>0</v>
      </c>
    </row>
    <row r="39" spans="1:76" ht="15" customHeight="1">
      <c r="A39" s="2654"/>
      <c r="B39" s="2663"/>
      <c r="C39" s="1119">
        <v>42278</v>
      </c>
      <c r="D39" s="1120">
        <v>42369</v>
      </c>
      <c r="E39" s="1118">
        <v>0</v>
      </c>
      <c r="F39" s="1508"/>
      <c r="G39" s="1517">
        <f>E39+F39+I38</f>
        <v>6.4000000000000003E-3</v>
      </c>
      <c r="H39" s="1418"/>
      <c r="I39" s="1517">
        <f t="shared" si="0"/>
        <v>6.4000000000000003E-3</v>
      </c>
      <c r="J39" s="2659"/>
      <c r="K39" s="1555">
        <v>2E-3</v>
      </c>
      <c r="L39" s="1418"/>
      <c r="M39" s="1517">
        <f>K39+L39+O38</f>
        <v>5.7000000000000002E-2</v>
      </c>
      <c r="N39" s="1418"/>
      <c r="O39" s="1517">
        <f t="shared" si="1"/>
        <v>5.7000000000000002E-2</v>
      </c>
      <c r="P39" s="2659"/>
      <c r="Q39" s="1118">
        <v>2E-3</v>
      </c>
      <c r="R39" s="1418"/>
      <c r="S39" s="1419">
        <f>Q39+R39+U38</f>
        <v>8.2400000000000001E-2</v>
      </c>
      <c r="T39" s="1418"/>
      <c r="U39" s="1517">
        <f t="shared" si="2"/>
        <v>8.2400000000000001E-2</v>
      </c>
      <c r="V39" s="2659"/>
      <c r="W39" s="1118">
        <v>4.0000000000000001E-3</v>
      </c>
      <c r="X39" s="1418"/>
      <c r="Y39" s="1517">
        <f>W39+X39+AA38</f>
        <v>0.1192</v>
      </c>
      <c r="Z39" s="1418"/>
      <c r="AA39" s="1517">
        <f t="shared" si="3"/>
        <v>0.1192</v>
      </c>
      <c r="AB39" s="2659"/>
      <c r="AC39" s="1118">
        <v>4.0000000000000001E-3</v>
      </c>
      <c r="AD39" s="1418"/>
      <c r="AE39" s="1419">
        <f>AC39+AD39+AG38</f>
        <v>0.1192</v>
      </c>
      <c r="AF39" s="1418"/>
      <c r="AG39" s="1517">
        <f t="shared" si="4"/>
        <v>0.1192</v>
      </c>
      <c r="AH39" s="2684"/>
      <c r="AI39" s="1517">
        <v>3.5393999999999998E-3</v>
      </c>
      <c r="AJ39" s="1418"/>
      <c r="AK39" s="1517">
        <f>AI39+AJ39+AM38</f>
        <v>0.118674</v>
      </c>
      <c r="AL39" s="1418"/>
      <c r="AM39" s="1517">
        <f t="shared" si="5"/>
        <v>0.118674</v>
      </c>
      <c r="AN39" s="2684"/>
      <c r="AO39" s="1508">
        <f t="shared" si="10"/>
        <v>1.55394E-2</v>
      </c>
      <c r="AP39" s="1556">
        <f t="shared" ref="AP39:AP45" si="12">F39+L39+R39+X39+AD39+AJ39</f>
        <v>0</v>
      </c>
      <c r="AQ39" s="1418">
        <f>AO39+AP39+AS38</f>
        <v>-1.2599999999999591E-4</v>
      </c>
      <c r="AR39" s="1418">
        <f t="shared" si="7"/>
        <v>0</v>
      </c>
      <c r="AS39" s="1556">
        <f t="shared" si="8"/>
        <v>-1.2599999999999591E-4</v>
      </c>
      <c r="AT39" s="1433">
        <f t="shared" si="9"/>
        <v>0</v>
      </c>
      <c r="AU39" s="2665"/>
      <c r="AV39" s="2665"/>
      <c r="AW39" s="2665"/>
      <c r="AX39" s="2665"/>
      <c r="AY39" s="2665"/>
      <c r="AZ39" s="2572"/>
    </row>
    <row r="40" spans="1:76" ht="15" customHeight="1">
      <c r="A40" s="2654"/>
      <c r="B40" s="2689" t="s">
        <v>624</v>
      </c>
      <c r="C40" s="1420">
        <v>41640</v>
      </c>
      <c r="D40" s="1669">
        <v>42216</v>
      </c>
      <c r="E40" s="1562">
        <v>0</v>
      </c>
      <c r="F40" s="1659">
        <f>0.01485</f>
        <v>1.485E-2</v>
      </c>
      <c r="G40" s="1511">
        <f>E40+F40</f>
        <v>1.485E-2</v>
      </c>
      <c r="H40" s="1512"/>
      <c r="I40" s="1511">
        <f t="shared" si="0"/>
        <v>1.485E-2</v>
      </c>
      <c r="J40" s="2691">
        <f>E40+E41+F40+F41</f>
        <v>1.485E-2</v>
      </c>
      <c r="K40" s="1562">
        <v>0</v>
      </c>
      <c r="L40" s="1510">
        <f>0.135</f>
        <v>0.13500000000000001</v>
      </c>
      <c r="M40" s="1511">
        <f>K40+L40</f>
        <v>0.13500000000000001</v>
      </c>
      <c r="N40" s="1512"/>
      <c r="O40" s="1511">
        <f t="shared" si="1"/>
        <v>0.13500000000000001</v>
      </c>
      <c r="P40" s="2691">
        <f>K40+K41+L40+L41</f>
        <v>0.13500000000000001</v>
      </c>
      <c r="Q40" s="1562">
        <v>0</v>
      </c>
      <c r="R40" s="1510">
        <f>0.1971</f>
        <v>0.1971</v>
      </c>
      <c r="S40" s="1663">
        <f>Q40+R40</f>
        <v>0.1971</v>
      </c>
      <c r="T40" s="1512"/>
      <c r="U40" s="1511">
        <f t="shared" si="2"/>
        <v>0.1971</v>
      </c>
      <c r="V40" s="2691">
        <f>Q40+Q41+R40+R41</f>
        <v>0.1971</v>
      </c>
      <c r="W40" s="1562">
        <v>0</v>
      </c>
      <c r="X40" s="1510">
        <f>0.2808</f>
        <v>0.28079999999999999</v>
      </c>
      <c r="Y40" s="1511">
        <f>W40+X40</f>
        <v>0.28079999999999999</v>
      </c>
      <c r="Z40" s="1512"/>
      <c r="AA40" s="1511">
        <f t="shared" si="3"/>
        <v>0.28079999999999999</v>
      </c>
      <c r="AB40" s="2691">
        <f>W40+W41+X40+X41</f>
        <v>0.28079999999999999</v>
      </c>
      <c r="AC40" s="1562">
        <v>0</v>
      </c>
      <c r="AD40" s="1510">
        <f>0.2808</f>
        <v>0.28079999999999999</v>
      </c>
      <c r="AE40" s="1663">
        <f>AC40+AD40</f>
        <v>0.28079999999999999</v>
      </c>
      <c r="AF40" s="1512"/>
      <c r="AG40" s="1511">
        <f t="shared" si="4"/>
        <v>0.28079999999999999</v>
      </c>
      <c r="AH40" s="2683">
        <f>AC40+AC41+AD40+AD41</f>
        <v>0.28079999999999999</v>
      </c>
      <c r="AI40" s="1511">
        <v>0</v>
      </c>
      <c r="AJ40" s="1510">
        <f>0.28107</f>
        <v>0.28106999999999999</v>
      </c>
      <c r="AK40" s="1511">
        <f>AI40+AJ40</f>
        <v>0.28106999999999999</v>
      </c>
      <c r="AL40" s="1512"/>
      <c r="AM40" s="1511">
        <f t="shared" si="5"/>
        <v>0.28106999999999999</v>
      </c>
      <c r="AN40" s="2685">
        <f>AI40+AI41+AJ40+AJ41</f>
        <v>0.28106999999999999</v>
      </c>
      <c r="AO40" s="1659">
        <f t="shared" si="10"/>
        <v>0</v>
      </c>
      <c r="AP40" s="1552">
        <f t="shared" si="12"/>
        <v>1.1896199999999999</v>
      </c>
      <c r="AQ40" s="1422">
        <f>AO40+AP40</f>
        <v>1.1896199999999999</v>
      </c>
      <c r="AR40" s="1422">
        <f t="shared" si="7"/>
        <v>0</v>
      </c>
      <c r="AS40" s="1552">
        <f t="shared" si="8"/>
        <v>1.1896199999999999</v>
      </c>
      <c r="AT40" s="1434">
        <f t="shared" si="9"/>
        <v>0</v>
      </c>
      <c r="AU40" s="2686">
        <f>AO40+AO41</f>
        <v>0</v>
      </c>
      <c r="AV40" s="2664">
        <f>AP40+AP41</f>
        <v>1.1896199999999999</v>
      </c>
      <c r="AW40" s="2687">
        <f>AU40+AV40</f>
        <v>1.1896199999999999</v>
      </c>
      <c r="AX40" s="2686">
        <f>AR40+AR41</f>
        <v>0</v>
      </c>
      <c r="AY40" s="2686">
        <f>AW40-AX40</f>
        <v>1.1896199999999999</v>
      </c>
      <c r="AZ40" s="2584">
        <f>AX40/AW40</f>
        <v>0</v>
      </c>
    </row>
    <row r="41" spans="1:76" ht="15" customHeight="1">
      <c r="A41" s="2654"/>
      <c r="B41" s="2690"/>
      <c r="C41" s="1119">
        <v>42278</v>
      </c>
      <c r="D41" s="1120">
        <v>42369</v>
      </c>
      <c r="E41" s="1118">
        <v>0</v>
      </c>
      <c r="F41" s="1508"/>
      <c r="G41" s="1517">
        <f>E41+F41+I40</f>
        <v>1.485E-2</v>
      </c>
      <c r="H41" s="1418"/>
      <c r="I41" s="1517">
        <f t="shared" si="0"/>
        <v>1.485E-2</v>
      </c>
      <c r="J41" s="2691"/>
      <c r="K41" s="1118">
        <v>0</v>
      </c>
      <c r="L41" s="1418"/>
      <c r="M41" s="1517">
        <f>K41+L41+O40</f>
        <v>0.13500000000000001</v>
      </c>
      <c r="N41" s="1418"/>
      <c r="O41" s="1517">
        <f t="shared" si="1"/>
        <v>0.13500000000000001</v>
      </c>
      <c r="P41" s="2691"/>
      <c r="Q41" s="1118">
        <v>0</v>
      </c>
      <c r="R41" s="1418"/>
      <c r="S41" s="1419">
        <f>Q41+R41+U40</f>
        <v>0.1971</v>
      </c>
      <c r="T41" s="1418"/>
      <c r="U41" s="1517">
        <f t="shared" si="2"/>
        <v>0.1971</v>
      </c>
      <c r="V41" s="2691"/>
      <c r="W41" s="1118">
        <v>0</v>
      </c>
      <c r="X41" s="1418"/>
      <c r="Y41" s="1517">
        <f>W41+X41+AA40</f>
        <v>0.28079999999999999</v>
      </c>
      <c r="Z41" s="1418"/>
      <c r="AA41" s="1517">
        <f t="shared" si="3"/>
        <v>0.28079999999999999</v>
      </c>
      <c r="AB41" s="2691"/>
      <c r="AC41" s="1118">
        <v>0</v>
      </c>
      <c r="AD41" s="1418"/>
      <c r="AE41" s="1419">
        <f>AC41+AD41+AG40</f>
        <v>0.28079999999999999</v>
      </c>
      <c r="AF41" s="1418"/>
      <c r="AG41" s="1517">
        <f t="shared" si="4"/>
        <v>0.28079999999999999</v>
      </c>
      <c r="AH41" s="2684"/>
      <c r="AI41" s="1517">
        <v>0</v>
      </c>
      <c r="AJ41" s="1418"/>
      <c r="AK41" s="1517">
        <f>AI41+AJ41+AM40</f>
        <v>0.28106999999999999</v>
      </c>
      <c r="AL41" s="1418"/>
      <c r="AM41" s="1517">
        <f t="shared" si="5"/>
        <v>0.28106999999999999</v>
      </c>
      <c r="AN41" s="2685"/>
      <c r="AO41" s="1508">
        <f t="shared" si="10"/>
        <v>0</v>
      </c>
      <c r="AP41" s="1556">
        <f t="shared" si="12"/>
        <v>0</v>
      </c>
      <c r="AQ41" s="1418">
        <f>AO41+AP41+AS40</f>
        <v>1.1896199999999999</v>
      </c>
      <c r="AR41" s="1418">
        <f t="shared" si="7"/>
        <v>0</v>
      </c>
      <c r="AS41" s="1556">
        <f t="shared" si="8"/>
        <v>1.1896199999999999</v>
      </c>
      <c r="AT41" s="1433">
        <f t="shared" si="9"/>
        <v>0</v>
      </c>
      <c r="AU41" s="2686"/>
      <c r="AV41" s="2665"/>
      <c r="AW41" s="2687"/>
      <c r="AX41" s="2686"/>
      <c r="AY41" s="2686"/>
      <c r="AZ41" s="2572"/>
    </row>
    <row r="42" spans="1:76" ht="15" customHeight="1">
      <c r="A42" s="2654"/>
      <c r="B42" s="2657" t="s">
        <v>300</v>
      </c>
      <c r="C42" s="1420">
        <v>41640</v>
      </c>
      <c r="D42" s="1669">
        <v>42216</v>
      </c>
      <c r="E42" s="1116">
        <v>2.7970000000000002</v>
      </c>
      <c r="F42" s="1117">
        <f>-2.5047-0.2475-0.2475-0.12925</f>
        <v>-3.1289500000000001</v>
      </c>
      <c r="G42" s="1554">
        <f>E42+F42</f>
        <v>-0.33194999999999997</v>
      </c>
      <c r="H42" s="1536"/>
      <c r="I42" s="1554">
        <f t="shared" si="0"/>
        <v>-0.33194999999999997</v>
      </c>
      <c r="J42" s="2659">
        <f>E42+E43+F42+F43</f>
        <v>1.0050000000000114E-2</v>
      </c>
      <c r="K42" s="1116">
        <f>25.65</f>
        <v>25.65</v>
      </c>
      <c r="L42" s="1536">
        <f>-22.77-2.25-2.25-1.175</f>
        <v>-28.445</v>
      </c>
      <c r="M42" s="1554">
        <f>K42+L42</f>
        <v>-2.7950000000000017</v>
      </c>
      <c r="N42" s="1536"/>
      <c r="O42" s="1554">
        <f t="shared" si="1"/>
        <v>-2.7950000000000017</v>
      </c>
      <c r="P42" s="2659">
        <f>K42+K43+L42+L43</f>
        <v>5.4999999999999716E-2</v>
      </c>
      <c r="Q42" s="1116">
        <v>37.453000000000003</v>
      </c>
      <c r="R42" s="1510">
        <f>-33.2442-3.285-3.285-1.7155</f>
        <v>-41.529699999999998</v>
      </c>
      <c r="S42" s="1122">
        <f>Q42+R42</f>
        <v>-4.0766999999999953</v>
      </c>
      <c r="T42" s="1536"/>
      <c r="U42" s="1554">
        <f t="shared" si="2"/>
        <v>-4.0766999999999953</v>
      </c>
      <c r="V42" s="2659">
        <f>Q42+Q43+R42+R43</f>
        <v>8.830000000000382E-2</v>
      </c>
      <c r="W42" s="1116">
        <f>53.352</f>
        <v>53.351999999999997</v>
      </c>
      <c r="X42" s="1121">
        <f>-47.3616-4.68-4.68-2.444</f>
        <v>-59.165600000000005</v>
      </c>
      <c r="Y42" s="1554">
        <f>W42+X42</f>
        <v>-5.8136000000000081</v>
      </c>
      <c r="Z42" s="1536"/>
      <c r="AA42" s="1554">
        <f t="shared" si="3"/>
        <v>-5.8136000000000081</v>
      </c>
      <c r="AB42" s="2659">
        <f>W42+W43+X42+X43</f>
        <v>0.11439999999998918</v>
      </c>
      <c r="AC42" s="1116">
        <f>53.352</f>
        <v>53.351999999999997</v>
      </c>
      <c r="AD42" s="1121">
        <f>-47.3616-4.68-4.68-2.444</f>
        <v>-59.165600000000005</v>
      </c>
      <c r="AE42" s="1122">
        <f>AC42+AD42</f>
        <v>-5.8136000000000081</v>
      </c>
      <c r="AF42" s="1536"/>
      <c r="AG42" s="1554">
        <f t="shared" si="4"/>
        <v>-5.8136000000000081</v>
      </c>
      <c r="AH42" s="2688">
        <f>AC42+AC43+AD42+AD43</f>
        <v>0.11439999999998918</v>
      </c>
      <c r="AI42" s="1554">
        <f>53.4033</f>
        <v>53.403300000000002</v>
      </c>
      <c r="AJ42" s="1121">
        <f>-47.40714-4.6845-4.6845-2.44635</f>
        <v>-59.222490000000001</v>
      </c>
      <c r="AK42" s="1554">
        <f>AI42+AJ42</f>
        <v>-5.819189999999999</v>
      </c>
      <c r="AL42" s="1536"/>
      <c r="AM42" s="1554">
        <f t="shared" si="5"/>
        <v>-5.819189999999999</v>
      </c>
      <c r="AN42" s="2684">
        <f>AI42+AI43+AJ42+AJ43</f>
        <v>0.11451000000000278</v>
      </c>
      <c r="AO42" s="1117">
        <f t="shared" si="10"/>
        <v>226.00730000000001</v>
      </c>
      <c r="AP42" s="1554">
        <f t="shared" si="12"/>
        <v>-250.65734</v>
      </c>
      <c r="AQ42" s="1536">
        <f>AO42+AP42</f>
        <v>-24.65003999999999</v>
      </c>
      <c r="AR42" s="1536">
        <f t="shared" si="7"/>
        <v>0</v>
      </c>
      <c r="AS42" s="1554">
        <f t="shared" si="8"/>
        <v>-24.65003999999999</v>
      </c>
      <c r="AT42" s="1435">
        <f t="shared" si="9"/>
        <v>0</v>
      </c>
      <c r="AU42" s="2665">
        <f>AO42+AO43</f>
        <v>251.15400000000002</v>
      </c>
      <c r="AV42" s="2670">
        <f>AP42+AP43</f>
        <v>-250.65734</v>
      </c>
      <c r="AW42" s="2668">
        <f>AU42+AV42</f>
        <v>0.49666000000001986</v>
      </c>
      <c r="AX42" s="2665">
        <f>AR42+AR43</f>
        <v>0</v>
      </c>
      <c r="AY42" s="2665">
        <f>AW42-AX42</f>
        <v>0.49666000000001986</v>
      </c>
      <c r="AZ42" s="2584">
        <f>AX42/AW42</f>
        <v>0</v>
      </c>
    </row>
    <row r="43" spans="1:76" ht="15" customHeight="1">
      <c r="A43" s="2654"/>
      <c r="B43" s="2657"/>
      <c r="C43" s="1643">
        <v>42278</v>
      </c>
      <c r="D43" s="1644">
        <v>42369</v>
      </c>
      <c r="E43" s="1116">
        <v>0.34200000000000003</v>
      </c>
      <c r="F43" s="1117"/>
      <c r="G43" s="1554">
        <f>E43+F43+I42</f>
        <v>1.0050000000000059E-2</v>
      </c>
      <c r="H43" s="1536"/>
      <c r="I43" s="1554">
        <f t="shared" si="0"/>
        <v>1.0050000000000059E-2</v>
      </c>
      <c r="J43" s="2661"/>
      <c r="K43" s="1116">
        <f>2.85</f>
        <v>2.85</v>
      </c>
      <c r="L43" s="1536"/>
      <c r="M43" s="1554">
        <f>K43+L43+O42</f>
        <v>5.4999999999998384E-2</v>
      </c>
      <c r="N43" s="1536"/>
      <c r="O43" s="1554">
        <f t="shared" si="1"/>
        <v>5.4999999999998384E-2</v>
      </c>
      <c r="P43" s="2661"/>
      <c r="Q43" s="1116">
        <f>4.165</f>
        <v>4.165</v>
      </c>
      <c r="R43" s="1536"/>
      <c r="S43" s="1122">
        <f>Q43+R43+U42</f>
        <v>8.8300000000004708E-2</v>
      </c>
      <c r="T43" s="1536"/>
      <c r="U43" s="1554">
        <f t="shared" si="2"/>
        <v>8.8300000000004708E-2</v>
      </c>
      <c r="V43" s="2661"/>
      <c r="W43" s="1116">
        <f>5.928</f>
        <v>5.9279999999999999</v>
      </c>
      <c r="X43" s="1536"/>
      <c r="Y43" s="1554">
        <f>W43+X43+AA42</f>
        <v>0.11439999999999184</v>
      </c>
      <c r="Z43" s="1536"/>
      <c r="AA43" s="1554">
        <f t="shared" si="3"/>
        <v>0.11439999999999184</v>
      </c>
      <c r="AB43" s="2661"/>
      <c r="AC43" s="1116">
        <f>5.928</f>
        <v>5.9279999999999999</v>
      </c>
      <c r="AD43" s="1536"/>
      <c r="AE43" s="1122">
        <f>AC43+AD43+AG42</f>
        <v>0.11439999999999184</v>
      </c>
      <c r="AF43" s="1536"/>
      <c r="AG43" s="1554">
        <f t="shared" si="4"/>
        <v>0.11439999999999184</v>
      </c>
      <c r="AH43" s="2688"/>
      <c r="AI43" s="1554">
        <f>5.9337</f>
        <v>5.9337</v>
      </c>
      <c r="AJ43" s="1536"/>
      <c r="AK43" s="1554">
        <f>AI43+AJ43+AM42</f>
        <v>0.114510000000001</v>
      </c>
      <c r="AL43" s="1536"/>
      <c r="AM43" s="1554">
        <f t="shared" si="5"/>
        <v>0.114510000000001</v>
      </c>
      <c r="AN43" s="2683"/>
      <c r="AO43" s="1117">
        <f t="shared" si="10"/>
        <v>25.146700000000003</v>
      </c>
      <c r="AP43" s="1554">
        <f t="shared" si="12"/>
        <v>0</v>
      </c>
      <c r="AQ43" s="1536">
        <f>AO43+AP43+AS42</f>
        <v>0.49666000000001276</v>
      </c>
      <c r="AR43" s="1536">
        <f t="shared" si="7"/>
        <v>0</v>
      </c>
      <c r="AS43" s="1554">
        <f t="shared" si="8"/>
        <v>0.49666000000001276</v>
      </c>
      <c r="AT43" s="1435">
        <f t="shared" si="9"/>
        <v>0</v>
      </c>
      <c r="AU43" s="2664"/>
      <c r="AV43" s="2670"/>
      <c r="AW43" s="2669"/>
      <c r="AX43" s="2664"/>
      <c r="AY43" s="2664"/>
      <c r="AZ43" s="2572"/>
    </row>
    <row r="44" spans="1:76" ht="15" customHeight="1">
      <c r="A44" s="2654"/>
      <c r="B44" s="2662" t="s">
        <v>666</v>
      </c>
      <c r="C44" s="1420">
        <v>41640</v>
      </c>
      <c r="D44" s="1669">
        <v>42216</v>
      </c>
      <c r="E44" s="1562">
        <v>0</v>
      </c>
      <c r="F44" s="1659">
        <f>0.2475+0.2475+0.12925-0.2475-0.2475-0.12925</f>
        <v>0</v>
      </c>
      <c r="G44" s="1511">
        <f>E44+F44</f>
        <v>0</v>
      </c>
      <c r="H44" s="1512"/>
      <c r="I44" s="1511">
        <f t="shared" si="0"/>
        <v>0</v>
      </c>
      <c r="J44" s="2691">
        <f>E44+E45+F44+F45</f>
        <v>0</v>
      </c>
      <c r="K44" s="1562">
        <v>0</v>
      </c>
      <c r="L44" s="1510">
        <f>2.25+2.25+1.175-2.25-2.25-1.175</f>
        <v>0</v>
      </c>
      <c r="M44" s="1511">
        <f>K44+L44</f>
        <v>0</v>
      </c>
      <c r="N44" s="1512"/>
      <c r="O44" s="1511">
        <f t="shared" si="1"/>
        <v>0</v>
      </c>
      <c r="P44" s="2691">
        <f>K44+K45+L44+L45</f>
        <v>0</v>
      </c>
      <c r="Q44" s="1562">
        <v>0</v>
      </c>
      <c r="R44" s="1510">
        <f>3.285+3.285+1.7155-3.285-3.285-1.7155</f>
        <v>0</v>
      </c>
      <c r="S44" s="1663">
        <f>Q44+R44</f>
        <v>0</v>
      </c>
      <c r="T44" s="1512"/>
      <c r="U44" s="1511">
        <f t="shared" si="2"/>
        <v>0</v>
      </c>
      <c r="V44" s="2691">
        <f>Q44+Q45+R44+R45</f>
        <v>0</v>
      </c>
      <c r="W44" s="1562">
        <v>0</v>
      </c>
      <c r="X44" s="1510">
        <f>4.68+4.68+2.444-4.68-4.68-2.444</f>
        <v>0</v>
      </c>
      <c r="Y44" s="1511">
        <f>W44+X44</f>
        <v>0</v>
      </c>
      <c r="Z44" s="1512"/>
      <c r="AA44" s="1511">
        <f t="shared" si="3"/>
        <v>0</v>
      </c>
      <c r="AB44" s="2691">
        <f>W44+W45+X44+X45</f>
        <v>0</v>
      </c>
      <c r="AC44" s="1562">
        <v>0</v>
      </c>
      <c r="AD44" s="1510">
        <f>4.68+4.68+2.444-4.68-4.68-2.444</f>
        <v>0</v>
      </c>
      <c r="AE44" s="1663">
        <f>AC44+AD44</f>
        <v>0</v>
      </c>
      <c r="AF44" s="1512"/>
      <c r="AG44" s="1511">
        <f t="shared" si="4"/>
        <v>0</v>
      </c>
      <c r="AH44" s="2683">
        <f>AC44+AC45+AD44+AD45</f>
        <v>0</v>
      </c>
      <c r="AI44" s="1511">
        <v>0</v>
      </c>
      <c r="AJ44" s="1510">
        <f>4.6845+4.6845+2.44635-4.6845-4.6845-2.44635</f>
        <v>0</v>
      </c>
      <c r="AK44" s="1511">
        <f>AI44+AJ44</f>
        <v>0</v>
      </c>
      <c r="AL44" s="1512"/>
      <c r="AM44" s="1511">
        <f t="shared" si="5"/>
        <v>0</v>
      </c>
      <c r="AN44" s="2685">
        <f>AI44+AI45+AJ44+AJ45</f>
        <v>0</v>
      </c>
      <c r="AO44" s="1659">
        <f t="shared" si="10"/>
        <v>0</v>
      </c>
      <c r="AP44" s="1552">
        <f t="shared" si="12"/>
        <v>0</v>
      </c>
      <c r="AQ44" s="1422">
        <f>AO44+AP44</f>
        <v>0</v>
      </c>
      <c r="AR44" s="1422">
        <f t="shared" si="7"/>
        <v>0</v>
      </c>
      <c r="AS44" s="1552">
        <f t="shared" si="8"/>
        <v>0</v>
      </c>
      <c r="AT44" s="1434" t="e">
        <f t="shared" si="9"/>
        <v>#DIV/0!</v>
      </c>
      <c r="AU44" s="2686">
        <f>AO44+AO45</f>
        <v>0</v>
      </c>
      <c r="AV44" s="2664">
        <f>AP44+AP45</f>
        <v>0</v>
      </c>
      <c r="AW44" s="2687">
        <f>AU44+AV44</f>
        <v>0</v>
      </c>
      <c r="AX44" s="2686">
        <f>AR44+AR45</f>
        <v>0</v>
      </c>
      <c r="AY44" s="2686">
        <f>AW44-AX44</f>
        <v>0</v>
      </c>
      <c r="AZ44" s="2584">
        <v>0</v>
      </c>
    </row>
    <row r="45" spans="1:76" ht="15" customHeight="1">
      <c r="A45" s="2654"/>
      <c r="B45" s="2663"/>
      <c r="C45" s="1119">
        <v>42278</v>
      </c>
      <c r="D45" s="1120">
        <v>42369</v>
      </c>
      <c r="E45" s="1118">
        <v>0</v>
      </c>
      <c r="F45" s="1508"/>
      <c r="G45" s="1517">
        <f>E45+F45+I44</f>
        <v>0</v>
      </c>
      <c r="H45" s="1418"/>
      <c r="I45" s="1517">
        <f t="shared" si="0"/>
        <v>0</v>
      </c>
      <c r="J45" s="2691"/>
      <c r="K45" s="1118">
        <v>0</v>
      </c>
      <c r="L45" s="1418"/>
      <c r="M45" s="1517">
        <f>K45+L45+O44</f>
        <v>0</v>
      </c>
      <c r="N45" s="1418"/>
      <c r="O45" s="1517">
        <f t="shared" si="1"/>
        <v>0</v>
      </c>
      <c r="P45" s="2691"/>
      <c r="Q45" s="1118">
        <v>0</v>
      </c>
      <c r="R45" s="1418"/>
      <c r="S45" s="1419">
        <f>Q45+R45+U44</f>
        <v>0</v>
      </c>
      <c r="T45" s="1418"/>
      <c r="U45" s="1517">
        <f t="shared" si="2"/>
        <v>0</v>
      </c>
      <c r="V45" s="2691"/>
      <c r="W45" s="1118">
        <v>0</v>
      </c>
      <c r="X45" s="1418"/>
      <c r="Y45" s="1517">
        <f>W45+X45+AA44</f>
        <v>0</v>
      </c>
      <c r="Z45" s="1418"/>
      <c r="AA45" s="1517">
        <f t="shared" si="3"/>
        <v>0</v>
      </c>
      <c r="AB45" s="2691"/>
      <c r="AC45" s="1118">
        <v>0</v>
      </c>
      <c r="AD45" s="1418"/>
      <c r="AE45" s="1419">
        <f>AC45+AD45+AG44</f>
        <v>0</v>
      </c>
      <c r="AF45" s="1418"/>
      <c r="AG45" s="1517">
        <f t="shared" si="4"/>
        <v>0</v>
      </c>
      <c r="AH45" s="2684"/>
      <c r="AI45" s="1517">
        <v>0</v>
      </c>
      <c r="AJ45" s="1418"/>
      <c r="AK45" s="1517">
        <f>AI45+AJ45+AM44</f>
        <v>0</v>
      </c>
      <c r="AL45" s="1418"/>
      <c r="AM45" s="1517">
        <f t="shared" si="5"/>
        <v>0</v>
      </c>
      <c r="AN45" s="2685"/>
      <c r="AO45" s="1508">
        <f t="shared" si="10"/>
        <v>0</v>
      </c>
      <c r="AP45" s="1556">
        <f t="shared" si="12"/>
        <v>0</v>
      </c>
      <c r="AQ45" s="1418">
        <f>AO45+AP45+AS44</f>
        <v>0</v>
      </c>
      <c r="AR45" s="1418">
        <f t="shared" si="7"/>
        <v>0</v>
      </c>
      <c r="AS45" s="1556">
        <f t="shared" si="8"/>
        <v>0</v>
      </c>
      <c r="AT45" s="1433" t="e">
        <f t="shared" si="9"/>
        <v>#DIV/0!</v>
      </c>
      <c r="AU45" s="2686"/>
      <c r="AV45" s="2665"/>
      <c r="AW45" s="2687"/>
      <c r="AX45" s="2686"/>
      <c r="AY45" s="2686"/>
      <c r="AZ45" s="2572"/>
    </row>
    <row r="46" spans="1:76" ht="15" customHeight="1">
      <c r="A46" s="2654"/>
      <c r="B46" s="2657" t="s">
        <v>178</v>
      </c>
      <c r="C46" s="1643">
        <v>41640</v>
      </c>
      <c r="D46" s="1644">
        <v>42216</v>
      </c>
      <c r="E46" s="1116">
        <v>0</v>
      </c>
      <c r="F46" s="1117"/>
      <c r="G46" s="1554">
        <f>E46+F46</f>
        <v>0</v>
      </c>
      <c r="H46" s="1536"/>
      <c r="I46" s="1554">
        <f>G46+H46</f>
        <v>0</v>
      </c>
      <c r="J46" s="2659">
        <f>E46+E47+F46+F47</f>
        <v>0</v>
      </c>
      <c r="K46" s="1116">
        <v>0</v>
      </c>
      <c r="L46" s="1121">
        <v>4.41E-2</v>
      </c>
      <c r="M46" s="1554">
        <f>K46+L46</f>
        <v>4.41E-2</v>
      </c>
      <c r="N46" s="1536"/>
      <c r="O46" s="1554">
        <f t="shared" si="1"/>
        <v>4.41E-2</v>
      </c>
      <c r="P46" s="2659">
        <f>K46+K47+L46+L47</f>
        <v>4.41E-2</v>
      </c>
      <c r="Q46" s="1553">
        <v>0</v>
      </c>
      <c r="R46" s="1121">
        <v>4.41E-2</v>
      </c>
      <c r="S46" s="1122">
        <f>Q46+R46</f>
        <v>4.41E-2</v>
      </c>
      <c r="T46" s="1536"/>
      <c r="U46" s="1554">
        <f t="shared" si="2"/>
        <v>4.41E-2</v>
      </c>
      <c r="V46" s="2659">
        <f>Q46+Q47+R46+R47</f>
        <v>4.41E-2</v>
      </c>
      <c r="W46" s="1116">
        <v>0</v>
      </c>
      <c r="X46" s="1121">
        <v>4.41E-2</v>
      </c>
      <c r="Y46" s="1554">
        <f>W46+X46</f>
        <v>4.41E-2</v>
      </c>
      <c r="Z46" s="1536"/>
      <c r="AA46" s="1554">
        <f t="shared" si="3"/>
        <v>4.41E-2</v>
      </c>
      <c r="AB46" s="2659">
        <f>W46+W47+X46+X47</f>
        <v>4.41E-2</v>
      </c>
      <c r="AC46" s="1116">
        <v>0</v>
      </c>
      <c r="AD46" s="1121">
        <v>4.41E-2</v>
      </c>
      <c r="AE46" s="1122">
        <f>AC46+AD46</f>
        <v>4.41E-2</v>
      </c>
      <c r="AF46" s="1536"/>
      <c r="AG46" s="1554">
        <v>3.2000000000000001E-2</v>
      </c>
      <c r="AH46" s="2688">
        <f>AC46+AC47+AD46+AD47</f>
        <v>4.41E-2</v>
      </c>
      <c r="AI46" s="1117">
        <v>0</v>
      </c>
      <c r="AJ46" s="1121">
        <v>4.41E-2</v>
      </c>
      <c r="AK46" s="1554">
        <f>AI46+AJ46</f>
        <v>4.41E-2</v>
      </c>
      <c r="AL46" s="1536"/>
      <c r="AM46" s="1554">
        <f t="shared" si="5"/>
        <v>4.41E-2</v>
      </c>
      <c r="AN46" s="2684">
        <f>AI46+AI47+AJ46+AJ47</f>
        <v>4.41E-2</v>
      </c>
      <c r="AO46" s="1117">
        <f t="shared" si="10"/>
        <v>0</v>
      </c>
      <c r="AP46" s="1554">
        <f>F46+L46+R46+X46+AD46+AJ46+0.66106+2.20353+0.5023</f>
        <v>3.5873900000000001</v>
      </c>
      <c r="AQ46" s="1536">
        <f>AO46+AP46</f>
        <v>3.5873900000000001</v>
      </c>
      <c r="AR46" s="1536">
        <f t="shared" si="7"/>
        <v>0</v>
      </c>
      <c r="AS46" s="1554">
        <f t="shared" si="8"/>
        <v>3.5873900000000001</v>
      </c>
      <c r="AT46" s="1435">
        <f t="shared" si="9"/>
        <v>0</v>
      </c>
      <c r="AU46" s="2665">
        <f>AO46+AO47</f>
        <v>0</v>
      </c>
      <c r="AV46" s="2670">
        <f>AP46+AP47</f>
        <v>3.5873900000000001</v>
      </c>
      <c r="AW46" s="2668">
        <f>AU46+AV46</f>
        <v>3.5873900000000001</v>
      </c>
      <c r="AX46" s="2665">
        <f>AR46+AR47</f>
        <v>0</v>
      </c>
      <c r="AY46" s="2665">
        <f>AW46-AX46</f>
        <v>3.5873900000000001</v>
      </c>
      <c r="AZ46" s="2584">
        <f>AX46/AW46</f>
        <v>0</v>
      </c>
    </row>
    <row r="47" spans="1:76" ht="15" customHeight="1">
      <c r="A47" s="2654"/>
      <c r="B47" s="2663"/>
      <c r="C47" s="1119">
        <v>42278</v>
      </c>
      <c r="D47" s="1120">
        <v>42369</v>
      </c>
      <c r="E47" s="1118">
        <v>0</v>
      </c>
      <c r="F47" s="1508"/>
      <c r="G47" s="1517">
        <f>E47+F47+I46</f>
        <v>0</v>
      </c>
      <c r="H47" s="1418"/>
      <c r="I47" s="1517">
        <f>G47+H47+K46</f>
        <v>0</v>
      </c>
      <c r="J47" s="2691"/>
      <c r="K47" s="1118">
        <v>0</v>
      </c>
      <c r="L47" s="1418"/>
      <c r="M47" s="1517">
        <f>K47+L47+O46</f>
        <v>4.41E-2</v>
      </c>
      <c r="N47" s="1418"/>
      <c r="O47" s="1517">
        <f t="shared" si="1"/>
        <v>4.41E-2</v>
      </c>
      <c r="P47" s="2691"/>
      <c r="Q47" s="1555">
        <v>0</v>
      </c>
      <c r="R47" s="1418"/>
      <c r="S47" s="1419">
        <f>Q47+R47+U46</f>
        <v>4.41E-2</v>
      </c>
      <c r="T47" s="1418"/>
      <c r="U47" s="1517">
        <f t="shared" si="2"/>
        <v>4.41E-2</v>
      </c>
      <c r="V47" s="2691"/>
      <c r="W47" s="1118">
        <v>0</v>
      </c>
      <c r="X47" s="1418"/>
      <c r="Y47" s="1517">
        <f>W47+X47+AA46</f>
        <v>4.41E-2</v>
      </c>
      <c r="Z47" s="1418"/>
      <c r="AA47" s="1517">
        <f t="shared" si="3"/>
        <v>4.41E-2</v>
      </c>
      <c r="AB47" s="2691"/>
      <c r="AC47" s="1118">
        <v>0</v>
      </c>
      <c r="AD47" s="1418"/>
      <c r="AE47" s="1419">
        <f>AC47+AD47+AG46</f>
        <v>3.2000000000000001E-2</v>
      </c>
      <c r="AF47" s="1418"/>
      <c r="AG47" s="1517">
        <v>4.0000000000000001E-3</v>
      </c>
      <c r="AH47" s="2684"/>
      <c r="AI47" s="1508">
        <v>0</v>
      </c>
      <c r="AJ47" s="1418"/>
      <c r="AK47" s="1517">
        <f>AI47+AJ47+AM46</f>
        <v>4.41E-2</v>
      </c>
      <c r="AL47" s="1418"/>
      <c r="AM47" s="1517">
        <f t="shared" si="5"/>
        <v>4.41E-2</v>
      </c>
      <c r="AN47" s="2685"/>
      <c r="AO47" s="1508">
        <f t="shared" si="10"/>
        <v>0</v>
      </c>
      <c r="AP47" s="1556">
        <f>F47+L47+R47+X47+AD47+AJ47</f>
        <v>0</v>
      </c>
      <c r="AQ47" s="1418">
        <f>AO47+AP47+AS46</f>
        <v>3.5873900000000001</v>
      </c>
      <c r="AR47" s="1418">
        <f t="shared" si="7"/>
        <v>0</v>
      </c>
      <c r="AS47" s="1556">
        <f t="shared" si="8"/>
        <v>3.5873900000000001</v>
      </c>
      <c r="AT47" s="1433">
        <f t="shared" si="9"/>
        <v>0</v>
      </c>
      <c r="AU47" s="2686"/>
      <c r="AV47" s="2665"/>
      <c r="AW47" s="2687"/>
      <c r="AX47" s="2686"/>
      <c r="AY47" s="2686"/>
      <c r="AZ47" s="2572"/>
    </row>
    <row r="48" spans="1:76" ht="15" customHeight="1">
      <c r="A48" s="2654"/>
      <c r="B48" s="2692" t="s">
        <v>278</v>
      </c>
      <c r="C48" s="1420">
        <v>41640</v>
      </c>
      <c r="D48" s="1669">
        <v>42216</v>
      </c>
      <c r="E48" s="1562">
        <v>0</v>
      </c>
      <c r="F48" s="1659"/>
      <c r="G48" s="1511">
        <f>E48+F48</f>
        <v>0</v>
      </c>
      <c r="H48" s="1512"/>
      <c r="I48" s="1511">
        <f>G48-H48</f>
        <v>0</v>
      </c>
      <c r="J48" s="2691">
        <f>E48+E49+F48+F49</f>
        <v>0</v>
      </c>
      <c r="K48" s="1562">
        <v>0</v>
      </c>
      <c r="L48" s="1510"/>
      <c r="M48" s="1511">
        <f>K48+L48</f>
        <v>0</v>
      </c>
      <c r="N48" s="1512"/>
      <c r="O48" s="1511">
        <f t="shared" si="1"/>
        <v>0</v>
      </c>
      <c r="P48" s="2691">
        <f>K48+K49+L48+L49</f>
        <v>0</v>
      </c>
      <c r="Q48" s="1562">
        <v>0</v>
      </c>
      <c r="R48" s="1510">
        <v>4.4450000000000003E-2</v>
      </c>
      <c r="S48" s="1663">
        <f>Q48+R48</f>
        <v>4.4450000000000003E-2</v>
      </c>
      <c r="T48" s="1512"/>
      <c r="U48" s="1511">
        <f t="shared" si="2"/>
        <v>4.4450000000000003E-2</v>
      </c>
      <c r="V48" s="2691">
        <f>Q48+Q49+R48+R49</f>
        <v>4.4450000000000003E-2</v>
      </c>
      <c r="W48" s="1562">
        <v>0</v>
      </c>
      <c r="X48" s="1510">
        <v>4.4450000000000003E-2</v>
      </c>
      <c r="Y48" s="1511">
        <f>W48+X48</f>
        <v>4.4450000000000003E-2</v>
      </c>
      <c r="Z48" s="1512"/>
      <c r="AA48" s="1511">
        <f t="shared" si="3"/>
        <v>4.4450000000000003E-2</v>
      </c>
      <c r="AB48" s="2691">
        <f>W48+W49+X48+X49</f>
        <v>4.4450000000000003E-2</v>
      </c>
      <c r="AC48" s="1562">
        <v>0</v>
      </c>
      <c r="AD48" s="1510">
        <v>4.4450000000000003E-2</v>
      </c>
      <c r="AE48" s="1663">
        <f>AC48+AD48</f>
        <v>4.4450000000000003E-2</v>
      </c>
      <c r="AF48" s="1512"/>
      <c r="AG48" s="1511">
        <f>AE48-AF48</f>
        <v>4.4450000000000003E-2</v>
      </c>
      <c r="AH48" s="2683">
        <f>AC48+AC49+AD48+AD49</f>
        <v>4.4450000000000003E-2</v>
      </c>
      <c r="AI48" s="1511">
        <v>0</v>
      </c>
      <c r="AJ48" s="1510">
        <v>4.4450000000000003E-2</v>
      </c>
      <c r="AK48" s="1511">
        <f>AI48+AJ48</f>
        <v>4.4450000000000003E-2</v>
      </c>
      <c r="AL48" s="1512"/>
      <c r="AM48" s="1511">
        <f t="shared" si="5"/>
        <v>4.4450000000000003E-2</v>
      </c>
      <c r="AN48" s="2685">
        <f>AI48+AI49+AJ48+AJ49</f>
        <v>4.4450000000000003E-2</v>
      </c>
      <c r="AO48" s="1659">
        <f t="shared" si="10"/>
        <v>0</v>
      </c>
      <c r="AP48" s="1552">
        <f>F48+L48+R48+X48+AD48+AJ48</f>
        <v>0.17780000000000001</v>
      </c>
      <c r="AQ48" s="1422">
        <f>AO48+AP48</f>
        <v>0.17780000000000001</v>
      </c>
      <c r="AR48" s="1422">
        <f t="shared" si="7"/>
        <v>0</v>
      </c>
      <c r="AS48" s="1552">
        <f t="shared" si="8"/>
        <v>0.17780000000000001</v>
      </c>
      <c r="AT48" s="1434">
        <f t="shared" si="9"/>
        <v>0</v>
      </c>
      <c r="AU48" s="2686">
        <f>AO48+AO49</f>
        <v>0</v>
      </c>
      <c r="AV48" s="2664">
        <f>AP48+AP49</f>
        <v>0.17780000000000001</v>
      </c>
      <c r="AW48" s="2687">
        <f>AU48+AV48</f>
        <v>0.17780000000000001</v>
      </c>
      <c r="AX48" s="2686">
        <f>AR48+AR49</f>
        <v>0</v>
      </c>
      <c r="AY48" s="2686">
        <f>AW48-AX48</f>
        <v>0.17780000000000001</v>
      </c>
      <c r="AZ48" s="2584">
        <f>AX48/AW48</f>
        <v>0</v>
      </c>
    </row>
    <row r="49" spans="1:76" ht="15" customHeight="1">
      <c r="A49" s="2654"/>
      <c r="B49" s="2701"/>
      <c r="C49" s="1119">
        <v>42278</v>
      </c>
      <c r="D49" s="1120">
        <v>42369</v>
      </c>
      <c r="E49" s="1118">
        <v>0</v>
      </c>
      <c r="F49" s="1508"/>
      <c r="G49" s="1517">
        <f>E49+F49+I48</f>
        <v>0</v>
      </c>
      <c r="H49" s="1418"/>
      <c r="I49" s="1517">
        <f>G49-H49</f>
        <v>0</v>
      </c>
      <c r="J49" s="2691"/>
      <c r="K49" s="1118">
        <v>0</v>
      </c>
      <c r="L49" s="1418"/>
      <c r="M49" s="1517">
        <f>K49+L49+O48</f>
        <v>0</v>
      </c>
      <c r="N49" s="1495"/>
      <c r="O49" s="1517">
        <f t="shared" si="1"/>
        <v>0</v>
      </c>
      <c r="P49" s="2691"/>
      <c r="Q49" s="1118">
        <v>0</v>
      </c>
      <c r="R49" s="1418"/>
      <c r="S49" s="1419">
        <f>Q49+R49+U48</f>
        <v>4.4450000000000003E-2</v>
      </c>
      <c r="T49" s="1418"/>
      <c r="U49" s="1517">
        <f t="shared" si="2"/>
        <v>4.4450000000000003E-2</v>
      </c>
      <c r="V49" s="2691"/>
      <c r="W49" s="1118">
        <v>0</v>
      </c>
      <c r="X49" s="1418"/>
      <c r="Y49" s="1517">
        <f>W49+X49+AA48</f>
        <v>4.4450000000000003E-2</v>
      </c>
      <c r="Z49" s="1418"/>
      <c r="AA49" s="1517">
        <f t="shared" si="3"/>
        <v>4.4450000000000003E-2</v>
      </c>
      <c r="AB49" s="2691"/>
      <c r="AC49" s="1118">
        <v>0</v>
      </c>
      <c r="AD49" s="1418"/>
      <c r="AE49" s="1419">
        <f>AC49+AD49+AG48</f>
        <v>4.4450000000000003E-2</v>
      </c>
      <c r="AF49" s="1418"/>
      <c r="AG49" s="1517">
        <f>AE49-AF49</f>
        <v>4.4450000000000003E-2</v>
      </c>
      <c r="AH49" s="2684"/>
      <c r="AI49" s="1517">
        <v>0</v>
      </c>
      <c r="AJ49" s="1418"/>
      <c r="AK49" s="1517">
        <f>AI49+AJ49+AM48</f>
        <v>4.4450000000000003E-2</v>
      </c>
      <c r="AL49" s="1418"/>
      <c r="AM49" s="1517">
        <f t="shared" si="5"/>
        <v>4.4450000000000003E-2</v>
      </c>
      <c r="AN49" s="2685"/>
      <c r="AO49" s="1508">
        <f t="shared" si="10"/>
        <v>0</v>
      </c>
      <c r="AP49" s="1556">
        <f>F49+L49+R49+X49+AD49+AJ49</f>
        <v>0</v>
      </c>
      <c r="AQ49" s="1418">
        <f>AO49+AP49+AS48</f>
        <v>0.17780000000000001</v>
      </c>
      <c r="AR49" s="1418">
        <f t="shared" si="7"/>
        <v>0</v>
      </c>
      <c r="AS49" s="1556">
        <f t="shared" si="8"/>
        <v>0.17780000000000001</v>
      </c>
      <c r="AT49" s="1433">
        <f t="shared" si="9"/>
        <v>0</v>
      </c>
      <c r="AU49" s="2686"/>
      <c r="AV49" s="2665"/>
      <c r="AW49" s="2687"/>
      <c r="AX49" s="2686"/>
      <c r="AY49" s="2686"/>
      <c r="AZ49" s="2572"/>
      <c r="BK49" s="1075"/>
      <c r="BL49" s="1075"/>
      <c r="BM49" s="1075"/>
      <c r="BN49" s="1075"/>
      <c r="BO49" s="1075"/>
      <c r="BP49" s="1075"/>
      <c r="BQ49" s="1075"/>
      <c r="BR49" s="1075"/>
      <c r="BS49" s="1075"/>
      <c r="BT49" s="1075"/>
      <c r="BU49" s="1075"/>
      <c r="BV49" s="1075"/>
      <c r="BW49" s="1075"/>
      <c r="BX49" s="1075"/>
    </row>
    <row r="50" spans="1:76" s="863" customFormat="1" ht="15" customHeight="1" thickBot="1">
      <c r="A50" s="2654"/>
      <c r="B50" s="2692" t="s">
        <v>279</v>
      </c>
      <c r="C50" s="1420">
        <v>41640</v>
      </c>
      <c r="D50" s="1669">
        <v>42216</v>
      </c>
      <c r="E50" s="1562">
        <v>0</v>
      </c>
      <c r="F50" s="1659">
        <f>0.0000404*55</f>
        <v>2.222E-3</v>
      </c>
      <c r="G50" s="1511">
        <f>E50+F50</f>
        <v>2.222E-3</v>
      </c>
      <c r="H50" s="1512"/>
      <c r="I50" s="1511">
        <f>G50-H50</f>
        <v>2.222E-3</v>
      </c>
      <c r="J50" s="2691">
        <f>E50+E51+F50+F51</f>
        <v>2.222E-3</v>
      </c>
      <c r="K50" s="1562">
        <v>0</v>
      </c>
      <c r="L50" s="1664">
        <f>0.0000404*500</f>
        <v>2.0199999999999999E-2</v>
      </c>
      <c r="M50" s="1511">
        <f>K50+L50</f>
        <v>2.0199999999999999E-2</v>
      </c>
      <c r="N50" s="1512"/>
      <c r="O50" s="1511">
        <f t="shared" si="1"/>
        <v>2.0199999999999999E-2</v>
      </c>
      <c r="P50" s="2691">
        <f>K50+K51+L50+L51</f>
        <v>2.0199999999999999E-2</v>
      </c>
      <c r="Q50" s="1562">
        <v>0</v>
      </c>
      <c r="R50" s="1664">
        <f>0.0000404*730</f>
        <v>2.9492000000000001E-2</v>
      </c>
      <c r="S50" s="1663">
        <f>Q50+R50</f>
        <v>2.9492000000000001E-2</v>
      </c>
      <c r="T50" s="1658"/>
      <c r="U50" s="1511">
        <f t="shared" si="2"/>
        <v>2.9492000000000001E-2</v>
      </c>
      <c r="V50" s="2691">
        <f>Q50+Q51+R50+R51</f>
        <v>2.9492000000000001E-2</v>
      </c>
      <c r="W50" s="1562">
        <v>0</v>
      </c>
      <c r="X50" s="1887">
        <f>0.0000404*1040</f>
        <v>4.2015999999999998E-2</v>
      </c>
      <c r="Y50" s="1511">
        <f>W50+X50</f>
        <v>4.2015999999999998E-2</v>
      </c>
      <c r="Z50" s="1512"/>
      <c r="AA50" s="1511">
        <f t="shared" si="3"/>
        <v>4.2015999999999998E-2</v>
      </c>
      <c r="AB50" s="2691">
        <f>W50+W51+X50+X51</f>
        <v>4.2015999999999998E-2</v>
      </c>
      <c r="AC50" s="1562">
        <v>0</v>
      </c>
      <c r="AD50" s="1664">
        <f>0.0000404*1040</f>
        <v>4.2015999999999998E-2</v>
      </c>
      <c r="AE50" s="1663">
        <f>AC50+AD50</f>
        <v>4.2015999999999998E-2</v>
      </c>
      <c r="AF50" s="1512"/>
      <c r="AG50" s="1511">
        <f>AE50-AF50</f>
        <v>4.2015999999999998E-2</v>
      </c>
      <c r="AH50" s="2683">
        <f>AC50+AC51+AD50+AD51</f>
        <v>4.2015999999999998E-2</v>
      </c>
      <c r="AI50" s="1511">
        <v>0</v>
      </c>
      <c r="AJ50" s="1510">
        <f>0.0000404*1041</f>
        <v>4.2056400000000001E-2</v>
      </c>
      <c r="AK50" s="1511">
        <f>AI48+AJ48</f>
        <v>4.4450000000000003E-2</v>
      </c>
      <c r="AL50" s="1513"/>
      <c r="AM50" s="1511">
        <f t="shared" si="5"/>
        <v>4.4450000000000003E-2</v>
      </c>
      <c r="AN50" s="2685">
        <f>AI50+AI51+AJ50+AJ51</f>
        <v>4.2056400000000001E-2</v>
      </c>
      <c r="AO50" s="1659">
        <f t="shared" si="10"/>
        <v>0</v>
      </c>
      <c r="AP50" s="1511">
        <f>F50+L50+R50+X50+AD50+AJ50</f>
        <v>0.17800240000000001</v>
      </c>
      <c r="AQ50" s="1512">
        <f>AO50+AP50</f>
        <v>0.17800240000000001</v>
      </c>
      <c r="AR50" s="1512">
        <f>H50+N50+T50+Z50+AF50+AJ50</f>
        <v>4.2056400000000001E-2</v>
      </c>
      <c r="AS50" s="1511">
        <f t="shared" si="8"/>
        <v>0.13594600000000001</v>
      </c>
      <c r="AT50" s="1514">
        <f t="shared" si="9"/>
        <v>0.23626872446663641</v>
      </c>
      <c r="AU50" s="2686">
        <f>AO50+AO51</f>
        <v>0</v>
      </c>
      <c r="AV50" s="2696">
        <f>AP50+AP51</f>
        <v>0.17800240000000001</v>
      </c>
      <c r="AW50" s="2698">
        <f>AU50+AV50</f>
        <v>0.17800240000000001</v>
      </c>
      <c r="AX50" s="2686">
        <f>AR50+AR51</f>
        <v>4.2056400000000001E-2</v>
      </c>
      <c r="AY50" s="2686">
        <f>AW50-AX50</f>
        <v>0.13594600000000001</v>
      </c>
      <c r="AZ50" s="2584">
        <f>AX50/AW50</f>
        <v>0.23626872446663641</v>
      </c>
      <c r="BA50" s="1076"/>
    </row>
    <row r="51" spans="1:76" s="863" customFormat="1" ht="15" customHeight="1" thickBot="1">
      <c r="A51" s="2655"/>
      <c r="B51" s="2693"/>
      <c r="C51" s="1646">
        <v>42278</v>
      </c>
      <c r="D51" s="1670">
        <v>42369</v>
      </c>
      <c r="E51" s="1563">
        <v>0</v>
      </c>
      <c r="F51" s="1660"/>
      <c r="G51" s="1661">
        <f>E51+F51+I50</f>
        <v>2.222E-3</v>
      </c>
      <c r="H51" s="1535"/>
      <c r="I51" s="1661">
        <f>G51-H51</f>
        <v>2.222E-3</v>
      </c>
      <c r="J51" s="2694"/>
      <c r="K51" s="1563">
        <v>0</v>
      </c>
      <c r="L51" s="1535"/>
      <c r="M51" s="1661">
        <f>K51+L51+O50</f>
        <v>2.0199999999999999E-2</v>
      </c>
      <c r="N51" s="1535"/>
      <c r="O51" s="1661">
        <f t="shared" si="1"/>
        <v>2.0199999999999999E-2</v>
      </c>
      <c r="P51" s="2694"/>
      <c r="Q51" s="1563">
        <v>0</v>
      </c>
      <c r="R51" s="1535"/>
      <c r="S51" s="1516">
        <f>Q51+R51+U50</f>
        <v>2.9492000000000001E-2</v>
      </c>
      <c r="T51" s="1535"/>
      <c r="U51" s="1661">
        <f t="shared" si="2"/>
        <v>2.9492000000000001E-2</v>
      </c>
      <c r="V51" s="2694"/>
      <c r="W51" s="1563">
        <v>0</v>
      </c>
      <c r="X51" s="1535"/>
      <c r="Y51" s="1661">
        <f>W51+X51+AA50</f>
        <v>4.2015999999999998E-2</v>
      </c>
      <c r="Z51" s="1535"/>
      <c r="AA51" s="1661">
        <f t="shared" si="3"/>
        <v>4.2015999999999998E-2</v>
      </c>
      <c r="AB51" s="2694"/>
      <c r="AC51" s="1563">
        <v>0</v>
      </c>
      <c r="AD51" s="1535"/>
      <c r="AE51" s="1516">
        <f>AC51+AD51+AG50</f>
        <v>4.2015999999999998E-2</v>
      </c>
      <c r="AF51" s="1535"/>
      <c r="AG51" s="1661">
        <f>AE51-AF51</f>
        <v>4.2015999999999998E-2</v>
      </c>
      <c r="AH51" s="2695"/>
      <c r="AI51" s="1661">
        <v>0</v>
      </c>
      <c r="AJ51" s="1535"/>
      <c r="AK51" s="1661">
        <f>AI51+AJ51+AM50</f>
        <v>4.4450000000000003E-2</v>
      </c>
      <c r="AL51" s="1535"/>
      <c r="AM51" s="1661">
        <f t="shared" si="5"/>
        <v>4.4450000000000003E-2</v>
      </c>
      <c r="AN51" s="2715"/>
      <c r="AO51" s="1660">
        <f t="shared" si="10"/>
        <v>0</v>
      </c>
      <c r="AP51" s="1515">
        <f>F51+L51+R51+X51+AD51+AJ51</f>
        <v>0</v>
      </c>
      <c r="AQ51" s="1535">
        <f>AO51+AP51+AS50</f>
        <v>0.13594600000000001</v>
      </c>
      <c r="AR51" s="1535">
        <f t="shared" ref="AR51" si="13">H51+N51+T51+Z51+AF51+AL51</f>
        <v>0</v>
      </c>
      <c r="AS51" s="1515">
        <f t="shared" si="8"/>
        <v>0.13594600000000001</v>
      </c>
      <c r="AT51" s="1518">
        <f t="shared" si="9"/>
        <v>0</v>
      </c>
      <c r="AU51" s="2700"/>
      <c r="AV51" s="2697"/>
      <c r="AW51" s="2699"/>
      <c r="AX51" s="2700"/>
      <c r="AY51" s="2700"/>
      <c r="AZ51" s="2572"/>
      <c r="BA51" s="1076"/>
    </row>
    <row r="52" spans="1:76" s="863" customFormat="1" ht="15" customHeight="1" thickBot="1">
      <c r="A52" s="1128"/>
      <c r="B52" s="1129"/>
      <c r="C52" s="1130"/>
      <c r="D52" s="1130"/>
      <c r="E52" s="1232"/>
      <c r="F52" s="1232">
        <f>SUM(F6:F51)</f>
        <v>-6.123573870198129E-16</v>
      </c>
      <c r="G52" s="1232"/>
      <c r="H52" s="1424">
        <f>+H6+H8+H10+H12+H14+H16+H18+H20+H22+H24+H26+H28+H30+H32+H34+H36+H38+H40+H42+H44+H46+H48+H50</f>
        <v>0</v>
      </c>
      <c r="I52" s="1232"/>
      <c r="J52" s="1232"/>
      <c r="K52" s="1232"/>
      <c r="L52" s="1232">
        <f>SUM(L6:L51)</f>
        <v>286.87600000000003</v>
      </c>
      <c r="M52" s="1232"/>
      <c r="N52" s="1424">
        <f>+N6+N8+N10+N12+N14+N16+N18+N20+N22+N24+N26+N28+N30+N32+N34+N36+N38+N40+N42+N44+N46+N48+N50</f>
        <v>246.99</v>
      </c>
      <c r="O52" s="1232"/>
      <c r="P52" s="1232"/>
      <c r="Q52" s="1232"/>
      <c r="R52" s="1232">
        <f>SUM(R6:R51)</f>
        <v>0.35999200000001702</v>
      </c>
      <c r="S52" s="1232"/>
      <c r="T52" s="1424">
        <f>+T6+T8+T10+T12+T14+T16+T18+T20+T22+T24+T26+T28+T30+T32+T34+T36+T38+T40+T42+T44+T46+T48+T50</f>
        <v>388.77799999999996</v>
      </c>
      <c r="V52" s="1232"/>
      <c r="W52" s="1232"/>
      <c r="X52" s="1232">
        <f>SUM(X6:X51)</f>
        <v>1.6000000007607151E-5</v>
      </c>
      <c r="Y52" s="1232"/>
      <c r="Z52" s="1424">
        <f>+Z6+Z8+Z10+Z12+Z14+Z16+Z18+Z20+Z22+Z24+Z26+Z28+Z30+Z32+Z34+Z36+Z38+Z40+Z42+Z44+Z46+Z48+Z50</f>
        <v>473.38599999999997</v>
      </c>
      <c r="AA52" s="1232"/>
      <c r="AB52" s="1232"/>
      <c r="AC52" s="1232"/>
      <c r="AD52" s="1232">
        <f>SUM(AD6:AD51)</f>
        <v>1.6000000007607151E-5</v>
      </c>
      <c r="AE52" s="1232"/>
      <c r="AF52" s="1424">
        <f>+AF6+AF8+AF10+AF12+AF14+AF16+AF18+AF20+AF22+AF24+AF26+AF28+AF30+AF32+AF34+AF36+AF38+AF40+AF42+AF44+AF46+AF48+AF50</f>
        <v>796.32600000000002</v>
      </c>
      <c r="AG52" s="1232"/>
      <c r="AJ52" s="1232">
        <f>SUM(AJ6:AJ51)</f>
        <v>-4.3600000002814998E-5</v>
      </c>
      <c r="AL52" s="1424">
        <f>+AL6+AL8+AL10+AL12+AL14+AL16+AL18+AL20+AL22+AL24+AL26+AL28+AL30+AL32+AL34+AL36+AL38+AL40+AL42+AL44+AL46+AL48+AL50</f>
        <v>617.67899999999986</v>
      </c>
      <c r="AQ52" s="1232"/>
      <c r="AR52" s="1232"/>
      <c r="AS52" s="1232"/>
      <c r="AT52" s="1554"/>
      <c r="AU52" s="1647">
        <f>SUM(AU6:AU51)</f>
        <v>4406.0184864600005</v>
      </c>
      <c r="AV52" s="1647">
        <f>SUM(AV6:AV51)</f>
        <v>287.23528040000008</v>
      </c>
      <c r="AW52" s="1647">
        <f>SUM(AW6:AW51)</f>
        <v>4693.2537668599998</v>
      </c>
      <c r="AX52" s="1648">
        <f>SUM(AX6:AX51)</f>
        <v>3855.7170563999998</v>
      </c>
      <c r="AY52" s="1647">
        <f>SUM(AY6:AY51)</f>
        <v>837.53671046000022</v>
      </c>
      <c r="AZ52" s="1649">
        <f>+AX52/AW52</f>
        <v>0.82154455052611608</v>
      </c>
      <c r="BA52" s="1076"/>
    </row>
    <row r="53" spans="1:76" ht="15.75" thickBot="1">
      <c r="A53" s="1128"/>
      <c r="B53" s="1128"/>
      <c r="C53" s="1131"/>
      <c r="D53" s="1131"/>
      <c r="E53" s="1131"/>
      <c r="F53" s="1131"/>
      <c r="G53" s="1131"/>
      <c r="H53" s="1425">
        <f>+H7+H9+H11+H13+H15+H17+H19+H21+H23+H25+H27+H29+H31+H33+H35+H37+H39+H41+H43+H45+H47+H49+H51</f>
        <v>0.20799999999999999</v>
      </c>
      <c r="I53" s="1131"/>
      <c r="J53" s="1131"/>
      <c r="K53" s="1131"/>
      <c r="L53" s="1131"/>
      <c r="M53" s="1131"/>
      <c r="N53" s="1425">
        <f>+N7+N9+N11+N13+N15+N17+N19+N21+N23+N25+N27+N29+N31+N33+N35+N37+N39+N41+N43+N45+N47+N49+N51</f>
        <v>278.79399999999998</v>
      </c>
      <c r="O53" s="1132"/>
      <c r="P53" s="1132"/>
      <c r="Q53" s="1132"/>
      <c r="R53" s="1131"/>
      <c r="S53" s="1131"/>
      <c r="T53" s="1425">
        <f>+T7+T9+T11+T13+T15+T17+T19+T21+T23+T25+T27+T29+T31+T33+T35+T37+T39+T41+T43+T45+T47+T49+T51</f>
        <v>231.86099999999999</v>
      </c>
      <c r="U53" s="1131"/>
      <c r="V53" s="1131"/>
      <c r="W53" s="1131"/>
      <c r="X53" s="1131"/>
      <c r="Y53" s="1131"/>
      <c r="Z53" s="1425">
        <f>+Z7+Z9+Z11+Z13+Z15+Z17+Z19+Z21+Z23+Z25+Z27+Z29+Z31+Z33+Z35+Z37+Z39+Z41+Z43+Z45+Z47+Z49+Z51</f>
        <v>262.09300000000002</v>
      </c>
      <c r="AA53" s="1131"/>
      <c r="AB53" s="1131"/>
      <c r="AC53" s="1132"/>
      <c r="AD53" s="1132"/>
      <c r="AE53" s="1132"/>
      <c r="AF53" s="1425">
        <f>+AF7+AF9+AF11+AF13+AF15+AF17+AF19+AF21+AF23+AF25+AF27+AF29+AF31+AF33+AF35+AF37+AF39+AF41+AF43+AF45+AF47+AF49+AF51</f>
        <v>210.232</v>
      </c>
      <c r="AG53" s="1131"/>
      <c r="AH53" s="1123"/>
      <c r="AI53" s="1232"/>
      <c r="AJ53" s="1232"/>
      <c r="AK53" s="1232"/>
      <c r="AL53" s="1425">
        <f>+AL7+AL9+AL11+AL13+AL15+AL17+AL19+AL21+AL23+AL25+AL27+AL29+AL31+AL33+AL35+AL37+AL39+AL41+AL43+AL45+AL47+AL49+AL51</f>
        <v>349.32799999999997</v>
      </c>
      <c r="AM53" s="1232"/>
      <c r="AN53" s="1123"/>
      <c r="AO53" s="1232"/>
      <c r="AP53" s="1232"/>
      <c r="AQ53" s="1131"/>
      <c r="AR53" s="1131"/>
      <c r="AS53" s="1131"/>
      <c r="AT53" s="1131"/>
      <c r="AU53" s="863"/>
      <c r="AV53" s="863"/>
      <c r="AW53" s="863"/>
      <c r="AX53" s="863"/>
      <c r="AY53" s="863"/>
      <c r="AZ53" s="863"/>
      <c r="BK53" s="1075"/>
      <c r="BL53" s="1075"/>
      <c r="BM53" s="1075"/>
      <c r="BN53" s="1075"/>
      <c r="BO53" s="1075"/>
      <c r="BP53" s="1075"/>
      <c r="BQ53" s="1075"/>
      <c r="BR53" s="1075"/>
      <c r="BS53" s="1075"/>
      <c r="BT53" s="1075"/>
      <c r="BU53" s="1075"/>
      <c r="BV53" s="1075"/>
      <c r="BW53" s="1075"/>
      <c r="BX53" s="1075"/>
    </row>
    <row r="54" spans="1:76" ht="15.75" thickBot="1">
      <c r="A54" s="1076"/>
      <c r="B54" s="1076"/>
      <c r="C54" s="2639" t="s">
        <v>114</v>
      </c>
      <c r="D54" s="2640"/>
      <c r="E54" s="2702" t="s">
        <v>626</v>
      </c>
      <c r="F54" s="2702"/>
      <c r="G54" s="2703"/>
      <c r="H54" s="2704" t="s">
        <v>627</v>
      </c>
      <c r="I54" s="2703"/>
      <c r="J54" s="1133"/>
      <c r="K54" s="2705" t="s">
        <v>606</v>
      </c>
      <c r="L54" s="2706"/>
      <c r="M54" s="2707"/>
      <c r="N54" s="2708" t="s">
        <v>607</v>
      </c>
      <c r="O54" s="2707"/>
      <c r="P54" s="1174"/>
      <c r="Q54" s="2709" t="s">
        <v>628</v>
      </c>
      <c r="R54" s="2710"/>
      <c r="S54" s="2710"/>
      <c r="T54" s="2710"/>
      <c r="U54" s="2710"/>
      <c r="V54" s="2711"/>
      <c r="W54" s="2712" t="s">
        <v>629</v>
      </c>
      <c r="X54" s="2713"/>
      <c r="Y54" s="2713"/>
      <c r="Z54" s="2713"/>
      <c r="AA54" s="2713"/>
      <c r="AB54" s="2714"/>
      <c r="AC54" s="863"/>
      <c r="AD54" s="863"/>
      <c r="AE54" s="863"/>
      <c r="AF54" s="1078"/>
      <c r="AG54" s="863"/>
      <c r="AH54" s="1131"/>
      <c r="AI54" s="1131"/>
      <c r="AJ54" s="1131"/>
      <c r="AK54" s="1131"/>
      <c r="AM54" s="1131"/>
      <c r="AN54" s="1131"/>
      <c r="AO54" s="1131"/>
      <c r="AP54" s="1131"/>
      <c r="AQ54" s="863"/>
      <c r="AR54" s="863"/>
      <c r="AS54" s="863"/>
      <c r="AT54" s="863"/>
      <c r="AU54" s="863"/>
      <c r="AV54" s="863"/>
      <c r="AW54" s="863"/>
      <c r="AX54" s="1134"/>
      <c r="AY54" s="863"/>
      <c r="AZ54" s="863"/>
      <c r="BK54" s="1075"/>
      <c r="BL54" s="1075"/>
      <c r="BM54" s="1075"/>
      <c r="BN54" s="1075"/>
      <c r="BO54" s="1075"/>
      <c r="BP54" s="1075"/>
      <c r="BQ54" s="1075"/>
      <c r="BR54" s="1075"/>
      <c r="BS54" s="1075"/>
      <c r="BT54" s="1075"/>
      <c r="BU54" s="1075"/>
      <c r="BV54" s="1075"/>
      <c r="BW54" s="1075"/>
      <c r="BX54" s="1075"/>
    </row>
    <row r="55" spans="1:76" ht="66.75" customHeight="1" thickBot="1">
      <c r="A55" s="1135" t="s">
        <v>19</v>
      </c>
      <c r="B55" s="1136" t="s">
        <v>68</v>
      </c>
      <c r="C55" s="1137" t="s">
        <v>112</v>
      </c>
      <c r="D55" s="1138" t="s">
        <v>113</v>
      </c>
      <c r="E55" s="1139" t="s">
        <v>115</v>
      </c>
      <c r="F55" s="1086" t="s">
        <v>116</v>
      </c>
      <c r="G55" s="1139" t="s">
        <v>117</v>
      </c>
      <c r="H55" s="1672" t="s">
        <v>2</v>
      </c>
      <c r="I55" s="1089" t="s">
        <v>3</v>
      </c>
      <c r="J55" s="1088" t="s">
        <v>118</v>
      </c>
      <c r="K55" s="1710" t="s">
        <v>115</v>
      </c>
      <c r="L55" s="1711" t="s">
        <v>116</v>
      </c>
      <c r="M55" s="1712" t="s">
        <v>117</v>
      </c>
      <c r="N55" s="1140" t="s">
        <v>2</v>
      </c>
      <c r="O55" s="1713" t="s">
        <v>3</v>
      </c>
      <c r="P55" s="1140" t="s">
        <v>619</v>
      </c>
      <c r="Q55" s="1141" t="s">
        <v>630</v>
      </c>
      <c r="R55" s="1142" t="s">
        <v>621</v>
      </c>
      <c r="S55" s="1142" t="s">
        <v>117</v>
      </c>
      <c r="T55" s="1143" t="s">
        <v>631</v>
      </c>
      <c r="U55" s="1144" t="s">
        <v>3</v>
      </c>
      <c r="V55" s="1145" t="s">
        <v>4</v>
      </c>
      <c r="W55" s="1146" t="s">
        <v>118</v>
      </c>
      <c r="X55" s="1147" t="s">
        <v>621</v>
      </c>
      <c r="Y55" s="1112" t="s">
        <v>117</v>
      </c>
      <c r="Z55" s="1148" t="s">
        <v>2</v>
      </c>
      <c r="AA55" s="1148" t="s">
        <v>3</v>
      </c>
      <c r="AB55" s="1148" t="s">
        <v>4</v>
      </c>
      <c r="AC55" s="1076"/>
      <c r="AD55" s="1076"/>
      <c r="AE55" s="1149"/>
      <c r="AF55" s="1150"/>
      <c r="AG55" s="1076">
        <f>0.021-0.105</f>
        <v>-8.3999999999999991E-2</v>
      </c>
      <c r="AH55" s="863"/>
      <c r="AI55" s="863"/>
      <c r="AJ55" s="863"/>
      <c r="AK55" s="863"/>
      <c r="AM55" s="863"/>
      <c r="AN55" s="863"/>
      <c r="AO55" s="863"/>
      <c r="AP55" s="863"/>
      <c r="AQ55" s="863"/>
      <c r="AR55" s="863"/>
      <c r="AS55" s="863"/>
      <c r="AT55" s="863"/>
      <c r="AU55" s="863"/>
      <c r="AV55" s="863"/>
      <c r="AW55" s="1078"/>
      <c r="AX55" s="1134"/>
      <c r="AY55" s="863"/>
      <c r="AZ55" s="1151"/>
      <c r="BK55" s="1075"/>
      <c r="BL55" s="1075"/>
      <c r="BM55" s="1075"/>
      <c r="BN55" s="1075"/>
      <c r="BO55" s="1075"/>
      <c r="BP55" s="1075"/>
      <c r="BQ55" s="1075"/>
      <c r="BR55" s="1075"/>
      <c r="BS55" s="1075"/>
      <c r="BT55" s="1075"/>
      <c r="BU55" s="1075"/>
      <c r="BV55" s="1075"/>
      <c r="BW55" s="1075"/>
      <c r="BX55" s="1075"/>
    </row>
    <row r="56" spans="1:76" ht="14.45" customHeight="1">
      <c r="A56" s="2716" t="s">
        <v>716</v>
      </c>
      <c r="B56" s="2719" t="s">
        <v>632</v>
      </c>
      <c r="C56" s="1152">
        <v>42064</v>
      </c>
      <c r="D56" s="1153">
        <v>42246</v>
      </c>
      <c r="E56" s="1559">
        <f>49.207+8.547</f>
        <v>57.754000000000005</v>
      </c>
      <c r="F56" s="1537">
        <f>-2.337-1.271</f>
        <v>-3.6080000000000001</v>
      </c>
      <c r="G56" s="1557">
        <f>E56+F56</f>
        <v>54.146000000000008</v>
      </c>
      <c r="H56" s="1261">
        <v>23.909999999999997</v>
      </c>
      <c r="I56" s="1557">
        <f>G56-H56</f>
        <v>30.236000000000011</v>
      </c>
      <c r="J56" s="2658">
        <f>E56+E57+F56+F57</f>
        <v>60.390000000000008</v>
      </c>
      <c r="K56" s="1116">
        <f>394.654+68.549</f>
        <v>463.20299999999997</v>
      </c>
      <c r="L56" s="1536">
        <f>-18.7815-10.2145+10</f>
        <v>-18.996000000000002</v>
      </c>
      <c r="M56" s="1554">
        <f>K56+L56</f>
        <v>444.20699999999999</v>
      </c>
      <c r="N56" s="1257">
        <v>492.185</v>
      </c>
      <c r="O56" s="1554">
        <f t="shared" ref="O56:O81" si="14">M56-N56</f>
        <v>-47.978000000000009</v>
      </c>
      <c r="P56" s="2660">
        <f>K56+K57+L56+L57</f>
        <v>495.327</v>
      </c>
      <c r="Q56" s="1113">
        <f t="shared" ref="Q56:Q81" si="15">E56+K56</f>
        <v>520.95699999999999</v>
      </c>
      <c r="R56" s="1537">
        <f t="shared" ref="R56:R81" si="16">F56+L56</f>
        <v>-22.604000000000003</v>
      </c>
      <c r="S56" s="1537">
        <f>Q56+R56</f>
        <v>498.35300000000001</v>
      </c>
      <c r="T56" s="1557">
        <f t="shared" ref="T56:T81" si="17">H56+N56</f>
        <v>516.09500000000003</v>
      </c>
      <c r="U56" s="1699">
        <f t="shared" ref="U56:U81" si="18">S56-T56</f>
        <v>-17.742000000000019</v>
      </c>
      <c r="V56" s="1558">
        <f t="shared" ref="V56:V81" si="19">T56/S56</f>
        <v>1.0356012705853079</v>
      </c>
      <c r="W56" s="2667">
        <f>Q56+Q57</f>
        <v>578.32100000000003</v>
      </c>
      <c r="X56" s="2666">
        <f>R56+R57</f>
        <v>-22.604000000000003</v>
      </c>
      <c r="Y56" s="2727">
        <f>W56+X56</f>
        <v>555.71699999999998</v>
      </c>
      <c r="Z56" s="2666">
        <f>T56+T57</f>
        <v>544.57299999999998</v>
      </c>
      <c r="AA56" s="2666">
        <f>Y56-Z56</f>
        <v>11.144000000000005</v>
      </c>
      <c r="AB56" s="2584">
        <f>Z56/Y56</f>
        <v>0.97994662751004558</v>
      </c>
      <c r="AC56" s="1154"/>
      <c r="AD56" s="1126"/>
      <c r="AE56" s="1155"/>
      <c r="AF56" s="1076"/>
      <c r="AG56" s="1076">
        <f>+Z28</f>
        <v>0.105</v>
      </c>
      <c r="AH56" s="1076"/>
      <c r="AI56" s="1076"/>
      <c r="AJ56" s="1076"/>
      <c r="AK56" s="1076"/>
      <c r="AL56" s="1156"/>
      <c r="AM56" s="1076"/>
      <c r="AN56" s="863"/>
      <c r="AO56" s="863"/>
      <c r="AP56" s="863"/>
      <c r="AQ56" s="863"/>
      <c r="AR56" s="863"/>
      <c r="AS56" s="863"/>
      <c r="AT56" s="863"/>
      <c r="AU56" s="863"/>
      <c r="AV56" s="863"/>
      <c r="AW56" s="863"/>
      <c r="AX56" s="863"/>
      <c r="AY56" s="863"/>
      <c r="AZ56" s="863"/>
      <c r="BK56" s="1075"/>
      <c r="BL56" s="1075"/>
      <c r="BM56" s="1075"/>
      <c r="BN56" s="1075"/>
      <c r="BO56" s="1075"/>
      <c r="BP56" s="1075"/>
      <c r="BQ56" s="1075"/>
      <c r="BR56" s="1075"/>
      <c r="BS56" s="1075"/>
      <c r="BT56" s="1075"/>
      <c r="BU56" s="1075"/>
      <c r="BV56" s="1075"/>
      <c r="BW56" s="1075"/>
      <c r="BX56" s="1075"/>
    </row>
    <row r="57" spans="1:76">
      <c r="A57" s="2717"/>
      <c r="B57" s="2720"/>
      <c r="C57" s="1157">
        <v>42278</v>
      </c>
      <c r="D57" s="1158">
        <v>42368</v>
      </c>
      <c r="E57" s="1553">
        <f>5.32+0.924</f>
        <v>6.2440000000000007</v>
      </c>
      <c r="F57" s="1714"/>
      <c r="G57" s="1554">
        <f>E57+F57+I56</f>
        <v>36.480000000000011</v>
      </c>
      <c r="H57" s="1691">
        <v>21.971</v>
      </c>
      <c r="I57" s="1554">
        <f>G57-H57</f>
        <v>14.509000000000011</v>
      </c>
      <c r="J57" s="2659"/>
      <c r="K57" s="1116">
        <f>43.555+7.565</f>
        <v>51.12</v>
      </c>
      <c r="L57" s="1536"/>
      <c r="M57" s="1554">
        <f>K57+L57+O56</f>
        <v>3.1419999999999888</v>
      </c>
      <c r="N57" s="1277">
        <v>6.5069999999999997</v>
      </c>
      <c r="O57" s="1775">
        <f t="shared" si="14"/>
        <v>-3.3650000000000109</v>
      </c>
      <c r="P57" s="2659"/>
      <c r="Q57" s="1116">
        <f t="shared" si="15"/>
        <v>57.363999999999997</v>
      </c>
      <c r="R57" s="1705">
        <f t="shared" si="16"/>
        <v>0</v>
      </c>
      <c r="S57" s="1536">
        <f>Q57+R57+U56</f>
        <v>39.621999999999979</v>
      </c>
      <c r="T57" s="1554">
        <f t="shared" si="17"/>
        <v>28.478000000000002</v>
      </c>
      <c r="U57" s="1700">
        <f t="shared" si="18"/>
        <v>11.143999999999977</v>
      </c>
      <c r="V57" s="1549">
        <f t="shared" si="19"/>
        <v>0.71874211296754376</v>
      </c>
      <c r="W57" s="2668"/>
      <c r="X57" s="2665"/>
      <c r="Y57" s="2728"/>
      <c r="Z57" s="2665"/>
      <c r="AA57" s="2665"/>
      <c r="AB57" s="2572"/>
      <c r="AC57" s="1076"/>
      <c r="AD57" s="1126"/>
      <c r="AE57" s="1159"/>
      <c r="AF57" s="1076"/>
      <c r="AG57" s="1076"/>
      <c r="AH57" s="1076"/>
      <c r="AI57" s="1076"/>
      <c r="AJ57" s="1076"/>
      <c r="AK57" s="1076"/>
      <c r="AL57" s="1156"/>
      <c r="AM57" s="1076"/>
      <c r="AN57" s="863"/>
      <c r="AO57" s="863"/>
      <c r="AP57" s="863"/>
      <c r="AQ57" s="863"/>
      <c r="AR57" s="863"/>
      <c r="AS57" s="863"/>
      <c r="AT57" s="863"/>
      <c r="AU57" s="863"/>
      <c r="AV57" s="863"/>
      <c r="AW57" s="863"/>
      <c r="AX57" s="863"/>
      <c r="AY57" s="863"/>
      <c r="AZ57" s="863"/>
      <c r="BK57" s="1075"/>
      <c r="BL57" s="1075"/>
      <c r="BM57" s="1075"/>
      <c r="BN57" s="1075"/>
      <c r="BO57" s="1075"/>
      <c r="BP57" s="1075"/>
      <c r="BQ57" s="1075"/>
      <c r="BR57" s="1075"/>
      <c r="BS57" s="1075"/>
      <c r="BT57" s="1075"/>
      <c r="BU57" s="1075"/>
      <c r="BV57" s="1075"/>
      <c r="BW57" s="1075"/>
      <c r="BX57" s="1075"/>
    </row>
    <row r="58" spans="1:76">
      <c r="A58" s="2717"/>
      <c r="B58" s="2729" t="s">
        <v>633</v>
      </c>
      <c r="C58" s="1426">
        <v>42064</v>
      </c>
      <c r="D58" s="1427">
        <v>42246</v>
      </c>
      <c r="E58" s="1550">
        <v>3.55</v>
      </c>
      <c r="F58" s="1707">
        <f>-3.9286692</f>
        <v>-3.9286691999999999</v>
      </c>
      <c r="G58" s="1708">
        <f>E58+F58</f>
        <v>-0.37866920000000004</v>
      </c>
      <c r="H58" s="1536"/>
      <c r="I58" s="1708">
        <f t="shared" ref="I58:I81" si="20">G58-H58</f>
        <v>-0.37866920000000004</v>
      </c>
      <c r="J58" s="2661">
        <f>E58+E59+F58+F59</f>
        <v>5.3307999999998579E-3</v>
      </c>
      <c r="K58" s="1562">
        <v>28.471</v>
      </c>
      <c r="L58" s="1512">
        <f>-31.5730854</f>
        <v>-31.5730854</v>
      </c>
      <c r="M58" s="1511">
        <f>K58+L58</f>
        <v>-3.1020854</v>
      </c>
      <c r="N58" s="1512"/>
      <c r="O58" s="1511">
        <f t="shared" si="14"/>
        <v>-3.1020854</v>
      </c>
      <c r="P58" s="2661">
        <f>K58+K59+L58+L59</f>
        <v>3.9914599999999467E-2</v>
      </c>
      <c r="Q58" s="1562">
        <f t="shared" si="15"/>
        <v>32.021000000000001</v>
      </c>
      <c r="R58" s="1512">
        <f t="shared" si="16"/>
        <v>-35.501754599999998</v>
      </c>
      <c r="S58" s="1512">
        <f>Q58+R58</f>
        <v>-3.4807545999999974</v>
      </c>
      <c r="T58" s="1511">
        <f t="shared" si="17"/>
        <v>0</v>
      </c>
      <c r="U58" s="1701">
        <f t="shared" si="18"/>
        <v>-3.4807545999999974</v>
      </c>
      <c r="V58" s="1549">
        <f t="shared" si="19"/>
        <v>0</v>
      </c>
      <c r="W58" s="2669">
        <f>Q58+Q59</f>
        <v>35.546999999999997</v>
      </c>
      <c r="X58" s="2664">
        <f>R58+R59</f>
        <v>-35.501754599999998</v>
      </c>
      <c r="Y58" s="2731">
        <f>W58+X58</f>
        <v>4.5245399999998881E-2</v>
      </c>
      <c r="Z58" s="2664">
        <f>T58+T59</f>
        <v>0</v>
      </c>
      <c r="AA58" s="2664">
        <f>Y58-Z58</f>
        <v>4.5245399999998881E-2</v>
      </c>
      <c r="AB58" s="2584">
        <f>Z58/Y58</f>
        <v>0</v>
      </c>
      <c r="AC58" s="1154"/>
      <c r="AD58" s="1126"/>
      <c r="AE58" s="1159"/>
      <c r="AF58" s="1076"/>
      <c r="AG58" s="1076"/>
      <c r="AH58" s="1076"/>
      <c r="AI58" s="1076"/>
      <c r="AJ58" s="1160"/>
      <c r="AK58" s="1076"/>
      <c r="AL58" s="1156"/>
      <c r="AM58" s="1076"/>
      <c r="AN58" s="863"/>
      <c r="AO58" s="863"/>
      <c r="AP58" s="863"/>
      <c r="AQ58" s="863"/>
      <c r="AR58" s="863"/>
      <c r="AS58" s="863"/>
      <c r="AT58" s="863"/>
      <c r="AU58" s="863"/>
      <c r="AV58" s="863"/>
      <c r="AW58" s="863"/>
      <c r="AX58" s="863"/>
      <c r="AY58" s="863"/>
      <c r="AZ58" s="863"/>
      <c r="BK58" s="1075"/>
      <c r="BL58" s="1075"/>
      <c r="BM58" s="1075"/>
      <c r="BN58" s="1075"/>
      <c r="BO58" s="1075"/>
      <c r="BP58" s="1075"/>
      <c r="BQ58" s="1075"/>
      <c r="BR58" s="1075"/>
      <c r="BS58" s="1075"/>
      <c r="BT58" s="1075"/>
      <c r="BU58" s="1075"/>
      <c r="BV58" s="1075"/>
      <c r="BW58" s="1075"/>
      <c r="BX58" s="1075"/>
    </row>
    <row r="59" spans="1:76">
      <c r="A59" s="2717"/>
      <c r="B59" s="2730"/>
      <c r="C59" s="1157">
        <v>42278</v>
      </c>
      <c r="D59" s="1158">
        <v>42368</v>
      </c>
      <c r="E59" s="1553">
        <v>0.38400000000000001</v>
      </c>
      <c r="F59" s="1536"/>
      <c r="G59" s="1554">
        <f>E59+F59+I58</f>
        <v>5.3307999999999689E-3</v>
      </c>
      <c r="H59" s="1536"/>
      <c r="I59" s="1554">
        <f t="shared" si="20"/>
        <v>5.3307999999999689E-3</v>
      </c>
      <c r="J59" s="2659"/>
      <c r="K59" s="1116">
        <v>3.1419999999999999</v>
      </c>
      <c r="L59" s="1536"/>
      <c r="M59" s="1554">
        <f>K59+L59+O58</f>
        <v>3.9914599999999911E-2</v>
      </c>
      <c r="N59" s="1705"/>
      <c r="O59" s="1554">
        <f t="shared" si="14"/>
        <v>3.9914599999999911E-2</v>
      </c>
      <c r="P59" s="2659"/>
      <c r="Q59" s="1116">
        <f t="shared" si="15"/>
        <v>3.5259999999999998</v>
      </c>
      <c r="R59" s="1705">
        <f t="shared" si="16"/>
        <v>0</v>
      </c>
      <c r="S59" s="1536">
        <f>Q59+R59+U58</f>
        <v>4.5245400000002434E-2</v>
      </c>
      <c r="T59" s="1554">
        <f t="shared" si="17"/>
        <v>0</v>
      </c>
      <c r="U59" s="1700">
        <f t="shared" si="18"/>
        <v>4.5245400000002434E-2</v>
      </c>
      <c r="V59" s="1549">
        <f t="shared" si="19"/>
        <v>0</v>
      </c>
      <c r="W59" s="2668"/>
      <c r="X59" s="2665"/>
      <c r="Y59" s="2728"/>
      <c r="Z59" s="2665"/>
      <c r="AA59" s="2665"/>
      <c r="AB59" s="2572"/>
      <c r="AC59" s="1076"/>
      <c r="AD59" s="1126"/>
      <c r="AE59" s="1159"/>
      <c r="AF59" s="1076"/>
      <c r="AG59" s="1076"/>
      <c r="AH59" s="2084">
        <f>+AG56/AG55</f>
        <v>-1.25</v>
      </c>
      <c r="AI59" s="1076"/>
      <c r="AJ59" s="1160"/>
      <c r="AK59" s="1076"/>
      <c r="AL59" s="1156"/>
      <c r="AM59" s="1076"/>
      <c r="AN59" s="863"/>
      <c r="AO59" s="863"/>
      <c r="AP59" s="863"/>
      <c r="AQ59" s="863"/>
      <c r="AR59" s="863"/>
      <c r="AS59" s="863"/>
      <c r="AT59" s="863"/>
      <c r="AU59" s="863"/>
      <c r="AV59" s="863"/>
      <c r="AW59" s="863"/>
      <c r="AX59" s="863"/>
      <c r="AY59" s="863"/>
      <c r="AZ59" s="863"/>
      <c r="BK59" s="1075"/>
      <c r="BL59" s="1075"/>
      <c r="BM59" s="1075"/>
      <c r="BN59" s="1075"/>
      <c r="BO59" s="1075"/>
      <c r="BP59" s="1075"/>
      <c r="BQ59" s="1075"/>
      <c r="BR59" s="1075"/>
      <c r="BS59" s="1075"/>
      <c r="BT59" s="1075"/>
      <c r="BU59" s="1075"/>
      <c r="BV59" s="1075"/>
      <c r="BW59" s="1075"/>
      <c r="BX59" s="1075"/>
    </row>
    <row r="60" spans="1:76">
      <c r="A60" s="2717"/>
      <c r="B60" s="2723" t="s">
        <v>169</v>
      </c>
      <c r="C60" s="1426">
        <v>42064</v>
      </c>
      <c r="D60" s="1427">
        <v>42246</v>
      </c>
      <c r="E60" s="1550">
        <f>51.241+1.665</f>
        <v>52.905999999999999</v>
      </c>
      <c r="F60" s="1707">
        <f>2.337+1.271+0.04264+0.52316+0.4626276+0.00492</f>
        <v>4.6413476000000005</v>
      </c>
      <c r="G60" s="1708">
        <f>E60+F60</f>
        <v>57.547347600000002</v>
      </c>
      <c r="H60" s="1707"/>
      <c r="I60" s="1708">
        <f t="shared" si="20"/>
        <v>57.547347600000002</v>
      </c>
      <c r="J60" s="2661">
        <f>E60+E61+F60+F61</f>
        <v>63.267347600000001</v>
      </c>
      <c r="K60" s="1562">
        <f>410.97+13.354</f>
        <v>424.32400000000001</v>
      </c>
      <c r="L60" s="1512">
        <f>60+179.7+18.7815+10.2145+0.34268+4.20442+3.7179462+0.03954</f>
        <v>277.00058619999993</v>
      </c>
      <c r="M60" s="1511">
        <f>K60+L60</f>
        <v>701.32458619999989</v>
      </c>
      <c r="N60" s="1257">
        <v>395.65499999999997</v>
      </c>
      <c r="O60" s="1511">
        <f t="shared" si="14"/>
        <v>305.66958619999991</v>
      </c>
      <c r="P60" s="2661">
        <f>K60+K61+L60+L61</f>
        <v>748.15458619999993</v>
      </c>
      <c r="Q60" s="1562">
        <f t="shared" si="15"/>
        <v>477.23</v>
      </c>
      <c r="R60" s="1512">
        <f t="shared" si="16"/>
        <v>281.64193379999995</v>
      </c>
      <c r="S60" s="1512">
        <f>Q60+R60</f>
        <v>758.87193379999997</v>
      </c>
      <c r="T60" s="1511">
        <f t="shared" si="17"/>
        <v>395.65499999999997</v>
      </c>
      <c r="U60" s="1701">
        <f t="shared" si="18"/>
        <v>363.21693379999999</v>
      </c>
      <c r="V60" s="1549">
        <f t="shared" si="19"/>
        <v>0.52137255626095469</v>
      </c>
      <c r="W60" s="2669">
        <f>Q60+Q61</f>
        <v>529.78</v>
      </c>
      <c r="X60" s="2664">
        <f>R60+R61</f>
        <v>281.64193379999995</v>
      </c>
      <c r="Y60" s="2731">
        <f>W60+X60</f>
        <v>811.42193379999992</v>
      </c>
      <c r="Z60" s="2664">
        <f>T60+T61</f>
        <v>748.14200000000005</v>
      </c>
      <c r="AA60" s="2664">
        <f>Y60-Z60</f>
        <v>63.279933799999867</v>
      </c>
      <c r="AB60" s="2584">
        <f>Z60/Y60</f>
        <v>0.9220135281484797</v>
      </c>
      <c r="AC60" s="1154"/>
      <c r="AD60" s="1126"/>
      <c r="AE60" s="1161"/>
      <c r="AF60" s="1650"/>
      <c r="AG60" s="1160"/>
      <c r="AH60" s="1160"/>
      <c r="AI60" s="1160"/>
      <c r="AJ60" s="1160"/>
      <c r="AK60" s="1076"/>
      <c r="AL60" s="1156"/>
      <c r="AM60" s="1076"/>
      <c r="AN60" s="863"/>
      <c r="AO60" s="863"/>
      <c r="AP60" s="863"/>
      <c r="AQ60" s="863"/>
      <c r="AR60" s="863"/>
      <c r="AS60" s="863"/>
      <c r="AT60" s="863"/>
      <c r="AU60" s="863"/>
      <c r="AV60" s="863"/>
      <c r="AW60" s="863"/>
      <c r="AX60" s="863"/>
      <c r="AY60" s="863"/>
      <c r="AZ60" s="863"/>
      <c r="BK60" s="1075"/>
      <c r="BL60" s="1075"/>
      <c r="BM60" s="1075"/>
      <c r="BN60" s="1075"/>
      <c r="BO60" s="1075"/>
      <c r="BP60" s="1075"/>
      <c r="BQ60" s="1075"/>
      <c r="BR60" s="1075"/>
      <c r="BS60" s="1075"/>
      <c r="BT60" s="1075"/>
      <c r="BU60" s="1075"/>
      <c r="BV60" s="1075"/>
      <c r="BW60" s="1075"/>
      <c r="BX60" s="1075"/>
    </row>
    <row r="61" spans="1:76">
      <c r="A61" s="2717"/>
      <c r="B61" s="2724"/>
      <c r="C61" s="1157">
        <v>42278</v>
      </c>
      <c r="D61" s="1158">
        <v>42368</v>
      </c>
      <c r="E61" s="1553">
        <f>5.54+0.18</f>
        <v>5.72</v>
      </c>
      <c r="F61" s="1536"/>
      <c r="G61" s="1554">
        <f>E61+F61+I60</f>
        <v>63.267347600000001</v>
      </c>
      <c r="H61" s="1536"/>
      <c r="I61" s="1554">
        <f t="shared" si="20"/>
        <v>63.267347600000001</v>
      </c>
      <c r="J61" s="2659"/>
      <c r="K61" s="1116">
        <f>45.356+1.474</f>
        <v>46.83</v>
      </c>
      <c r="L61" s="1705"/>
      <c r="M61" s="1554">
        <f>K61+L61+O60</f>
        <v>352.4995861999999</v>
      </c>
      <c r="N61" s="1277">
        <v>352.48700000000002</v>
      </c>
      <c r="O61" s="2182">
        <f t="shared" si="14"/>
        <v>1.2586199999873315E-2</v>
      </c>
      <c r="P61" s="2659"/>
      <c r="Q61" s="1116">
        <f t="shared" si="15"/>
        <v>52.55</v>
      </c>
      <c r="R61" s="1705">
        <f t="shared" si="16"/>
        <v>0</v>
      </c>
      <c r="S61" s="1536">
        <f>Q61+R61+U60</f>
        <v>415.7669338</v>
      </c>
      <c r="T61" s="1554">
        <f t="shared" si="17"/>
        <v>352.48700000000002</v>
      </c>
      <c r="U61" s="1700">
        <f t="shared" si="18"/>
        <v>63.279933799999981</v>
      </c>
      <c r="V61" s="1549">
        <f t="shared" si="19"/>
        <v>0.84779950338609644</v>
      </c>
      <c r="W61" s="2668"/>
      <c r="X61" s="2665"/>
      <c r="Y61" s="2728"/>
      <c r="Z61" s="2665"/>
      <c r="AA61" s="2665"/>
      <c r="AB61" s="2572"/>
      <c r="AC61" s="1076"/>
      <c r="AD61" s="1126"/>
      <c r="AE61" s="1162"/>
      <c r="AF61" s="1651"/>
      <c r="AG61" s="1160"/>
      <c r="AH61" s="1160"/>
      <c r="AI61" s="1160"/>
      <c r="AJ61" s="1076"/>
      <c r="AK61" s="1076"/>
      <c r="AL61" s="1156"/>
      <c r="AM61" s="1076"/>
      <c r="AN61" s="863"/>
      <c r="AO61" s="863"/>
      <c r="AP61" s="863"/>
      <c r="AQ61" s="863"/>
      <c r="AR61" s="863"/>
      <c r="AS61" s="863"/>
      <c r="AT61" s="863"/>
      <c r="AU61" s="863"/>
      <c r="AV61" s="863"/>
      <c r="AW61" s="863"/>
      <c r="AX61" s="863"/>
      <c r="AY61" s="863"/>
      <c r="AZ61" s="863"/>
      <c r="BK61" s="1075"/>
      <c r="BL61" s="1075"/>
      <c r="BM61" s="1075"/>
      <c r="BN61" s="1075"/>
      <c r="BO61" s="1075"/>
      <c r="BP61" s="1075"/>
      <c r="BQ61" s="1075"/>
      <c r="BR61" s="1075"/>
      <c r="BS61" s="1075"/>
      <c r="BT61" s="1075"/>
      <c r="BU61" s="1075"/>
      <c r="BV61" s="1075"/>
      <c r="BW61" s="1075"/>
      <c r="BX61" s="1075"/>
    </row>
    <row r="62" spans="1:76" ht="15" customHeight="1">
      <c r="A62" s="2717"/>
      <c r="B62" s="2732" t="s">
        <v>295</v>
      </c>
      <c r="C62" s="1426">
        <v>42064</v>
      </c>
      <c r="D62" s="1427">
        <v>42246</v>
      </c>
      <c r="E62" s="1550">
        <v>2.5999999999999999E-2</v>
      </c>
      <c r="F62" s="1707"/>
      <c r="G62" s="1708">
        <f>E62+F62</f>
        <v>2.5999999999999999E-2</v>
      </c>
      <c r="H62" s="1707"/>
      <c r="I62" s="1708">
        <f t="shared" si="20"/>
        <v>2.5999999999999999E-2</v>
      </c>
      <c r="J62" s="2661">
        <f>E62+E63+F62+F63</f>
        <v>2.8999999999999998E-2</v>
      </c>
      <c r="K62" s="1562">
        <v>0.20499999999999999</v>
      </c>
      <c r="L62" s="1536"/>
      <c r="M62" s="1511">
        <f>K62+L62</f>
        <v>0.20499999999999999</v>
      </c>
      <c r="N62" s="1512"/>
      <c r="O62" s="1511">
        <f t="shared" si="14"/>
        <v>0.20499999999999999</v>
      </c>
      <c r="P62" s="2661">
        <f>K62+K63+L62+L63</f>
        <v>0.22799999999999998</v>
      </c>
      <c r="Q62" s="1562">
        <f t="shared" si="15"/>
        <v>0.23099999999999998</v>
      </c>
      <c r="R62" s="1512">
        <f t="shared" si="16"/>
        <v>0</v>
      </c>
      <c r="S62" s="1512">
        <f>Q62+R62</f>
        <v>0.23099999999999998</v>
      </c>
      <c r="T62" s="1511">
        <f t="shared" si="17"/>
        <v>0</v>
      </c>
      <c r="U62" s="1701">
        <f t="shared" si="18"/>
        <v>0.23099999999999998</v>
      </c>
      <c r="V62" s="1549">
        <f t="shared" si="19"/>
        <v>0</v>
      </c>
      <c r="W62" s="2669">
        <f>Q62+Q63</f>
        <v>0.25700000000000001</v>
      </c>
      <c r="X62" s="2664">
        <f>R62+R63</f>
        <v>0</v>
      </c>
      <c r="Y62" s="2731">
        <f>W62+X62</f>
        <v>0.25700000000000001</v>
      </c>
      <c r="Z62" s="2664">
        <f>T62+T63</f>
        <v>0</v>
      </c>
      <c r="AA62" s="2664">
        <f>Y62-Z62</f>
        <v>0.25700000000000001</v>
      </c>
      <c r="AB62" s="2584">
        <f>Z62/Y62</f>
        <v>0</v>
      </c>
      <c r="AC62" s="1154"/>
      <c r="AD62" s="1126"/>
      <c r="AE62" s="1162"/>
      <c r="AF62" s="1651"/>
      <c r="AG62" s="1160"/>
      <c r="AH62" s="1160"/>
      <c r="AI62" s="1160"/>
      <c r="AJ62" s="1076"/>
      <c r="AK62" s="1076"/>
      <c r="AL62" s="1156"/>
      <c r="AM62" s="1076"/>
      <c r="AN62" s="863"/>
      <c r="AO62" s="863"/>
      <c r="AP62" s="863"/>
      <c r="AQ62" s="863"/>
      <c r="AR62" s="863"/>
      <c r="AS62" s="863"/>
      <c r="AT62" s="863"/>
      <c r="AU62" s="863"/>
      <c r="AV62" s="863"/>
      <c r="AW62" s="863"/>
      <c r="AX62" s="863"/>
      <c r="AY62" s="863"/>
      <c r="AZ62" s="863"/>
      <c r="BK62" s="1075"/>
      <c r="BL62" s="1075"/>
      <c r="BM62" s="1075"/>
      <c r="BN62" s="1075"/>
      <c r="BO62" s="1075"/>
      <c r="BP62" s="1075"/>
      <c r="BQ62" s="1075"/>
      <c r="BR62" s="1075"/>
      <c r="BS62" s="1075"/>
      <c r="BT62" s="1075"/>
      <c r="BU62" s="1075"/>
      <c r="BV62" s="1075"/>
      <c r="BW62" s="1075"/>
      <c r="BX62" s="1075"/>
    </row>
    <row r="63" spans="1:76" ht="15" customHeight="1">
      <c r="A63" s="2717"/>
      <c r="B63" s="2733"/>
      <c r="C63" s="1157">
        <v>42278</v>
      </c>
      <c r="D63" s="1158">
        <v>42368</v>
      </c>
      <c r="E63" s="1553">
        <v>3.0000000000000001E-3</v>
      </c>
      <c r="F63" s="1536"/>
      <c r="G63" s="1554">
        <f>E63+F63+I62</f>
        <v>2.8999999999999998E-2</v>
      </c>
      <c r="H63" s="1536"/>
      <c r="I63" s="1554">
        <f t="shared" si="20"/>
        <v>2.8999999999999998E-2</v>
      </c>
      <c r="J63" s="2659"/>
      <c r="K63" s="1116">
        <v>2.3E-2</v>
      </c>
      <c r="L63" s="1536"/>
      <c r="M63" s="1554">
        <f>K63+L63+O62</f>
        <v>0.22799999999999998</v>
      </c>
      <c r="N63" s="1536"/>
      <c r="O63" s="1554">
        <f t="shared" si="14"/>
        <v>0.22799999999999998</v>
      </c>
      <c r="P63" s="2659"/>
      <c r="Q63" s="1118">
        <f t="shared" si="15"/>
        <v>2.5999999999999999E-2</v>
      </c>
      <c r="R63" s="1705">
        <f t="shared" si="16"/>
        <v>0</v>
      </c>
      <c r="S63" s="1536">
        <f>Q63+R63+U62</f>
        <v>0.25700000000000001</v>
      </c>
      <c r="T63" s="1704">
        <f t="shared" si="17"/>
        <v>0</v>
      </c>
      <c r="U63" s="1702">
        <f t="shared" si="18"/>
        <v>0.25700000000000001</v>
      </c>
      <c r="V63" s="1560">
        <f t="shared" si="19"/>
        <v>0</v>
      </c>
      <c r="W63" s="2668"/>
      <c r="X63" s="2665"/>
      <c r="Y63" s="2728"/>
      <c r="Z63" s="2665"/>
      <c r="AA63" s="2665"/>
      <c r="AB63" s="2572"/>
      <c r="AC63" s="1076"/>
      <c r="AD63" s="1126"/>
      <c r="AE63" s="1162"/>
      <c r="AF63" s="1651"/>
      <c r="AG63" s="1160"/>
      <c r="AH63" s="1160"/>
      <c r="AI63" s="1160"/>
      <c r="AJ63" s="1076"/>
      <c r="AK63" s="1076"/>
      <c r="AL63" s="1156"/>
      <c r="AM63" s="1076"/>
      <c r="AN63" s="863"/>
      <c r="AO63" s="863"/>
      <c r="AP63" s="863"/>
      <c r="AQ63" s="863"/>
      <c r="AR63" s="863"/>
      <c r="AS63" s="863"/>
      <c r="AT63" s="863"/>
      <c r="AU63" s="863"/>
      <c r="AV63" s="863"/>
      <c r="AW63" s="863"/>
      <c r="AX63" s="863"/>
      <c r="AY63" s="863"/>
      <c r="AZ63" s="863"/>
      <c r="BK63" s="1075"/>
      <c r="BL63" s="1075"/>
      <c r="BM63" s="1075"/>
      <c r="BN63" s="1075"/>
      <c r="BO63" s="1075"/>
      <c r="BP63" s="1075"/>
      <c r="BQ63" s="1075"/>
      <c r="BR63" s="1075"/>
      <c r="BS63" s="1075"/>
      <c r="BT63" s="1075"/>
      <c r="BU63" s="1075"/>
      <c r="BV63" s="1075"/>
      <c r="BW63" s="1075"/>
      <c r="BX63" s="1075"/>
    </row>
    <row r="64" spans="1:76" ht="15" customHeight="1">
      <c r="A64" s="2717"/>
      <c r="B64" s="2725" t="s">
        <v>234</v>
      </c>
      <c r="C64" s="1426">
        <v>42064</v>
      </c>
      <c r="D64" s="1427">
        <v>42246</v>
      </c>
      <c r="E64" s="1550">
        <f>6.493+1.665</f>
        <v>8.1580000000000013</v>
      </c>
      <c r="F64" s="1707">
        <f>-0.00984-0.11316-0.04264-0.52316+7.749+3.5525188+1.476+0.369+0.11808</f>
        <v>12.575798799999999</v>
      </c>
      <c r="G64" s="1708">
        <f>E64+F64</f>
        <v>20.733798800000002</v>
      </c>
      <c r="H64" s="1707"/>
      <c r="I64" s="1708">
        <f t="shared" si="20"/>
        <v>20.733798800000002</v>
      </c>
      <c r="J64" s="2661">
        <f>E64+E65+F64+F65</f>
        <v>21.6157988</v>
      </c>
      <c r="K64" s="1562">
        <f>52.074+13.354</f>
        <v>65.427999999999997</v>
      </c>
      <c r="L64" s="1512">
        <f>-0.07908-0.90942-0.34268-4.20442+62.2755+28.5501206+11.862+2.9655+0.94896+9.9</f>
        <v>110.9664806</v>
      </c>
      <c r="M64" s="1511">
        <f>K64+L64</f>
        <v>176.39448060000001</v>
      </c>
      <c r="N64" s="1484">
        <v>129.81399999999999</v>
      </c>
      <c r="O64" s="1511">
        <f t="shared" si="14"/>
        <v>46.580480600000016</v>
      </c>
      <c r="P64" s="2661">
        <f>K64+K65+L64+L65</f>
        <v>183.61548060000001</v>
      </c>
      <c r="Q64" s="1116">
        <f t="shared" si="15"/>
        <v>73.585999999999999</v>
      </c>
      <c r="R64" s="1536">
        <f t="shared" si="16"/>
        <v>123.5422794</v>
      </c>
      <c r="S64" s="1512">
        <f>Q64+R64</f>
        <v>197.1282794</v>
      </c>
      <c r="T64" s="1554">
        <f t="shared" si="17"/>
        <v>129.81399999999999</v>
      </c>
      <c r="U64" s="1700">
        <f t="shared" si="18"/>
        <v>67.314279400000004</v>
      </c>
      <c r="V64" s="1548">
        <f t="shared" si="19"/>
        <v>0.65852550631048623</v>
      </c>
      <c r="W64" s="2669">
        <f>Q64+Q65</f>
        <v>81.688999999999993</v>
      </c>
      <c r="X64" s="2664">
        <f>R64+R65</f>
        <v>123.5422794</v>
      </c>
      <c r="Y64" s="2731">
        <f>W64+X64</f>
        <v>205.23127940000001</v>
      </c>
      <c r="Z64" s="2664">
        <f>T64+T65</f>
        <v>192.55199999999999</v>
      </c>
      <c r="AA64" s="2664">
        <f>Y64-Z64</f>
        <v>12.679279400000013</v>
      </c>
      <c r="AB64" s="2584">
        <f>Z64/Y64</f>
        <v>0.93821955679919611</v>
      </c>
      <c r="AC64" s="1154"/>
      <c r="AD64" s="1126"/>
      <c r="AE64" s="1162"/>
      <c r="AF64" s="1651"/>
      <c r="AG64" s="1160"/>
      <c r="AH64" s="1160"/>
      <c r="AI64" s="1160"/>
      <c r="AJ64" s="1076"/>
      <c r="AK64" s="1076"/>
      <c r="AL64" s="1156"/>
      <c r="AM64" s="1076"/>
      <c r="AN64" s="863"/>
      <c r="AO64" s="863"/>
      <c r="AP64" s="863"/>
      <c r="AQ64" s="863"/>
      <c r="AR64" s="863"/>
      <c r="AS64" s="863"/>
      <c r="AT64" s="863"/>
      <c r="AU64" s="863"/>
      <c r="AV64" s="863"/>
      <c r="AW64" s="863"/>
      <c r="AX64" s="863"/>
      <c r="AY64" s="863"/>
      <c r="AZ64" s="863"/>
      <c r="BK64" s="1075"/>
      <c r="BL64" s="1075"/>
      <c r="BM64" s="1075"/>
      <c r="BN64" s="1075"/>
      <c r="BO64" s="1075"/>
      <c r="BP64" s="1075"/>
      <c r="BQ64" s="1075"/>
      <c r="BR64" s="1075"/>
      <c r="BS64" s="1075"/>
      <c r="BT64" s="1075"/>
      <c r="BU64" s="1075"/>
      <c r="BV64" s="1075"/>
      <c r="BW64" s="1075"/>
      <c r="BX64" s="1075"/>
    </row>
    <row r="65" spans="1:76" ht="15" customHeight="1">
      <c r="A65" s="2717"/>
      <c r="B65" s="2726"/>
      <c r="C65" s="1157">
        <v>42278</v>
      </c>
      <c r="D65" s="1158">
        <v>42368</v>
      </c>
      <c r="E65" s="1553">
        <f>0.702+0.18</f>
        <v>0.8819999999999999</v>
      </c>
      <c r="F65" s="1536"/>
      <c r="G65" s="1554">
        <f>E65+F65+I64</f>
        <v>21.615798800000004</v>
      </c>
      <c r="H65" s="1277">
        <v>9.9190000000000005</v>
      </c>
      <c r="I65" s="1554">
        <f t="shared" si="20"/>
        <v>11.696798800000003</v>
      </c>
      <c r="J65" s="2659"/>
      <c r="K65" s="1116">
        <f>5.747+1.474</f>
        <v>7.2210000000000001</v>
      </c>
      <c r="L65" s="1536"/>
      <c r="M65" s="1554">
        <f>K65+L65+O64</f>
        <v>53.801480600000019</v>
      </c>
      <c r="N65" s="1705">
        <v>52.819000000000003</v>
      </c>
      <c r="O65" s="2182">
        <f t="shared" si="14"/>
        <v>0.98248060000001658</v>
      </c>
      <c r="P65" s="2659"/>
      <c r="Q65" s="1116">
        <f t="shared" si="15"/>
        <v>8.1029999999999998</v>
      </c>
      <c r="R65" s="1536">
        <f t="shared" si="16"/>
        <v>0</v>
      </c>
      <c r="S65" s="1536">
        <f>Q65+R65+U64</f>
        <v>75.417279399999998</v>
      </c>
      <c r="T65" s="1554">
        <f t="shared" si="17"/>
        <v>62.738</v>
      </c>
      <c r="U65" s="1700">
        <f t="shared" si="18"/>
        <v>12.679279399999999</v>
      </c>
      <c r="V65" s="1549">
        <f t="shared" si="19"/>
        <v>0.83187832416028518</v>
      </c>
      <c r="W65" s="2668"/>
      <c r="X65" s="2665"/>
      <c r="Y65" s="2728"/>
      <c r="Z65" s="2665"/>
      <c r="AA65" s="2665"/>
      <c r="AB65" s="2572"/>
      <c r="AC65" s="1076"/>
      <c r="AD65" s="1126"/>
      <c r="AE65" s="1162"/>
      <c r="AF65" s="1651"/>
      <c r="AG65" s="1160"/>
      <c r="AH65" s="1160"/>
      <c r="AI65" s="1160"/>
      <c r="AJ65" s="1076"/>
      <c r="AK65" s="1076"/>
      <c r="AL65" s="1156"/>
      <c r="AM65" s="1076"/>
      <c r="AN65" s="863"/>
      <c r="AO65" s="863"/>
      <c r="AP65" s="863"/>
      <c r="AQ65" s="863"/>
      <c r="AR65" s="863"/>
      <c r="AS65" s="863"/>
      <c r="AT65" s="863"/>
      <c r="AU65" s="863"/>
      <c r="AV65" s="863"/>
      <c r="AW65" s="863"/>
      <c r="AX65" s="863"/>
      <c r="AY65" s="863"/>
      <c r="AZ65" s="863"/>
    </row>
    <row r="66" spans="1:76" ht="15.75" customHeight="1">
      <c r="A66" s="2717"/>
      <c r="B66" s="2721" t="s">
        <v>296</v>
      </c>
      <c r="C66" s="1426">
        <v>42064</v>
      </c>
      <c r="D66" s="1427">
        <v>42246</v>
      </c>
      <c r="E66" s="1550">
        <v>0.88300000000000001</v>
      </c>
      <c r="F66" s="1707">
        <f>-0.9615648</f>
        <v>-0.9615648</v>
      </c>
      <c r="G66" s="1708">
        <f>E66+F66</f>
        <v>-7.856479999999999E-2</v>
      </c>
      <c r="H66" s="1707"/>
      <c r="I66" s="1708">
        <f t="shared" si="20"/>
        <v>-7.856479999999999E-2</v>
      </c>
      <c r="J66" s="2661">
        <f>E66+E67+F66+F67</f>
        <v>1.6435199999999983E-2</v>
      </c>
      <c r="K66" s="1562">
        <v>7.0780000000000003</v>
      </c>
      <c r="L66" s="1512">
        <f>-7.7276976</f>
        <v>-7.7276975999999999</v>
      </c>
      <c r="M66" s="1511">
        <f>K66+L66</f>
        <v>-0.64969759999999965</v>
      </c>
      <c r="N66" s="1512"/>
      <c r="O66" s="1511">
        <f t="shared" si="14"/>
        <v>-0.64969759999999965</v>
      </c>
      <c r="P66" s="2661">
        <f>K66+K67+L66+L67</f>
        <v>0.13130240000000004</v>
      </c>
      <c r="Q66" s="1562">
        <f t="shared" si="15"/>
        <v>7.9610000000000003</v>
      </c>
      <c r="R66" s="1512">
        <f t="shared" si="16"/>
        <v>-8.6892624000000005</v>
      </c>
      <c r="S66" s="1512">
        <f>Q66+R66</f>
        <v>-0.7282624000000002</v>
      </c>
      <c r="T66" s="1511">
        <f t="shared" si="17"/>
        <v>0</v>
      </c>
      <c r="U66" s="1701">
        <f t="shared" si="18"/>
        <v>-0.7282624000000002</v>
      </c>
      <c r="V66" s="1549">
        <f t="shared" si="19"/>
        <v>0</v>
      </c>
      <c r="W66" s="2669">
        <f>Q66+Q67</f>
        <v>8.8369999999999997</v>
      </c>
      <c r="X66" s="2664">
        <f>R66+R67</f>
        <v>-8.6892624000000005</v>
      </c>
      <c r="Y66" s="2731">
        <f>W66+X66</f>
        <v>0.14773759999999925</v>
      </c>
      <c r="Z66" s="2664">
        <f>T66+T67</f>
        <v>0</v>
      </c>
      <c r="AA66" s="2664">
        <f>Y66-Z66</f>
        <v>0.14773759999999925</v>
      </c>
      <c r="AB66" s="2584">
        <f>Z66/Y66</f>
        <v>0</v>
      </c>
      <c r="AC66" s="1154"/>
      <c r="AD66" s="1126"/>
      <c r="AE66" s="1162"/>
      <c r="AF66" s="1651"/>
      <c r="AG66" s="1160"/>
      <c r="AH66" s="1160"/>
      <c r="AI66" s="1160"/>
      <c r="AJ66" s="1160"/>
      <c r="AK66" s="1076"/>
      <c r="AL66" s="1156"/>
      <c r="AM66" s="1076"/>
      <c r="AN66" s="863"/>
      <c r="AO66" s="863"/>
      <c r="AP66" s="863"/>
      <c r="AQ66" s="863"/>
      <c r="AR66" s="863"/>
      <c r="AS66" s="863"/>
      <c r="AT66" s="863"/>
      <c r="AU66" s="863"/>
      <c r="AV66" s="863"/>
      <c r="AW66" s="863"/>
      <c r="AX66" s="863"/>
      <c r="AY66" s="863"/>
      <c r="AZ66" s="863"/>
    </row>
    <row r="67" spans="1:76">
      <c r="A67" s="2717"/>
      <c r="B67" s="2722"/>
      <c r="C67" s="1157">
        <v>42278</v>
      </c>
      <c r="D67" s="1158">
        <v>42368</v>
      </c>
      <c r="E67" s="1553">
        <v>9.5000000000000001E-2</v>
      </c>
      <c r="F67" s="1536"/>
      <c r="G67" s="1554">
        <f>E67+F67+I66</f>
        <v>1.6435200000000011E-2</v>
      </c>
      <c r="H67" s="1536"/>
      <c r="I67" s="1554">
        <f t="shared" si="20"/>
        <v>1.6435200000000011E-2</v>
      </c>
      <c r="J67" s="2659"/>
      <c r="K67" s="1116">
        <v>0.78100000000000003</v>
      </c>
      <c r="L67" s="1536"/>
      <c r="M67" s="1554">
        <f>K67+L67+O66</f>
        <v>0.13130240000000037</v>
      </c>
      <c r="N67" s="1536"/>
      <c r="O67" s="1554">
        <f t="shared" si="14"/>
        <v>0.13130240000000037</v>
      </c>
      <c r="P67" s="2659"/>
      <c r="Q67" s="1118">
        <f t="shared" si="15"/>
        <v>0.876</v>
      </c>
      <c r="R67" s="1705">
        <f t="shared" si="16"/>
        <v>0</v>
      </c>
      <c r="S67" s="1536">
        <f>Q67+R67+U66</f>
        <v>0.1477375999999998</v>
      </c>
      <c r="T67" s="1704">
        <f t="shared" si="17"/>
        <v>0</v>
      </c>
      <c r="U67" s="1702">
        <f t="shared" si="18"/>
        <v>0.1477375999999998</v>
      </c>
      <c r="V67" s="1560">
        <f t="shared" si="19"/>
        <v>0</v>
      </c>
      <c r="W67" s="2668"/>
      <c r="X67" s="2665"/>
      <c r="Y67" s="2728"/>
      <c r="Z67" s="2665"/>
      <c r="AA67" s="2665"/>
      <c r="AB67" s="2572"/>
      <c r="AC67" s="1076"/>
      <c r="AD67" s="1126"/>
      <c r="AE67" s="1162"/>
      <c r="AF67" s="1651"/>
      <c r="AG67" s="1160"/>
      <c r="AH67" s="1160"/>
      <c r="AI67" s="1160"/>
      <c r="AJ67" s="1160"/>
      <c r="AK67" s="1076"/>
      <c r="AL67" s="1156"/>
      <c r="AM67" s="1076"/>
      <c r="AN67" s="863"/>
      <c r="AO67" s="863"/>
      <c r="AP67" s="863"/>
      <c r="AQ67" s="863"/>
      <c r="AR67" s="863"/>
      <c r="AS67" s="863"/>
      <c r="AT67" s="863"/>
      <c r="AU67" s="863"/>
      <c r="AV67" s="863"/>
      <c r="AW67" s="863"/>
      <c r="AX67" s="863"/>
      <c r="AY67" s="863"/>
      <c r="AZ67" s="863"/>
    </row>
    <row r="68" spans="1:76">
      <c r="A68" s="2717"/>
      <c r="B68" s="2721" t="s">
        <v>297</v>
      </c>
      <c r="C68" s="1426">
        <v>42064</v>
      </c>
      <c r="D68" s="1427">
        <v>42246</v>
      </c>
      <c r="E68" s="1550">
        <v>0.39600000000000002</v>
      </c>
      <c r="F68" s="1707">
        <f>-0.4356824</f>
        <v>-0.43568240000000003</v>
      </c>
      <c r="G68" s="1708">
        <f>E68+F68</f>
        <v>-3.9682400000000007E-2</v>
      </c>
      <c r="H68" s="1707"/>
      <c r="I68" s="1708">
        <f t="shared" si="20"/>
        <v>-3.9682400000000007E-2</v>
      </c>
      <c r="J68" s="2661">
        <f>E68+E69+F68+F69</f>
        <v>3.3175999999999761E-3</v>
      </c>
      <c r="K68" s="1562">
        <v>3.177</v>
      </c>
      <c r="L68" s="1512">
        <f>-3.5013988</f>
        <v>-3.5013988</v>
      </c>
      <c r="M68" s="1511">
        <f>K68+L68</f>
        <v>-0.32439879999999999</v>
      </c>
      <c r="N68" s="1512"/>
      <c r="O68" s="1511">
        <f t="shared" si="14"/>
        <v>-0.32439879999999999</v>
      </c>
      <c r="P68" s="2661">
        <f>K68+K69+L68+L69</f>
        <v>2.6601199999999992E-2</v>
      </c>
      <c r="Q68" s="1116">
        <f t="shared" si="15"/>
        <v>3.573</v>
      </c>
      <c r="R68" s="1536">
        <f t="shared" si="16"/>
        <v>-3.9370812000000002</v>
      </c>
      <c r="S68" s="1512">
        <f>Q68+R68</f>
        <v>-0.36408120000000022</v>
      </c>
      <c r="T68" s="1554">
        <f t="shared" si="17"/>
        <v>0</v>
      </c>
      <c r="U68" s="1700">
        <f t="shared" si="18"/>
        <v>-0.36408120000000022</v>
      </c>
      <c r="V68" s="1548">
        <f t="shared" si="19"/>
        <v>0</v>
      </c>
      <c r="W68" s="2669">
        <f>Q68+Q69</f>
        <v>3.9670000000000001</v>
      </c>
      <c r="X68" s="2664">
        <f>R68+R69</f>
        <v>-3.9370812000000002</v>
      </c>
      <c r="Y68" s="2731">
        <f>W68+X68</f>
        <v>2.9918799999999912E-2</v>
      </c>
      <c r="Z68" s="2664">
        <f>T68+T69</f>
        <v>0</v>
      </c>
      <c r="AA68" s="2664">
        <f>Y68-Z68</f>
        <v>2.9918799999999912E-2</v>
      </c>
      <c r="AB68" s="2584">
        <f>Z68/Y68</f>
        <v>0</v>
      </c>
      <c r="AC68" s="1154"/>
      <c r="AD68" s="1126"/>
      <c r="AE68" s="1162"/>
      <c r="AF68" s="1651"/>
      <c r="AG68" s="1160"/>
      <c r="AH68" s="1160"/>
      <c r="AI68" s="1160"/>
      <c r="AJ68" s="1076"/>
      <c r="AK68" s="1076"/>
      <c r="AL68" s="1156"/>
      <c r="AM68" s="1076"/>
      <c r="AN68" s="863"/>
      <c r="AO68" s="863"/>
      <c r="AP68" s="863"/>
      <c r="AQ68" s="863"/>
      <c r="AR68" s="863"/>
      <c r="AS68" s="863"/>
      <c r="AT68" s="863"/>
      <c r="AU68" s="863"/>
      <c r="AV68" s="863"/>
      <c r="AW68" s="863"/>
      <c r="AX68" s="863"/>
      <c r="AY68" s="863"/>
      <c r="AZ68" s="863"/>
    </row>
    <row r="69" spans="1:76">
      <c r="A69" s="2717"/>
      <c r="B69" s="2722"/>
      <c r="C69" s="1157">
        <v>42278</v>
      </c>
      <c r="D69" s="1158">
        <v>42368</v>
      </c>
      <c r="E69" s="1553">
        <v>4.2999999999999997E-2</v>
      </c>
      <c r="F69" s="1536"/>
      <c r="G69" s="1554">
        <f>E69+F69+I68</f>
        <v>3.31759999999999E-3</v>
      </c>
      <c r="H69" s="1536"/>
      <c r="I69" s="1554">
        <f t="shared" si="20"/>
        <v>3.31759999999999E-3</v>
      </c>
      <c r="J69" s="2659"/>
      <c r="K69" s="1116">
        <v>0.35099999999999998</v>
      </c>
      <c r="L69" s="1536"/>
      <c r="M69" s="1554">
        <f>K69+L69+O68</f>
        <v>2.6601199999999992E-2</v>
      </c>
      <c r="N69" s="1705"/>
      <c r="O69" s="1554">
        <f t="shared" si="14"/>
        <v>2.6601199999999992E-2</v>
      </c>
      <c r="P69" s="2659"/>
      <c r="Q69" s="1116">
        <f t="shared" si="15"/>
        <v>0.39399999999999996</v>
      </c>
      <c r="R69" s="1536">
        <f t="shared" si="16"/>
        <v>0</v>
      </c>
      <c r="S69" s="1536">
        <f>Q69+R69+U68</f>
        <v>2.9918799999999746E-2</v>
      </c>
      <c r="T69" s="1554">
        <f t="shared" si="17"/>
        <v>0</v>
      </c>
      <c r="U69" s="1700">
        <f t="shared" si="18"/>
        <v>2.9918799999999746E-2</v>
      </c>
      <c r="V69" s="1549">
        <f t="shared" si="19"/>
        <v>0</v>
      </c>
      <c r="W69" s="2668"/>
      <c r="X69" s="2665"/>
      <c r="Y69" s="2728"/>
      <c r="Z69" s="2665"/>
      <c r="AA69" s="2665"/>
      <c r="AB69" s="2572"/>
      <c r="AC69" s="1076"/>
      <c r="AD69" s="1126"/>
      <c r="AE69" s="1163"/>
      <c r="AF69" s="1652"/>
      <c r="AG69" s="1076"/>
      <c r="AH69" s="1076"/>
      <c r="AI69" s="1076"/>
      <c r="AJ69" s="1076"/>
      <c r="AK69" s="1076"/>
      <c r="AL69" s="1156"/>
      <c r="AM69" s="1076"/>
      <c r="AN69" s="863"/>
      <c r="AO69" s="863"/>
      <c r="AP69" s="863"/>
      <c r="AQ69" s="863"/>
      <c r="AR69" s="863"/>
      <c r="AS69" s="863"/>
      <c r="AT69" s="863"/>
      <c r="AU69" s="863"/>
      <c r="AV69" s="863"/>
      <c r="AW69" s="863"/>
      <c r="AX69" s="863"/>
      <c r="AY69" s="863"/>
      <c r="AZ69" s="863"/>
    </row>
    <row r="70" spans="1:76">
      <c r="A70" s="2717"/>
      <c r="B70" s="2721" t="s">
        <v>210</v>
      </c>
      <c r="C70" s="1426">
        <v>42064</v>
      </c>
      <c r="D70" s="1427">
        <v>42246</v>
      </c>
      <c r="E70" s="1550">
        <f>4.221+1.554</f>
        <v>5.7750000000000004</v>
      </c>
      <c r="F70" s="1707">
        <f>-0.6642+3.9286692+0.9615648+0.4356824-0.1328564-0.4626276-0.00492</f>
        <v>4.0613123999999994</v>
      </c>
      <c r="G70" s="1708">
        <f>E70+F70</f>
        <v>9.8363124000000006</v>
      </c>
      <c r="H70" s="1707"/>
      <c r="I70" s="1708">
        <f t="shared" si="20"/>
        <v>9.8363124000000006</v>
      </c>
      <c r="J70" s="2661">
        <f>E70+E71+F70+F71</f>
        <v>10.460312399999999</v>
      </c>
      <c r="K70" s="1562">
        <f>33.857+12.464</f>
        <v>46.320999999999998</v>
      </c>
      <c r="L70" s="1512">
        <f>153.2-5.3379+31.5730854+7.7276976+3.5013988-1.0677118-3.71794662-0.03954</f>
        <v>185.83908338000001</v>
      </c>
      <c r="M70" s="1511">
        <f>K70+L70</f>
        <v>232.16008338</v>
      </c>
      <c r="N70" s="1484">
        <v>165.886</v>
      </c>
      <c r="O70" s="1511">
        <f t="shared" si="14"/>
        <v>66.274083380000008</v>
      </c>
      <c r="P70" s="2661">
        <f>K70+K71+L70+L71</f>
        <v>237.27308338</v>
      </c>
      <c r="Q70" s="1562">
        <f t="shared" si="15"/>
        <v>52.095999999999997</v>
      </c>
      <c r="R70" s="1512">
        <f t="shared" si="16"/>
        <v>189.90039578</v>
      </c>
      <c r="S70" s="1512">
        <f>Q70+R70</f>
        <v>241.99639578</v>
      </c>
      <c r="T70" s="1511">
        <f t="shared" si="17"/>
        <v>165.886</v>
      </c>
      <c r="U70" s="1701">
        <f t="shared" si="18"/>
        <v>76.110395780000005</v>
      </c>
      <c r="V70" s="1549">
        <f t="shared" si="19"/>
        <v>0.68548954816173258</v>
      </c>
      <c r="W70" s="2669">
        <f>Q70+Q71</f>
        <v>57.832999999999998</v>
      </c>
      <c r="X70" s="2664">
        <f>R70+R71</f>
        <v>189.90039578</v>
      </c>
      <c r="Y70" s="2731">
        <f>W70+X70</f>
        <v>247.73339578</v>
      </c>
      <c r="Z70" s="2664">
        <f>T70+T71</f>
        <v>224.953</v>
      </c>
      <c r="AA70" s="2664">
        <f>Y70-Z70</f>
        <v>22.780395779999992</v>
      </c>
      <c r="AB70" s="2584">
        <f>Z70/Y70</f>
        <v>0.90804471190379943</v>
      </c>
      <c r="AC70" s="1154"/>
      <c r="AD70" s="1126"/>
      <c r="AE70" s="1162"/>
      <c r="AF70" s="1650"/>
      <c r="AG70" s="1076"/>
      <c r="AH70" s="1076"/>
      <c r="AI70" s="1076"/>
      <c r="AJ70" s="1076"/>
      <c r="AK70" s="1076"/>
      <c r="AL70" s="1156"/>
      <c r="AM70" s="1076"/>
      <c r="AN70" s="863"/>
      <c r="AO70" s="863"/>
      <c r="AP70" s="863"/>
      <c r="AQ70" s="863"/>
      <c r="AR70" s="863"/>
      <c r="AS70" s="863"/>
      <c r="AT70" s="863"/>
      <c r="AU70" s="863"/>
      <c r="AV70" s="863"/>
      <c r="AW70" s="863"/>
      <c r="AX70" s="863"/>
      <c r="AY70" s="863"/>
      <c r="AZ70" s="863"/>
    </row>
    <row r="71" spans="1:76">
      <c r="A71" s="2717"/>
      <c r="B71" s="2722"/>
      <c r="C71" s="1157">
        <v>42278</v>
      </c>
      <c r="D71" s="1158">
        <v>42368</v>
      </c>
      <c r="E71" s="1553">
        <f>0.456+0.168</f>
        <v>0.624</v>
      </c>
      <c r="F71" s="1536"/>
      <c r="G71" s="1554">
        <f>E71+F71+I70</f>
        <v>10.460312400000001</v>
      </c>
      <c r="H71" s="1536"/>
      <c r="I71" s="1554">
        <f t="shared" si="20"/>
        <v>10.460312400000001</v>
      </c>
      <c r="J71" s="2659"/>
      <c r="K71" s="1116">
        <f>3.737+1.376</f>
        <v>5.1129999999999995</v>
      </c>
      <c r="L71" s="1536"/>
      <c r="M71" s="1554">
        <f>K71+L71+O70</f>
        <v>71.387083380000007</v>
      </c>
      <c r="N71" s="1705">
        <v>59.067</v>
      </c>
      <c r="O71" s="1554">
        <f t="shared" si="14"/>
        <v>12.320083380000007</v>
      </c>
      <c r="P71" s="2659"/>
      <c r="Q71" s="1118">
        <f t="shared" si="15"/>
        <v>5.7369999999999992</v>
      </c>
      <c r="R71" s="1705">
        <f t="shared" si="16"/>
        <v>0</v>
      </c>
      <c r="S71" s="1536">
        <f>Q71+R71+U70</f>
        <v>81.847395779999999</v>
      </c>
      <c r="T71" s="1704">
        <f t="shared" si="17"/>
        <v>59.067</v>
      </c>
      <c r="U71" s="1702">
        <f t="shared" si="18"/>
        <v>22.780395779999999</v>
      </c>
      <c r="V71" s="1560">
        <f t="shared" si="19"/>
        <v>0.7216723200181947</v>
      </c>
      <c r="W71" s="2668"/>
      <c r="X71" s="2665"/>
      <c r="Y71" s="2728"/>
      <c r="Z71" s="2665"/>
      <c r="AA71" s="2665"/>
      <c r="AB71" s="2572"/>
      <c r="AC71" s="1154"/>
      <c r="AD71" s="1126"/>
      <c r="AE71" s="1164"/>
      <c r="AF71" s="1650"/>
      <c r="AG71" s="1076"/>
      <c r="AH71" s="1076"/>
      <c r="AI71" s="1076"/>
      <c r="AJ71" s="1160"/>
      <c r="AK71" s="1076"/>
      <c r="AL71" s="1076"/>
      <c r="AM71" s="1076"/>
      <c r="AN71" s="863"/>
      <c r="AO71" s="863"/>
      <c r="AP71" s="863"/>
      <c r="AQ71" s="863"/>
      <c r="AR71" s="863"/>
      <c r="AS71" s="863"/>
      <c r="AT71" s="863"/>
      <c r="AU71" s="863"/>
      <c r="AV71" s="863"/>
      <c r="AW71" s="863"/>
      <c r="AX71" s="863"/>
      <c r="AY71" s="863"/>
      <c r="AZ71" s="863"/>
    </row>
    <row r="72" spans="1:76">
      <c r="A72" s="2717"/>
      <c r="B72" s="2734" t="s">
        <v>174</v>
      </c>
      <c r="C72" s="1426">
        <v>42064</v>
      </c>
      <c r="D72" s="1427">
        <v>42246</v>
      </c>
      <c r="E72" s="1550">
        <v>6.577</v>
      </c>
      <c r="F72" s="1707">
        <f>0.00984+0.11316+0.6642</f>
        <v>0.78720000000000001</v>
      </c>
      <c r="G72" s="1708">
        <f>E72+F72</f>
        <v>7.3642000000000003</v>
      </c>
      <c r="H72" s="1707"/>
      <c r="I72" s="1708">
        <f t="shared" si="20"/>
        <v>7.3642000000000003</v>
      </c>
      <c r="J72" s="2661">
        <f>E72+E73+F72+F73</f>
        <v>8.0752000000000006</v>
      </c>
      <c r="K72" s="1562">
        <v>52.750999999999998</v>
      </c>
      <c r="L72" s="1512">
        <f>50+0.07908+0.90942+5.3379+4.5</f>
        <v>60.826399999999992</v>
      </c>
      <c r="M72" s="1511">
        <f>K72+L72</f>
        <v>113.57739999999998</v>
      </c>
      <c r="N72" s="1656">
        <v>100.101</v>
      </c>
      <c r="O72" s="1511">
        <f t="shared" si="14"/>
        <v>13.476399999999984</v>
      </c>
      <c r="P72" s="2661">
        <f>K72+K73+L72+L73</f>
        <v>119.39939999999999</v>
      </c>
      <c r="Q72" s="1562">
        <f t="shared" si="15"/>
        <v>59.327999999999996</v>
      </c>
      <c r="R72" s="1512">
        <f t="shared" si="16"/>
        <v>61.613599999999991</v>
      </c>
      <c r="S72" s="1512">
        <f>Q72+R72</f>
        <v>120.94159999999999</v>
      </c>
      <c r="T72" s="1554">
        <f t="shared" si="17"/>
        <v>100.101</v>
      </c>
      <c r="U72" s="1700">
        <f t="shared" si="18"/>
        <v>20.840599999999995</v>
      </c>
      <c r="V72" s="1548">
        <f t="shared" si="19"/>
        <v>0.82768046726684619</v>
      </c>
      <c r="W72" s="2669">
        <f>Q72+Q73</f>
        <v>65.86099999999999</v>
      </c>
      <c r="X72" s="2664">
        <f>R72+R73</f>
        <v>61.613599999999991</v>
      </c>
      <c r="Y72" s="2731">
        <f>W72+X72</f>
        <v>127.47459999999998</v>
      </c>
      <c r="Z72" s="2664">
        <f>T72+T73</f>
        <v>119.02</v>
      </c>
      <c r="AA72" s="2664">
        <f>Y72-Z72</f>
        <v>8.454599999999985</v>
      </c>
      <c r="AB72" s="2584">
        <f>Z72/Y72</f>
        <v>0.93367619902317811</v>
      </c>
      <c r="AC72" s="1154"/>
      <c r="AD72" s="1126"/>
      <c r="AE72" s="1161"/>
      <c r="AF72" s="1650"/>
      <c r="AG72" s="1160"/>
      <c r="AH72" s="1160"/>
      <c r="AI72" s="1160"/>
      <c r="AJ72" s="1076"/>
      <c r="AK72" s="1076"/>
      <c r="AL72" s="1076"/>
      <c r="AM72" s="1076"/>
      <c r="AN72" s="863"/>
      <c r="AO72" s="863"/>
      <c r="AP72" s="863"/>
      <c r="AQ72" s="863"/>
      <c r="AR72" s="863"/>
      <c r="AS72" s="863"/>
      <c r="AT72" s="863"/>
      <c r="AU72" s="863"/>
      <c r="AV72" s="863"/>
      <c r="AW72" s="863"/>
      <c r="AX72" s="863"/>
      <c r="AY72" s="863"/>
      <c r="AZ72" s="863"/>
    </row>
    <row r="73" spans="1:76">
      <c r="A73" s="2717"/>
      <c r="B73" s="2735"/>
      <c r="C73" s="1157">
        <v>42278</v>
      </c>
      <c r="D73" s="1158">
        <v>42368</v>
      </c>
      <c r="E73" s="1553">
        <v>0.71099999999999997</v>
      </c>
      <c r="F73" s="1536"/>
      <c r="G73" s="1554">
        <f>E73+F73+I72</f>
        <v>8.0752000000000006</v>
      </c>
      <c r="H73" s="1536"/>
      <c r="I73" s="1554">
        <f t="shared" si="20"/>
        <v>8.0752000000000006</v>
      </c>
      <c r="J73" s="2659"/>
      <c r="K73" s="1116">
        <v>5.8220000000000001</v>
      </c>
      <c r="L73" s="1536"/>
      <c r="M73" s="1554">
        <f>K73+L73+O72</f>
        <v>19.298399999999983</v>
      </c>
      <c r="N73" s="1673">
        <v>18.919</v>
      </c>
      <c r="O73" s="1554">
        <f t="shared" si="14"/>
        <v>0.37939999999998264</v>
      </c>
      <c r="P73" s="2659"/>
      <c r="Q73" s="1116">
        <f t="shared" si="15"/>
        <v>6.5330000000000004</v>
      </c>
      <c r="R73" s="1536">
        <f t="shared" si="16"/>
        <v>0</v>
      </c>
      <c r="S73" s="1536">
        <f>Q73+R73+U72</f>
        <v>27.373599999999996</v>
      </c>
      <c r="T73" s="1554">
        <f t="shared" si="17"/>
        <v>18.919</v>
      </c>
      <c r="U73" s="1700">
        <f t="shared" si="18"/>
        <v>8.4545999999999957</v>
      </c>
      <c r="V73" s="1549">
        <f t="shared" si="19"/>
        <v>0.69114036882251528</v>
      </c>
      <c r="W73" s="2668"/>
      <c r="X73" s="2665"/>
      <c r="Y73" s="2728"/>
      <c r="Z73" s="2665"/>
      <c r="AA73" s="2665"/>
      <c r="AB73" s="2572"/>
      <c r="AC73" s="1076"/>
      <c r="AD73" s="1126"/>
      <c r="AE73" s="1162"/>
      <c r="AF73" s="1651"/>
      <c r="AG73" s="1160"/>
      <c r="AH73" s="1160"/>
      <c r="AI73" s="1160"/>
      <c r="AJ73" s="1159"/>
      <c r="AK73" s="1160"/>
      <c r="AL73" s="1076"/>
      <c r="AM73" s="1076"/>
      <c r="AN73" s="863"/>
      <c r="AO73" s="863"/>
      <c r="AP73" s="863"/>
      <c r="AQ73" s="863"/>
      <c r="AR73" s="863"/>
      <c r="AS73" s="863"/>
      <c r="AT73" s="863"/>
      <c r="AU73" s="863"/>
      <c r="AV73" s="863"/>
      <c r="AW73" s="863"/>
      <c r="AX73" s="863"/>
      <c r="AY73" s="863"/>
      <c r="AZ73" s="863"/>
    </row>
    <row r="74" spans="1:76">
      <c r="A74" s="2717"/>
      <c r="B74" s="2734" t="s">
        <v>299</v>
      </c>
      <c r="C74" s="1426">
        <v>42064</v>
      </c>
      <c r="D74" s="1427">
        <v>42246</v>
      </c>
      <c r="E74" s="1550">
        <v>3.206</v>
      </c>
      <c r="F74" s="1707">
        <f>-3.5525188</f>
        <v>-3.5525188000000001</v>
      </c>
      <c r="G74" s="1708">
        <f>E74+F74</f>
        <v>-0.34651880000000013</v>
      </c>
      <c r="H74" s="1707"/>
      <c r="I74" s="1708">
        <f t="shared" si="20"/>
        <v>-0.34651880000000013</v>
      </c>
      <c r="J74" s="2661">
        <f>E74+E75+F74+F75</f>
        <v>4.8119999999984842E-4</v>
      </c>
      <c r="K74" s="1562">
        <v>25.712</v>
      </c>
      <c r="L74" s="1707">
        <f>-28.5501206</f>
        <v>-28.5501206</v>
      </c>
      <c r="M74" s="1708">
        <f>K74+L74</f>
        <v>-2.8381205999999999</v>
      </c>
      <c r="N74" s="1257"/>
      <c r="O74" s="1708">
        <f t="shared" si="14"/>
        <v>-2.8381205999999999</v>
      </c>
      <c r="P74" s="2661">
        <f>K74+K75+L74+L75</f>
        <v>-1.2059999999891602E-4</v>
      </c>
      <c r="Q74" s="1562">
        <f t="shared" si="15"/>
        <v>28.917999999999999</v>
      </c>
      <c r="R74" s="1512">
        <f t="shared" si="16"/>
        <v>-32.102639400000001</v>
      </c>
      <c r="S74" s="1512">
        <f>Q74+R74</f>
        <v>-3.1846394000000018</v>
      </c>
      <c r="T74" s="1511">
        <f t="shared" si="17"/>
        <v>0</v>
      </c>
      <c r="U74" s="1701">
        <f t="shared" si="18"/>
        <v>-3.1846394000000018</v>
      </c>
      <c r="V74" s="1549">
        <f t="shared" si="19"/>
        <v>0</v>
      </c>
      <c r="W74" s="2669">
        <f>Q74+Q75</f>
        <v>32.103000000000002</v>
      </c>
      <c r="X74" s="2664">
        <f>R74+R75</f>
        <v>-32.102639400000001</v>
      </c>
      <c r="Y74" s="2731">
        <f>W74+X74</f>
        <v>3.6060000000048831E-4</v>
      </c>
      <c r="Z74" s="2664">
        <f>T74+T75</f>
        <v>0</v>
      </c>
      <c r="AA74" s="2664">
        <f>Y74-Z74</f>
        <v>3.6060000000048831E-4</v>
      </c>
      <c r="AB74" s="2584">
        <f>Z74/Y74</f>
        <v>0</v>
      </c>
      <c r="AC74" s="1154"/>
      <c r="AD74" s="1126"/>
      <c r="AE74" s="1162"/>
      <c r="AF74" s="1651"/>
      <c r="AG74" s="1160"/>
      <c r="AH74" s="1160"/>
      <c r="AI74" s="1160"/>
      <c r="AJ74" s="1159"/>
      <c r="AK74" s="1160"/>
      <c r="AL74" s="1076"/>
      <c r="AM74" s="1076"/>
      <c r="AN74" s="863"/>
      <c r="AO74" s="863"/>
      <c r="AP74" s="863"/>
      <c r="AQ74" s="863"/>
      <c r="AR74" s="863"/>
      <c r="AS74" s="863"/>
      <c r="AT74" s="863"/>
      <c r="AU74" s="863"/>
      <c r="AV74" s="863"/>
      <c r="AW74" s="863"/>
      <c r="AX74" s="863"/>
      <c r="AY74" s="863"/>
      <c r="AZ74" s="863"/>
    </row>
    <row r="75" spans="1:76">
      <c r="A75" s="2717"/>
      <c r="B75" s="2735"/>
      <c r="C75" s="1165">
        <v>42278</v>
      </c>
      <c r="D75" s="1166">
        <v>42368</v>
      </c>
      <c r="E75" s="1555">
        <v>0.34699999999999998</v>
      </c>
      <c r="F75" s="1705"/>
      <c r="G75" s="1704">
        <f>E75+F75+I74</f>
        <v>4.8119999999984842E-4</v>
      </c>
      <c r="H75" s="1705"/>
      <c r="I75" s="1704">
        <f t="shared" si="20"/>
        <v>4.8119999999984842E-4</v>
      </c>
      <c r="J75" s="2659"/>
      <c r="K75" s="1118">
        <v>2.8380000000000001</v>
      </c>
      <c r="L75" s="1705"/>
      <c r="M75" s="1704">
        <f>K75+L75+O74</f>
        <v>-1.205999999998042E-4</v>
      </c>
      <c r="N75" s="1705"/>
      <c r="O75" s="1704">
        <f t="shared" si="14"/>
        <v>-1.205999999998042E-4</v>
      </c>
      <c r="P75" s="2659"/>
      <c r="Q75" s="1118">
        <f t="shared" si="15"/>
        <v>3.1850000000000001</v>
      </c>
      <c r="R75" s="1705">
        <f t="shared" si="16"/>
        <v>0</v>
      </c>
      <c r="S75" s="1536">
        <f>Q75+R75+U74</f>
        <v>3.6059999999826786E-4</v>
      </c>
      <c r="T75" s="1704">
        <f t="shared" si="17"/>
        <v>0</v>
      </c>
      <c r="U75" s="1702">
        <f t="shared" si="18"/>
        <v>3.6059999999826786E-4</v>
      </c>
      <c r="V75" s="1560">
        <f t="shared" si="19"/>
        <v>0</v>
      </c>
      <c r="W75" s="2668"/>
      <c r="X75" s="2665"/>
      <c r="Y75" s="2728"/>
      <c r="Z75" s="2665"/>
      <c r="AA75" s="2665"/>
      <c r="AB75" s="2572"/>
      <c r="AC75" s="1076"/>
      <c r="AD75" s="1126"/>
      <c r="AE75" s="1167"/>
      <c r="AF75" s="1160"/>
      <c r="AG75" s="1160"/>
      <c r="AH75" s="1160"/>
      <c r="AI75" s="1160"/>
      <c r="AJ75" s="1159"/>
      <c r="AK75" s="1160"/>
      <c r="AL75" s="1076"/>
      <c r="AM75" s="1076"/>
      <c r="AN75" s="863"/>
      <c r="AO75" s="863"/>
      <c r="AP75" s="863"/>
      <c r="AQ75" s="863"/>
      <c r="AR75" s="863"/>
      <c r="AS75" s="863"/>
      <c r="AT75" s="863"/>
      <c r="AU75" s="863"/>
      <c r="AV75" s="863"/>
      <c r="AW75" s="863"/>
      <c r="AX75" s="863"/>
      <c r="AY75" s="863"/>
      <c r="AZ75" s="863"/>
    </row>
    <row r="76" spans="1:76" s="1127" customFormat="1">
      <c r="A76" s="2717"/>
      <c r="B76" s="2736" t="s">
        <v>236</v>
      </c>
      <c r="C76" s="1426">
        <v>42064</v>
      </c>
      <c r="D76" s="1427">
        <v>42246</v>
      </c>
      <c r="E76" s="1550">
        <v>0</v>
      </c>
      <c r="F76" s="1707">
        <f>0.1328564</f>
        <v>0.13285640000000001</v>
      </c>
      <c r="G76" s="1708">
        <f>E76+F76</f>
        <v>0.13285640000000001</v>
      </c>
      <c r="H76" s="1707"/>
      <c r="I76" s="1708">
        <f t="shared" si="20"/>
        <v>0.13285640000000001</v>
      </c>
      <c r="J76" s="2661">
        <f>E76+E77+F76+F77</f>
        <v>0.13285640000000001</v>
      </c>
      <c r="K76" s="1562">
        <v>0</v>
      </c>
      <c r="L76" s="1707">
        <v>1.0677118000000001</v>
      </c>
      <c r="M76" s="1708">
        <f>K76+L76</f>
        <v>1.0677118000000001</v>
      </c>
      <c r="N76" s="1709"/>
      <c r="O76" s="1708">
        <f t="shared" si="14"/>
        <v>1.0677118000000001</v>
      </c>
      <c r="P76" s="2661">
        <f>K76+K77+L76+L77</f>
        <v>1.0677118000000001</v>
      </c>
      <c r="Q76" s="1562">
        <f t="shared" si="15"/>
        <v>0</v>
      </c>
      <c r="R76" s="1512">
        <f t="shared" si="16"/>
        <v>1.2005682000000002</v>
      </c>
      <c r="S76" s="1512">
        <f>Q76+R76</f>
        <v>1.2005682000000002</v>
      </c>
      <c r="T76" s="1511">
        <f t="shared" si="17"/>
        <v>0</v>
      </c>
      <c r="U76" s="1701">
        <f t="shared" si="18"/>
        <v>1.2005682000000002</v>
      </c>
      <c r="V76" s="1549">
        <f t="shared" si="19"/>
        <v>0</v>
      </c>
      <c r="W76" s="2669">
        <f>Q76+Q77</f>
        <v>0</v>
      </c>
      <c r="X76" s="2664">
        <f>R76+R77</f>
        <v>1.2005682000000002</v>
      </c>
      <c r="Y76" s="2731">
        <f>W76+X76</f>
        <v>1.2005682000000002</v>
      </c>
      <c r="Z76" s="2664">
        <f>T76+T77</f>
        <v>0</v>
      </c>
      <c r="AA76" s="2664">
        <f>Y76-Z76</f>
        <v>1.2005682000000002</v>
      </c>
      <c r="AB76" s="2584">
        <f>Z76/Y76</f>
        <v>0</v>
      </c>
      <c r="AC76" s="1154"/>
      <c r="AD76" s="1126"/>
      <c r="AE76" s="1160"/>
      <c r="AF76" s="1160"/>
      <c r="AG76" s="1160"/>
      <c r="AH76" s="1160"/>
      <c r="AI76" s="1160"/>
      <c r="AJ76" s="1160"/>
      <c r="AK76" s="1076"/>
      <c r="AL76" s="1076"/>
      <c r="AM76" s="1076"/>
      <c r="AN76" s="863"/>
      <c r="AO76" s="863"/>
      <c r="AP76" s="863"/>
      <c r="AQ76" s="863"/>
      <c r="AR76" s="863"/>
      <c r="AS76" s="863"/>
      <c r="AT76" s="863"/>
      <c r="AU76" s="863"/>
      <c r="AV76" s="863"/>
      <c r="AW76" s="863"/>
      <c r="AX76" s="863"/>
      <c r="AY76" s="863"/>
      <c r="AZ76" s="863"/>
      <c r="BA76" s="1076"/>
      <c r="BB76" s="863"/>
      <c r="BC76" s="863"/>
      <c r="BD76" s="863"/>
      <c r="BE76" s="863"/>
      <c r="BF76" s="863"/>
      <c r="BG76" s="863"/>
      <c r="BH76" s="863"/>
      <c r="BI76" s="863"/>
      <c r="BJ76" s="863"/>
      <c r="BK76" s="863"/>
      <c r="BL76" s="863"/>
      <c r="BM76" s="863"/>
      <c r="BN76" s="863"/>
      <c r="BO76" s="863"/>
      <c r="BP76" s="863"/>
      <c r="BQ76" s="863"/>
      <c r="BR76" s="863"/>
      <c r="BS76" s="863"/>
      <c r="BT76" s="863"/>
      <c r="BU76" s="863"/>
      <c r="BV76" s="863"/>
      <c r="BW76" s="863"/>
      <c r="BX76" s="863"/>
    </row>
    <row r="77" spans="1:76" s="1127" customFormat="1">
      <c r="A77" s="2717"/>
      <c r="B77" s="2737"/>
      <c r="C77" s="1165">
        <v>42278</v>
      </c>
      <c r="D77" s="1166">
        <v>42368</v>
      </c>
      <c r="E77" s="1555">
        <v>0</v>
      </c>
      <c r="F77" s="1705"/>
      <c r="G77" s="1704">
        <f>E77+F77+I76</f>
        <v>0.13285640000000001</v>
      </c>
      <c r="H77" s="1705"/>
      <c r="I77" s="1704">
        <f t="shared" si="20"/>
        <v>0.13285640000000001</v>
      </c>
      <c r="J77" s="2659"/>
      <c r="K77" s="1118">
        <v>0</v>
      </c>
      <c r="L77" s="1705"/>
      <c r="M77" s="1704">
        <f>K77+L77+O76</f>
        <v>1.0677118000000001</v>
      </c>
      <c r="N77" s="1705"/>
      <c r="O77" s="1704">
        <f t="shared" si="14"/>
        <v>1.0677118000000001</v>
      </c>
      <c r="P77" s="2659"/>
      <c r="Q77" s="1118">
        <f t="shared" si="15"/>
        <v>0</v>
      </c>
      <c r="R77" s="1705">
        <f t="shared" si="16"/>
        <v>0</v>
      </c>
      <c r="S77" s="1705">
        <f>Q77+R77+U76</f>
        <v>1.2005682000000002</v>
      </c>
      <c r="T77" s="1704">
        <f t="shared" si="17"/>
        <v>0</v>
      </c>
      <c r="U77" s="1702">
        <f t="shared" si="18"/>
        <v>1.2005682000000002</v>
      </c>
      <c r="V77" s="1560">
        <f t="shared" si="19"/>
        <v>0</v>
      </c>
      <c r="W77" s="2668"/>
      <c r="X77" s="2665"/>
      <c r="Y77" s="2728"/>
      <c r="Z77" s="2665"/>
      <c r="AA77" s="2665"/>
      <c r="AB77" s="2572"/>
      <c r="AC77" s="1076"/>
      <c r="AD77" s="1126"/>
      <c r="AE77" s="1126"/>
      <c r="AF77" s="1160"/>
      <c r="AG77" s="1160"/>
      <c r="AH77" s="1160"/>
      <c r="AI77" s="1160"/>
      <c r="AJ77" s="1160"/>
      <c r="AK77" s="1076"/>
      <c r="AL77" s="1076"/>
      <c r="AM77" s="1076"/>
      <c r="AN77" s="863"/>
      <c r="AO77" s="863"/>
      <c r="AP77" s="863"/>
      <c r="AQ77" s="863"/>
      <c r="AR77" s="863"/>
      <c r="AS77" s="863"/>
      <c r="AT77" s="863"/>
      <c r="AU77" s="863"/>
      <c r="AV77" s="863"/>
      <c r="AW77" s="863"/>
      <c r="AX77" s="863"/>
      <c r="AY77" s="863"/>
      <c r="AZ77" s="863"/>
      <c r="BA77" s="1076"/>
      <c r="BB77" s="863"/>
      <c r="BC77" s="863"/>
      <c r="BD77" s="863"/>
      <c r="BE77" s="863"/>
      <c r="BF77" s="863"/>
      <c r="BG77" s="863"/>
      <c r="BH77" s="863"/>
      <c r="BI77" s="863"/>
      <c r="BJ77" s="863"/>
      <c r="BK77" s="863"/>
      <c r="BL77" s="863"/>
      <c r="BM77" s="863"/>
      <c r="BN77" s="863"/>
      <c r="BO77" s="863"/>
      <c r="BP77" s="863"/>
      <c r="BQ77" s="863"/>
      <c r="BR77" s="863"/>
      <c r="BS77" s="863"/>
      <c r="BT77" s="863"/>
      <c r="BU77" s="863"/>
      <c r="BV77" s="863"/>
      <c r="BW77" s="863"/>
      <c r="BX77" s="863"/>
    </row>
    <row r="78" spans="1:76" s="1127" customFormat="1">
      <c r="A78" s="2717"/>
      <c r="B78" s="2743" t="s">
        <v>634</v>
      </c>
      <c r="C78" s="1420">
        <v>41640</v>
      </c>
      <c r="D78" s="1421">
        <v>42216</v>
      </c>
      <c r="E78" s="1550">
        <f>8.769</f>
        <v>8.7690000000000001</v>
      </c>
      <c r="F78" s="1707">
        <f>-7.749-1.476-0.369-0.11808</f>
        <v>-9.7120800000000003</v>
      </c>
      <c r="G78" s="1708">
        <f>E78+F78</f>
        <v>-0.94308000000000014</v>
      </c>
      <c r="H78" s="1707"/>
      <c r="I78" s="1708">
        <f t="shared" si="20"/>
        <v>-0.94308000000000014</v>
      </c>
      <c r="J78" s="2661">
        <f>E78+E79+F78+F79</f>
        <v>4.9200000000002575E-3</v>
      </c>
      <c r="K78" s="1562">
        <f>70.33</f>
        <v>70.33</v>
      </c>
      <c r="L78" s="1707">
        <f>-62.2755-11.862-2.9655-0.94896</f>
        <v>-78.051960000000008</v>
      </c>
      <c r="M78" s="1708">
        <f>K78+L78</f>
        <v>-7.7219600000000099</v>
      </c>
      <c r="N78" s="1536"/>
      <c r="O78" s="1708">
        <f t="shared" si="14"/>
        <v>-7.7219600000000099</v>
      </c>
      <c r="P78" s="2660">
        <f>K78+K79+L78+L79</f>
        <v>4.0039999999990528E-2</v>
      </c>
      <c r="Q78" s="1562">
        <f t="shared" si="15"/>
        <v>79.099000000000004</v>
      </c>
      <c r="R78" s="1512">
        <f t="shared" si="16"/>
        <v>-87.764040000000008</v>
      </c>
      <c r="S78" s="1512">
        <f>Q78+R78</f>
        <v>-8.6650400000000047</v>
      </c>
      <c r="T78" s="1511">
        <f t="shared" si="17"/>
        <v>0</v>
      </c>
      <c r="U78" s="1701">
        <f t="shared" si="18"/>
        <v>-8.6650400000000047</v>
      </c>
      <c r="V78" s="1548">
        <f t="shared" si="19"/>
        <v>0</v>
      </c>
      <c r="W78" s="2671">
        <f>Q78+Q79</f>
        <v>87.808999999999997</v>
      </c>
      <c r="X78" s="2670">
        <f>R78+R79</f>
        <v>-87.764040000000008</v>
      </c>
      <c r="Y78" s="2744">
        <f>W78+X78</f>
        <v>4.4959999999989009E-2</v>
      </c>
      <c r="Z78" s="2670">
        <f>T78+T79</f>
        <v>0</v>
      </c>
      <c r="AA78" s="2670">
        <f>Y78-Z78</f>
        <v>4.4959999999989009E-2</v>
      </c>
      <c r="AB78" s="2584">
        <f>Z78/Y78</f>
        <v>0</v>
      </c>
      <c r="AC78" s="1154"/>
      <c r="AD78" s="1520"/>
      <c r="AE78" s="1076"/>
      <c r="AF78" s="1076"/>
      <c r="AG78" s="1076"/>
      <c r="AH78" s="1076"/>
      <c r="AI78" s="1076"/>
      <c r="AJ78" s="1076"/>
      <c r="AK78" s="1076"/>
      <c r="AL78" s="1076"/>
      <c r="AM78" s="1076"/>
      <c r="AN78" s="863"/>
      <c r="AO78" s="863"/>
      <c r="AP78" s="863"/>
      <c r="AQ78" s="863"/>
      <c r="AR78" s="863"/>
      <c r="AS78" s="863"/>
      <c r="AT78" s="863"/>
      <c r="AU78" s="863"/>
      <c r="AV78" s="863"/>
      <c r="AW78" s="863"/>
      <c r="AX78" s="863"/>
      <c r="AY78" s="863"/>
      <c r="AZ78" s="863"/>
      <c r="BA78" s="1076"/>
      <c r="BB78" s="863"/>
      <c r="BC78" s="863"/>
      <c r="BD78" s="863"/>
      <c r="BE78" s="863"/>
      <c r="BF78" s="863"/>
      <c r="BG78" s="863"/>
      <c r="BH78" s="863"/>
      <c r="BI78" s="863"/>
      <c r="BJ78" s="863"/>
      <c r="BK78" s="863"/>
      <c r="BL78" s="863"/>
      <c r="BM78" s="863"/>
      <c r="BN78" s="863"/>
      <c r="BO78" s="863"/>
      <c r="BP78" s="863"/>
      <c r="BQ78" s="863"/>
      <c r="BR78" s="863"/>
      <c r="BS78" s="863"/>
      <c r="BT78" s="863"/>
      <c r="BU78" s="863"/>
      <c r="BV78" s="863"/>
      <c r="BW78" s="863"/>
      <c r="BX78" s="863"/>
    </row>
    <row r="79" spans="1:76" s="1127" customFormat="1">
      <c r="A79" s="2717"/>
      <c r="B79" s="2743"/>
      <c r="C79" s="1119">
        <v>42278</v>
      </c>
      <c r="D79" s="1120">
        <v>42369</v>
      </c>
      <c r="E79" s="1555">
        <f>0.948</f>
        <v>0.94799999999999995</v>
      </c>
      <c r="F79" s="1705"/>
      <c r="G79" s="1704">
        <f>E79+F79+I78</f>
        <v>4.9199999999998134E-3</v>
      </c>
      <c r="H79" s="1705"/>
      <c r="I79" s="1704">
        <f t="shared" si="20"/>
        <v>4.9199999999998134E-3</v>
      </c>
      <c r="J79" s="2659"/>
      <c r="K79" s="1118">
        <f>7.762</f>
        <v>7.7619999999999996</v>
      </c>
      <c r="L79" s="1705"/>
      <c r="M79" s="1704">
        <f>K79+L79+O78</f>
        <v>4.0039999999989639E-2</v>
      </c>
      <c r="N79" s="1258"/>
      <c r="O79" s="1554">
        <f t="shared" si="14"/>
        <v>4.0039999999989639E-2</v>
      </c>
      <c r="P79" s="2660"/>
      <c r="Q79" s="1118">
        <f t="shared" si="15"/>
        <v>8.7099999999999991</v>
      </c>
      <c r="R79" s="1705">
        <f t="shared" si="16"/>
        <v>0</v>
      </c>
      <c r="S79" s="1705">
        <f>Q79+R79+U78</f>
        <v>4.4959999999994338E-2</v>
      </c>
      <c r="T79" s="1704">
        <f t="shared" si="17"/>
        <v>0</v>
      </c>
      <c r="U79" s="1702">
        <f t="shared" si="18"/>
        <v>4.4959999999994338E-2</v>
      </c>
      <c r="V79" s="1549">
        <f t="shared" si="19"/>
        <v>0</v>
      </c>
      <c r="W79" s="2671"/>
      <c r="X79" s="2670"/>
      <c r="Y79" s="2744"/>
      <c r="Z79" s="2670"/>
      <c r="AA79" s="2670"/>
      <c r="AB79" s="2572"/>
      <c r="AC79" s="1076"/>
      <c r="AD79" s="1126"/>
      <c r="AE79" s="1076"/>
      <c r="AF79" s="1076"/>
      <c r="AG79" s="1076"/>
      <c r="AH79" s="1076"/>
      <c r="AI79" s="1076"/>
      <c r="AJ79" s="1076"/>
      <c r="AK79" s="1076"/>
      <c r="AL79" s="1076"/>
      <c r="AM79" s="1076"/>
      <c r="AN79" s="863"/>
      <c r="AO79" s="863"/>
      <c r="AP79" s="863"/>
      <c r="AQ79" s="863"/>
      <c r="AR79" s="863"/>
      <c r="AS79" s="863"/>
      <c r="AT79" s="863"/>
      <c r="AU79" s="863"/>
      <c r="AV79" s="863"/>
      <c r="AW79" s="863"/>
      <c r="AX79" s="863"/>
      <c r="AY79" s="863"/>
      <c r="AZ79" s="863"/>
      <c r="BA79" s="1076"/>
      <c r="BB79" s="863"/>
      <c r="BC79" s="863"/>
      <c r="BD79" s="863"/>
      <c r="BE79" s="863"/>
      <c r="BF79" s="863"/>
      <c r="BG79" s="863"/>
      <c r="BH79" s="863"/>
      <c r="BI79" s="863"/>
      <c r="BJ79" s="863"/>
      <c r="BK79" s="863"/>
      <c r="BL79" s="863"/>
      <c r="BM79" s="863"/>
      <c r="BN79" s="863"/>
      <c r="BO79" s="863"/>
      <c r="BP79" s="863"/>
      <c r="BQ79" s="863"/>
      <c r="BR79" s="863"/>
      <c r="BS79" s="863"/>
      <c r="BT79" s="863"/>
      <c r="BU79" s="863"/>
      <c r="BV79" s="863"/>
      <c r="BW79" s="863"/>
      <c r="BX79" s="863"/>
    </row>
    <row r="80" spans="1:76" s="1127" customFormat="1">
      <c r="A80" s="2717"/>
      <c r="B80" s="2732" t="s">
        <v>625</v>
      </c>
      <c r="C80" s="1426">
        <v>42064</v>
      </c>
      <c r="D80" s="1427">
        <v>42246</v>
      </c>
      <c r="E80" s="1550">
        <v>0</v>
      </c>
      <c r="F80" s="1707">
        <f>1.476+0.369-1.476-0.369</f>
        <v>0</v>
      </c>
      <c r="G80" s="1708">
        <f>E80+F80</f>
        <v>0</v>
      </c>
      <c r="H80" s="1707"/>
      <c r="I80" s="1708">
        <f t="shared" si="20"/>
        <v>0</v>
      </c>
      <c r="J80" s="2661">
        <f>E80+E81+F80+F81</f>
        <v>0</v>
      </c>
      <c r="K80" s="1562">
        <v>0</v>
      </c>
      <c r="L80" s="1707">
        <f>11.862+2.9655-11.862-2.9655</f>
        <v>0</v>
      </c>
      <c r="M80" s="1708">
        <f>K80+L80</f>
        <v>0</v>
      </c>
      <c r="N80" s="1709"/>
      <c r="O80" s="1708">
        <f t="shared" si="14"/>
        <v>0</v>
      </c>
      <c r="P80" s="2661">
        <f>K80+K81+L80+L81</f>
        <v>0</v>
      </c>
      <c r="Q80" s="1562">
        <f t="shared" si="15"/>
        <v>0</v>
      </c>
      <c r="R80" s="1512">
        <f t="shared" si="16"/>
        <v>0</v>
      </c>
      <c r="S80" s="1512">
        <f>Q80+R80</f>
        <v>0</v>
      </c>
      <c r="T80" s="1511">
        <f t="shared" si="17"/>
        <v>0</v>
      </c>
      <c r="U80" s="1701">
        <f t="shared" si="18"/>
        <v>0</v>
      </c>
      <c r="V80" s="1549" t="e">
        <f t="shared" si="19"/>
        <v>#DIV/0!</v>
      </c>
      <c r="W80" s="2669">
        <f>Q80+Q81</f>
        <v>0</v>
      </c>
      <c r="X80" s="2664">
        <f>R80+R81</f>
        <v>0</v>
      </c>
      <c r="Y80" s="2731">
        <f>W80+X80</f>
        <v>0</v>
      </c>
      <c r="Z80" s="2664">
        <f>T80+T81</f>
        <v>0</v>
      </c>
      <c r="AA80" s="2664">
        <f>Y80-Z80</f>
        <v>0</v>
      </c>
      <c r="AB80" s="2584">
        <v>0</v>
      </c>
      <c r="AC80" s="1154"/>
      <c r="AD80" s="1126"/>
      <c r="AE80" s="1076"/>
      <c r="AF80" s="1076"/>
      <c r="AG80" s="1076"/>
      <c r="AH80" s="1076"/>
      <c r="AI80" s="1076"/>
      <c r="AJ80" s="1076"/>
      <c r="AK80" s="1076"/>
      <c r="AL80" s="1076"/>
      <c r="AM80" s="1076"/>
      <c r="AN80" s="863"/>
      <c r="AO80" s="863"/>
      <c r="AP80" s="863"/>
      <c r="AQ80" s="863"/>
      <c r="AR80" s="863"/>
      <c r="AS80" s="863"/>
      <c r="AT80" s="863"/>
      <c r="AU80" s="863"/>
      <c r="AV80" s="863"/>
      <c r="AW80" s="863"/>
      <c r="AX80" s="863"/>
      <c r="AY80" s="863"/>
      <c r="AZ80" s="863"/>
      <c r="BA80" s="1076"/>
      <c r="BB80" s="863"/>
      <c r="BC80" s="863"/>
      <c r="BD80" s="863"/>
      <c r="BE80" s="863"/>
      <c r="BF80" s="863"/>
      <c r="BG80" s="863"/>
      <c r="BH80" s="863"/>
      <c r="BI80" s="863"/>
      <c r="BJ80" s="863"/>
      <c r="BK80" s="863"/>
      <c r="BL80" s="863"/>
      <c r="BM80" s="863"/>
      <c r="BN80" s="863"/>
      <c r="BO80" s="863"/>
      <c r="BP80" s="863"/>
      <c r="BQ80" s="863"/>
      <c r="BR80" s="863"/>
      <c r="BS80" s="863"/>
      <c r="BT80" s="863"/>
      <c r="BU80" s="863"/>
      <c r="BV80" s="863"/>
      <c r="BW80" s="863"/>
      <c r="BX80" s="863"/>
    </row>
    <row r="81" spans="1:76" ht="15.75" thickBot="1">
      <c r="A81" s="2718"/>
      <c r="B81" s="2738"/>
      <c r="C81" s="1168">
        <v>42278</v>
      </c>
      <c r="D81" s="1169">
        <v>42368</v>
      </c>
      <c r="E81" s="1551">
        <v>0</v>
      </c>
      <c r="F81" s="1535"/>
      <c r="G81" s="1661">
        <f>E81+F81+I80</f>
        <v>0</v>
      </c>
      <c r="H81" s="1535"/>
      <c r="I81" s="1661">
        <f t="shared" si="20"/>
        <v>0</v>
      </c>
      <c r="J81" s="2739"/>
      <c r="K81" s="1563">
        <v>0</v>
      </c>
      <c r="L81" s="1535"/>
      <c r="M81" s="1661">
        <f>K81+L81+O80</f>
        <v>0</v>
      </c>
      <c r="N81" s="1535"/>
      <c r="O81" s="1661">
        <f t="shared" si="14"/>
        <v>0</v>
      </c>
      <c r="P81" s="2739"/>
      <c r="Q81" s="1563">
        <f t="shared" si="15"/>
        <v>0</v>
      </c>
      <c r="R81" s="1535">
        <f t="shared" si="16"/>
        <v>0</v>
      </c>
      <c r="S81" s="1535">
        <f>Q81+R81+U80</f>
        <v>0</v>
      </c>
      <c r="T81" s="1661">
        <f t="shared" si="17"/>
        <v>0</v>
      </c>
      <c r="U81" s="1703">
        <f t="shared" si="18"/>
        <v>0</v>
      </c>
      <c r="V81" s="1561" t="e">
        <f t="shared" si="19"/>
        <v>#DIV/0!</v>
      </c>
      <c r="W81" s="2740"/>
      <c r="X81" s="2741"/>
      <c r="Y81" s="2742"/>
      <c r="Z81" s="2741"/>
      <c r="AA81" s="2741"/>
      <c r="AB81" s="2572"/>
      <c r="AC81" s="1076"/>
      <c r="AD81" s="1126"/>
      <c r="AE81" s="1076"/>
      <c r="AF81" s="1076"/>
      <c r="AG81" s="1076"/>
      <c r="AH81" s="1076"/>
      <c r="AI81" s="1076"/>
      <c r="AJ81" s="1076"/>
      <c r="AK81" s="1076"/>
      <c r="AL81" s="1076"/>
      <c r="AM81" s="1076"/>
      <c r="AN81" s="863"/>
      <c r="AO81" s="863"/>
      <c r="AP81" s="863"/>
      <c r="AQ81" s="863"/>
      <c r="AR81" s="863"/>
      <c r="AS81" s="863"/>
      <c r="AT81" s="863"/>
      <c r="AU81" s="863"/>
      <c r="AV81" s="863"/>
      <c r="AW81" s="863"/>
      <c r="AX81" s="863"/>
      <c r="AY81" s="863"/>
      <c r="AZ81" s="863"/>
      <c r="BA81" s="1075"/>
      <c r="BK81" s="1075"/>
      <c r="BL81" s="1075"/>
      <c r="BM81" s="1075"/>
      <c r="BN81" s="1075"/>
      <c r="BO81" s="1075"/>
      <c r="BP81" s="1075"/>
      <c r="BQ81" s="1075"/>
      <c r="BR81" s="1075"/>
      <c r="BS81" s="1075"/>
      <c r="BT81" s="1075"/>
      <c r="BU81" s="1075"/>
      <c r="BV81" s="1075"/>
      <c r="BW81" s="1075"/>
      <c r="BX81" s="1075"/>
    </row>
    <row r="82" spans="1:76" ht="15.75" thickBot="1">
      <c r="A82" s="1076"/>
      <c r="C82" s="1131"/>
      <c r="D82" s="1131"/>
      <c r="E82" s="1170"/>
      <c r="F82" s="1544"/>
      <c r="G82" s="1170"/>
      <c r="H82" s="1544">
        <f>+H56+H58+H60+H62+H64+H66+H68+H70+H72+H74+H76+H78+H80</f>
        <v>23.909999999999997</v>
      </c>
      <c r="I82" s="1170">
        <f>189.597-179.2</f>
        <v>10.39700000000002</v>
      </c>
      <c r="J82" s="1170"/>
      <c r="K82" s="1545">
        <f>SUM(K56:K81)</f>
        <v>1318.0029999999997</v>
      </c>
      <c r="L82" s="1706">
        <f>SUM(L56:L81)</f>
        <v>467.29999957999996</v>
      </c>
      <c r="M82" s="1170"/>
      <c r="N82" s="1692">
        <f>+N56+N58+N60+N62+N64+N66+N68+N70+N72+N74+N76+N78+N80</f>
        <v>1283.6410000000001</v>
      </c>
      <c r="O82" s="1170">
        <f>+O57+O61+O63+O65+O69+O67+O71+O73+O75+O77+O79+O83</f>
        <v>11.823084979999859</v>
      </c>
      <c r="P82" s="1170"/>
      <c r="Q82" s="1170">
        <f>SUM(Q56:Q81)</f>
        <v>1482.0039999999999</v>
      </c>
      <c r="R82" s="1170"/>
      <c r="S82" s="959"/>
      <c r="T82" s="1425">
        <f>+T56+T58+T60+T62+T64+T66+T68+T70+T72+T74+T76+T78+T80</f>
        <v>1307.5509999999999</v>
      </c>
      <c r="U82" s="1171"/>
      <c r="V82" s="959"/>
      <c r="W82" s="1345">
        <f>SUM(W56:W79)</f>
        <v>1482.0040000000006</v>
      </c>
      <c r="X82" s="1653">
        <f>SUM(X56:X79)</f>
        <v>467.29999957999985</v>
      </c>
      <c r="Y82" s="1653">
        <f>SUM(Y56:Y81)</f>
        <v>1949.3039995799998</v>
      </c>
      <c r="Z82" s="1653">
        <f>SUM(Z56:Z79)</f>
        <v>1829.24</v>
      </c>
      <c r="AA82" s="1653">
        <f>SUM(AA56:AA79)</f>
        <v>120.06399957999986</v>
      </c>
      <c r="AB82" s="1654">
        <f>Z82/Y82</f>
        <v>0.93840673409285114</v>
      </c>
      <c r="AC82" s="1076"/>
      <c r="AD82" s="1126"/>
      <c r="AE82" s="1076"/>
      <c r="AF82" s="1076"/>
      <c r="AG82" s="1076"/>
      <c r="AH82" s="1076"/>
      <c r="AI82" s="1076"/>
      <c r="AJ82" s="1076"/>
      <c r="AK82" s="1076"/>
      <c r="AL82" s="1076"/>
      <c r="AM82" s="1076"/>
      <c r="AN82" s="1076"/>
      <c r="AO82" s="1076"/>
      <c r="AP82" s="863"/>
      <c r="AQ82" s="863"/>
      <c r="AR82" s="863"/>
      <c r="AS82" s="863"/>
      <c r="AT82" s="863"/>
      <c r="AU82" s="863"/>
      <c r="AV82" s="863"/>
      <c r="AW82" s="863"/>
      <c r="AX82" s="863"/>
      <c r="AY82" s="863"/>
      <c r="AZ82" s="863"/>
      <c r="BA82" s="1075"/>
      <c r="BK82" s="1075"/>
      <c r="BL82" s="1075"/>
      <c r="BM82" s="1075"/>
      <c r="BN82" s="1075"/>
      <c r="BO82" s="1075"/>
      <c r="BP82" s="1075"/>
      <c r="BQ82" s="1075"/>
      <c r="BR82" s="1075"/>
      <c r="BS82" s="1075"/>
      <c r="BT82" s="1075"/>
      <c r="BU82" s="1075"/>
      <c r="BV82" s="1075"/>
      <c r="BW82" s="1075"/>
      <c r="BX82" s="1075"/>
    </row>
    <row r="83" spans="1:76" ht="15.75" thickBot="1">
      <c r="B83" s="1076"/>
      <c r="C83" s="1172"/>
      <c r="D83" s="1173"/>
      <c r="E83" s="1172"/>
      <c r="F83" s="1170"/>
      <c r="G83" s="1172"/>
      <c r="H83" s="1425">
        <f>+H57+H59+H61+H63+H65+H67+H69+H71+H73+H75+H77+H79+H81</f>
        <v>31.89</v>
      </c>
      <c r="L83" s="1170"/>
      <c r="N83" s="1425">
        <f>+N57+N59+N61+N63+N65+N67+N69+N71+N73+N75+N77+N79+N81</f>
        <v>489.79900000000004</v>
      </c>
      <c r="P83" s="1075">
        <f>13.354+1.474</f>
        <v>14.827999999999999</v>
      </c>
      <c r="T83" s="1425">
        <f>+T57+T59+T61+T63+T65+T67+T69+T71+T73+T75+T77+T79+T81</f>
        <v>521.68900000000008</v>
      </c>
      <c r="Z83" s="1174"/>
      <c r="AC83" s="1076"/>
      <c r="AD83" s="1126"/>
      <c r="AE83" s="1521"/>
      <c r="AF83" s="1126"/>
      <c r="AG83" s="1076"/>
      <c r="AH83" s="1076"/>
      <c r="AI83" s="1076"/>
      <c r="AJ83" s="1076"/>
      <c r="AK83" s="1076"/>
      <c r="AL83" s="1076"/>
      <c r="AM83" s="1076"/>
      <c r="AN83" s="1076"/>
      <c r="AO83" s="1076"/>
      <c r="AP83" s="863"/>
      <c r="AQ83" s="863"/>
      <c r="AR83" s="863"/>
      <c r="AS83" s="863"/>
      <c r="AT83" s="863"/>
      <c r="AU83" s="863"/>
      <c r="AV83" s="863"/>
      <c r="AW83" s="863"/>
      <c r="AX83" s="863"/>
      <c r="AY83" s="863"/>
      <c r="AZ83" s="863"/>
      <c r="BA83" s="1075"/>
      <c r="BK83" s="1075"/>
      <c r="BL83" s="1075"/>
      <c r="BM83" s="1075"/>
      <c r="BN83" s="1075"/>
      <c r="BO83" s="1075"/>
      <c r="BP83" s="1075"/>
      <c r="BQ83" s="1075"/>
      <c r="BR83" s="1075"/>
      <c r="BS83" s="1075"/>
      <c r="BT83" s="1075"/>
      <c r="BU83" s="1075"/>
      <c r="BV83" s="1075"/>
      <c r="BW83" s="1075"/>
      <c r="BX83" s="1075"/>
    </row>
    <row r="84" spans="1:76" ht="15" customHeight="1" thickBot="1">
      <c r="B84" s="1076"/>
      <c r="C84" s="2639" t="s">
        <v>114</v>
      </c>
      <c r="D84" s="2640"/>
      <c r="E84" s="2745" t="s">
        <v>604</v>
      </c>
      <c r="F84" s="2745"/>
      <c r="G84" s="2746"/>
      <c r="H84" s="2747" t="s">
        <v>605</v>
      </c>
      <c r="I84" s="2643"/>
      <c r="K84" s="2705" t="s">
        <v>606</v>
      </c>
      <c r="L84" s="2706"/>
      <c r="M84" s="2707"/>
      <c r="N84" s="2705" t="s">
        <v>607</v>
      </c>
      <c r="O84" s="2707"/>
      <c r="Q84" s="2748" t="s">
        <v>717</v>
      </c>
      <c r="R84" s="2749"/>
      <c r="S84" s="2749"/>
      <c r="T84" s="2749"/>
      <c r="U84" s="2749"/>
      <c r="V84" s="2749"/>
      <c r="W84" s="2750" t="s">
        <v>635</v>
      </c>
      <c r="X84" s="2751"/>
      <c r="Y84" s="2751"/>
      <c r="Z84" s="2751"/>
      <c r="AA84" s="2751"/>
      <c r="AB84" s="2752"/>
      <c r="AC84" s="1076"/>
      <c r="AD84" s="1076"/>
      <c r="AE84" s="1076"/>
      <c r="AF84" s="1076"/>
      <c r="AG84" s="1076"/>
      <c r="AH84" s="1076"/>
      <c r="AI84" s="1076"/>
      <c r="AJ84" s="1076"/>
      <c r="AK84" s="1076"/>
      <c r="AL84" s="1076"/>
      <c r="AM84" s="1076"/>
      <c r="AN84" s="1076"/>
      <c r="AO84" s="1076"/>
      <c r="AP84" s="863"/>
      <c r="AQ84" s="863"/>
      <c r="AR84" s="863"/>
      <c r="AS84" s="863"/>
      <c r="AT84" s="863"/>
      <c r="AU84" s="863"/>
      <c r="AV84" s="863"/>
      <c r="AW84" s="863"/>
      <c r="AX84" s="863"/>
      <c r="AY84" s="863"/>
      <c r="AZ84" s="863"/>
      <c r="BA84" s="1075"/>
      <c r="BK84" s="1075"/>
      <c r="BL84" s="1075"/>
      <c r="BM84" s="1075"/>
      <c r="BN84" s="1075"/>
      <c r="BO84" s="1075"/>
      <c r="BP84" s="1075"/>
      <c r="BQ84" s="1075"/>
      <c r="BR84" s="1075"/>
      <c r="BS84" s="1075"/>
      <c r="BT84" s="1075"/>
      <c r="BU84" s="1075"/>
      <c r="BV84" s="1075"/>
      <c r="BW84" s="1075"/>
      <c r="BX84" s="1075"/>
    </row>
    <row r="85" spans="1:76" ht="60.75" thickBot="1">
      <c r="A85" s="1135" t="s">
        <v>19</v>
      </c>
      <c r="B85" s="1136" t="s">
        <v>68</v>
      </c>
      <c r="C85" s="1137" t="s">
        <v>112</v>
      </c>
      <c r="D85" s="1138" t="s">
        <v>113</v>
      </c>
      <c r="E85" s="1676" t="s">
        <v>115</v>
      </c>
      <c r="F85" s="1086" t="s">
        <v>116</v>
      </c>
      <c r="G85" s="1677" t="s">
        <v>117</v>
      </c>
      <c r="H85" s="1671" t="s">
        <v>2</v>
      </c>
      <c r="I85" s="1678" t="s">
        <v>3</v>
      </c>
      <c r="J85" s="1088" t="s">
        <v>118</v>
      </c>
      <c r="K85" s="1679" t="s">
        <v>115</v>
      </c>
      <c r="L85" s="1091" t="s">
        <v>116</v>
      </c>
      <c r="M85" s="1679" t="s">
        <v>117</v>
      </c>
      <c r="N85" s="1675" t="s">
        <v>2</v>
      </c>
      <c r="O85" s="1680" t="s">
        <v>3</v>
      </c>
      <c r="P85" s="1094" t="s">
        <v>673</v>
      </c>
      <c r="Q85" s="1681" t="s">
        <v>630</v>
      </c>
      <c r="R85" s="1682" t="s">
        <v>621</v>
      </c>
      <c r="S85" s="1682" t="s">
        <v>117</v>
      </c>
      <c r="T85" s="1683" t="s">
        <v>631</v>
      </c>
      <c r="U85" s="1684" t="s">
        <v>3</v>
      </c>
      <c r="V85" s="1683" t="s">
        <v>4</v>
      </c>
      <c r="W85" s="1685" t="s">
        <v>118</v>
      </c>
      <c r="X85" s="1686" t="s">
        <v>621</v>
      </c>
      <c r="Y85" s="1686" t="s">
        <v>117</v>
      </c>
      <c r="Z85" s="1687" t="s">
        <v>2</v>
      </c>
      <c r="AA85" s="1688" t="s">
        <v>3</v>
      </c>
      <c r="AB85" s="1689" t="s">
        <v>4</v>
      </c>
      <c r="AC85" s="1076"/>
      <c r="AD85" s="1159"/>
      <c r="AE85" s="1160"/>
      <c r="AF85" s="1160"/>
      <c r="AG85" s="1160"/>
      <c r="AH85" s="1160"/>
      <c r="AI85" s="1160"/>
      <c r="AJ85" s="1160"/>
      <c r="AK85" s="1160"/>
      <c r="AL85" s="1076"/>
      <c r="AM85" s="1076"/>
      <c r="AN85" s="1076"/>
      <c r="AO85" s="1076"/>
      <c r="AP85" s="863"/>
      <c r="AQ85" s="863"/>
      <c r="AR85" s="863"/>
      <c r="AS85" s="863"/>
      <c r="AT85" s="863"/>
      <c r="AU85" s="863"/>
      <c r="AV85" s="863"/>
      <c r="AW85" s="863"/>
      <c r="AX85" s="863"/>
      <c r="AY85" s="863"/>
      <c r="AZ85" s="863"/>
      <c r="BA85" s="1075"/>
      <c r="BK85" s="1075"/>
      <c r="BL85" s="1075"/>
      <c r="BM85" s="1075"/>
      <c r="BN85" s="1075"/>
      <c r="BO85" s="1075"/>
      <c r="BP85" s="1075"/>
      <c r="BQ85" s="1075"/>
      <c r="BR85" s="1075"/>
      <c r="BS85" s="1075"/>
      <c r="BT85" s="1075"/>
      <c r="BU85" s="1075"/>
      <c r="BV85" s="1075"/>
      <c r="BW85" s="1075"/>
      <c r="BX85" s="1075"/>
    </row>
    <row r="86" spans="1:76">
      <c r="A86" s="2753" t="s">
        <v>637</v>
      </c>
      <c r="B86" s="2757" t="s">
        <v>291</v>
      </c>
      <c r="C86" s="1175">
        <v>42064</v>
      </c>
      <c r="D86" s="1176">
        <v>42246</v>
      </c>
      <c r="E86" s="1177">
        <f>9.447+1.168</f>
        <v>10.614999999999998</v>
      </c>
      <c r="F86" s="1547"/>
      <c r="G86" s="1178">
        <f>E86+F86</f>
        <v>10.614999999999998</v>
      </c>
      <c r="H86" s="1547"/>
      <c r="I86" s="1178">
        <f t="shared" ref="I86:I99" si="21">G86-H86</f>
        <v>10.614999999999998</v>
      </c>
      <c r="J86" s="2759">
        <f>E86+E87+F86+F87</f>
        <v>11.821999999999999</v>
      </c>
      <c r="K86" s="1178">
        <f>23.189+2.867</f>
        <v>26.056000000000001</v>
      </c>
      <c r="L86" s="1547"/>
      <c r="M86" s="1178">
        <f>K86+L86</f>
        <v>26.056000000000001</v>
      </c>
      <c r="N86" s="1261">
        <v>27.026</v>
      </c>
      <c r="O86" s="1178">
        <f t="shared" ref="O86:O99" si="22">M86-N86</f>
        <v>-0.96999999999999886</v>
      </c>
      <c r="P86" s="2759">
        <f>K86+K87+L86+L87</f>
        <v>28.952000000000002</v>
      </c>
      <c r="Q86" s="1178">
        <f t="shared" ref="Q86:Q99" si="23">E86+K86</f>
        <v>36.670999999999999</v>
      </c>
      <c r="R86" s="1547">
        <f t="shared" ref="R86:R99" si="24">F86+L86</f>
        <v>0</v>
      </c>
      <c r="S86" s="1179">
        <f>Q86+R86</f>
        <v>36.670999999999999</v>
      </c>
      <c r="T86" s="1547">
        <f t="shared" ref="T86:T99" si="25">H86+N86</f>
        <v>27.026</v>
      </c>
      <c r="U86" s="1177">
        <f t="shared" ref="U86:U99" si="26">S86-T86</f>
        <v>9.6449999999999996</v>
      </c>
      <c r="V86" s="1178">
        <f t="shared" ref="V86:V99" si="27">T86/S86</f>
        <v>0.73698562897112163</v>
      </c>
      <c r="W86" s="2761">
        <f>Q86+Q87</f>
        <v>40.774000000000001</v>
      </c>
      <c r="X86" s="2759">
        <f>R86+R87</f>
        <v>0</v>
      </c>
      <c r="Y86" s="2759">
        <f>W86+X86</f>
        <v>40.774000000000001</v>
      </c>
      <c r="Z86" s="2759">
        <f>T86+T87</f>
        <v>36.292000000000002</v>
      </c>
      <c r="AA86" s="2759">
        <f>Y86-Z86</f>
        <v>4.4819999999999993</v>
      </c>
      <c r="AB86" s="2571">
        <f>Z86/Y86</f>
        <v>0.890077009859224</v>
      </c>
      <c r="AC86" s="1154"/>
      <c r="AD86" s="1180"/>
      <c r="AE86" s="1181"/>
      <c r="AF86" s="1181"/>
      <c r="AG86" s="1181"/>
      <c r="AH86" s="1181"/>
      <c r="AI86" s="1181"/>
      <c r="AJ86" s="1181"/>
      <c r="AK86" s="1181"/>
      <c r="AL86" s="1076"/>
      <c r="AM86" s="1076"/>
      <c r="AN86" s="1076"/>
      <c r="AO86" s="1076"/>
      <c r="AP86" s="863"/>
      <c r="AQ86" s="863"/>
      <c r="AR86" s="863"/>
      <c r="AS86" s="863"/>
      <c r="AT86" s="863"/>
      <c r="AU86" s="863"/>
      <c r="AV86" s="863"/>
      <c r="AW86" s="863"/>
      <c r="AX86" s="863"/>
      <c r="AY86" s="863"/>
      <c r="AZ86" s="863"/>
      <c r="BA86" s="1075"/>
      <c r="BK86" s="1075"/>
      <c r="BL86" s="1075"/>
      <c r="BM86" s="1075"/>
      <c r="BN86" s="1075"/>
      <c r="BO86" s="1075"/>
      <c r="BP86" s="1075"/>
      <c r="BQ86" s="1075"/>
      <c r="BR86" s="1075"/>
      <c r="BS86" s="1075"/>
      <c r="BT86" s="1075"/>
      <c r="BU86" s="1075"/>
      <c r="BV86" s="1075"/>
      <c r="BW86" s="1075"/>
      <c r="BX86" s="1075"/>
    </row>
    <row r="87" spans="1:76">
      <c r="A87" s="2754"/>
      <c r="B87" s="2758"/>
      <c r="C87" s="1182">
        <v>42278</v>
      </c>
      <c r="D87" s="1183">
        <v>42368</v>
      </c>
      <c r="E87" s="1184">
        <f>1.074+0.133</f>
        <v>1.2070000000000001</v>
      </c>
      <c r="F87" s="1543"/>
      <c r="G87" s="1170">
        <f>E87+F87+I86</f>
        <v>11.821999999999999</v>
      </c>
      <c r="H87" s="1691">
        <v>9.266</v>
      </c>
      <c r="I87" s="1170">
        <f t="shared" si="21"/>
        <v>2.5559999999999992</v>
      </c>
      <c r="J87" s="2760"/>
      <c r="K87" s="1170">
        <f>2.577+0.319</f>
        <v>2.8959999999999999</v>
      </c>
      <c r="L87" s="1543"/>
      <c r="M87" s="1170">
        <f>K87+L87+O86</f>
        <v>1.926000000000001</v>
      </c>
      <c r="N87" s="1543"/>
      <c r="O87" s="1170">
        <f t="shared" si="22"/>
        <v>1.926000000000001</v>
      </c>
      <c r="P87" s="2760"/>
      <c r="Q87" s="1170">
        <f t="shared" si="23"/>
        <v>4.1029999999999998</v>
      </c>
      <c r="R87" s="1543">
        <f t="shared" si="24"/>
        <v>0</v>
      </c>
      <c r="S87" s="1185">
        <f>Q87+R87+U86</f>
        <v>13.747999999999999</v>
      </c>
      <c r="T87" s="1543">
        <f t="shared" si="25"/>
        <v>9.266</v>
      </c>
      <c r="U87" s="1184">
        <f t="shared" si="26"/>
        <v>4.4819999999999993</v>
      </c>
      <c r="V87" s="1170">
        <f t="shared" si="27"/>
        <v>0.67398894384637764</v>
      </c>
      <c r="W87" s="2762"/>
      <c r="X87" s="2760"/>
      <c r="Y87" s="2760"/>
      <c r="Z87" s="2760"/>
      <c r="AA87" s="2760"/>
      <c r="AB87" s="2572"/>
      <c r="AC87" s="1076"/>
      <c r="AD87" s="1180"/>
      <c r="AE87" s="1181"/>
      <c r="AF87" s="1181"/>
      <c r="AG87" s="1181"/>
      <c r="AH87" s="1181"/>
      <c r="AI87" s="1181"/>
      <c r="AJ87" s="1181"/>
      <c r="AK87" s="1181"/>
      <c r="AL87" s="1076"/>
      <c r="AM87" s="1076"/>
      <c r="AN87" s="1076"/>
      <c r="AO87" s="1076"/>
      <c r="AP87" s="863"/>
      <c r="AQ87" s="863"/>
      <c r="AR87" s="863"/>
      <c r="AS87" s="863"/>
      <c r="AT87" s="863"/>
      <c r="AU87" s="863"/>
      <c r="AV87" s="863"/>
      <c r="AW87" s="863"/>
      <c r="AX87" s="863"/>
      <c r="AY87" s="863"/>
      <c r="AZ87" s="863"/>
      <c r="BA87" s="1075"/>
      <c r="BK87" s="1075"/>
      <c r="BL87" s="1075"/>
      <c r="BM87" s="1075"/>
      <c r="BN87" s="1075"/>
      <c r="BO87" s="1075"/>
      <c r="BP87" s="1075"/>
      <c r="BQ87" s="1075"/>
      <c r="BR87" s="1075"/>
      <c r="BS87" s="1075"/>
      <c r="BT87" s="1075"/>
      <c r="BU87" s="1075"/>
      <c r="BV87" s="1075"/>
      <c r="BW87" s="1075"/>
      <c r="BX87" s="1075"/>
    </row>
    <row r="88" spans="1:76" ht="15" customHeight="1">
      <c r="A88" s="2754"/>
      <c r="B88" s="2766" t="s">
        <v>169</v>
      </c>
      <c r="C88" s="1428">
        <v>42064</v>
      </c>
      <c r="D88" s="1716">
        <v>42246</v>
      </c>
      <c r="E88" s="1717">
        <f>18.815+0.205+0.482+1.65</f>
        <v>21.151999999999997</v>
      </c>
      <c r="F88" s="1715"/>
      <c r="G88" s="1718">
        <f>E88+F88</f>
        <v>21.151999999999997</v>
      </c>
      <c r="H88" s="1715"/>
      <c r="I88" s="1718">
        <f t="shared" si="21"/>
        <v>21.151999999999997</v>
      </c>
      <c r="J88" s="2767">
        <f>E88+E89+F88+F89</f>
        <v>23.555999999999997</v>
      </c>
      <c r="K88" s="1718">
        <f>46.183+0.502+1.183+4.05</f>
        <v>51.917999999999999</v>
      </c>
      <c r="L88" s="1715">
        <v>79.989999999999995</v>
      </c>
      <c r="M88" s="1718">
        <f>K88+L88</f>
        <v>131.90799999999999</v>
      </c>
      <c r="N88" s="1719">
        <v>113.70399999999999</v>
      </c>
      <c r="O88" s="1718">
        <f t="shared" si="22"/>
        <v>18.203999999999994</v>
      </c>
      <c r="P88" s="2767">
        <f>K88+K89+L88+L89</f>
        <v>137.67599999999999</v>
      </c>
      <c r="Q88" s="1718">
        <f t="shared" si="23"/>
        <v>73.069999999999993</v>
      </c>
      <c r="R88" s="1715">
        <f t="shared" si="24"/>
        <v>79.989999999999995</v>
      </c>
      <c r="S88" s="1720">
        <f>Q88+R88</f>
        <v>153.06</v>
      </c>
      <c r="T88" s="1715">
        <f t="shared" si="25"/>
        <v>113.70399999999999</v>
      </c>
      <c r="U88" s="1717">
        <f t="shared" si="26"/>
        <v>39.356000000000009</v>
      </c>
      <c r="V88" s="1718">
        <f t="shared" si="27"/>
        <v>0.74287207630994379</v>
      </c>
      <c r="W88" s="2768">
        <f>Q88+Q89</f>
        <v>81.24199999999999</v>
      </c>
      <c r="X88" s="2767">
        <f>R88+R89</f>
        <v>79.989999999999995</v>
      </c>
      <c r="Y88" s="2767">
        <f>W88+X88</f>
        <v>161.23199999999997</v>
      </c>
      <c r="Z88" s="2773">
        <f>T88+T89</f>
        <v>129.75299999999999</v>
      </c>
      <c r="AA88" s="2767">
        <f>Y88-Z88</f>
        <v>31.478999999999985</v>
      </c>
      <c r="AB88" s="2584">
        <f>Z88/Y88</f>
        <v>0.8047596010717476</v>
      </c>
      <c r="AC88" s="1154"/>
      <c r="AD88" s="1180"/>
      <c r="AE88" s="1186"/>
      <c r="AF88" s="1181"/>
      <c r="AG88" s="1181"/>
      <c r="AH88" s="1181"/>
      <c r="AI88" s="1181"/>
      <c r="AJ88" s="1181"/>
      <c r="AK88" s="1181"/>
      <c r="AL88" s="1076"/>
      <c r="AM88" s="1076"/>
      <c r="AN88" s="1076"/>
      <c r="AO88" s="1076"/>
      <c r="AP88" s="863"/>
      <c r="AQ88" s="863"/>
      <c r="AR88" s="863"/>
      <c r="AS88" s="863"/>
      <c r="AT88" s="863"/>
      <c r="AU88" s="863"/>
      <c r="AV88" s="863"/>
      <c r="AW88" s="863"/>
      <c r="AX88" s="863"/>
      <c r="AY88" s="863"/>
      <c r="AZ88" s="863"/>
      <c r="BA88" s="1075"/>
      <c r="BK88" s="1075"/>
      <c r="BL88" s="1075"/>
      <c r="BM88" s="1075"/>
      <c r="BN88" s="1075"/>
      <c r="BO88" s="1075"/>
      <c r="BP88" s="1075"/>
      <c r="BQ88" s="1075"/>
      <c r="BR88" s="1075"/>
      <c r="BS88" s="1075"/>
      <c r="BT88" s="1075"/>
      <c r="BU88" s="1075"/>
      <c r="BV88" s="1075"/>
      <c r="BW88" s="1075"/>
      <c r="BX88" s="1075"/>
    </row>
    <row r="89" spans="1:76" ht="15" customHeight="1">
      <c r="A89" s="2754"/>
      <c r="B89" s="2758"/>
      <c r="C89" s="1182">
        <v>42278</v>
      </c>
      <c r="D89" s="1183">
        <v>42368</v>
      </c>
      <c r="E89" s="1184">
        <f>2.138+0.023+0.055+0.188</f>
        <v>2.4040000000000004</v>
      </c>
      <c r="F89" s="1543"/>
      <c r="G89" s="1170">
        <f>E89+F89+I88</f>
        <v>23.555999999999997</v>
      </c>
      <c r="H89" s="1543"/>
      <c r="I89" s="1170">
        <f t="shared" si="21"/>
        <v>23.555999999999997</v>
      </c>
      <c r="J89" s="2760"/>
      <c r="K89" s="1170">
        <f>5.131+0.056+0.131+0.45</f>
        <v>5.7680000000000007</v>
      </c>
      <c r="L89" s="1543"/>
      <c r="M89" s="1170">
        <f>K89+L89+O88</f>
        <v>23.971999999999994</v>
      </c>
      <c r="N89" s="1543">
        <v>16.048999999999999</v>
      </c>
      <c r="O89" s="1170">
        <f t="shared" si="22"/>
        <v>7.9229999999999947</v>
      </c>
      <c r="P89" s="2760"/>
      <c r="Q89" s="1170">
        <f t="shared" si="23"/>
        <v>8.1720000000000006</v>
      </c>
      <c r="R89" s="1543">
        <f t="shared" si="24"/>
        <v>0</v>
      </c>
      <c r="S89" s="1690">
        <f>Q89+R89+U88</f>
        <v>47.528000000000006</v>
      </c>
      <c r="T89" s="1543">
        <f t="shared" si="25"/>
        <v>16.048999999999999</v>
      </c>
      <c r="U89" s="1184">
        <f t="shared" si="26"/>
        <v>31.479000000000006</v>
      </c>
      <c r="V89" s="1170">
        <f t="shared" si="27"/>
        <v>0.33767463390001679</v>
      </c>
      <c r="W89" s="2762"/>
      <c r="X89" s="2760"/>
      <c r="Y89" s="2760"/>
      <c r="Z89" s="2774"/>
      <c r="AA89" s="2760"/>
      <c r="AB89" s="2572"/>
      <c r="AC89" s="1126"/>
      <c r="AD89" s="1180"/>
      <c r="AE89" s="1181"/>
      <c r="AF89" s="1181"/>
      <c r="AG89" s="1181"/>
      <c r="AH89" s="1181"/>
      <c r="AI89" s="1181"/>
      <c r="AJ89" s="1181"/>
      <c r="AK89" s="1181"/>
      <c r="AL89" s="1076"/>
      <c r="AM89" s="1076"/>
      <c r="AN89" s="1076"/>
      <c r="AO89" s="1076"/>
      <c r="AP89" s="863"/>
      <c r="AQ89" s="863"/>
      <c r="AR89" s="863"/>
      <c r="AS89" s="863"/>
      <c r="AT89" s="863"/>
      <c r="AU89" s="863"/>
      <c r="AV89" s="863"/>
      <c r="AW89" s="863"/>
      <c r="AX89" s="863"/>
      <c r="AY89" s="863"/>
      <c r="AZ89" s="863"/>
      <c r="BA89" s="1075"/>
      <c r="BK89" s="1075"/>
      <c r="BL89" s="1075"/>
      <c r="BM89" s="1075"/>
      <c r="BN89" s="1075"/>
      <c r="BO89" s="1075"/>
      <c r="BP89" s="1075"/>
      <c r="BQ89" s="1075"/>
      <c r="BR89" s="1075"/>
      <c r="BS89" s="1075"/>
      <c r="BT89" s="1075"/>
      <c r="BU89" s="1075"/>
      <c r="BV89" s="1075"/>
      <c r="BW89" s="1075"/>
      <c r="BX89" s="1075"/>
    </row>
    <row r="90" spans="1:76" ht="15" customHeight="1">
      <c r="A90" s="2754"/>
      <c r="B90" s="2766" t="s">
        <v>234</v>
      </c>
      <c r="C90" s="1428">
        <v>42064</v>
      </c>
      <c r="D90" s="1716">
        <v>42246</v>
      </c>
      <c r="E90" s="1717">
        <f>4.308+1.016</f>
        <v>5.3239999999999998</v>
      </c>
      <c r="F90" s="1715">
        <f>1.1025+1.0976+4.3850443</f>
        <v>6.5851442999999996</v>
      </c>
      <c r="G90" s="1718">
        <f>E90+F90</f>
        <v>11.909144299999999</v>
      </c>
      <c r="H90" s="1715"/>
      <c r="I90" s="1718">
        <f t="shared" si="21"/>
        <v>11.909144299999999</v>
      </c>
      <c r="J90" s="2767">
        <f>E90+E91+F90+F91</f>
        <v>12.515144299999999</v>
      </c>
      <c r="K90" s="1718">
        <f>10.574+2.495</f>
        <v>13.068999999999999</v>
      </c>
      <c r="L90" s="1715">
        <f>2.7+2.688+10.738884</f>
        <v>16.126884</v>
      </c>
      <c r="M90" s="1718">
        <f>K90+L90</f>
        <v>29.195884</v>
      </c>
      <c r="N90" s="1719">
        <v>20.687999999999999</v>
      </c>
      <c r="O90" s="1718">
        <f t="shared" si="22"/>
        <v>8.5078840000000007</v>
      </c>
      <c r="P90" s="2767">
        <f>K90+K91+L90+L91</f>
        <v>30.647883999999998</v>
      </c>
      <c r="Q90" s="1718">
        <f t="shared" si="23"/>
        <v>18.393000000000001</v>
      </c>
      <c r="R90" s="1715">
        <f t="shared" si="24"/>
        <v>22.7120283</v>
      </c>
      <c r="S90" s="1720">
        <f>Q90+R90</f>
        <v>41.105028300000001</v>
      </c>
      <c r="T90" s="1715">
        <f t="shared" si="25"/>
        <v>20.687999999999999</v>
      </c>
      <c r="U90" s="1717">
        <f t="shared" si="26"/>
        <v>20.417028300000002</v>
      </c>
      <c r="V90" s="1718">
        <f t="shared" si="27"/>
        <v>0.50329608944704218</v>
      </c>
      <c r="W90" s="2768">
        <f>Q90+Q91</f>
        <v>20.451000000000001</v>
      </c>
      <c r="X90" s="2767">
        <f>R90+R91</f>
        <v>22.7120283</v>
      </c>
      <c r="Y90" s="2767">
        <f>W90+X90</f>
        <v>43.163028300000001</v>
      </c>
      <c r="Z90" s="2767">
        <f>T90+T91</f>
        <v>37.736999999999995</v>
      </c>
      <c r="AA90" s="2767">
        <f>Y90-Z90</f>
        <v>5.4260283000000058</v>
      </c>
      <c r="AB90" s="2584">
        <f>Z90/Y90</f>
        <v>0.87428990704065113</v>
      </c>
      <c r="AC90" s="1154"/>
      <c r="AD90" s="1180"/>
      <c r="AE90" s="1181"/>
      <c r="AF90" s="1181"/>
      <c r="AG90" s="1181"/>
      <c r="AH90" s="1181"/>
      <c r="AI90" s="1181"/>
      <c r="AJ90" s="1181"/>
      <c r="AK90" s="1181"/>
      <c r="AL90" s="1076"/>
      <c r="AM90" s="1076"/>
      <c r="AN90" s="1076"/>
      <c r="AO90" s="1076"/>
      <c r="AP90" s="863"/>
      <c r="AQ90" s="863"/>
      <c r="AR90" s="863"/>
      <c r="AS90" s="863"/>
      <c r="AT90" s="863"/>
      <c r="AU90" s="863"/>
      <c r="AV90" s="863"/>
      <c r="AW90" s="863"/>
      <c r="AX90" s="863"/>
      <c r="AY90" s="863"/>
      <c r="AZ90" s="863"/>
      <c r="BA90" s="1075"/>
      <c r="BK90" s="1075"/>
      <c r="BL90" s="1075"/>
      <c r="BM90" s="1075"/>
      <c r="BN90" s="1075"/>
      <c r="BO90" s="1075"/>
      <c r="BP90" s="1075"/>
      <c r="BQ90" s="1075"/>
      <c r="BR90" s="1075"/>
      <c r="BS90" s="1075"/>
      <c r="BT90" s="1075"/>
      <c r="BU90" s="1075"/>
      <c r="BV90" s="1075"/>
      <c r="BW90" s="1075"/>
      <c r="BX90" s="1075"/>
    </row>
    <row r="91" spans="1:76">
      <c r="A91" s="2754"/>
      <c r="B91" s="2758"/>
      <c r="C91" s="1182">
        <v>42278</v>
      </c>
      <c r="D91" s="1183">
        <v>42368</v>
      </c>
      <c r="E91" s="1184">
        <f>0.49+0.116</f>
        <v>0.60599999999999998</v>
      </c>
      <c r="F91" s="1543"/>
      <c r="G91" s="1170">
        <f>E91+F91+I90</f>
        <v>12.515144299999999</v>
      </c>
      <c r="H91" s="1277">
        <v>10.039999999999999</v>
      </c>
      <c r="I91" s="1170">
        <f t="shared" si="21"/>
        <v>2.4751443000000002</v>
      </c>
      <c r="J91" s="2760"/>
      <c r="K91" s="1170">
        <f>1.175+0.277</f>
        <v>1.452</v>
      </c>
      <c r="L91" s="1543"/>
      <c r="M91" s="1170">
        <f>K91+L91+O90</f>
        <v>9.9598840000000006</v>
      </c>
      <c r="N91" s="1691">
        <v>7.0090000000000003</v>
      </c>
      <c r="O91" s="1170">
        <f t="shared" si="22"/>
        <v>2.9508840000000003</v>
      </c>
      <c r="P91" s="2760"/>
      <c r="Q91" s="1170">
        <f t="shared" si="23"/>
        <v>2.0579999999999998</v>
      </c>
      <c r="R91" s="1543">
        <f t="shared" si="24"/>
        <v>0</v>
      </c>
      <c r="S91" s="1185">
        <f>Q91+R91+U90</f>
        <v>22.475028300000002</v>
      </c>
      <c r="T91" s="1543">
        <f t="shared" si="25"/>
        <v>17.048999999999999</v>
      </c>
      <c r="U91" s="1184">
        <f t="shared" si="26"/>
        <v>5.4260283000000022</v>
      </c>
      <c r="V91" s="1170">
        <f t="shared" si="27"/>
        <v>0.75857524059268922</v>
      </c>
      <c r="W91" s="2762"/>
      <c r="X91" s="2760"/>
      <c r="Y91" s="2760"/>
      <c r="Z91" s="2760"/>
      <c r="AA91" s="2760"/>
      <c r="AB91" s="2572"/>
      <c r="AC91" s="1126"/>
      <c r="AD91" s="1180"/>
      <c r="AE91" s="1181"/>
      <c r="AF91" s="1181"/>
      <c r="AG91" s="1181"/>
      <c r="AH91" s="1181"/>
      <c r="AI91" s="1181"/>
      <c r="AJ91" s="1181"/>
      <c r="AK91" s="1181"/>
      <c r="AL91" s="1076"/>
      <c r="AM91" s="1076"/>
      <c r="AN91" s="1076"/>
      <c r="AO91" s="1076"/>
      <c r="AP91" s="863"/>
      <c r="AQ91" s="863"/>
      <c r="AR91" s="863"/>
      <c r="AS91" s="863"/>
      <c r="AT91" s="863"/>
      <c r="AU91" s="863"/>
      <c r="AV91" s="863"/>
      <c r="AW91" s="863"/>
      <c r="AX91" s="863"/>
      <c r="AY91" s="863"/>
      <c r="AZ91" s="863"/>
      <c r="BA91" s="1075"/>
      <c r="BK91" s="1075"/>
      <c r="BL91" s="1075"/>
      <c r="BM91" s="1075"/>
      <c r="BN91" s="1075"/>
      <c r="BO91" s="1075"/>
      <c r="BP91" s="1075"/>
      <c r="BQ91" s="1075"/>
      <c r="BR91" s="1075"/>
      <c r="BS91" s="1075"/>
      <c r="BT91" s="1075"/>
      <c r="BU91" s="1075"/>
      <c r="BV91" s="1075"/>
      <c r="BW91" s="1075"/>
      <c r="BX91" s="1075"/>
    </row>
    <row r="92" spans="1:76">
      <c r="A92" s="2754"/>
      <c r="B92" s="2775" t="s">
        <v>174</v>
      </c>
      <c r="C92" s="1428">
        <v>42064</v>
      </c>
      <c r="D92" s="1716">
        <v>42246</v>
      </c>
      <c r="E92" s="1717">
        <f>0.795+0.099</f>
        <v>0.89400000000000002</v>
      </c>
      <c r="F92" s="1715"/>
      <c r="G92" s="1718">
        <f>E92+F92</f>
        <v>0.89400000000000002</v>
      </c>
      <c r="H92" s="1715"/>
      <c r="I92" s="1718">
        <f t="shared" si="21"/>
        <v>0.89400000000000002</v>
      </c>
      <c r="J92" s="2767">
        <f>E92+E93+F92+F93</f>
        <v>0.995</v>
      </c>
      <c r="K92" s="1718">
        <f>1.951+0.243</f>
        <v>2.194</v>
      </c>
      <c r="L92" s="1715">
        <v>50</v>
      </c>
      <c r="M92" s="1718">
        <f>K92+L92</f>
        <v>52.194000000000003</v>
      </c>
      <c r="N92" s="1257">
        <v>52.847999999999999</v>
      </c>
      <c r="O92" s="1718">
        <f t="shared" si="22"/>
        <v>-0.65399999999999636</v>
      </c>
      <c r="P92" s="2767">
        <f>K92+K93+L92+L93</f>
        <v>52.438000000000002</v>
      </c>
      <c r="Q92" s="1718">
        <f t="shared" si="23"/>
        <v>3.0880000000000001</v>
      </c>
      <c r="R92" s="1715">
        <f t="shared" si="24"/>
        <v>50</v>
      </c>
      <c r="S92" s="1720">
        <f>Q92+R92</f>
        <v>53.088000000000001</v>
      </c>
      <c r="T92" s="1715">
        <f t="shared" si="25"/>
        <v>52.847999999999999</v>
      </c>
      <c r="U92" s="1717">
        <f t="shared" si="26"/>
        <v>0.24000000000000199</v>
      </c>
      <c r="V92" s="1718">
        <f t="shared" si="27"/>
        <v>0.99547920433996384</v>
      </c>
      <c r="W92" s="2768">
        <f>Q92+Q93</f>
        <v>3.4329999999999998</v>
      </c>
      <c r="X92" s="2767">
        <f>R92+R93</f>
        <v>50</v>
      </c>
      <c r="Y92" s="2767">
        <f>W92+X92</f>
        <v>53.433</v>
      </c>
      <c r="Z92" s="2767">
        <f>T92+T93</f>
        <v>52.847999999999999</v>
      </c>
      <c r="AA92" s="2767">
        <f>Y92-Z92</f>
        <v>0.58500000000000085</v>
      </c>
      <c r="AB92" s="2584">
        <f>Z92/Y92</f>
        <v>0.98905170961765199</v>
      </c>
      <c r="AC92" s="1154"/>
      <c r="AD92" s="1180"/>
      <c r="AE92" s="1186"/>
      <c r="AF92" s="1181"/>
      <c r="AG92" s="1181"/>
      <c r="AH92" s="1181"/>
      <c r="AI92" s="1181"/>
      <c r="AJ92" s="1181"/>
      <c r="AK92" s="1181"/>
      <c r="AL92" s="1076"/>
      <c r="AM92" s="1076"/>
      <c r="AN92" s="1076"/>
      <c r="AO92" s="1076"/>
      <c r="AP92" s="863"/>
      <c r="AQ92" s="863"/>
      <c r="AR92" s="863"/>
      <c r="AS92" s="863"/>
      <c r="AT92" s="863"/>
      <c r="AU92" s="863"/>
      <c r="AV92" s="863"/>
      <c r="AW92" s="863"/>
      <c r="AX92" s="863"/>
      <c r="AY92" s="863"/>
      <c r="AZ92" s="863"/>
      <c r="BA92" s="1075"/>
      <c r="BK92" s="1075"/>
      <c r="BL92" s="1075"/>
      <c r="BM92" s="1075"/>
      <c r="BN92" s="1075"/>
      <c r="BO92" s="1075"/>
      <c r="BP92" s="1075"/>
      <c r="BQ92" s="1075"/>
      <c r="BR92" s="1075"/>
      <c r="BS92" s="1075"/>
      <c r="BT92" s="1075"/>
      <c r="BU92" s="1075"/>
      <c r="BV92" s="1075"/>
      <c r="BW92" s="1075"/>
      <c r="BX92" s="1075"/>
    </row>
    <row r="93" spans="1:76">
      <c r="A93" s="2754"/>
      <c r="B93" s="2776"/>
      <c r="C93" s="1182">
        <v>42278</v>
      </c>
      <c r="D93" s="1183">
        <v>42368</v>
      </c>
      <c r="E93" s="1184">
        <f>0.09+0.011</f>
        <v>0.10099999999999999</v>
      </c>
      <c r="F93" s="1543"/>
      <c r="G93" s="1170">
        <f>E93+F93+I92</f>
        <v>0.995</v>
      </c>
      <c r="H93" s="1543"/>
      <c r="I93" s="1170">
        <f t="shared" si="21"/>
        <v>0.995</v>
      </c>
      <c r="J93" s="2760"/>
      <c r="K93" s="1170">
        <f>0.217+0.027</f>
        <v>0.24399999999999999</v>
      </c>
      <c r="L93" s="1543"/>
      <c r="M93" s="1170">
        <f>K93+L93+O92</f>
        <v>-0.40999999999999637</v>
      </c>
      <c r="N93" s="1692"/>
      <c r="O93" s="1170">
        <f t="shared" si="22"/>
        <v>-0.40999999999999637</v>
      </c>
      <c r="P93" s="2760"/>
      <c r="Q93" s="1170">
        <f t="shared" si="23"/>
        <v>0.34499999999999997</v>
      </c>
      <c r="R93" s="1543">
        <f t="shared" si="24"/>
        <v>0</v>
      </c>
      <c r="S93" s="1690">
        <f>Q93+R93+U92</f>
        <v>0.58500000000000196</v>
      </c>
      <c r="T93" s="1543">
        <f t="shared" si="25"/>
        <v>0</v>
      </c>
      <c r="U93" s="1693">
        <f t="shared" si="26"/>
        <v>0.58500000000000196</v>
      </c>
      <c r="V93" s="1694">
        <f t="shared" si="27"/>
        <v>0</v>
      </c>
      <c r="W93" s="2762"/>
      <c r="X93" s="2760"/>
      <c r="Y93" s="2760"/>
      <c r="Z93" s="2760"/>
      <c r="AA93" s="2760"/>
      <c r="AB93" s="2572"/>
      <c r="AC93" s="1154"/>
      <c r="AD93" s="1180"/>
      <c r="AE93" s="1076"/>
      <c r="AF93" s="1076"/>
      <c r="AG93" s="1076"/>
      <c r="AH93" s="1076"/>
      <c r="AI93" s="1076"/>
      <c r="AJ93" s="1076"/>
      <c r="AK93" s="1076"/>
      <c r="AL93" s="1076"/>
      <c r="AM93" s="1076"/>
      <c r="AN93" s="1076"/>
      <c r="AO93" s="1076"/>
      <c r="AP93" s="863"/>
      <c r="AQ93" s="863"/>
      <c r="AR93" s="863"/>
      <c r="AS93" s="863"/>
      <c r="AT93" s="863"/>
      <c r="AU93" s="863"/>
      <c r="AV93" s="863"/>
      <c r="AW93" s="863"/>
      <c r="AX93" s="863"/>
      <c r="AY93" s="863"/>
      <c r="AZ93" s="863"/>
      <c r="BA93" s="1075"/>
      <c r="BK93" s="1075"/>
      <c r="BL93" s="1075"/>
      <c r="BM93" s="1075"/>
      <c r="BN93" s="1075"/>
      <c r="BO93" s="1075"/>
      <c r="BP93" s="1075"/>
      <c r="BQ93" s="1075"/>
      <c r="BR93" s="1075"/>
      <c r="BS93" s="1075"/>
      <c r="BT93" s="1075"/>
      <c r="BU93" s="1075"/>
      <c r="BV93" s="1075"/>
      <c r="BW93" s="1075"/>
      <c r="BX93" s="1075"/>
    </row>
    <row r="94" spans="1:76">
      <c r="A94" s="2754"/>
      <c r="B94" s="2775" t="s">
        <v>636</v>
      </c>
      <c r="C94" s="1428">
        <v>42064</v>
      </c>
      <c r="D94" s="1716">
        <v>42246</v>
      </c>
      <c r="E94" s="1717">
        <f>3.938</f>
        <v>3.9380000000000002</v>
      </c>
      <c r="F94" s="1715">
        <f>-4.3850443</f>
        <v>-4.3850442999999997</v>
      </c>
      <c r="G94" s="1718">
        <f>E94+F94</f>
        <v>-0.44704429999999951</v>
      </c>
      <c r="H94" s="1715"/>
      <c r="I94" s="1718">
        <f t="shared" si="21"/>
        <v>-0.44704429999999951</v>
      </c>
      <c r="J94" s="2767">
        <f>E94+E95+F94+F95</f>
        <v>-4.4299999999886097E-5</v>
      </c>
      <c r="K94" s="1718">
        <f>9.665</f>
        <v>9.6649999999999991</v>
      </c>
      <c r="L94" s="1715">
        <f>-10.738884</f>
        <v>-10.738884000000001</v>
      </c>
      <c r="M94" s="1718">
        <f>K94+L94</f>
        <v>-1.0738840000000014</v>
      </c>
      <c r="N94" s="1715"/>
      <c r="O94" s="1718">
        <f t="shared" si="22"/>
        <v>-1.0738840000000014</v>
      </c>
      <c r="P94" s="2767">
        <f>K94+K95+L94+L95</f>
        <v>1.1599999999845068E-4</v>
      </c>
      <c r="Q94" s="1718">
        <f t="shared" si="23"/>
        <v>13.603</v>
      </c>
      <c r="R94" s="1715">
        <f t="shared" si="24"/>
        <v>-15.123928299999999</v>
      </c>
      <c r="S94" s="1720">
        <f>Q94+R94</f>
        <v>-1.5209282999999996</v>
      </c>
      <c r="T94" s="1715">
        <f t="shared" si="25"/>
        <v>0</v>
      </c>
      <c r="U94" s="1717">
        <f t="shared" si="26"/>
        <v>-1.5209282999999996</v>
      </c>
      <c r="V94" s="1718">
        <f t="shared" si="27"/>
        <v>0</v>
      </c>
      <c r="W94" s="2768">
        <f>Q94+Q95</f>
        <v>15.124000000000001</v>
      </c>
      <c r="X94" s="2767">
        <f>R94+R95</f>
        <v>-15.123928299999999</v>
      </c>
      <c r="Y94" s="2767">
        <f>W94+X94</f>
        <v>7.1700000001229114E-5</v>
      </c>
      <c r="Z94" s="2767">
        <f>T94+T95</f>
        <v>0</v>
      </c>
      <c r="AA94" s="2767">
        <f>Y94-Z94</f>
        <v>7.1700000001229114E-5</v>
      </c>
      <c r="AB94" s="2584">
        <f>Z94/Y94</f>
        <v>0</v>
      </c>
      <c r="AC94" s="1076"/>
      <c r="AD94" s="1180"/>
      <c r="AE94" s="1076"/>
      <c r="AF94" s="1076"/>
      <c r="AG94" s="1076"/>
      <c r="AH94" s="1076"/>
      <c r="AI94" s="1076"/>
      <c r="AJ94" s="1076"/>
      <c r="AK94" s="1076"/>
      <c r="AL94" s="1076"/>
      <c r="AM94" s="1076"/>
      <c r="AN94" s="1076"/>
      <c r="AO94" s="1076"/>
      <c r="AP94" s="863"/>
      <c r="AQ94" s="863"/>
      <c r="AR94" s="863"/>
      <c r="AS94" s="863"/>
      <c r="AT94" s="863"/>
      <c r="AU94" s="863"/>
      <c r="AV94" s="863"/>
      <c r="AW94" s="863"/>
      <c r="AX94" s="863"/>
      <c r="AY94" s="863"/>
      <c r="AZ94" s="863"/>
      <c r="BA94" s="1075"/>
      <c r="BK94" s="1075"/>
      <c r="BL94" s="1075"/>
      <c r="BM94" s="1075"/>
      <c r="BN94" s="1075"/>
      <c r="BO94" s="1075"/>
      <c r="BP94" s="1075"/>
      <c r="BQ94" s="1075"/>
      <c r="BR94" s="1075"/>
      <c r="BS94" s="1075"/>
      <c r="BT94" s="1075"/>
      <c r="BU94" s="1075"/>
      <c r="BV94" s="1075"/>
      <c r="BW94" s="1075"/>
      <c r="BX94" s="1075"/>
    </row>
    <row r="95" spans="1:76">
      <c r="A95" s="2754"/>
      <c r="B95" s="2776"/>
      <c r="C95" s="1187">
        <v>42278</v>
      </c>
      <c r="D95" s="1695">
        <v>42368</v>
      </c>
      <c r="E95" s="1693">
        <f>0.447</f>
        <v>0.44700000000000001</v>
      </c>
      <c r="F95" s="1692"/>
      <c r="G95" s="1694">
        <f>E95+F95+I94</f>
        <v>-4.4299999999497519E-5</v>
      </c>
      <c r="H95" s="1692"/>
      <c r="I95" s="1694">
        <f t="shared" si="21"/>
        <v>-4.4299999999497519E-5</v>
      </c>
      <c r="J95" s="2760"/>
      <c r="K95" s="1694">
        <f>1.074</f>
        <v>1.0740000000000001</v>
      </c>
      <c r="L95" s="1692"/>
      <c r="M95" s="1694">
        <f>K95+L95+O94</f>
        <v>1.1599999999867272E-4</v>
      </c>
      <c r="N95" s="1692"/>
      <c r="O95" s="1694">
        <f t="shared" si="22"/>
        <v>1.1599999999867272E-4</v>
      </c>
      <c r="P95" s="2760"/>
      <c r="Q95" s="1694">
        <f t="shared" si="23"/>
        <v>1.5210000000000001</v>
      </c>
      <c r="R95" s="1692">
        <f t="shared" si="24"/>
        <v>0</v>
      </c>
      <c r="S95" s="1690">
        <f>Q95+R95+U94</f>
        <v>7.170000000056298E-5</v>
      </c>
      <c r="T95" s="1692">
        <f t="shared" si="25"/>
        <v>0</v>
      </c>
      <c r="U95" s="1693">
        <f t="shared" si="26"/>
        <v>7.170000000056298E-5</v>
      </c>
      <c r="V95" s="1694">
        <f t="shared" si="27"/>
        <v>0</v>
      </c>
      <c r="W95" s="2762"/>
      <c r="X95" s="2760"/>
      <c r="Y95" s="2760"/>
      <c r="Z95" s="2760"/>
      <c r="AA95" s="2760"/>
      <c r="AB95" s="2572"/>
      <c r="AC95" s="1076"/>
      <c r="AD95" s="1180"/>
      <c r="AE95" s="1076"/>
      <c r="AF95" s="1076"/>
      <c r="AG95" s="1076"/>
      <c r="AH95" s="1076"/>
      <c r="AI95" s="1076"/>
      <c r="AJ95" s="1076"/>
      <c r="AK95" s="1076"/>
      <c r="AL95" s="1076"/>
      <c r="AM95" s="1076"/>
      <c r="AN95" s="1076"/>
      <c r="AO95" s="1076"/>
      <c r="AP95" s="863"/>
      <c r="AQ95" s="863"/>
      <c r="AR95" s="863"/>
      <c r="AS95" s="863"/>
      <c r="AT95" s="863"/>
      <c r="AU95" s="863"/>
      <c r="AV95" s="863"/>
      <c r="AW95" s="863"/>
      <c r="AX95" s="863"/>
      <c r="AY95" s="863"/>
      <c r="AZ95" s="863"/>
      <c r="BA95" s="1075"/>
      <c r="BK95" s="1075"/>
      <c r="BL95" s="1075"/>
      <c r="BM95" s="1075"/>
      <c r="BN95" s="1075"/>
      <c r="BO95" s="1075"/>
      <c r="BP95" s="1075"/>
      <c r="BQ95" s="1075"/>
      <c r="BR95" s="1075"/>
      <c r="BS95" s="1075"/>
      <c r="BT95" s="1075"/>
      <c r="BU95" s="1075"/>
      <c r="BV95" s="1075"/>
      <c r="BW95" s="1075"/>
      <c r="BX95" s="1075"/>
    </row>
    <row r="96" spans="1:76">
      <c r="A96" s="2754"/>
      <c r="B96" s="2763" t="s">
        <v>210</v>
      </c>
      <c r="C96" s="1428">
        <v>41640</v>
      </c>
      <c r="D96" s="1429">
        <v>42216</v>
      </c>
      <c r="E96" s="1184">
        <v>9.7000000000000003E-2</v>
      </c>
      <c r="F96" s="1543"/>
      <c r="G96" s="1170">
        <f>E96+F96</f>
        <v>9.7000000000000003E-2</v>
      </c>
      <c r="H96" s="1543"/>
      <c r="I96" s="1170">
        <f t="shared" si="21"/>
        <v>9.7000000000000003E-2</v>
      </c>
      <c r="J96" s="2764">
        <f>E96+E97+F96+F97</f>
        <v>0.108</v>
      </c>
      <c r="K96" s="1170">
        <v>0.23799999999999999</v>
      </c>
      <c r="L96" s="1543"/>
      <c r="M96" s="1170">
        <f>K96+L96</f>
        <v>0.23799999999999999</v>
      </c>
      <c r="N96" s="1543"/>
      <c r="O96" s="1170">
        <f t="shared" si="22"/>
        <v>0.23799999999999999</v>
      </c>
      <c r="P96" s="2764">
        <f>K96+K97+L96+L97</f>
        <v>0.26400000000000001</v>
      </c>
      <c r="Q96" s="1170">
        <f t="shared" si="23"/>
        <v>0.33499999999999996</v>
      </c>
      <c r="R96" s="1715">
        <f t="shared" si="24"/>
        <v>0</v>
      </c>
      <c r="S96" s="1185">
        <f>Q96+R96</f>
        <v>0.33499999999999996</v>
      </c>
      <c r="T96" s="1543">
        <f t="shared" si="25"/>
        <v>0</v>
      </c>
      <c r="U96" s="1184">
        <f t="shared" si="26"/>
        <v>0.33499999999999996</v>
      </c>
      <c r="V96" s="1170">
        <f t="shared" si="27"/>
        <v>0</v>
      </c>
      <c r="W96" s="2765">
        <f>Q96+Q97</f>
        <v>0.37199999999999994</v>
      </c>
      <c r="X96" s="2764">
        <f>R96+R97</f>
        <v>0</v>
      </c>
      <c r="Y96" s="2764">
        <f>W96+X96</f>
        <v>0.37199999999999994</v>
      </c>
      <c r="Z96" s="2764">
        <f>T96+T97</f>
        <v>0</v>
      </c>
      <c r="AA96" s="2764">
        <f>Y96-Z96</f>
        <v>0.37199999999999994</v>
      </c>
      <c r="AB96" s="2584">
        <f>Z96/Y96</f>
        <v>0</v>
      </c>
      <c r="AC96" s="1154"/>
      <c r="AD96" s="1180"/>
      <c r="AE96" s="1076"/>
      <c r="AF96" s="1076"/>
      <c r="AG96" s="1076"/>
      <c r="AH96" s="1076"/>
      <c r="AI96" s="1076"/>
      <c r="AJ96" s="1076"/>
      <c r="AK96" s="1076"/>
      <c r="AL96" s="1076"/>
      <c r="AM96" s="1076"/>
      <c r="AN96" s="1076"/>
      <c r="AO96" s="1076"/>
      <c r="AP96" s="863"/>
      <c r="AQ96" s="863"/>
      <c r="AR96" s="863"/>
      <c r="AS96" s="863"/>
      <c r="AT96" s="863"/>
      <c r="AU96" s="863"/>
      <c r="AV96" s="863"/>
      <c r="AW96" s="863"/>
      <c r="AX96" s="863"/>
      <c r="AY96" s="863"/>
      <c r="AZ96" s="863"/>
      <c r="BA96" s="1075"/>
      <c r="BK96" s="1075"/>
      <c r="BL96" s="1075"/>
      <c r="BM96" s="1075"/>
      <c r="BN96" s="1075"/>
      <c r="BO96" s="1075"/>
      <c r="BP96" s="1075"/>
      <c r="BQ96" s="1075"/>
      <c r="BR96" s="1075"/>
      <c r="BS96" s="1075"/>
      <c r="BT96" s="1075"/>
      <c r="BU96" s="1075"/>
      <c r="BV96" s="1075"/>
      <c r="BW96" s="1075"/>
      <c r="BX96" s="1075"/>
    </row>
    <row r="97" spans="1:76">
      <c r="A97" s="2754"/>
      <c r="B97" s="2763"/>
      <c r="C97" s="1182">
        <v>42278</v>
      </c>
      <c r="D97" s="1188">
        <v>42369</v>
      </c>
      <c r="E97" s="1184">
        <v>1.0999999999999999E-2</v>
      </c>
      <c r="F97" s="1543"/>
      <c r="G97" s="1170">
        <f>E97+F97+I96</f>
        <v>0.108</v>
      </c>
      <c r="H97" s="1543"/>
      <c r="I97" s="1170">
        <f t="shared" si="21"/>
        <v>0.108</v>
      </c>
      <c r="J97" s="2764"/>
      <c r="K97" s="1170">
        <v>2.5999999999999999E-2</v>
      </c>
      <c r="L97" s="1543"/>
      <c r="M97" s="1170">
        <f>K97+L97+O96</f>
        <v>0.26400000000000001</v>
      </c>
      <c r="N97" s="1543"/>
      <c r="O97" s="1170">
        <f t="shared" si="22"/>
        <v>0.26400000000000001</v>
      </c>
      <c r="P97" s="2764"/>
      <c r="Q97" s="1170">
        <f t="shared" si="23"/>
        <v>3.6999999999999998E-2</v>
      </c>
      <c r="R97" s="1543">
        <f t="shared" si="24"/>
        <v>0</v>
      </c>
      <c r="S97" s="1185">
        <f>Q97+R97+U96</f>
        <v>0.37199999999999994</v>
      </c>
      <c r="T97" s="1543">
        <f t="shared" si="25"/>
        <v>0</v>
      </c>
      <c r="U97" s="1184">
        <f t="shared" si="26"/>
        <v>0.37199999999999994</v>
      </c>
      <c r="V97" s="1170">
        <f t="shared" si="27"/>
        <v>0</v>
      </c>
      <c r="W97" s="2765"/>
      <c r="X97" s="2764"/>
      <c r="Y97" s="2764"/>
      <c r="Z97" s="2764"/>
      <c r="AA97" s="2764"/>
      <c r="AB97" s="2572"/>
      <c r="AC97" s="1076"/>
      <c r="AD97" s="1180"/>
      <c r="AE97" s="1076"/>
      <c r="AF97" s="1076"/>
      <c r="AG97" s="1076"/>
      <c r="AH97" s="1076"/>
      <c r="AI97" s="1076"/>
      <c r="AJ97" s="1076"/>
      <c r="AK97" s="1076"/>
      <c r="AL97" s="1076"/>
      <c r="AM97" s="1076"/>
      <c r="AN97" s="1076"/>
      <c r="AO97" s="1076"/>
      <c r="AP97" s="863"/>
      <c r="AQ97" s="863"/>
      <c r="AR97" s="863"/>
      <c r="AS97" s="863"/>
      <c r="AT97" s="863"/>
      <c r="AU97" s="863"/>
      <c r="AV97" s="863"/>
      <c r="AW97" s="863"/>
      <c r="AX97" s="863"/>
      <c r="AY97" s="863"/>
      <c r="AZ97" s="863"/>
      <c r="BK97" s="1075"/>
      <c r="BL97" s="1075"/>
      <c r="BM97" s="1075"/>
      <c r="BN97" s="1075"/>
      <c r="BO97" s="1075"/>
      <c r="BP97" s="1075"/>
      <c r="BQ97" s="1075"/>
      <c r="BR97" s="1075"/>
      <c r="BS97" s="1075"/>
      <c r="BT97" s="1075"/>
      <c r="BU97" s="1075"/>
      <c r="BV97" s="1075"/>
      <c r="BW97" s="1075"/>
      <c r="BX97" s="1075"/>
    </row>
    <row r="98" spans="1:76" s="863" customFormat="1">
      <c r="A98" s="2755"/>
      <c r="B98" s="2769" t="s">
        <v>634</v>
      </c>
      <c r="C98" s="1428">
        <v>41640</v>
      </c>
      <c r="D98" s="1716">
        <v>42216</v>
      </c>
      <c r="E98" s="1717">
        <f>0.99+0.99</f>
        <v>1.98</v>
      </c>
      <c r="F98" s="1715">
        <f>-1.1025-1.0976</f>
        <v>-2.2000999999999999</v>
      </c>
      <c r="G98" s="1718">
        <f>E98+F98</f>
        <v>-0.22009999999999996</v>
      </c>
      <c r="H98" s="1715"/>
      <c r="I98" s="1718">
        <f t="shared" si="21"/>
        <v>-0.22009999999999996</v>
      </c>
      <c r="J98" s="2767">
        <f>E98+E99+F98+F99</f>
        <v>5.9000000000000163E-3</v>
      </c>
      <c r="K98" s="1718">
        <f>2.43+2.43</f>
        <v>4.8600000000000003</v>
      </c>
      <c r="L98" s="1715">
        <f>-2.7-2.688</f>
        <v>-5.3879999999999999</v>
      </c>
      <c r="M98" s="1718">
        <f>K98+L98</f>
        <v>-0.52799999999999958</v>
      </c>
      <c r="N98" s="1715"/>
      <c r="O98" s="1718">
        <f t="shared" si="22"/>
        <v>-0.52799999999999958</v>
      </c>
      <c r="P98" s="2767">
        <f>K98+K99+L98+L99</f>
        <v>1.2000000000000455E-2</v>
      </c>
      <c r="Q98" s="1718">
        <f t="shared" si="23"/>
        <v>6.84</v>
      </c>
      <c r="R98" s="1715">
        <f t="shared" si="24"/>
        <v>-7.5880999999999998</v>
      </c>
      <c r="S98" s="1720">
        <f>Q98+R98</f>
        <v>-0.74809999999999999</v>
      </c>
      <c r="T98" s="1715">
        <f t="shared" si="25"/>
        <v>0</v>
      </c>
      <c r="U98" s="1717">
        <f t="shared" si="26"/>
        <v>-0.74809999999999999</v>
      </c>
      <c r="V98" s="1718">
        <f t="shared" si="27"/>
        <v>0</v>
      </c>
      <c r="W98" s="2768">
        <f>Q98+Q99</f>
        <v>7.6059999999999999</v>
      </c>
      <c r="X98" s="2767">
        <f>R98+R99</f>
        <v>-7.5880999999999998</v>
      </c>
      <c r="Y98" s="2767">
        <f>W98+X98</f>
        <v>1.7900000000000027E-2</v>
      </c>
      <c r="Z98" s="2767">
        <f>T98+T99</f>
        <v>0</v>
      </c>
      <c r="AA98" s="2767">
        <f>Y98-Z98</f>
        <v>1.7900000000000027E-2</v>
      </c>
      <c r="AB98" s="2584">
        <f>Z98/Y98</f>
        <v>0</v>
      </c>
      <c r="AC98" s="1154"/>
      <c r="AD98" s="1180"/>
      <c r="AE98" s="1076"/>
      <c r="AF98" s="1076"/>
      <c r="AG98" s="1076"/>
      <c r="AH98" s="1076"/>
      <c r="AI98" s="1076"/>
      <c r="AJ98" s="1076"/>
      <c r="AK98" s="1076"/>
      <c r="AL98" s="1076"/>
      <c r="AM98" s="1076"/>
      <c r="AN98" s="1076"/>
      <c r="AO98" s="1076"/>
      <c r="BA98" s="1076"/>
    </row>
    <row r="99" spans="1:76" s="863" customFormat="1" ht="15.75" thickBot="1">
      <c r="A99" s="2756"/>
      <c r="B99" s="2770"/>
      <c r="C99" s="1189">
        <v>42278</v>
      </c>
      <c r="D99" s="1696">
        <v>42369</v>
      </c>
      <c r="E99" s="1697">
        <f>0.113+0.113</f>
        <v>0.22600000000000001</v>
      </c>
      <c r="F99" s="1546"/>
      <c r="G99" s="1674">
        <f>E99+F99+I98</f>
        <v>5.9000000000000441E-3</v>
      </c>
      <c r="H99" s="1546"/>
      <c r="I99" s="1674">
        <f t="shared" si="21"/>
        <v>5.9000000000000441E-3</v>
      </c>
      <c r="J99" s="2771"/>
      <c r="K99" s="1674">
        <f>0.27+0.27</f>
        <v>0.54</v>
      </c>
      <c r="L99" s="1546"/>
      <c r="M99" s="1674">
        <f>K99+L99+O98</f>
        <v>1.2000000000000455E-2</v>
      </c>
      <c r="N99" s="1546"/>
      <c r="O99" s="1674">
        <f t="shared" si="22"/>
        <v>1.2000000000000455E-2</v>
      </c>
      <c r="P99" s="2771"/>
      <c r="Q99" s="1674">
        <f t="shared" si="23"/>
        <v>0.76600000000000001</v>
      </c>
      <c r="R99" s="1546">
        <f t="shared" si="24"/>
        <v>0</v>
      </c>
      <c r="S99" s="1698">
        <f>Q99+R99+U98</f>
        <v>1.7900000000000027E-2</v>
      </c>
      <c r="T99" s="1546">
        <f t="shared" si="25"/>
        <v>0</v>
      </c>
      <c r="U99" s="1697">
        <f t="shared" si="26"/>
        <v>1.7900000000000027E-2</v>
      </c>
      <c r="V99" s="1674">
        <f t="shared" si="27"/>
        <v>0</v>
      </c>
      <c r="W99" s="2772"/>
      <c r="X99" s="2771"/>
      <c r="Y99" s="2771"/>
      <c r="Z99" s="2771"/>
      <c r="AA99" s="2771"/>
      <c r="AB99" s="2595"/>
      <c r="AC99" s="1076"/>
      <c r="AD99" s="1180"/>
      <c r="AE99" s="1076"/>
      <c r="AF99" s="1076"/>
      <c r="AG99" s="1076"/>
      <c r="AH99" s="1076"/>
      <c r="AI99" s="1076"/>
      <c r="AJ99" s="1076"/>
      <c r="AK99" s="1076"/>
      <c r="AL99" s="1076"/>
      <c r="AM99" s="1076"/>
      <c r="AN99" s="1076"/>
      <c r="AO99" s="1076"/>
      <c r="BA99" s="1076"/>
    </row>
    <row r="100" spans="1:76" s="863" customFormat="1" ht="15.75" thickBot="1">
      <c r="H100" s="1430">
        <f>+H86+H88+H90+H92+H94+H98+H96</f>
        <v>0</v>
      </c>
      <c r="I100" s="959"/>
      <c r="J100" s="959"/>
      <c r="K100" s="959"/>
      <c r="L100" s="959"/>
      <c r="M100" s="959"/>
      <c r="N100" s="1430">
        <f>+N86+N88+N90+N92+N94+N98+N96</f>
        <v>214.26599999999996</v>
      </c>
      <c r="O100" s="959"/>
      <c r="P100" s="959"/>
      <c r="Q100" s="959"/>
      <c r="R100" s="959"/>
      <c r="S100" s="959"/>
      <c r="T100" s="1430">
        <f>+T86+T88+T90+T92+T94+T98+T96</f>
        <v>214.26599999999996</v>
      </c>
      <c r="U100" s="959"/>
      <c r="V100" s="959"/>
      <c r="W100" s="1190">
        <f>SUM(W86:W99)</f>
        <v>169.00199999999998</v>
      </c>
      <c r="X100" s="1191">
        <f>SUM(X86:X99)</f>
        <v>129.99</v>
      </c>
      <c r="Y100" s="1191">
        <f>SUM(Y86:Y99)</f>
        <v>298.99199999999996</v>
      </c>
      <c r="Z100" s="1191">
        <f>SUM(Z86:Z99)</f>
        <v>256.63</v>
      </c>
      <c r="AA100" s="1192">
        <f>SUM(AA86:AA99)</f>
        <v>42.361999999999988</v>
      </c>
      <c r="AB100" s="1193">
        <f>Z100/Y100</f>
        <v>0.8583172793920909</v>
      </c>
      <c r="AC100" s="1076"/>
      <c r="AD100" s="1076"/>
      <c r="AE100" s="1076"/>
      <c r="AF100" s="1076"/>
      <c r="AG100" s="1076"/>
      <c r="AH100" s="1076"/>
      <c r="AI100" s="1076"/>
      <c r="AJ100" s="1076"/>
      <c r="AK100" s="1076"/>
      <c r="AL100" s="1076"/>
      <c r="AM100" s="1076"/>
      <c r="AN100" s="1076"/>
      <c r="AO100" s="1076"/>
      <c r="BA100" s="1076"/>
    </row>
    <row r="101" spans="1:76" s="863" customFormat="1">
      <c r="H101" s="1431">
        <f>+H87+H89+H91+H93+H95+H99+H97</f>
        <v>19.305999999999997</v>
      </c>
      <c r="N101" s="1431">
        <f>+N87+N89+N91+N93+N95+N99+N97</f>
        <v>23.058</v>
      </c>
      <c r="T101" s="1431">
        <f>+T87+T89+T91+T93+T95+T99+T97</f>
        <v>42.363999999999997</v>
      </c>
      <c r="AC101" s="1076"/>
      <c r="AD101" s="1076"/>
      <c r="AE101" s="1076"/>
      <c r="AF101" s="1076"/>
      <c r="AG101" s="1076"/>
      <c r="AH101" s="1076"/>
      <c r="BA101" s="1076"/>
    </row>
    <row r="102" spans="1:76" s="863" customFormat="1">
      <c r="N102" s="959"/>
      <c r="T102" s="959"/>
      <c r="Y102" s="1134">
        <f>+W100+X100</f>
        <v>298.99199999999996</v>
      </c>
      <c r="AC102" s="1076"/>
      <c r="AD102" s="1076"/>
      <c r="AE102" s="1076"/>
      <c r="BA102" s="1076"/>
    </row>
    <row r="103" spans="1:76" s="863" customFormat="1" ht="20.100000000000001" customHeight="1">
      <c r="K103" s="863">
        <f>+(N82+N83)/(K82+L82)</f>
        <v>0.99335518980095228</v>
      </c>
      <c r="BA103" s="1076"/>
    </row>
    <row r="104" spans="1:76" s="863" customFormat="1" ht="20.100000000000001" customHeight="1">
      <c r="K104" s="1134">
        <f>+K82+L82</f>
        <v>1785.3029995799998</v>
      </c>
      <c r="L104" s="863" t="s">
        <v>759</v>
      </c>
      <c r="X104" s="1072"/>
      <c r="AD104" s="1072"/>
      <c r="AI104" s="1072"/>
      <c r="AT104" s="1076"/>
    </row>
    <row r="105" spans="1:76" s="863" customFormat="1" ht="20.100000000000001" customHeight="1">
      <c r="K105" s="1134">
        <f>+N82+N83</f>
        <v>1773.44</v>
      </c>
      <c r="X105" s="1072"/>
      <c r="AD105" s="1072"/>
      <c r="AT105" s="1076"/>
    </row>
    <row r="106" spans="1:76" s="863" customFormat="1" ht="20.100000000000001" customHeight="1">
      <c r="K106" s="1134">
        <f>+K104-K105</f>
        <v>11.862999579999723</v>
      </c>
      <c r="AT106" s="1076"/>
    </row>
    <row r="107" spans="1:76" s="863" customFormat="1" ht="20.100000000000001" customHeight="1">
      <c r="AC107" s="1072"/>
      <c r="AI107" s="1072"/>
      <c r="AT107" s="1076"/>
    </row>
    <row r="108" spans="1:76" s="863" customFormat="1" ht="20.100000000000001" customHeight="1">
      <c r="AC108" s="1072"/>
      <c r="AI108" s="1072"/>
      <c r="AT108" s="1076"/>
    </row>
    <row r="109" spans="1:76" s="863" customFormat="1">
      <c r="AC109" s="1072"/>
      <c r="AI109" s="1072"/>
      <c r="AT109" s="1076"/>
    </row>
    <row r="110" spans="1:76" s="863" customFormat="1">
      <c r="AC110" s="1072"/>
      <c r="AI110" s="1072"/>
      <c r="AT110" s="1076"/>
    </row>
    <row r="111" spans="1:76" s="863" customFormat="1">
      <c r="AC111" s="1072"/>
      <c r="AI111" s="1072"/>
      <c r="AT111" s="1076"/>
    </row>
    <row r="112" spans="1:76" s="863" customFormat="1">
      <c r="AC112" s="1072"/>
      <c r="AI112" s="1072"/>
      <c r="AT112" s="1076"/>
    </row>
    <row r="113" spans="11:53" s="863" customFormat="1">
      <c r="AC113" s="1072"/>
      <c r="AI113" s="1072"/>
      <c r="AT113" s="1076"/>
    </row>
    <row r="114" spans="11:53" s="863" customFormat="1">
      <c r="AC114" s="1072"/>
      <c r="AI114" s="1072"/>
      <c r="AT114" s="1076"/>
    </row>
    <row r="115" spans="11:53" s="863" customFormat="1">
      <c r="K115" s="863">
        <v>-28.995999999999999</v>
      </c>
      <c r="M115" s="863">
        <v>60</v>
      </c>
      <c r="AC115" s="1072"/>
      <c r="AI115" s="1072"/>
      <c r="AT115" s="1076"/>
    </row>
    <row r="116" spans="11:53" s="863" customFormat="1">
      <c r="K116" s="863">
        <v>-31.57</v>
      </c>
      <c r="M116" s="863">
        <v>179.7</v>
      </c>
      <c r="AC116" s="1072"/>
      <c r="AI116" s="1072"/>
      <c r="AT116" s="1076"/>
    </row>
    <row r="117" spans="11:53" s="863" customFormat="1">
      <c r="K117" s="863">
        <v>33.58</v>
      </c>
      <c r="M117" s="863">
        <v>153.19999999999999</v>
      </c>
      <c r="AC117" s="1072"/>
      <c r="AI117" s="1072"/>
      <c r="AT117" s="1076"/>
    </row>
    <row r="118" spans="11:53" s="863" customFormat="1">
      <c r="K118" s="863">
        <v>101.066</v>
      </c>
      <c r="M118" s="863">
        <v>50</v>
      </c>
      <c r="AC118" s="1072"/>
      <c r="AI118" s="1072"/>
      <c r="AT118" s="1076"/>
    </row>
    <row r="119" spans="11:53" s="863" customFormat="1">
      <c r="K119" s="863">
        <v>-7.7279999999999998</v>
      </c>
      <c r="M119" s="863">
        <v>4.5</v>
      </c>
      <c r="T119" s="1072"/>
      <c r="AJ119" s="1072"/>
      <c r="BA119" s="1076"/>
    </row>
    <row r="120" spans="11:53" s="863" customFormat="1">
      <c r="K120" s="863">
        <v>-3.5009999999999999</v>
      </c>
      <c r="M120" s="863">
        <f>SUM(M115:M119)</f>
        <v>447.4</v>
      </c>
      <c r="T120" s="1072"/>
      <c r="AJ120" s="1072"/>
      <c r="BA120" s="1076"/>
    </row>
    <row r="121" spans="11:53" s="863" customFormat="1">
      <c r="K121" s="863">
        <v>10.397</v>
      </c>
      <c r="T121" s="1072"/>
      <c r="AJ121" s="1072"/>
      <c r="BA121" s="1076"/>
    </row>
    <row r="122" spans="11:53" s="863" customFormat="1">
      <c r="K122" s="863">
        <v>6.3259999999999996</v>
      </c>
      <c r="T122" s="1072"/>
      <c r="AJ122" s="1072"/>
      <c r="BA122" s="1076"/>
    </row>
    <row r="123" spans="11:53" s="863" customFormat="1">
      <c r="K123" s="863">
        <v>-28.55</v>
      </c>
      <c r="T123" s="1072"/>
      <c r="AJ123" s="1072"/>
      <c r="BA123" s="1076"/>
    </row>
    <row r="124" spans="11:53" s="863" customFormat="1">
      <c r="K124" s="863">
        <v>-78.052000000000007</v>
      </c>
      <c r="T124" s="1072"/>
      <c r="AJ124" s="1072"/>
      <c r="BA124" s="1076"/>
    </row>
    <row r="125" spans="11:53" s="863" customFormat="1">
      <c r="K125" s="863">
        <f>SUM(K115:K124)</f>
        <v>-27.028000000000006</v>
      </c>
      <c r="T125" s="1072"/>
      <c r="AJ125" s="1072"/>
      <c r="BA125" s="1076"/>
    </row>
    <row r="126" spans="11:53" s="863" customFormat="1">
      <c r="T126" s="1072"/>
      <c r="AJ126" s="1072"/>
      <c r="BA126" s="1076"/>
    </row>
    <row r="127" spans="11:53" s="863" customFormat="1">
      <c r="T127" s="1072"/>
      <c r="AJ127" s="1072"/>
      <c r="BA127" s="1076"/>
    </row>
    <row r="128" spans="11:53" s="863" customFormat="1">
      <c r="T128" s="1072"/>
      <c r="AJ128" s="1072"/>
      <c r="BA128" s="1076"/>
    </row>
    <row r="129" spans="20:53" s="863" customFormat="1">
      <c r="T129" s="1072"/>
      <c r="AJ129" s="1072"/>
      <c r="BA129" s="1076"/>
    </row>
    <row r="130" spans="20:53" s="863" customFormat="1">
      <c r="T130" s="1072"/>
      <c r="AJ130" s="1072"/>
      <c r="BA130" s="1076"/>
    </row>
    <row r="131" spans="20:53" s="863" customFormat="1">
      <c r="T131" s="1072"/>
      <c r="AJ131" s="1072"/>
      <c r="BA131" s="1076"/>
    </row>
    <row r="132" spans="20:53" s="863" customFormat="1">
      <c r="T132" s="1072"/>
      <c r="AJ132" s="1072"/>
      <c r="BA132" s="1076"/>
    </row>
    <row r="133" spans="20:53" s="863" customFormat="1">
      <c r="T133" s="1072"/>
      <c r="AJ133" s="1072"/>
      <c r="BA133" s="1076"/>
    </row>
    <row r="134" spans="20:53" s="863" customFormat="1">
      <c r="T134" s="1072"/>
      <c r="AJ134" s="1072"/>
      <c r="BA134" s="1076"/>
    </row>
    <row r="135" spans="20:53" s="863" customFormat="1">
      <c r="T135" s="1072"/>
      <c r="AJ135" s="1072"/>
      <c r="BA135" s="1076"/>
    </row>
    <row r="136" spans="20:53" s="863" customFormat="1">
      <c r="T136" s="1072"/>
      <c r="AJ136" s="1072"/>
      <c r="BA136" s="1076"/>
    </row>
    <row r="137" spans="20:53" s="863" customFormat="1">
      <c r="T137" s="1072"/>
      <c r="AJ137" s="1072"/>
      <c r="BA137" s="1076"/>
    </row>
    <row r="138" spans="20:53" s="863" customFormat="1">
      <c r="T138" s="1072"/>
      <c r="AJ138" s="1072"/>
      <c r="BA138" s="1076"/>
    </row>
    <row r="139" spans="20:53" s="863" customFormat="1">
      <c r="T139" s="1072"/>
      <c r="AJ139" s="1072"/>
      <c r="BA139" s="1076"/>
    </row>
    <row r="140" spans="20:53" s="863" customFormat="1">
      <c r="T140" s="1072"/>
      <c r="AJ140" s="1072"/>
      <c r="BA140" s="1076"/>
    </row>
    <row r="141" spans="20:53" s="863" customFormat="1">
      <c r="T141" s="1072"/>
      <c r="AJ141" s="1072"/>
      <c r="BA141" s="1076"/>
    </row>
    <row r="142" spans="20:53" s="863" customFormat="1">
      <c r="T142" s="1072"/>
      <c r="AJ142" s="1072"/>
      <c r="BA142" s="1076"/>
    </row>
    <row r="143" spans="20:53" s="863" customFormat="1">
      <c r="T143" s="1072"/>
      <c r="AJ143" s="1072"/>
      <c r="BA143" s="1076"/>
    </row>
    <row r="144" spans="20:53" s="863" customFormat="1">
      <c r="T144" s="1072"/>
      <c r="AJ144" s="1072"/>
      <c r="BA144" s="1076"/>
    </row>
    <row r="145" spans="20:53" s="863" customFormat="1">
      <c r="T145" s="1072"/>
      <c r="AJ145" s="1072"/>
      <c r="BA145" s="1076"/>
    </row>
    <row r="146" spans="20:53" s="863" customFormat="1">
      <c r="T146" s="1072"/>
      <c r="AJ146" s="1072"/>
      <c r="BA146" s="1076"/>
    </row>
    <row r="147" spans="20:53" s="863" customFormat="1">
      <c r="T147" s="1072"/>
      <c r="AJ147" s="1072"/>
      <c r="BA147" s="1076"/>
    </row>
    <row r="148" spans="20:53" s="863" customFormat="1">
      <c r="T148" s="1072"/>
      <c r="AJ148" s="1072"/>
      <c r="BA148" s="1076"/>
    </row>
    <row r="149" spans="20:53" s="863" customFormat="1">
      <c r="T149" s="1072"/>
      <c r="AJ149" s="1072"/>
      <c r="BA149" s="1076"/>
    </row>
    <row r="150" spans="20:53" s="863" customFormat="1">
      <c r="T150" s="1072"/>
      <c r="AJ150" s="1072"/>
      <c r="BA150" s="1076"/>
    </row>
    <row r="151" spans="20:53" s="863" customFormat="1">
      <c r="T151" s="1072"/>
      <c r="AJ151" s="1072"/>
      <c r="BA151" s="1076"/>
    </row>
    <row r="152" spans="20:53" s="863" customFormat="1">
      <c r="T152" s="1072"/>
      <c r="AJ152" s="1072"/>
      <c r="BA152" s="1076"/>
    </row>
    <row r="153" spans="20:53" s="863" customFormat="1">
      <c r="T153" s="1072"/>
      <c r="AJ153" s="1072"/>
      <c r="BA153" s="1076"/>
    </row>
    <row r="154" spans="20:53" s="863" customFormat="1">
      <c r="T154" s="1072"/>
      <c r="AJ154" s="1072"/>
      <c r="BA154" s="1076"/>
    </row>
    <row r="155" spans="20:53" s="863" customFormat="1">
      <c r="T155" s="1072"/>
      <c r="AJ155" s="1072"/>
      <c r="BA155" s="1076"/>
    </row>
    <row r="156" spans="20:53" s="863" customFormat="1">
      <c r="T156" s="1072"/>
      <c r="AJ156" s="1072"/>
      <c r="BA156" s="1076"/>
    </row>
    <row r="157" spans="20:53" s="863" customFormat="1">
      <c r="T157" s="1072"/>
      <c r="AJ157" s="1072"/>
      <c r="BA157" s="1076"/>
    </row>
    <row r="158" spans="20:53" s="863" customFormat="1">
      <c r="T158" s="1072"/>
      <c r="AJ158" s="1072"/>
      <c r="BA158" s="1076"/>
    </row>
    <row r="159" spans="20:53" s="863" customFormat="1">
      <c r="T159" s="1072"/>
      <c r="AJ159" s="1072"/>
      <c r="BA159" s="1076"/>
    </row>
    <row r="160" spans="20:53" s="863" customFormat="1">
      <c r="T160" s="1072"/>
      <c r="AJ160" s="1072"/>
      <c r="BA160" s="1076"/>
    </row>
    <row r="161" spans="20:53" s="863" customFormat="1">
      <c r="T161" s="1072"/>
      <c r="AJ161" s="1072"/>
      <c r="BA161" s="1076"/>
    </row>
    <row r="162" spans="20:53" s="863" customFormat="1">
      <c r="T162" s="1072"/>
      <c r="AJ162" s="1072"/>
      <c r="BA162" s="1076"/>
    </row>
    <row r="163" spans="20:53" s="863" customFormat="1">
      <c r="T163" s="1072"/>
      <c r="AJ163" s="1072"/>
      <c r="BA163" s="1076"/>
    </row>
    <row r="164" spans="20:53" s="863" customFormat="1">
      <c r="T164" s="1072"/>
      <c r="AJ164" s="1072"/>
      <c r="BA164" s="1076"/>
    </row>
    <row r="165" spans="20:53" s="863" customFormat="1">
      <c r="T165" s="1072"/>
      <c r="AJ165" s="1072"/>
      <c r="BA165" s="1076"/>
    </row>
    <row r="166" spans="20:53" s="863" customFormat="1">
      <c r="T166" s="1072"/>
      <c r="AJ166" s="1072"/>
      <c r="BA166" s="1076"/>
    </row>
    <row r="167" spans="20:53" s="863" customFormat="1">
      <c r="T167" s="1072"/>
      <c r="AJ167" s="1072"/>
      <c r="BA167" s="1076"/>
    </row>
    <row r="168" spans="20:53" s="863" customFormat="1">
      <c r="T168" s="1072"/>
      <c r="AJ168" s="1072"/>
      <c r="BA168" s="1076"/>
    </row>
    <row r="169" spans="20:53" s="863" customFormat="1">
      <c r="T169" s="1072"/>
      <c r="AJ169" s="1072"/>
      <c r="BA169" s="1076"/>
    </row>
    <row r="170" spans="20:53" s="863" customFormat="1">
      <c r="T170" s="1072"/>
      <c r="AJ170" s="1072"/>
      <c r="BA170" s="1076"/>
    </row>
    <row r="171" spans="20:53" s="863" customFormat="1">
      <c r="T171" s="1072"/>
      <c r="AJ171" s="1072"/>
      <c r="BA171" s="1076"/>
    </row>
    <row r="172" spans="20:53" s="863" customFormat="1">
      <c r="T172" s="1072"/>
      <c r="AJ172" s="1072"/>
      <c r="BA172" s="1076"/>
    </row>
    <row r="173" spans="20:53" s="863" customFormat="1">
      <c r="T173" s="1072"/>
      <c r="AJ173" s="1072"/>
      <c r="BA173" s="1076"/>
    </row>
    <row r="174" spans="20:53" s="863" customFormat="1">
      <c r="T174" s="1072"/>
      <c r="AJ174" s="1072"/>
      <c r="BA174" s="1076"/>
    </row>
    <row r="175" spans="20:53" s="863" customFormat="1">
      <c r="T175" s="1072"/>
      <c r="AJ175" s="1072"/>
      <c r="BA175" s="1076"/>
    </row>
    <row r="176" spans="20:53" s="863" customFormat="1">
      <c r="T176" s="1072"/>
      <c r="AJ176" s="1072"/>
      <c r="BA176" s="1076"/>
    </row>
    <row r="177" spans="20:53" s="863" customFormat="1">
      <c r="T177" s="1072"/>
      <c r="AJ177" s="1072"/>
      <c r="BA177" s="1076"/>
    </row>
    <row r="178" spans="20:53" s="863" customFormat="1">
      <c r="T178" s="1072"/>
      <c r="AJ178" s="1072"/>
      <c r="BA178" s="1076"/>
    </row>
    <row r="179" spans="20:53" s="863" customFormat="1">
      <c r="T179" s="1072"/>
      <c r="AJ179" s="1072"/>
      <c r="BA179" s="1076"/>
    </row>
    <row r="180" spans="20:53" s="863" customFormat="1">
      <c r="T180" s="1072"/>
      <c r="AJ180" s="1072"/>
      <c r="BA180" s="1076"/>
    </row>
    <row r="181" spans="20:53" s="863" customFormat="1">
      <c r="T181" s="1072"/>
      <c r="AJ181" s="1072"/>
      <c r="BA181" s="1076"/>
    </row>
    <row r="182" spans="20:53" s="863" customFormat="1">
      <c r="T182" s="1072"/>
      <c r="AJ182" s="1072"/>
      <c r="BA182" s="1076"/>
    </row>
    <row r="183" spans="20:53" s="863" customFormat="1">
      <c r="T183" s="1072"/>
      <c r="AJ183" s="1072"/>
      <c r="BA183" s="1076"/>
    </row>
    <row r="184" spans="20:53" s="863" customFormat="1">
      <c r="T184" s="1072"/>
      <c r="AJ184" s="1072"/>
      <c r="BA184" s="1076"/>
    </row>
    <row r="185" spans="20:53" s="863" customFormat="1">
      <c r="T185" s="1072"/>
      <c r="AJ185" s="1072"/>
      <c r="BA185" s="1076"/>
    </row>
    <row r="186" spans="20:53" s="863" customFormat="1">
      <c r="T186" s="1072"/>
      <c r="AJ186" s="1072"/>
      <c r="BA186" s="1076"/>
    </row>
    <row r="187" spans="20:53" s="863" customFormat="1">
      <c r="T187" s="1072"/>
      <c r="AJ187" s="1072"/>
      <c r="BA187" s="1076"/>
    </row>
    <row r="188" spans="20:53" s="863" customFormat="1">
      <c r="T188" s="1072"/>
      <c r="AJ188" s="1072"/>
      <c r="BA188" s="1076"/>
    </row>
    <row r="189" spans="20:53" s="863" customFormat="1">
      <c r="T189" s="1072"/>
      <c r="AJ189" s="1072"/>
      <c r="BA189" s="1076"/>
    </row>
    <row r="190" spans="20:53" s="863" customFormat="1">
      <c r="T190" s="1072"/>
      <c r="AJ190" s="1072"/>
      <c r="BA190" s="1076"/>
    </row>
    <row r="191" spans="20:53" s="863" customFormat="1">
      <c r="T191" s="1072"/>
      <c r="AJ191" s="1072"/>
      <c r="BA191" s="1076"/>
    </row>
    <row r="192" spans="20:53" s="863" customFormat="1">
      <c r="T192" s="1072"/>
      <c r="AJ192" s="1072"/>
      <c r="BA192" s="1076"/>
    </row>
    <row r="193" spans="20:53" s="863" customFormat="1">
      <c r="T193" s="1072"/>
      <c r="AJ193" s="1072"/>
      <c r="BA193" s="1076"/>
    </row>
    <row r="194" spans="20:53" s="863" customFormat="1">
      <c r="T194" s="1072"/>
      <c r="AJ194" s="1072"/>
      <c r="BA194" s="1076"/>
    </row>
    <row r="195" spans="20:53" s="863" customFormat="1">
      <c r="T195" s="1072"/>
      <c r="AJ195" s="1072"/>
      <c r="BA195" s="1076"/>
    </row>
    <row r="196" spans="20:53" s="863" customFormat="1">
      <c r="T196" s="1072"/>
      <c r="AJ196" s="1072"/>
      <c r="BA196" s="1076"/>
    </row>
    <row r="197" spans="20:53" s="863" customFormat="1">
      <c r="T197" s="1072"/>
      <c r="AJ197" s="1072"/>
      <c r="BA197" s="1076"/>
    </row>
    <row r="198" spans="20:53" s="863" customFormat="1">
      <c r="T198" s="1072"/>
      <c r="AJ198" s="1072"/>
      <c r="BA198" s="1076"/>
    </row>
    <row r="199" spans="20:53" s="863" customFormat="1">
      <c r="T199" s="1072"/>
      <c r="AJ199" s="1072"/>
      <c r="BA199" s="1076"/>
    </row>
    <row r="200" spans="20:53" s="863" customFormat="1">
      <c r="T200" s="1072"/>
      <c r="AJ200" s="1072"/>
      <c r="BA200" s="1076"/>
    </row>
    <row r="201" spans="20:53" s="863" customFormat="1">
      <c r="T201" s="1072"/>
      <c r="AJ201" s="1072"/>
      <c r="BA201" s="1076"/>
    </row>
    <row r="202" spans="20:53" s="863" customFormat="1">
      <c r="T202" s="1072"/>
      <c r="AJ202" s="1072"/>
      <c r="BA202" s="1076"/>
    </row>
    <row r="203" spans="20:53" s="863" customFormat="1">
      <c r="T203" s="1072"/>
      <c r="AJ203" s="1072"/>
      <c r="BA203" s="1076"/>
    </row>
    <row r="204" spans="20:53" s="863" customFormat="1">
      <c r="T204" s="1072"/>
      <c r="AJ204" s="1072"/>
      <c r="BA204" s="1076"/>
    </row>
    <row r="205" spans="20:53" s="863" customFormat="1">
      <c r="T205" s="1072"/>
      <c r="AJ205" s="1072"/>
      <c r="BA205" s="1076"/>
    </row>
    <row r="206" spans="20:53" s="863" customFormat="1">
      <c r="T206" s="1072"/>
      <c r="AJ206" s="1072"/>
      <c r="BA206" s="1076"/>
    </row>
    <row r="207" spans="20:53" s="863" customFormat="1">
      <c r="T207" s="1072"/>
      <c r="AJ207" s="1072"/>
      <c r="BA207" s="1076"/>
    </row>
    <row r="208" spans="20:53" s="863" customFormat="1">
      <c r="T208" s="1072"/>
      <c r="AJ208" s="1072"/>
      <c r="BA208" s="1076"/>
    </row>
    <row r="209" spans="20:53" s="863" customFormat="1">
      <c r="T209" s="1072"/>
      <c r="AJ209" s="1072"/>
      <c r="BA209" s="1076"/>
    </row>
    <row r="210" spans="20:53" s="863" customFormat="1">
      <c r="T210" s="1072"/>
      <c r="AJ210" s="1072"/>
      <c r="BA210" s="1076"/>
    </row>
    <row r="211" spans="20:53" s="863" customFormat="1">
      <c r="T211" s="1072"/>
      <c r="AJ211" s="1072"/>
      <c r="BA211" s="1076"/>
    </row>
    <row r="212" spans="20:53" s="863" customFormat="1">
      <c r="T212" s="1072"/>
      <c r="AJ212" s="1072"/>
      <c r="BA212" s="1076"/>
    </row>
    <row r="213" spans="20:53" s="863" customFormat="1">
      <c r="T213" s="1072"/>
      <c r="AJ213" s="1072"/>
      <c r="BA213" s="1076"/>
    </row>
    <row r="214" spans="20:53" s="863" customFormat="1">
      <c r="T214" s="1072"/>
      <c r="AJ214" s="1072"/>
      <c r="BA214" s="1076"/>
    </row>
    <row r="215" spans="20:53" s="863" customFormat="1">
      <c r="T215" s="1072"/>
      <c r="AJ215" s="1072"/>
      <c r="BA215" s="1076"/>
    </row>
    <row r="216" spans="20:53" s="863" customFormat="1">
      <c r="T216" s="1072"/>
      <c r="AJ216" s="1072"/>
      <c r="BA216" s="1076"/>
    </row>
    <row r="217" spans="20:53" s="863" customFormat="1">
      <c r="T217" s="1072"/>
      <c r="AJ217" s="1072"/>
      <c r="BA217" s="1076"/>
    </row>
    <row r="218" spans="20:53" s="863" customFormat="1">
      <c r="T218" s="1072"/>
      <c r="AJ218" s="1072"/>
      <c r="BA218" s="1076"/>
    </row>
    <row r="219" spans="20:53" s="863" customFormat="1">
      <c r="T219" s="1072"/>
      <c r="AJ219" s="1072"/>
      <c r="BA219" s="1076"/>
    </row>
    <row r="220" spans="20:53" s="863" customFormat="1">
      <c r="T220" s="1072"/>
      <c r="AJ220" s="1072"/>
      <c r="BA220" s="1076"/>
    </row>
    <row r="221" spans="20:53" s="863" customFormat="1">
      <c r="T221" s="1072"/>
      <c r="AJ221" s="1072"/>
      <c r="BA221" s="1076"/>
    </row>
    <row r="222" spans="20:53" s="863" customFormat="1">
      <c r="T222" s="1072"/>
      <c r="AJ222" s="1072"/>
      <c r="BA222" s="1076"/>
    </row>
    <row r="223" spans="20:53" s="863" customFormat="1">
      <c r="T223" s="1072"/>
      <c r="AJ223" s="1072"/>
      <c r="BA223" s="1076"/>
    </row>
    <row r="224" spans="20:53" s="863" customFormat="1">
      <c r="T224" s="1072"/>
      <c r="AJ224" s="1072"/>
      <c r="BA224" s="1076"/>
    </row>
    <row r="225" spans="20:53" s="863" customFormat="1">
      <c r="T225" s="1072"/>
      <c r="AJ225" s="1072"/>
      <c r="BA225" s="1076"/>
    </row>
    <row r="226" spans="20:53" s="863" customFormat="1">
      <c r="T226" s="1072"/>
      <c r="AJ226" s="1072"/>
      <c r="BA226" s="1076"/>
    </row>
    <row r="227" spans="20:53" s="863" customFormat="1">
      <c r="T227" s="1072"/>
      <c r="AJ227" s="1072"/>
      <c r="BA227" s="1076"/>
    </row>
    <row r="228" spans="20:53" s="863" customFormat="1">
      <c r="T228" s="1072"/>
      <c r="AJ228" s="1072"/>
      <c r="BA228" s="1076"/>
    </row>
    <row r="229" spans="20:53" s="863" customFormat="1">
      <c r="T229" s="1072"/>
      <c r="AJ229" s="1072"/>
      <c r="BA229" s="1076"/>
    </row>
    <row r="230" spans="20:53" s="863" customFormat="1">
      <c r="T230" s="1072"/>
      <c r="AJ230" s="1072"/>
      <c r="BA230" s="1076"/>
    </row>
    <row r="231" spans="20:53" s="863" customFormat="1">
      <c r="T231" s="1072"/>
      <c r="AJ231" s="1072"/>
      <c r="BA231" s="1076"/>
    </row>
    <row r="232" spans="20:53" s="863" customFormat="1">
      <c r="T232" s="1072"/>
      <c r="AJ232" s="1072"/>
      <c r="BA232" s="1076"/>
    </row>
    <row r="233" spans="20:53" s="863" customFormat="1">
      <c r="T233" s="1072"/>
      <c r="AJ233" s="1072"/>
      <c r="BA233" s="1076"/>
    </row>
    <row r="234" spans="20:53" s="863" customFormat="1">
      <c r="T234" s="1072"/>
      <c r="AJ234" s="1072"/>
      <c r="BA234" s="1076"/>
    </row>
    <row r="235" spans="20:53" s="863" customFormat="1">
      <c r="T235" s="1072"/>
      <c r="AJ235" s="1072"/>
      <c r="BA235" s="1076"/>
    </row>
    <row r="236" spans="20:53" s="863" customFormat="1">
      <c r="T236" s="1072"/>
      <c r="AJ236" s="1072"/>
      <c r="BA236" s="1076"/>
    </row>
    <row r="237" spans="20:53" s="863" customFormat="1">
      <c r="T237" s="1072"/>
      <c r="AJ237" s="1072"/>
      <c r="BA237" s="1076"/>
    </row>
    <row r="238" spans="20:53" s="863" customFormat="1">
      <c r="T238" s="1072"/>
      <c r="AJ238" s="1072"/>
      <c r="BA238" s="1076"/>
    </row>
    <row r="239" spans="20:53" s="863" customFormat="1">
      <c r="T239" s="1072"/>
      <c r="AJ239" s="1072"/>
      <c r="BA239" s="1076"/>
    </row>
    <row r="240" spans="20:53" s="863" customFormat="1">
      <c r="T240" s="1072"/>
      <c r="AJ240" s="1072"/>
      <c r="BA240" s="1076"/>
    </row>
    <row r="241" spans="14:53" s="863" customFormat="1">
      <c r="T241" s="1072"/>
      <c r="AJ241" s="1072"/>
      <c r="BA241" s="1076"/>
    </row>
    <row r="242" spans="14:53" s="863" customFormat="1">
      <c r="N242" s="1072"/>
      <c r="T242" s="1072"/>
      <c r="BA242" s="1076"/>
    </row>
    <row r="243" spans="14:53" s="863" customFormat="1">
      <c r="N243" s="1072"/>
      <c r="T243" s="1072"/>
      <c r="BA243" s="1076"/>
    </row>
    <row r="244" spans="14:53" s="863" customFormat="1">
      <c r="N244" s="1072"/>
      <c r="T244" s="1072"/>
      <c r="BA244" s="1076"/>
    </row>
    <row r="245" spans="14:53" s="863" customFormat="1">
      <c r="N245" s="1072"/>
      <c r="T245" s="1072"/>
      <c r="BA245" s="1076"/>
    </row>
    <row r="246" spans="14:53" s="863" customFormat="1">
      <c r="N246" s="1072"/>
      <c r="T246" s="1072"/>
      <c r="BA246" s="1076"/>
    </row>
    <row r="247" spans="14:53" s="863" customFormat="1">
      <c r="N247" s="1072"/>
      <c r="T247" s="1072"/>
      <c r="BA247" s="1076"/>
    </row>
    <row r="248" spans="14:53" s="863" customFormat="1">
      <c r="N248" s="1072"/>
      <c r="T248" s="1072"/>
      <c r="BA248" s="1076"/>
    </row>
    <row r="249" spans="14:53" s="863" customFormat="1">
      <c r="N249" s="1072"/>
      <c r="T249" s="1072"/>
      <c r="BA249" s="1076"/>
    </row>
    <row r="250" spans="14:53" s="863" customFormat="1">
      <c r="N250" s="1072"/>
      <c r="T250" s="1072"/>
      <c r="BA250" s="1076"/>
    </row>
    <row r="251" spans="14:53" s="863" customFormat="1">
      <c r="N251" s="1072"/>
      <c r="T251" s="1072"/>
      <c r="BA251" s="1076"/>
    </row>
    <row r="252" spans="14:53" s="863" customFormat="1">
      <c r="N252" s="1072"/>
      <c r="T252" s="1072"/>
      <c r="BA252" s="1076"/>
    </row>
    <row r="253" spans="14:53" s="863" customFormat="1">
      <c r="N253" s="1072"/>
      <c r="T253" s="1072"/>
      <c r="BA253" s="1076"/>
    </row>
    <row r="254" spans="14:53" s="863" customFormat="1">
      <c r="N254" s="1072"/>
      <c r="T254" s="1072"/>
      <c r="BA254" s="1076"/>
    </row>
    <row r="255" spans="14:53" s="863" customFormat="1">
      <c r="N255" s="1072"/>
      <c r="T255" s="1072"/>
      <c r="BA255" s="1076"/>
    </row>
    <row r="256" spans="14:53" s="863" customFormat="1">
      <c r="N256" s="1072"/>
      <c r="T256" s="1072"/>
      <c r="BA256" s="1076"/>
    </row>
    <row r="257" spans="14:53" s="863" customFormat="1">
      <c r="N257" s="1072"/>
      <c r="T257" s="1072"/>
      <c r="BA257" s="1076"/>
    </row>
    <row r="258" spans="14:53" s="863" customFormat="1">
      <c r="N258" s="1072"/>
      <c r="T258" s="1072"/>
      <c r="BA258" s="1076"/>
    </row>
    <row r="259" spans="14:53" s="863" customFormat="1">
      <c r="N259" s="1072"/>
      <c r="T259" s="1072"/>
      <c r="BA259" s="1076"/>
    </row>
    <row r="260" spans="14:53" s="863" customFormat="1">
      <c r="N260" s="1072"/>
      <c r="T260" s="1072"/>
      <c r="BA260" s="1076"/>
    </row>
    <row r="261" spans="14:53" s="863" customFormat="1">
      <c r="N261" s="1072"/>
      <c r="T261" s="1072"/>
      <c r="BA261" s="1076"/>
    </row>
    <row r="262" spans="14:53" s="863" customFormat="1">
      <c r="N262" s="1072"/>
      <c r="T262" s="1072"/>
      <c r="BA262" s="1076"/>
    </row>
    <row r="263" spans="14:53" s="863" customFormat="1">
      <c r="N263" s="1072"/>
      <c r="T263" s="1072"/>
      <c r="BA263" s="1076"/>
    </row>
    <row r="264" spans="14:53" s="863" customFormat="1">
      <c r="N264" s="1072"/>
      <c r="T264" s="1072"/>
      <c r="BA264" s="1076"/>
    </row>
    <row r="265" spans="14:53" s="863" customFormat="1">
      <c r="N265" s="1072"/>
      <c r="T265" s="1072"/>
      <c r="BA265" s="1076"/>
    </row>
    <row r="266" spans="14:53" s="863" customFormat="1">
      <c r="N266" s="1072"/>
      <c r="T266" s="1072"/>
      <c r="BA266" s="1076"/>
    </row>
    <row r="267" spans="14:53" s="863" customFormat="1">
      <c r="N267" s="1072"/>
      <c r="T267" s="1072"/>
      <c r="BA267" s="1076"/>
    </row>
    <row r="268" spans="14:53" s="863" customFormat="1">
      <c r="N268" s="1072"/>
      <c r="T268" s="1072"/>
      <c r="BA268" s="1076"/>
    </row>
    <row r="269" spans="14:53" s="863" customFormat="1">
      <c r="N269" s="1072"/>
      <c r="T269" s="1072"/>
      <c r="BA269" s="1076"/>
    </row>
    <row r="270" spans="14:53" s="863" customFormat="1">
      <c r="N270" s="1072"/>
      <c r="T270" s="1072"/>
      <c r="BA270" s="1076"/>
    </row>
    <row r="271" spans="14:53" s="863" customFormat="1">
      <c r="N271" s="1072"/>
      <c r="T271" s="1072"/>
      <c r="BA271" s="1076"/>
    </row>
    <row r="272" spans="14:53" s="863" customFormat="1">
      <c r="N272" s="1072"/>
      <c r="T272" s="1072"/>
      <c r="BA272" s="1076"/>
    </row>
    <row r="273" spans="14:53" s="863" customFormat="1">
      <c r="N273" s="1072"/>
      <c r="T273" s="1072"/>
      <c r="BA273" s="1076"/>
    </row>
    <row r="274" spans="14:53" s="863" customFormat="1">
      <c r="N274" s="1072"/>
      <c r="T274" s="1072"/>
      <c r="BA274" s="1076"/>
    </row>
    <row r="275" spans="14:53" s="863" customFormat="1">
      <c r="N275" s="1072"/>
      <c r="T275" s="1072"/>
      <c r="BA275" s="1076"/>
    </row>
    <row r="276" spans="14:53" s="863" customFormat="1">
      <c r="N276" s="1072"/>
      <c r="T276" s="1072"/>
      <c r="BA276" s="1076"/>
    </row>
    <row r="277" spans="14:53" s="863" customFormat="1">
      <c r="N277" s="1072"/>
      <c r="T277" s="1072"/>
      <c r="BA277" s="1076"/>
    </row>
    <row r="278" spans="14:53" s="863" customFormat="1">
      <c r="N278" s="1072"/>
      <c r="T278" s="1072"/>
      <c r="BA278" s="1076"/>
    </row>
    <row r="279" spans="14:53" s="863" customFormat="1">
      <c r="N279" s="1072"/>
      <c r="T279" s="1072"/>
      <c r="BA279" s="1076"/>
    </row>
    <row r="280" spans="14:53" s="863" customFormat="1">
      <c r="N280" s="1072"/>
      <c r="T280" s="1072"/>
      <c r="BA280" s="1076"/>
    </row>
    <row r="281" spans="14:53" s="863" customFormat="1">
      <c r="N281" s="1072"/>
      <c r="T281" s="1072"/>
      <c r="BA281" s="1076"/>
    </row>
    <row r="282" spans="14:53" s="863" customFormat="1">
      <c r="N282" s="1072"/>
      <c r="T282" s="1072"/>
      <c r="BA282" s="1076"/>
    </row>
    <row r="283" spans="14:53" s="863" customFormat="1">
      <c r="N283" s="1072"/>
      <c r="T283" s="1072"/>
      <c r="BA283" s="1076"/>
    </row>
    <row r="284" spans="14:53" s="863" customFormat="1">
      <c r="N284" s="1072"/>
      <c r="T284" s="1072"/>
      <c r="BA284" s="1076"/>
    </row>
    <row r="285" spans="14:53" s="863" customFormat="1">
      <c r="N285" s="1072"/>
      <c r="T285" s="1072"/>
      <c r="BA285" s="1076"/>
    </row>
    <row r="286" spans="14:53" s="863" customFormat="1">
      <c r="N286" s="1072"/>
      <c r="T286" s="1072"/>
      <c r="BA286" s="1076"/>
    </row>
    <row r="287" spans="14:53" s="863" customFormat="1">
      <c r="N287" s="1072"/>
      <c r="T287" s="1072"/>
      <c r="BA287" s="1076"/>
    </row>
    <row r="288" spans="14:53" s="863" customFormat="1">
      <c r="N288" s="1072"/>
      <c r="T288" s="1072"/>
      <c r="BA288" s="1076"/>
    </row>
    <row r="289" spans="14:53" s="863" customFormat="1">
      <c r="N289" s="1072"/>
      <c r="T289" s="1072"/>
      <c r="BA289" s="1076"/>
    </row>
    <row r="290" spans="14:53" s="863" customFormat="1">
      <c r="N290" s="1072"/>
      <c r="T290" s="1072"/>
      <c r="BA290" s="1076"/>
    </row>
    <row r="291" spans="14:53" s="863" customFormat="1">
      <c r="N291" s="1072"/>
      <c r="T291" s="1072"/>
      <c r="BA291" s="1076"/>
    </row>
    <row r="292" spans="14:53" s="863" customFormat="1">
      <c r="N292" s="1072"/>
      <c r="T292" s="1072"/>
      <c r="BA292" s="1076"/>
    </row>
    <row r="293" spans="14:53" s="863" customFormat="1">
      <c r="N293" s="1072"/>
      <c r="T293" s="1072"/>
      <c r="BA293" s="1076"/>
    </row>
    <row r="294" spans="14:53" s="863" customFormat="1">
      <c r="N294" s="1072"/>
      <c r="T294" s="1072"/>
      <c r="BA294" s="1076"/>
    </row>
    <row r="295" spans="14:53" s="863" customFormat="1">
      <c r="N295" s="1072"/>
      <c r="T295" s="1072"/>
      <c r="BA295" s="1076"/>
    </row>
    <row r="296" spans="14:53" s="863" customFormat="1">
      <c r="N296" s="1072"/>
      <c r="T296" s="1072"/>
      <c r="BA296" s="1076"/>
    </row>
    <row r="297" spans="14:53" s="863" customFormat="1">
      <c r="N297" s="1072"/>
      <c r="T297" s="1072"/>
      <c r="BA297" s="1076"/>
    </row>
    <row r="298" spans="14:53" s="863" customFormat="1">
      <c r="N298" s="1072"/>
      <c r="T298" s="1072"/>
      <c r="BA298" s="1076"/>
    </row>
    <row r="299" spans="14:53" s="863" customFormat="1">
      <c r="N299" s="1072"/>
      <c r="T299" s="1072"/>
      <c r="BA299" s="1076"/>
    </row>
    <row r="300" spans="14:53" s="863" customFormat="1">
      <c r="N300" s="1072"/>
      <c r="T300" s="1072"/>
      <c r="BA300" s="1076"/>
    </row>
    <row r="301" spans="14:53" s="863" customFormat="1">
      <c r="N301" s="1072"/>
      <c r="T301" s="1072"/>
      <c r="BA301" s="1076"/>
    </row>
    <row r="302" spans="14:53" s="863" customFormat="1">
      <c r="N302" s="1072"/>
      <c r="T302" s="1072"/>
      <c r="BA302" s="1076"/>
    </row>
    <row r="303" spans="14:53" s="863" customFormat="1">
      <c r="N303" s="1072"/>
      <c r="T303" s="1072"/>
      <c r="BA303" s="1076"/>
    </row>
    <row r="304" spans="14:53" s="863" customFormat="1">
      <c r="N304" s="1072"/>
      <c r="T304" s="1072"/>
      <c r="BA304" s="1076"/>
    </row>
    <row r="305" spans="14:53" s="863" customFormat="1">
      <c r="N305" s="1072"/>
      <c r="T305" s="1072"/>
      <c r="BA305" s="1076"/>
    </row>
    <row r="306" spans="14:53" s="863" customFormat="1">
      <c r="N306" s="1072"/>
      <c r="T306" s="1072"/>
      <c r="BA306" s="1076"/>
    </row>
    <row r="307" spans="14:53" s="863" customFormat="1">
      <c r="N307" s="1072"/>
      <c r="T307" s="1072"/>
      <c r="BA307" s="1076"/>
    </row>
    <row r="308" spans="14:53" s="863" customFormat="1">
      <c r="N308" s="1072"/>
      <c r="T308" s="1072"/>
      <c r="BA308" s="1076"/>
    </row>
    <row r="309" spans="14:53" s="863" customFormat="1">
      <c r="N309" s="1072"/>
      <c r="T309" s="1072"/>
      <c r="BA309" s="1076"/>
    </row>
    <row r="310" spans="14:53" s="863" customFormat="1">
      <c r="N310" s="1072"/>
      <c r="T310" s="1072"/>
      <c r="BA310" s="1076"/>
    </row>
    <row r="311" spans="14:53" s="863" customFormat="1">
      <c r="N311" s="1072"/>
      <c r="T311" s="1072"/>
      <c r="BA311" s="1076"/>
    </row>
    <row r="312" spans="14:53" s="863" customFormat="1">
      <c r="N312" s="1072"/>
      <c r="T312" s="1072"/>
      <c r="BA312" s="1076"/>
    </row>
    <row r="313" spans="14:53" s="863" customFormat="1">
      <c r="N313" s="1072"/>
      <c r="T313" s="1072"/>
      <c r="BA313" s="1076"/>
    </row>
    <row r="314" spans="14:53" s="863" customFormat="1">
      <c r="N314" s="1072"/>
      <c r="T314" s="1072"/>
      <c r="BA314" s="1076"/>
    </row>
    <row r="315" spans="14:53" s="863" customFormat="1">
      <c r="N315" s="1072"/>
      <c r="T315" s="1072"/>
      <c r="BA315" s="1076"/>
    </row>
    <row r="316" spans="14:53" s="863" customFormat="1">
      <c r="N316" s="1072"/>
      <c r="T316" s="1072"/>
      <c r="BA316" s="1076"/>
    </row>
    <row r="317" spans="14:53" s="863" customFormat="1">
      <c r="N317" s="1072"/>
      <c r="T317" s="1072"/>
      <c r="BA317" s="1076"/>
    </row>
    <row r="318" spans="14:53" s="863" customFormat="1">
      <c r="N318" s="1072"/>
      <c r="T318" s="1072"/>
      <c r="BA318" s="1076"/>
    </row>
    <row r="319" spans="14:53" s="863" customFormat="1">
      <c r="N319" s="1072"/>
      <c r="T319" s="1072"/>
      <c r="BA319" s="1076"/>
    </row>
    <row r="320" spans="14:53" s="863" customFormat="1">
      <c r="N320" s="1072"/>
      <c r="T320" s="1072"/>
      <c r="BA320" s="1076"/>
    </row>
    <row r="321" spans="14:53" s="863" customFormat="1">
      <c r="N321" s="1072"/>
      <c r="T321" s="1072"/>
      <c r="BA321" s="1076"/>
    </row>
    <row r="322" spans="14:53" s="863" customFormat="1">
      <c r="N322" s="1072"/>
      <c r="T322" s="1072"/>
      <c r="BA322" s="1076"/>
    </row>
    <row r="323" spans="14:53" s="863" customFormat="1">
      <c r="N323" s="1072"/>
      <c r="T323" s="1072"/>
      <c r="BA323" s="1076"/>
    </row>
    <row r="324" spans="14:53" s="863" customFormat="1">
      <c r="N324" s="1072"/>
      <c r="T324" s="1072"/>
      <c r="BA324" s="1076"/>
    </row>
    <row r="325" spans="14:53" s="863" customFormat="1">
      <c r="N325" s="1072"/>
      <c r="T325" s="1072"/>
      <c r="BA325" s="1076"/>
    </row>
    <row r="326" spans="14:53" s="863" customFormat="1">
      <c r="N326" s="1072"/>
      <c r="T326" s="1072"/>
      <c r="BA326" s="1076"/>
    </row>
    <row r="327" spans="14:53" s="863" customFormat="1">
      <c r="N327" s="1072"/>
      <c r="T327" s="1072"/>
      <c r="BA327" s="1076"/>
    </row>
    <row r="328" spans="14:53" s="863" customFormat="1">
      <c r="N328" s="1072"/>
      <c r="T328" s="1072"/>
      <c r="BA328" s="1076"/>
    </row>
    <row r="329" spans="14:53" s="863" customFormat="1">
      <c r="N329" s="1072"/>
      <c r="T329" s="1072"/>
      <c r="BA329" s="1076"/>
    </row>
    <row r="330" spans="14:53" s="863" customFormat="1">
      <c r="N330" s="1072"/>
      <c r="T330" s="1072"/>
      <c r="BA330" s="1076"/>
    </row>
    <row r="331" spans="14:53" s="863" customFormat="1">
      <c r="N331" s="1072"/>
      <c r="T331" s="1072"/>
      <c r="BA331" s="1076"/>
    </row>
    <row r="332" spans="14:53" s="863" customFormat="1">
      <c r="N332" s="1072"/>
      <c r="T332" s="1072"/>
      <c r="BA332" s="1076"/>
    </row>
    <row r="333" spans="14:53" s="863" customFormat="1">
      <c r="N333" s="1072"/>
      <c r="T333" s="1072"/>
      <c r="BA333" s="1076"/>
    </row>
    <row r="334" spans="14:53" s="863" customFormat="1">
      <c r="N334" s="1072"/>
      <c r="T334" s="1072"/>
      <c r="BA334" s="1076"/>
    </row>
    <row r="335" spans="14:53" s="863" customFormat="1">
      <c r="N335" s="1072"/>
      <c r="T335" s="1072"/>
      <c r="BA335" s="1076"/>
    </row>
    <row r="336" spans="14:53" s="863" customFormat="1">
      <c r="N336" s="1072"/>
      <c r="T336" s="1072"/>
      <c r="BA336" s="1076"/>
    </row>
    <row r="337" spans="14:53" s="863" customFormat="1">
      <c r="N337" s="1072"/>
      <c r="T337" s="1072"/>
      <c r="BA337" s="1076"/>
    </row>
    <row r="338" spans="14:53" s="863" customFormat="1">
      <c r="N338" s="1072"/>
      <c r="T338" s="1072"/>
      <c r="BA338" s="1076"/>
    </row>
    <row r="339" spans="14:53" s="863" customFormat="1">
      <c r="N339" s="1072"/>
      <c r="T339" s="1072"/>
      <c r="BA339" s="1076"/>
    </row>
    <row r="340" spans="14:53" s="863" customFormat="1">
      <c r="N340" s="1072"/>
      <c r="T340" s="1072"/>
      <c r="BA340" s="1076"/>
    </row>
    <row r="341" spans="14:53" s="863" customFormat="1">
      <c r="N341" s="1072"/>
      <c r="T341" s="1072"/>
      <c r="BA341" s="1076"/>
    </row>
    <row r="342" spans="14:53" s="863" customFormat="1">
      <c r="N342" s="1072"/>
      <c r="T342" s="1072"/>
      <c r="BA342" s="1076"/>
    </row>
    <row r="343" spans="14:53" s="863" customFormat="1">
      <c r="N343" s="1072"/>
      <c r="T343" s="1072"/>
      <c r="BA343" s="1076"/>
    </row>
    <row r="344" spans="14:53" s="863" customFormat="1">
      <c r="N344" s="1072"/>
      <c r="T344" s="1072"/>
      <c r="BA344" s="1076"/>
    </row>
    <row r="345" spans="14:53" s="863" customFormat="1">
      <c r="N345" s="1072"/>
      <c r="T345" s="1072"/>
      <c r="BA345" s="1076"/>
    </row>
    <row r="346" spans="14:53" s="863" customFormat="1">
      <c r="N346" s="1072"/>
      <c r="T346" s="1072"/>
      <c r="BA346" s="1076"/>
    </row>
    <row r="347" spans="14:53" s="863" customFormat="1">
      <c r="N347" s="1072"/>
      <c r="T347" s="1072"/>
      <c r="BA347" s="1076"/>
    </row>
    <row r="348" spans="14:53" s="863" customFormat="1">
      <c r="N348" s="1072"/>
      <c r="T348" s="1072"/>
      <c r="BA348" s="1076"/>
    </row>
    <row r="349" spans="14:53" s="863" customFormat="1">
      <c r="N349" s="1072"/>
      <c r="T349" s="1072"/>
      <c r="BA349" s="1076"/>
    </row>
    <row r="350" spans="14:53" s="863" customFormat="1">
      <c r="N350" s="1072"/>
      <c r="T350" s="1072"/>
      <c r="BA350" s="1076"/>
    </row>
    <row r="351" spans="14:53" s="863" customFormat="1">
      <c r="N351" s="1072"/>
      <c r="T351" s="1072"/>
      <c r="BA351" s="1076"/>
    </row>
    <row r="352" spans="14:53" s="863" customFormat="1">
      <c r="N352" s="1072"/>
      <c r="T352" s="1072"/>
      <c r="BA352" s="1076"/>
    </row>
    <row r="353" spans="14:53" s="863" customFormat="1">
      <c r="N353" s="1072"/>
      <c r="T353" s="1072"/>
      <c r="BA353" s="1076"/>
    </row>
    <row r="354" spans="14:53" s="863" customFormat="1">
      <c r="N354" s="1072"/>
      <c r="T354" s="1072"/>
      <c r="BA354" s="1076"/>
    </row>
    <row r="355" spans="14:53" s="863" customFormat="1">
      <c r="N355" s="1072"/>
      <c r="T355" s="1072"/>
      <c r="BA355" s="1076"/>
    </row>
    <row r="356" spans="14:53" s="863" customFormat="1">
      <c r="N356" s="1072"/>
      <c r="T356" s="1072"/>
      <c r="BA356" s="1076"/>
    </row>
    <row r="357" spans="14:53" s="863" customFormat="1">
      <c r="N357" s="1072"/>
      <c r="T357" s="1072"/>
      <c r="BA357" s="1076"/>
    </row>
    <row r="358" spans="14:53" s="863" customFormat="1">
      <c r="N358" s="1072"/>
      <c r="T358" s="1072"/>
      <c r="BA358" s="1076"/>
    </row>
    <row r="359" spans="14:53" s="863" customFormat="1">
      <c r="N359" s="1072"/>
      <c r="T359" s="1072"/>
      <c r="BA359" s="1076"/>
    </row>
    <row r="360" spans="14:53" s="863" customFormat="1">
      <c r="N360" s="1072"/>
      <c r="T360" s="1072"/>
      <c r="BA360" s="1076"/>
    </row>
    <row r="361" spans="14:53" s="863" customFormat="1">
      <c r="N361" s="1072"/>
      <c r="T361" s="1072"/>
      <c r="BA361" s="1076"/>
    </row>
    <row r="362" spans="14:53" s="863" customFormat="1">
      <c r="N362" s="1072"/>
      <c r="T362" s="1072"/>
      <c r="BA362" s="1076"/>
    </row>
    <row r="363" spans="14:53" s="863" customFormat="1">
      <c r="N363" s="1072"/>
      <c r="T363" s="1072"/>
      <c r="BA363" s="1076"/>
    </row>
    <row r="364" spans="14:53" s="863" customFormat="1">
      <c r="N364" s="1072"/>
      <c r="T364" s="1072"/>
      <c r="BA364" s="1076"/>
    </row>
    <row r="365" spans="14:53" s="863" customFormat="1">
      <c r="N365" s="1072"/>
      <c r="T365" s="1072"/>
      <c r="BA365" s="1076"/>
    </row>
    <row r="366" spans="14:53" s="863" customFormat="1">
      <c r="N366" s="1072"/>
      <c r="T366" s="1072"/>
      <c r="BA366" s="1076"/>
    </row>
    <row r="367" spans="14:53" s="863" customFormat="1">
      <c r="N367" s="1072"/>
      <c r="T367" s="1072"/>
      <c r="BA367" s="1076"/>
    </row>
    <row r="368" spans="14:53" s="863" customFormat="1">
      <c r="N368" s="1072"/>
      <c r="T368" s="1072"/>
      <c r="BA368" s="1076"/>
    </row>
    <row r="369" spans="14:53" s="863" customFormat="1">
      <c r="N369" s="1072"/>
      <c r="T369" s="1072"/>
      <c r="BA369" s="1076"/>
    </row>
    <row r="370" spans="14:53" s="863" customFormat="1">
      <c r="N370" s="1072"/>
      <c r="T370" s="1072"/>
      <c r="BA370" s="1076"/>
    </row>
    <row r="371" spans="14:53" s="863" customFormat="1">
      <c r="N371" s="1072"/>
      <c r="T371" s="1072"/>
      <c r="BA371" s="1076"/>
    </row>
    <row r="372" spans="14:53" s="863" customFormat="1">
      <c r="N372" s="1072"/>
      <c r="T372" s="1072"/>
      <c r="BA372" s="1076"/>
    </row>
    <row r="373" spans="14:53" s="863" customFormat="1">
      <c r="N373" s="1072"/>
      <c r="T373" s="1072"/>
      <c r="BA373" s="1076"/>
    </row>
    <row r="374" spans="14:53" s="863" customFormat="1">
      <c r="N374" s="1072"/>
      <c r="T374" s="1072"/>
      <c r="BA374" s="1076"/>
    </row>
    <row r="375" spans="14:53" s="863" customFormat="1">
      <c r="N375" s="1072"/>
      <c r="T375" s="1072"/>
      <c r="BA375" s="1076"/>
    </row>
    <row r="376" spans="14:53" s="863" customFormat="1">
      <c r="N376" s="1072"/>
      <c r="T376" s="1072"/>
      <c r="BA376" s="1076"/>
    </row>
    <row r="377" spans="14:53" s="863" customFormat="1">
      <c r="N377" s="1072"/>
      <c r="T377" s="1072"/>
      <c r="BA377" s="1076"/>
    </row>
    <row r="378" spans="14:53" s="863" customFormat="1">
      <c r="N378" s="1072"/>
      <c r="T378" s="1072"/>
      <c r="BA378" s="1076"/>
    </row>
    <row r="379" spans="14:53" s="863" customFormat="1">
      <c r="N379" s="1072"/>
      <c r="T379" s="1072"/>
      <c r="BA379" s="1076"/>
    </row>
    <row r="380" spans="14:53" s="863" customFormat="1">
      <c r="N380" s="1072"/>
      <c r="T380" s="1072"/>
      <c r="BA380" s="1076"/>
    </row>
    <row r="381" spans="14:53" s="863" customFormat="1">
      <c r="N381" s="1072"/>
      <c r="T381" s="1072"/>
      <c r="BA381" s="1076"/>
    </row>
    <row r="382" spans="14:53" s="863" customFormat="1">
      <c r="N382" s="1072"/>
      <c r="T382" s="1072"/>
      <c r="BA382" s="1076"/>
    </row>
    <row r="383" spans="14:53" s="863" customFormat="1">
      <c r="N383" s="1072"/>
      <c r="T383" s="1072"/>
      <c r="BA383" s="1076"/>
    </row>
    <row r="384" spans="14:53" s="863" customFormat="1">
      <c r="N384" s="1072"/>
      <c r="T384" s="1072"/>
      <c r="BA384" s="1076"/>
    </row>
    <row r="385" spans="14:53" s="863" customFormat="1">
      <c r="N385" s="1072"/>
      <c r="T385" s="1072"/>
      <c r="BA385" s="1076"/>
    </row>
    <row r="386" spans="14:53" s="863" customFormat="1">
      <c r="N386" s="1072"/>
      <c r="T386" s="1072"/>
      <c r="BA386" s="1076"/>
    </row>
    <row r="387" spans="14:53" s="863" customFormat="1">
      <c r="N387" s="1072"/>
      <c r="T387" s="1072"/>
      <c r="BA387" s="1076"/>
    </row>
    <row r="388" spans="14:53" s="863" customFormat="1">
      <c r="N388" s="1072"/>
      <c r="T388" s="1072"/>
      <c r="BA388" s="1076"/>
    </row>
    <row r="389" spans="14:53" s="863" customFormat="1">
      <c r="N389" s="1072"/>
      <c r="T389" s="1072"/>
      <c r="BA389" s="1076"/>
    </row>
    <row r="390" spans="14:53" s="863" customFormat="1">
      <c r="N390" s="1072"/>
      <c r="T390" s="1072"/>
      <c r="BA390" s="1076"/>
    </row>
    <row r="391" spans="14:53" s="863" customFormat="1">
      <c r="N391" s="1072"/>
      <c r="T391" s="1072"/>
      <c r="BA391" s="1076"/>
    </row>
    <row r="392" spans="14:53" s="863" customFormat="1">
      <c r="N392" s="1072"/>
      <c r="T392" s="1072"/>
      <c r="BA392" s="1076"/>
    </row>
    <row r="393" spans="14:53" s="863" customFormat="1">
      <c r="N393" s="1072"/>
      <c r="T393" s="1072"/>
      <c r="BA393" s="1076"/>
    </row>
    <row r="394" spans="14:53" s="863" customFormat="1">
      <c r="N394" s="1072"/>
      <c r="T394" s="1072"/>
      <c r="BA394" s="1076"/>
    </row>
    <row r="395" spans="14:53" s="863" customFormat="1">
      <c r="N395" s="1072"/>
      <c r="T395" s="1072"/>
      <c r="BA395" s="1076"/>
    </row>
    <row r="396" spans="14:53" s="863" customFormat="1">
      <c r="N396" s="1072"/>
      <c r="T396" s="1072"/>
      <c r="BA396" s="1076"/>
    </row>
    <row r="397" spans="14:53" s="863" customFormat="1">
      <c r="N397" s="1072"/>
      <c r="T397" s="1072"/>
      <c r="BA397" s="1076"/>
    </row>
    <row r="398" spans="14:53" s="863" customFormat="1">
      <c r="N398" s="1072"/>
      <c r="T398" s="1072"/>
      <c r="BA398" s="1076"/>
    </row>
    <row r="399" spans="14:53" s="863" customFormat="1">
      <c r="N399" s="1072"/>
      <c r="T399" s="1072"/>
      <c r="BA399" s="1076"/>
    </row>
    <row r="400" spans="14:53" s="863" customFormat="1">
      <c r="N400" s="1072"/>
      <c r="T400" s="1072"/>
      <c r="BA400" s="1076"/>
    </row>
    <row r="401" spans="14:53" s="863" customFormat="1">
      <c r="N401" s="1072"/>
      <c r="T401" s="1072"/>
      <c r="BA401" s="1076"/>
    </row>
    <row r="402" spans="14:53" s="863" customFormat="1">
      <c r="N402" s="1072"/>
      <c r="T402" s="1072"/>
      <c r="BA402" s="1076"/>
    </row>
    <row r="403" spans="14:53" s="863" customFormat="1">
      <c r="N403" s="1072"/>
      <c r="T403" s="1072"/>
      <c r="BA403" s="1076"/>
    </row>
    <row r="404" spans="14:53" s="863" customFormat="1">
      <c r="N404" s="1072"/>
      <c r="T404" s="1072"/>
      <c r="BA404" s="1076"/>
    </row>
    <row r="405" spans="14:53" s="863" customFormat="1">
      <c r="N405" s="1072"/>
      <c r="T405" s="1072"/>
      <c r="BA405" s="1076"/>
    </row>
    <row r="406" spans="14:53" s="863" customFormat="1">
      <c r="N406" s="1072"/>
      <c r="T406" s="1072"/>
      <c r="BA406" s="1076"/>
    </row>
    <row r="407" spans="14:53" s="863" customFormat="1">
      <c r="N407" s="1072"/>
      <c r="T407" s="1072"/>
      <c r="BA407" s="1076"/>
    </row>
    <row r="408" spans="14:53" s="863" customFormat="1">
      <c r="N408" s="1072"/>
      <c r="T408" s="1072"/>
      <c r="BA408" s="1076"/>
    </row>
    <row r="409" spans="14:53" s="863" customFormat="1">
      <c r="N409" s="1072"/>
      <c r="T409" s="1072"/>
      <c r="BA409" s="1076"/>
    </row>
    <row r="410" spans="14:53" s="863" customFormat="1">
      <c r="N410" s="1072"/>
      <c r="T410" s="1072"/>
      <c r="BA410" s="1076"/>
    </row>
    <row r="411" spans="14:53" s="863" customFormat="1">
      <c r="N411" s="1072"/>
      <c r="T411" s="1072"/>
      <c r="BA411" s="1076"/>
    </row>
    <row r="412" spans="14:53" s="863" customFormat="1">
      <c r="N412" s="1072"/>
      <c r="T412" s="1072"/>
      <c r="BA412" s="1076"/>
    </row>
    <row r="413" spans="14:53" s="863" customFormat="1">
      <c r="N413" s="1072"/>
      <c r="T413" s="1072"/>
      <c r="BA413" s="1076"/>
    </row>
    <row r="414" spans="14:53" s="863" customFormat="1">
      <c r="N414" s="1072"/>
      <c r="T414" s="1072"/>
      <c r="BA414" s="1076"/>
    </row>
    <row r="415" spans="14:53" s="863" customFormat="1">
      <c r="N415" s="1072"/>
      <c r="T415" s="1072"/>
      <c r="BA415" s="1076"/>
    </row>
    <row r="416" spans="14:53" s="863" customFormat="1">
      <c r="N416" s="1072"/>
      <c r="T416" s="1072"/>
      <c r="BA416" s="1076"/>
    </row>
    <row r="417" spans="14:53" s="863" customFormat="1">
      <c r="N417" s="1072"/>
      <c r="T417" s="1072"/>
      <c r="BA417" s="1076"/>
    </row>
    <row r="418" spans="14:53" s="863" customFormat="1">
      <c r="N418" s="1072"/>
      <c r="T418" s="1072"/>
      <c r="BA418" s="1076"/>
    </row>
    <row r="419" spans="14:53" s="863" customFormat="1">
      <c r="N419" s="1072"/>
      <c r="T419" s="1072"/>
      <c r="BA419" s="1076"/>
    </row>
    <row r="420" spans="14:53" s="863" customFormat="1">
      <c r="N420" s="1072"/>
      <c r="T420" s="1072"/>
      <c r="BA420" s="1076"/>
    </row>
    <row r="421" spans="14:53" s="863" customFormat="1">
      <c r="N421" s="1072"/>
      <c r="T421" s="1072"/>
      <c r="BA421" s="1076"/>
    </row>
    <row r="422" spans="14:53" s="863" customFormat="1">
      <c r="N422" s="1072"/>
      <c r="T422" s="1072"/>
      <c r="BA422" s="1076"/>
    </row>
    <row r="423" spans="14:53" s="863" customFormat="1">
      <c r="N423" s="1072"/>
      <c r="T423" s="1072"/>
      <c r="BA423" s="1076"/>
    </row>
    <row r="424" spans="14:53" s="863" customFormat="1">
      <c r="N424" s="1072"/>
      <c r="T424" s="1072"/>
      <c r="BA424" s="1076"/>
    </row>
    <row r="425" spans="14:53" s="863" customFormat="1">
      <c r="N425" s="1072"/>
      <c r="T425" s="1072"/>
      <c r="BA425" s="1076"/>
    </row>
    <row r="426" spans="14:53" s="863" customFormat="1">
      <c r="N426" s="1072"/>
      <c r="T426" s="1072"/>
      <c r="BA426" s="1076"/>
    </row>
    <row r="427" spans="14:53" s="863" customFormat="1">
      <c r="N427" s="1072"/>
      <c r="T427" s="1072"/>
      <c r="BA427" s="1076"/>
    </row>
    <row r="428" spans="14:53" s="863" customFormat="1">
      <c r="N428" s="1072"/>
      <c r="T428" s="1072"/>
      <c r="BA428" s="1076"/>
    </row>
    <row r="429" spans="14:53" s="863" customFormat="1">
      <c r="N429" s="1072"/>
      <c r="T429" s="1072"/>
      <c r="BA429" s="1076"/>
    </row>
    <row r="430" spans="14:53" s="863" customFormat="1">
      <c r="N430" s="1072"/>
      <c r="T430" s="1072"/>
      <c r="BA430" s="1076"/>
    </row>
    <row r="431" spans="14:53" s="863" customFormat="1">
      <c r="N431" s="1072"/>
      <c r="T431" s="1072"/>
      <c r="BA431" s="1076"/>
    </row>
    <row r="432" spans="14:53" s="863" customFormat="1">
      <c r="N432" s="1072"/>
      <c r="T432" s="1072"/>
      <c r="BA432" s="1076"/>
    </row>
    <row r="433" spans="14:53" s="863" customFormat="1">
      <c r="N433" s="1072"/>
      <c r="T433" s="1072"/>
      <c r="BA433" s="1076"/>
    </row>
    <row r="434" spans="14:53" s="863" customFormat="1">
      <c r="N434" s="1072"/>
      <c r="T434" s="1072"/>
      <c r="BA434" s="1076"/>
    </row>
    <row r="435" spans="14:53" s="863" customFormat="1">
      <c r="N435" s="1072"/>
      <c r="T435" s="1072"/>
      <c r="BA435" s="1076"/>
    </row>
    <row r="436" spans="14:53" s="863" customFormat="1">
      <c r="N436" s="1072"/>
      <c r="T436" s="1072"/>
      <c r="BA436" s="1076"/>
    </row>
    <row r="437" spans="14:53" s="863" customFormat="1">
      <c r="N437" s="1072"/>
      <c r="T437" s="1072"/>
      <c r="BA437" s="1076"/>
    </row>
    <row r="438" spans="14:53" s="863" customFormat="1">
      <c r="N438" s="1072"/>
      <c r="T438" s="1072"/>
      <c r="BA438" s="1076"/>
    </row>
    <row r="439" spans="14:53" s="863" customFormat="1">
      <c r="N439" s="1072"/>
      <c r="T439" s="1072"/>
      <c r="BA439" s="1076"/>
    </row>
    <row r="440" spans="14:53" s="863" customFormat="1">
      <c r="N440" s="1072"/>
      <c r="T440" s="1072"/>
      <c r="BA440" s="1076"/>
    </row>
    <row r="441" spans="14:53" s="863" customFormat="1">
      <c r="N441" s="1072"/>
      <c r="T441" s="1072"/>
      <c r="BA441" s="1076"/>
    </row>
    <row r="442" spans="14:53" s="863" customFormat="1">
      <c r="N442" s="1072"/>
      <c r="T442" s="1072"/>
      <c r="BA442" s="1076"/>
    </row>
    <row r="443" spans="14:53" s="863" customFormat="1">
      <c r="N443" s="1072"/>
      <c r="T443" s="1072"/>
      <c r="BA443" s="1076"/>
    </row>
    <row r="444" spans="14:53" s="863" customFormat="1">
      <c r="N444" s="1072"/>
      <c r="T444" s="1072"/>
      <c r="BA444" s="1076"/>
    </row>
    <row r="445" spans="14:53" s="863" customFormat="1">
      <c r="N445" s="1072"/>
      <c r="T445" s="1072"/>
      <c r="BA445" s="1076"/>
    </row>
    <row r="446" spans="14:53" s="863" customFormat="1">
      <c r="N446" s="1072"/>
      <c r="T446" s="1072"/>
      <c r="BA446" s="1076"/>
    </row>
    <row r="447" spans="14:53" s="863" customFormat="1">
      <c r="N447" s="1072"/>
      <c r="T447" s="1072"/>
      <c r="BA447" s="1076"/>
    </row>
    <row r="448" spans="14:53" s="863" customFormat="1">
      <c r="N448" s="1072"/>
      <c r="T448" s="1072"/>
      <c r="BA448" s="1076"/>
    </row>
    <row r="449" spans="14:53" s="863" customFormat="1">
      <c r="N449" s="1072"/>
      <c r="T449" s="1072"/>
      <c r="BA449" s="1076"/>
    </row>
    <row r="450" spans="14:53" s="863" customFormat="1">
      <c r="N450" s="1072"/>
      <c r="T450" s="1072"/>
      <c r="BA450" s="1076"/>
    </row>
    <row r="451" spans="14:53" s="863" customFormat="1">
      <c r="N451" s="1072"/>
      <c r="T451" s="1072"/>
      <c r="BA451" s="1076"/>
    </row>
    <row r="452" spans="14:53" s="863" customFormat="1">
      <c r="N452" s="1072"/>
      <c r="T452" s="1072"/>
      <c r="BA452" s="1076"/>
    </row>
    <row r="453" spans="14:53" s="863" customFormat="1">
      <c r="N453" s="1072"/>
      <c r="T453" s="1072"/>
      <c r="BA453" s="1076"/>
    </row>
    <row r="454" spans="14:53" s="863" customFormat="1">
      <c r="N454" s="1072"/>
      <c r="T454" s="1072"/>
      <c r="BA454" s="1076"/>
    </row>
    <row r="455" spans="14:53" s="863" customFormat="1">
      <c r="N455" s="1072"/>
      <c r="T455" s="1072"/>
      <c r="BA455" s="1076"/>
    </row>
    <row r="456" spans="14:53" s="863" customFormat="1">
      <c r="N456" s="1072"/>
      <c r="T456" s="1072"/>
      <c r="BA456" s="1076"/>
    </row>
    <row r="457" spans="14:53" s="863" customFormat="1">
      <c r="N457" s="1072"/>
      <c r="T457" s="1072"/>
      <c r="BA457" s="1076"/>
    </row>
    <row r="458" spans="14:53" s="863" customFormat="1">
      <c r="N458" s="1072"/>
      <c r="T458" s="1072"/>
      <c r="BA458" s="1076"/>
    </row>
    <row r="459" spans="14:53" s="863" customFormat="1">
      <c r="N459" s="1072"/>
      <c r="T459" s="1072"/>
      <c r="BA459" s="1076"/>
    </row>
    <row r="460" spans="14:53" s="863" customFormat="1">
      <c r="N460" s="1072"/>
      <c r="T460" s="1072"/>
      <c r="BA460" s="1076"/>
    </row>
    <row r="461" spans="14:53" s="863" customFormat="1">
      <c r="N461" s="1072"/>
      <c r="T461" s="1072"/>
      <c r="BA461" s="1076"/>
    </row>
    <row r="462" spans="14:53" s="863" customFormat="1">
      <c r="N462" s="1072"/>
      <c r="T462" s="1072"/>
      <c r="BA462" s="1076"/>
    </row>
    <row r="463" spans="14:53" s="863" customFormat="1">
      <c r="N463" s="1072"/>
      <c r="T463" s="1072"/>
      <c r="BA463" s="1076"/>
    </row>
    <row r="464" spans="14:53" s="863" customFormat="1">
      <c r="N464" s="1072"/>
      <c r="T464" s="1072"/>
      <c r="BA464" s="1076"/>
    </row>
    <row r="465" spans="14:53" s="863" customFormat="1">
      <c r="N465" s="1072"/>
      <c r="T465" s="1072"/>
      <c r="BA465" s="1076"/>
    </row>
    <row r="466" spans="14:53" s="863" customFormat="1">
      <c r="N466" s="1072"/>
      <c r="T466" s="1072"/>
      <c r="BA466" s="1076"/>
    </row>
    <row r="467" spans="14:53" s="863" customFormat="1">
      <c r="N467" s="1072"/>
      <c r="T467" s="1072"/>
      <c r="BA467" s="1076"/>
    </row>
    <row r="468" spans="14:53" s="863" customFormat="1">
      <c r="N468" s="1072"/>
      <c r="T468" s="1072"/>
      <c r="BA468" s="1076"/>
    </row>
    <row r="469" spans="14:53" s="863" customFormat="1">
      <c r="N469" s="1072"/>
      <c r="T469" s="1072"/>
      <c r="BA469" s="1076"/>
    </row>
    <row r="470" spans="14:53" s="863" customFormat="1">
      <c r="N470" s="1072"/>
      <c r="T470" s="1072"/>
      <c r="BA470" s="1076"/>
    </row>
    <row r="471" spans="14:53" s="863" customFormat="1">
      <c r="N471" s="1072"/>
      <c r="T471" s="1072"/>
      <c r="BA471" s="1076"/>
    </row>
    <row r="472" spans="14:53" s="863" customFormat="1">
      <c r="N472" s="1072"/>
      <c r="T472" s="1072"/>
      <c r="BA472" s="1076"/>
    </row>
    <row r="473" spans="14:53" s="863" customFormat="1">
      <c r="N473" s="1072"/>
      <c r="T473" s="1072"/>
      <c r="BA473" s="1076"/>
    </row>
    <row r="474" spans="14:53" s="863" customFormat="1">
      <c r="N474" s="1072"/>
      <c r="T474" s="1072"/>
      <c r="BA474" s="1076"/>
    </row>
    <row r="475" spans="14:53" s="863" customFormat="1">
      <c r="N475" s="1072"/>
      <c r="T475" s="1072"/>
      <c r="BA475" s="1076"/>
    </row>
    <row r="476" spans="14:53" s="863" customFormat="1">
      <c r="N476" s="1072"/>
      <c r="T476" s="1072"/>
      <c r="BA476" s="1076"/>
    </row>
    <row r="477" spans="14:53" s="863" customFormat="1">
      <c r="N477" s="1072"/>
      <c r="T477" s="1072"/>
      <c r="BA477" s="1076"/>
    </row>
    <row r="478" spans="14:53" s="863" customFormat="1">
      <c r="N478" s="1072"/>
      <c r="T478" s="1072"/>
      <c r="BA478" s="1076"/>
    </row>
    <row r="479" spans="14:53" s="863" customFormat="1">
      <c r="N479" s="1072"/>
      <c r="T479" s="1072"/>
      <c r="BA479" s="1076"/>
    </row>
    <row r="480" spans="14:53" s="863" customFormat="1">
      <c r="N480" s="1072"/>
      <c r="T480" s="1072"/>
      <c r="BA480" s="1076"/>
    </row>
    <row r="481" spans="14:53" s="863" customFormat="1">
      <c r="N481" s="1072"/>
      <c r="T481" s="1072"/>
      <c r="BA481" s="1076"/>
    </row>
    <row r="482" spans="14:53" s="863" customFormat="1">
      <c r="N482" s="1072"/>
      <c r="T482" s="1072"/>
      <c r="BA482" s="1076"/>
    </row>
    <row r="483" spans="14:53" s="863" customFormat="1">
      <c r="N483" s="1072"/>
      <c r="T483" s="1072"/>
      <c r="BA483" s="1076"/>
    </row>
    <row r="484" spans="14:53" s="863" customFormat="1">
      <c r="N484" s="1072"/>
      <c r="T484" s="1072"/>
      <c r="BA484" s="1076"/>
    </row>
    <row r="485" spans="14:53" s="863" customFormat="1">
      <c r="N485" s="1072"/>
      <c r="T485" s="1072"/>
      <c r="BA485" s="1076"/>
    </row>
    <row r="486" spans="14:53" s="863" customFormat="1">
      <c r="N486" s="1072"/>
      <c r="T486" s="1072"/>
      <c r="BA486" s="1076"/>
    </row>
    <row r="487" spans="14:53" s="863" customFormat="1">
      <c r="N487" s="1072"/>
      <c r="T487" s="1072"/>
      <c r="BA487" s="1076"/>
    </row>
    <row r="488" spans="14:53" s="863" customFormat="1">
      <c r="N488" s="1072"/>
      <c r="T488" s="1072"/>
      <c r="BA488" s="1076"/>
    </row>
    <row r="489" spans="14:53" s="863" customFormat="1">
      <c r="N489" s="1072"/>
      <c r="T489" s="1072"/>
      <c r="BA489" s="1076"/>
    </row>
    <row r="490" spans="14:53" s="863" customFormat="1">
      <c r="N490" s="1072"/>
      <c r="T490" s="1072"/>
      <c r="BA490" s="1076"/>
    </row>
    <row r="491" spans="14:53" s="863" customFormat="1">
      <c r="N491" s="1072"/>
      <c r="T491" s="1072"/>
      <c r="BA491" s="1076"/>
    </row>
    <row r="492" spans="14:53" s="863" customFormat="1">
      <c r="N492" s="1072"/>
      <c r="T492" s="1072"/>
      <c r="BA492" s="1076"/>
    </row>
    <row r="493" spans="14:53" s="863" customFormat="1">
      <c r="N493" s="1072"/>
      <c r="T493" s="1072"/>
      <c r="BA493" s="1076"/>
    </row>
    <row r="494" spans="14:53" s="863" customFormat="1">
      <c r="N494" s="1072"/>
      <c r="T494" s="1072"/>
      <c r="BA494" s="1076"/>
    </row>
    <row r="495" spans="14:53" s="863" customFormat="1">
      <c r="N495" s="1072"/>
      <c r="T495" s="1072"/>
      <c r="BA495" s="1076"/>
    </row>
    <row r="496" spans="14:53" s="863" customFormat="1">
      <c r="N496" s="1072"/>
      <c r="T496" s="1072"/>
      <c r="BA496" s="1076"/>
    </row>
    <row r="497" spans="14:53" s="863" customFormat="1">
      <c r="N497" s="1072"/>
      <c r="T497" s="1072"/>
      <c r="BA497" s="1076"/>
    </row>
    <row r="498" spans="14:53" s="863" customFormat="1">
      <c r="N498" s="1072"/>
      <c r="T498" s="1072"/>
      <c r="BA498" s="1076"/>
    </row>
    <row r="499" spans="14:53" s="863" customFormat="1">
      <c r="N499" s="1072"/>
      <c r="T499" s="1072"/>
      <c r="BA499" s="1076"/>
    </row>
    <row r="500" spans="14:53" s="863" customFormat="1">
      <c r="N500" s="1072"/>
      <c r="T500" s="1072"/>
      <c r="BA500" s="1076"/>
    </row>
    <row r="501" spans="14:53" s="863" customFormat="1">
      <c r="N501" s="1072"/>
      <c r="T501" s="1072"/>
      <c r="BA501" s="1076"/>
    </row>
    <row r="502" spans="14:53" s="863" customFormat="1">
      <c r="N502" s="1072"/>
      <c r="T502" s="1072"/>
      <c r="BA502" s="1076"/>
    </row>
    <row r="503" spans="14:53" s="863" customFormat="1">
      <c r="N503" s="1072"/>
      <c r="T503" s="1072"/>
      <c r="BA503" s="1076"/>
    </row>
    <row r="504" spans="14:53" s="863" customFormat="1">
      <c r="N504" s="1072"/>
      <c r="T504" s="1072"/>
      <c r="BA504" s="1076"/>
    </row>
    <row r="505" spans="14:53" s="863" customFormat="1">
      <c r="N505" s="1072"/>
      <c r="T505" s="1072"/>
      <c r="BA505" s="1076"/>
    </row>
    <row r="506" spans="14:53" s="863" customFormat="1">
      <c r="N506" s="1072"/>
      <c r="T506" s="1072"/>
      <c r="BA506" s="1076"/>
    </row>
    <row r="507" spans="14:53" s="863" customFormat="1">
      <c r="N507" s="1072"/>
      <c r="T507" s="1072"/>
      <c r="BA507" s="1076"/>
    </row>
    <row r="508" spans="14:53" s="863" customFormat="1">
      <c r="N508" s="1072"/>
      <c r="T508" s="1072"/>
      <c r="BA508" s="1076"/>
    </row>
    <row r="509" spans="14:53" s="863" customFormat="1">
      <c r="N509" s="1072"/>
      <c r="T509" s="1072"/>
      <c r="BA509" s="1076"/>
    </row>
    <row r="510" spans="14:53" s="863" customFormat="1">
      <c r="N510" s="1072"/>
      <c r="T510" s="1072"/>
      <c r="BA510" s="1076"/>
    </row>
    <row r="511" spans="14:53" s="863" customFormat="1">
      <c r="N511" s="1072"/>
      <c r="T511" s="1072"/>
      <c r="BA511" s="1076"/>
    </row>
    <row r="512" spans="14:53" s="863" customFormat="1">
      <c r="N512" s="1072"/>
      <c r="T512" s="1072"/>
      <c r="BA512" s="1076"/>
    </row>
    <row r="513" spans="14:53" s="863" customFormat="1">
      <c r="N513" s="1072"/>
      <c r="T513" s="1072"/>
      <c r="BA513" s="1076"/>
    </row>
    <row r="514" spans="14:53" s="863" customFormat="1">
      <c r="N514" s="1072"/>
      <c r="T514" s="1072"/>
      <c r="BA514" s="1076"/>
    </row>
    <row r="515" spans="14:53" s="863" customFormat="1">
      <c r="N515" s="1072"/>
      <c r="T515" s="1072"/>
      <c r="BA515" s="1076"/>
    </row>
    <row r="516" spans="14:53" s="863" customFormat="1">
      <c r="N516" s="1072"/>
      <c r="T516" s="1072"/>
      <c r="BA516" s="1076"/>
    </row>
    <row r="517" spans="14:53" s="863" customFormat="1">
      <c r="N517" s="1072"/>
      <c r="T517" s="1072"/>
      <c r="BA517" s="1076"/>
    </row>
    <row r="518" spans="14:53" s="863" customFormat="1">
      <c r="N518" s="1072"/>
      <c r="T518" s="1072"/>
      <c r="BA518" s="1076"/>
    </row>
    <row r="519" spans="14:53" s="863" customFormat="1">
      <c r="N519" s="1072"/>
      <c r="T519" s="1072"/>
      <c r="BA519" s="1076"/>
    </row>
    <row r="520" spans="14:53" s="863" customFormat="1">
      <c r="N520" s="1072"/>
      <c r="T520" s="1072"/>
      <c r="BA520" s="1076"/>
    </row>
    <row r="521" spans="14:53" s="863" customFormat="1">
      <c r="N521" s="1072"/>
      <c r="T521" s="1072"/>
      <c r="BA521" s="1076"/>
    </row>
    <row r="522" spans="14:53" s="863" customFormat="1">
      <c r="N522" s="1072"/>
      <c r="T522" s="1072"/>
      <c r="BA522" s="1076"/>
    </row>
    <row r="523" spans="14:53" s="863" customFormat="1">
      <c r="N523" s="1072"/>
      <c r="T523" s="1072"/>
      <c r="BA523" s="1076"/>
    </row>
    <row r="524" spans="14:53" s="863" customFormat="1">
      <c r="N524" s="1072"/>
      <c r="T524" s="1072"/>
      <c r="BA524" s="1076"/>
    </row>
    <row r="525" spans="14:53" s="863" customFormat="1">
      <c r="N525" s="1072"/>
      <c r="T525" s="1072"/>
      <c r="BA525" s="1076"/>
    </row>
    <row r="526" spans="14:53" s="863" customFormat="1">
      <c r="N526" s="1072"/>
      <c r="T526" s="1072"/>
      <c r="BA526" s="1076"/>
    </row>
    <row r="527" spans="14:53" s="863" customFormat="1">
      <c r="N527" s="1072"/>
      <c r="T527" s="1072"/>
      <c r="BA527" s="1076"/>
    </row>
    <row r="528" spans="14:53" s="863" customFormat="1">
      <c r="N528" s="1072"/>
      <c r="T528" s="1072"/>
      <c r="BA528" s="1076"/>
    </row>
    <row r="529" spans="14:53" s="863" customFormat="1">
      <c r="N529" s="1072"/>
      <c r="T529" s="1072"/>
      <c r="BA529" s="1076"/>
    </row>
    <row r="530" spans="14:53" s="863" customFormat="1">
      <c r="N530" s="1072"/>
      <c r="T530" s="1072"/>
      <c r="BA530" s="1076"/>
    </row>
    <row r="531" spans="14:53" s="863" customFormat="1">
      <c r="N531" s="1072"/>
      <c r="T531" s="1072"/>
      <c r="BA531" s="1076"/>
    </row>
    <row r="532" spans="14:53" s="863" customFormat="1">
      <c r="N532" s="1072"/>
      <c r="T532" s="1072"/>
      <c r="BA532" s="1076"/>
    </row>
    <row r="533" spans="14:53" s="863" customFormat="1">
      <c r="N533" s="1072"/>
      <c r="T533" s="1072"/>
      <c r="BA533" s="1076"/>
    </row>
    <row r="534" spans="14:53" s="863" customFormat="1">
      <c r="N534" s="1072"/>
      <c r="T534" s="1072"/>
      <c r="BA534" s="1076"/>
    </row>
    <row r="535" spans="14:53" s="863" customFormat="1">
      <c r="N535" s="1072"/>
      <c r="T535" s="1072"/>
      <c r="BA535" s="1076"/>
    </row>
    <row r="536" spans="14:53" s="863" customFormat="1">
      <c r="N536" s="1072"/>
      <c r="T536" s="1072"/>
      <c r="BA536" s="1076"/>
    </row>
    <row r="537" spans="14:53" s="863" customFormat="1">
      <c r="N537" s="1072"/>
      <c r="T537" s="1072"/>
      <c r="BA537" s="1076"/>
    </row>
    <row r="538" spans="14:53" s="863" customFormat="1">
      <c r="N538" s="1072"/>
      <c r="T538" s="1072"/>
      <c r="BA538" s="1076"/>
    </row>
    <row r="539" spans="14:53" s="863" customFormat="1">
      <c r="N539" s="1072"/>
      <c r="T539" s="1072"/>
      <c r="BA539" s="1076"/>
    </row>
    <row r="540" spans="14:53" s="863" customFormat="1">
      <c r="N540" s="1072"/>
      <c r="T540" s="1072"/>
      <c r="BA540" s="1076"/>
    </row>
    <row r="541" spans="14:53" s="863" customFormat="1">
      <c r="N541" s="1072"/>
      <c r="T541" s="1072"/>
      <c r="BA541" s="1076"/>
    </row>
    <row r="542" spans="14:53" s="863" customFormat="1">
      <c r="N542" s="1072"/>
      <c r="T542" s="1072"/>
      <c r="BA542" s="1076"/>
    </row>
    <row r="543" spans="14:53" s="863" customFormat="1">
      <c r="N543" s="1072"/>
      <c r="T543" s="1072"/>
      <c r="BA543" s="1076"/>
    </row>
    <row r="544" spans="14:53" s="863" customFormat="1">
      <c r="N544" s="1072"/>
      <c r="T544" s="1072"/>
      <c r="BA544" s="1076"/>
    </row>
    <row r="545" spans="14:53" s="863" customFormat="1">
      <c r="N545" s="1072"/>
      <c r="T545" s="1072"/>
      <c r="BA545" s="1076"/>
    </row>
    <row r="546" spans="14:53" s="863" customFormat="1">
      <c r="N546" s="1072"/>
      <c r="T546" s="1072"/>
      <c r="BA546" s="1076"/>
    </row>
    <row r="547" spans="14:53" s="863" customFormat="1">
      <c r="N547" s="1072"/>
      <c r="T547" s="1072"/>
      <c r="BA547" s="1076"/>
    </row>
    <row r="548" spans="14:53" s="863" customFormat="1">
      <c r="N548" s="1072"/>
      <c r="T548" s="1072"/>
      <c r="BA548" s="1076"/>
    </row>
    <row r="549" spans="14:53" s="863" customFormat="1">
      <c r="N549" s="1072"/>
      <c r="T549" s="1072"/>
      <c r="BA549" s="1076"/>
    </row>
    <row r="550" spans="14:53" s="863" customFormat="1">
      <c r="N550" s="1072"/>
      <c r="T550" s="1072"/>
      <c r="BA550" s="1076"/>
    </row>
    <row r="551" spans="14:53" s="863" customFormat="1">
      <c r="N551" s="1072"/>
      <c r="T551" s="1072"/>
      <c r="BA551" s="1076"/>
    </row>
    <row r="552" spans="14:53" s="863" customFormat="1">
      <c r="N552" s="1072"/>
      <c r="T552" s="1072"/>
      <c r="BA552" s="1076"/>
    </row>
    <row r="553" spans="14:53" s="863" customFormat="1">
      <c r="N553" s="1072"/>
      <c r="T553" s="1072"/>
      <c r="BA553" s="1076"/>
    </row>
    <row r="554" spans="14:53" s="863" customFormat="1">
      <c r="N554" s="1072"/>
      <c r="T554" s="1072"/>
      <c r="BA554" s="1076"/>
    </row>
    <row r="555" spans="14:53" s="863" customFormat="1">
      <c r="N555" s="1072"/>
      <c r="T555" s="1072"/>
      <c r="BA555" s="1076"/>
    </row>
    <row r="556" spans="14:53" s="863" customFormat="1">
      <c r="N556" s="1072"/>
      <c r="T556" s="1072"/>
      <c r="BA556" s="1076"/>
    </row>
    <row r="557" spans="14:53" s="863" customFormat="1">
      <c r="N557" s="1072"/>
      <c r="T557" s="1072"/>
      <c r="BA557" s="1076"/>
    </row>
    <row r="558" spans="14:53" s="863" customFormat="1">
      <c r="N558" s="1072"/>
      <c r="T558" s="1072"/>
      <c r="BA558" s="1076"/>
    </row>
    <row r="559" spans="14:53" s="863" customFormat="1">
      <c r="N559" s="1072"/>
      <c r="T559" s="1072"/>
      <c r="BA559" s="1076"/>
    </row>
    <row r="560" spans="14:53" s="863" customFormat="1">
      <c r="N560" s="1072"/>
      <c r="T560" s="1072"/>
      <c r="BA560" s="1076"/>
    </row>
    <row r="561" spans="14:53" s="863" customFormat="1">
      <c r="N561" s="1072"/>
      <c r="T561" s="1072"/>
      <c r="BA561" s="1076"/>
    </row>
    <row r="562" spans="14:53" s="863" customFormat="1">
      <c r="N562" s="1072"/>
      <c r="T562" s="1072"/>
      <c r="BA562" s="1076"/>
    </row>
    <row r="563" spans="14:53" s="863" customFormat="1">
      <c r="N563" s="1072"/>
      <c r="T563" s="1072"/>
      <c r="BA563" s="1076"/>
    </row>
    <row r="564" spans="14:53" s="863" customFormat="1">
      <c r="N564" s="1072"/>
      <c r="T564" s="1072"/>
      <c r="BA564" s="1076"/>
    </row>
    <row r="565" spans="14:53" s="863" customFormat="1">
      <c r="N565" s="1072"/>
      <c r="T565" s="1072"/>
      <c r="BA565" s="1076"/>
    </row>
    <row r="566" spans="14:53" s="863" customFormat="1">
      <c r="N566" s="1072"/>
      <c r="T566" s="1072"/>
      <c r="BA566" s="1076"/>
    </row>
    <row r="567" spans="14:53" s="863" customFormat="1">
      <c r="N567" s="1072"/>
      <c r="T567" s="1072"/>
      <c r="BA567" s="1076"/>
    </row>
    <row r="568" spans="14:53" s="863" customFormat="1">
      <c r="N568" s="1072"/>
      <c r="T568" s="1072"/>
      <c r="BA568" s="1076"/>
    </row>
    <row r="569" spans="14:53" s="863" customFormat="1">
      <c r="N569" s="1072"/>
      <c r="T569" s="1072"/>
      <c r="BA569" s="1076"/>
    </row>
    <row r="570" spans="14:53" s="863" customFormat="1">
      <c r="N570" s="1072"/>
      <c r="T570" s="1072"/>
      <c r="BA570" s="1076"/>
    </row>
    <row r="571" spans="14:53" s="863" customFormat="1">
      <c r="N571" s="1072"/>
      <c r="T571" s="1072"/>
      <c r="BA571" s="1076"/>
    </row>
    <row r="572" spans="14:53" s="863" customFormat="1">
      <c r="N572" s="1072"/>
      <c r="T572" s="1072"/>
      <c r="BA572" s="1076"/>
    </row>
    <row r="573" spans="14:53" s="863" customFormat="1">
      <c r="N573" s="1072"/>
      <c r="T573" s="1072"/>
      <c r="BA573" s="1076"/>
    </row>
    <row r="574" spans="14:53" s="863" customFormat="1">
      <c r="N574" s="1072"/>
      <c r="T574" s="1072"/>
      <c r="BA574" s="1076"/>
    </row>
    <row r="575" spans="14:53" s="863" customFormat="1">
      <c r="N575" s="1072"/>
      <c r="T575" s="1072"/>
      <c r="BA575" s="1076"/>
    </row>
    <row r="576" spans="14:53" s="863" customFormat="1">
      <c r="N576" s="1072"/>
      <c r="T576" s="1072"/>
      <c r="BA576" s="1076"/>
    </row>
    <row r="577" spans="14:53" s="863" customFormat="1">
      <c r="N577" s="1072"/>
      <c r="T577" s="1072"/>
      <c r="BA577" s="1076"/>
    </row>
    <row r="578" spans="14:53" s="863" customFormat="1">
      <c r="N578" s="1072"/>
      <c r="T578" s="1072"/>
      <c r="BA578" s="1076"/>
    </row>
    <row r="579" spans="14:53" s="863" customFormat="1">
      <c r="N579" s="1072"/>
      <c r="T579" s="1072"/>
      <c r="BA579" s="1076"/>
    </row>
    <row r="580" spans="14:53" s="863" customFormat="1">
      <c r="N580" s="1072"/>
      <c r="T580" s="1072"/>
      <c r="BA580" s="1076"/>
    </row>
    <row r="581" spans="14:53" s="863" customFormat="1">
      <c r="N581" s="1072"/>
      <c r="T581" s="1072"/>
      <c r="BA581" s="1076"/>
    </row>
    <row r="582" spans="14:53" s="863" customFormat="1">
      <c r="N582" s="1072"/>
      <c r="T582" s="1072"/>
      <c r="BA582" s="1076"/>
    </row>
    <row r="583" spans="14:53" s="863" customFormat="1">
      <c r="N583" s="1072"/>
      <c r="T583" s="1072"/>
      <c r="BA583" s="1076"/>
    </row>
    <row r="584" spans="14:53" s="863" customFormat="1">
      <c r="N584" s="1072"/>
      <c r="T584" s="1072"/>
      <c r="BA584" s="1076"/>
    </row>
    <row r="585" spans="14:53" s="863" customFormat="1">
      <c r="N585" s="1072"/>
      <c r="T585" s="1072"/>
      <c r="BA585" s="1076"/>
    </row>
    <row r="586" spans="14:53" s="863" customFormat="1">
      <c r="N586" s="1072"/>
      <c r="T586" s="1072"/>
      <c r="BA586" s="1076"/>
    </row>
    <row r="587" spans="14:53" s="863" customFormat="1">
      <c r="N587" s="1072"/>
      <c r="T587" s="1072"/>
      <c r="BA587" s="1076"/>
    </row>
    <row r="588" spans="14:53" s="863" customFormat="1">
      <c r="N588" s="1072"/>
      <c r="T588" s="1072"/>
      <c r="BA588" s="1076"/>
    </row>
    <row r="589" spans="14:53" s="863" customFormat="1">
      <c r="N589" s="1072"/>
      <c r="T589" s="1072"/>
      <c r="BA589" s="1076"/>
    </row>
    <row r="590" spans="14:53" s="863" customFormat="1">
      <c r="N590" s="1072"/>
      <c r="T590" s="1072"/>
      <c r="BA590" s="1076"/>
    </row>
    <row r="591" spans="14:53" s="863" customFormat="1">
      <c r="N591" s="1072"/>
      <c r="T591" s="1072"/>
      <c r="BA591" s="1076"/>
    </row>
    <row r="592" spans="14:53" s="863" customFormat="1">
      <c r="N592" s="1072"/>
      <c r="T592" s="1072"/>
      <c r="BA592" s="1076"/>
    </row>
    <row r="593" spans="14:53" s="863" customFormat="1">
      <c r="N593" s="1072"/>
      <c r="T593" s="1072"/>
      <c r="BA593" s="1076"/>
    </row>
    <row r="594" spans="14:53" s="863" customFormat="1">
      <c r="N594" s="1072"/>
      <c r="T594" s="1072"/>
      <c r="BA594" s="1076"/>
    </row>
    <row r="595" spans="14:53" s="863" customFormat="1">
      <c r="N595" s="1072"/>
      <c r="T595" s="1072"/>
      <c r="BA595" s="1076"/>
    </row>
    <row r="596" spans="14:53" s="863" customFormat="1">
      <c r="N596" s="1072"/>
      <c r="T596" s="1072"/>
      <c r="BA596" s="1076"/>
    </row>
    <row r="597" spans="14:53" s="863" customFormat="1">
      <c r="N597" s="1072"/>
      <c r="T597" s="1072"/>
      <c r="BA597" s="1076"/>
    </row>
    <row r="598" spans="14:53" s="863" customFormat="1">
      <c r="N598" s="1072"/>
      <c r="T598" s="1072"/>
      <c r="BA598" s="1076"/>
    </row>
    <row r="599" spans="14:53" s="863" customFormat="1">
      <c r="N599" s="1072"/>
      <c r="T599" s="1072"/>
      <c r="BA599" s="1076"/>
    </row>
    <row r="600" spans="14:53" s="863" customFormat="1">
      <c r="N600" s="1072"/>
      <c r="T600" s="1072"/>
      <c r="BA600" s="1076"/>
    </row>
    <row r="601" spans="14:53" s="863" customFormat="1">
      <c r="N601" s="1072"/>
      <c r="T601" s="1072"/>
      <c r="BA601" s="1076"/>
    </row>
    <row r="602" spans="14:53" s="863" customFormat="1">
      <c r="N602" s="1072"/>
      <c r="T602" s="1072"/>
      <c r="BA602" s="1076"/>
    </row>
    <row r="603" spans="14:53" s="863" customFormat="1">
      <c r="N603" s="1072"/>
      <c r="T603" s="1072"/>
      <c r="BA603" s="1076"/>
    </row>
    <row r="604" spans="14:53" s="863" customFormat="1">
      <c r="N604" s="1072"/>
      <c r="T604" s="1072"/>
      <c r="BA604" s="1076"/>
    </row>
    <row r="605" spans="14:53" s="863" customFormat="1">
      <c r="N605" s="1072"/>
      <c r="T605" s="1072"/>
      <c r="BA605" s="1076"/>
    </row>
    <row r="606" spans="14:53" s="863" customFormat="1">
      <c r="N606" s="1072"/>
      <c r="T606" s="1072"/>
      <c r="BA606" s="1076"/>
    </row>
    <row r="607" spans="14:53" s="863" customFormat="1">
      <c r="N607" s="1072"/>
      <c r="T607" s="1072"/>
      <c r="BA607" s="1076"/>
    </row>
    <row r="608" spans="14:53" s="863" customFormat="1">
      <c r="N608" s="1072"/>
      <c r="T608" s="1072"/>
      <c r="BA608" s="1076"/>
    </row>
    <row r="609" spans="14:53" s="863" customFormat="1">
      <c r="N609" s="1072"/>
      <c r="T609" s="1072"/>
      <c r="BA609" s="1076"/>
    </row>
    <row r="610" spans="14:53" s="863" customFormat="1">
      <c r="N610" s="1072"/>
      <c r="T610" s="1072"/>
      <c r="BA610" s="1076"/>
    </row>
    <row r="611" spans="14:53" s="863" customFormat="1">
      <c r="N611" s="1072"/>
      <c r="T611" s="1072"/>
      <c r="BA611" s="1076"/>
    </row>
    <row r="612" spans="14:53" s="863" customFormat="1">
      <c r="N612" s="1072"/>
      <c r="T612" s="1072"/>
      <c r="BA612" s="1076"/>
    </row>
    <row r="613" spans="14:53" s="863" customFormat="1">
      <c r="N613" s="1072"/>
      <c r="T613" s="1072"/>
      <c r="BA613" s="1076"/>
    </row>
    <row r="614" spans="14:53" s="863" customFormat="1">
      <c r="N614" s="1072"/>
      <c r="T614" s="1072"/>
      <c r="BA614" s="1076"/>
    </row>
    <row r="615" spans="14:53" s="863" customFormat="1">
      <c r="N615" s="1072"/>
      <c r="T615" s="1072"/>
      <c r="BA615" s="1076"/>
    </row>
    <row r="616" spans="14:53" s="863" customFormat="1">
      <c r="N616" s="1072"/>
      <c r="T616" s="1072"/>
      <c r="BA616" s="1076"/>
    </row>
    <row r="617" spans="14:53" s="863" customFormat="1">
      <c r="N617" s="1072"/>
      <c r="T617" s="1072"/>
      <c r="BA617" s="1076"/>
    </row>
    <row r="618" spans="14:53" s="863" customFormat="1">
      <c r="N618" s="1072"/>
      <c r="T618" s="1072"/>
      <c r="BA618" s="1076"/>
    </row>
    <row r="619" spans="14:53" s="863" customFormat="1">
      <c r="N619" s="1072"/>
      <c r="T619" s="1072"/>
      <c r="BA619" s="1076"/>
    </row>
    <row r="620" spans="14:53" s="863" customFormat="1">
      <c r="N620" s="1072"/>
      <c r="T620" s="1072"/>
      <c r="BA620" s="1076"/>
    </row>
    <row r="621" spans="14:53" s="863" customFormat="1">
      <c r="N621" s="1072"/>
      <c r="T621" s="1072"/>
      <c r="BA621" s="1076"/>
    </row>
    <row r="622" spans="14:53" s="863" customFormat="1">
      <c r="N622" s="1072"/>
      <c r="T622" s="1072"/>
      <c r="BA622" s="1076"/>
    </row>
    <row r="623" spans="14:53" s="863" customFormat="1">
      <c r="N623" s="1072"/>
      <c r="T623" s="1072"/>
      <c r="BA623" s="1076"/>
    </row>
    <row r="624" spans="14:53" s="863" customFormat="1">
      <c r="N624" s="1072"/>
      <c r="T624" s="1072"/>
      <c r="BA624" s="1076"/>
    </row>
    <row r="625" spans="14:53" s="863" customFormat="1">
      <c r="N625" s="1072"/>
      <c r="T625" s="1072"/>
      <c r="BA625" s="1076"/>
    </row>
    <row r="626" spans="14:53" s="863" customFormat="1">
      <c r="N626" s="1072"/>
      <c r="T626" s="1072"/>
      <c r="BA626" s="1076"/>
    </row>
    <row r="627" spans="14:53" s="863" customFormat="1">
      <c r="N627" s="1072"/>
      <c r="T627" s="1072"/>
      <c r="BA627" s="1076"/>
    </row>
    <row r="628" spans="14:53" s="863" customFormat="1">
      <c r="N628" s="1072"/>
      <c r="T628" s="1072"/>
      <c r="BA628" s="1076"/>
    </row>
    <row r="629" spans="14:53" s="863" customFormat="1">
      <c r="N629" s="1072"/>
      <c r="T629" s="1072"/>
      <c r="BA629" s="1076"/>
    </row>
    <row r="630" spans="14:53" s="863" customFormat="1">
      <c r="N630" s="1072"/>
      <c r="T630" s="1072"/>
      <c r="BA630" s="1076"/>
    </row>
    <row r="631" spans="14:53" s="863" customFormat="1">
      <c r="N631" s="1072"/>
      <c r="T631" s="1072"/>
      <c r="BA631" s="1076"/>
    </row>
    <row r="632" spans="14:53" s="863" customFormat="1">
      <c r="N632" s="1072"/>
      <c r="T632" s="1072"/>
      <c r="BA632" s="1076"/>
    </row>
    <row r="633" spans="14:53" s="863" customFormat="1">
      <c r="N633" s="1072"/>
      <c r="T633" s="1072"/>
      <c r="BA633" s="1076"/>
    </row>
    <row r="634" spans="14:53" s="863" customFormat="1">
      <c r="N634" s="1072"/>
      <c r="T634" s="1072"/>
      <c r="BA634" s="1076"/>
    </row>
    <row r="635" spans="14:53" s="863" customFormat="1">
      <c r="N635" s="1072"/>
      <c r="T635" s="1072"/>
      <c r="BA635" s="1076"/>
    </row>
    <row r="636" spans="14:53" s="863" customFormat="1">
      <c r="N636" s="1072"/>
      <c r="T636" s="1072"/>
      <c r="BA636" s="1076"/>
    </row>
    <row r="637" spans="14:53" s="863" customFormat="1">
      <c r="N637" s="1072"/>
      <c r="T637" s="1072"/>
      <c r="BA637" s="1076"/>
    </row>
    <row r="638" spans="14:53" s="863" customFormat="1">
      <c r="N638" s="1072"/>
      <c r="T638" s="1072"/>
      <c r="BA638" s="1076"/>
    </row>
    <row r="639" spans="14:53" s="863" customFormat="1">
      <c r="N639" s="1072"/>
      <c r="T639" s="1072"/>
      <c r="BA639" s="1076"/>
    </row>
    <row r="640" spans="14:53" s="863" customFormat="1">
      <c r="N640" s="1072"/>
      <c r="T640" s="1072"/>
      <c r="BA640" s="1076"/>
    </row>
    <row r="641" spans="14:53" s="863" customFormat="1">
      <c r="N641" s="1072"/>
      <c r="T641" s="1072"/>
      <c r="BA641" s="1076"/>
    </row>
    <row r="642" spans="14:53" s="863" customFormat="1">
      <c r="N642" s="1072"/>
      <c r="T642" s="1072"/>
      <c r="BA642" s="1076"/>
    </row>
    <row r="643" spans="14:53" s="863" customFormat="1">
      <c r="N643" s="1072"/>
      <c r="T643" s="1072"/>
      <c r="BA643" s="1076"/>
    </row>
    <row r="644" spans="14:53" s="863" customFormat="1">
      <c r="N644" s="1072"/>
      <c r="T644" s="1072"/>
      <c r="BA644" s="1076"/>
    </row>
    <row r="645" spans="14:53" s="863" customFormat="1">
      <c r="N645" s="1072"/>
      <c r="T645" s="1072"/>
      <c r="BA645" s="1076"/>
    </row>
    <row r="646" spans="14:53" s="863" customFormat="1">
      <c r="N646" s="1072"/>
      <c r="T646" s="1072"/>
      <c r="BA646" s="1076"/>
    </row>
    <row r="647" spans="14:53" s="863" customFormat="1">
      <c r="N647" s="1072"/>
      <c r="T647" s="1072"/>
      <c r="BA647" s="1076"/>
    </row>
    <row r="648" spans="14:53" s="863" customFormat="1">
      <c r="N648" s="1072"/>
      <c r="T648" s="1072"/>
      <c r="BA648" s="1076"/>
    </row>
    <row r="649" spans="14:53" s="863" customFormat="1">
      <c r="N649" s="1072"/>
      <c r="T649" s="1072"/>
      <c r="BA649" s="1076"/>
    </row>
    <row r="650" spans="14:53" s="863" customFormat="1">
      <c r="N650" s="1072"/>
      <c r="T650" s="1072"/>
      <c r="BA650" s="1076"/>
    </row>
    <row r="651" spans="14:53" s="863" customFormat="1">
      <c r="N651" s="1072"/>
      <c r="T651" s="1072"/>
      <c r="BA651" s="1076"/>
    </row>
    <row r="652" spans="14:53" s="863" customFormat="1">
      <c r="N652" s="1072"/>
      <c r="T652" s="1072"/>
      <c r="BA652" s="1076"/>
    </row>
    <row r="653" spans="14:53" s="863" customFormat="1">
      <c r="N653" s="1072"/>
      <c r="T653" s="1072"/>
      <c r="BA653" s="1076"/>
    </row>
    <row r="654" spans="14:53" s="863" customFormat="1">
      <c r="N654" s="1072"/>
      <c r="T654" s="1072"/>
      <c r="BA654" s="1076"/>
    </row>
    <row r="655" spans="14:53" s="863" customFormat="1">
      <c r="N655" s="1072"/>
      <c r="T655" s="1072"/>
      <c r="BA655" s="1076"/>
    </row>
    <row r="656" spans="14:53" s="863" customFormat="1">
      <c r="N656" s="1072"/>
      <c r="T656" s="1072"/>
      <c r="BA656" s="1076"/>
    </row>
    <row r="657" spans="14:53" s="863" customFormat="1">
      <c r="N657" s="1072"/>
      <c r="T657" s="1072"/>
      <c r="BA657" s="1076"/>
    </row>
    <row r="658" spans="14:53" s="863" customFormat="1">
      <c r="N658" s="1072"/>
      <c r="T658" s="1072"/>
      <c r="BA658" s="1076"/>
    </row>
    <row r="659" spans="14:53" s="863" customFormat="1">
      <c r="N659" s="1072"/>
      <c r="T659" s="1072"/>
      <c r="BA659" s="1076"/>
    </row>
    <row r="660" spans="14:53" s="863" customFormat="1">
      <c r="N660" s="1072"/>
      <c r="T660" s="1072"/>
      <c r="BA660" s="1076"/>
    </row>
    <row r="661" spans="14:53" s="863" customFormat="1">
      <c r="N661" s="1072"/>
      <c r="T661" s="1072"/>
      <c r="BA661" s="1076"/>
    </row>
    <row r="662" spans="14:53" s="863" customFormat="1">
      <c r="N662" s="1072"/>
      <c r="T662" s="1072"/>
      <c r="BA662" s="1076"/>
    </row>
    <row r="663" spans="14:53" s="863" customFormat="1">
      <c r="N663" s="1072"/>
      <c r="T663" s="1072"/>
      <c r="BA663" s="1076"/>
    </row>
    <row r="664" spans="14:53" s="863" customFormat="1">
      <c r="N664" s="1072"/>
      <c r="T664" s="1072"/>
      <c r="BA664" s="1076"/>
    </row>
    <row r="665" spans="14:53" s="863" customFormat="1">
      <c r="N665" s="1072"/>
      <c r="T665" s="1072"/>
      <c r="BA665" s="1076"/>
    </row>
    <row r="666" spans="14:53" s="863" customFormat="1">
      <c r="N666" s="1072"/>
      <c r="T666" s="1072"/>
      <c r="BA666" s="1076"/>
    </row>
    <row r="667" spans="14:53" s="863" customFormat="1">
      <c r="N667" s="1072"/>
      <c r="T667" s="1072"/>
      <c r="BA667" s="1076"/>
    </row>
    <row r="668" spans="14:53" s="863" customFormat="1">
      <c r="N668" s="1072"/>
      <c r="T668" s="1072"/>
      <c r="BA668" s="1076"/>
    </row>
    <row r="669" spans="14:53" s="863" customFormat="1">
      <c r="N669" s="1072"/>
      <c r="T669" s="1072"/>
      <c r="BA669" s="1076"/>
    </row>
    <row r="670" spans="14:53" s="863" customFormat="1">
      <c r="N670" s="1072"/>
      <c r="T670" s="1072"/>
      <c r="BA670" s="1076"/>
    </row>
    <row r="671" spans="14:53" s="863" customFormat="1">
      <c r="N671" s="1072"/>
      <c r="T671" s="1072"/>
      <c r="BA671" s="1076"/>
    </row>
    <row r="672" spans="14:53" s="863" customFormat="1">
      <c r="N672" s="1072"/>
      <c r="T672" s="1072"/>
      <c r="BA672" s="1076"/>
    </row>
    <row r="673" spans="14:53" s="863" customFormat="1">
      <c r="N673" s="1072"/>
      <c r="T673" s="1072"/>
      <c r="BA673" s="1076"/>
    </row>
    <row r="674" spans="14:53" s="863" customFormat="1">
      <c r="N674" s="1072"/>
      <c r="T674" s="1072"/>
      <c r="BA674" s="1076"/>
    </row>
    <row r="675" spans="14:53" s="863" customFormat="1">
      <c r="N675" s="1072"/>
      <c r="T675" s="1072"/>
      <c r="BA675" s="1076"/>
    </row>
    <row r="676" spans="14:53" s="863" customFormat="1">
      <c r="N676" s="1072"/>
      <c r="T676" s="1072"/>
      <c r="BA676" s="1076"/>
    </row>
    <row r="677" spans="14:53" s="863" customFormat="1">
      <c r="N677" s="1072"/>
      <c r="T677" s="1072"/>
      <c r="BA677" s="1076"/>
    </row>
    <row r="678" spans="14:53" s="863" customFormat="1">
      <c r="N678" s="1072"/>
      <c r="T678" s="1072"/>
      <c r="BA678" s="1076"/>
    </row>
    <row r="679" spans="14:53" s="863" customFormat="1">
      <c r="N679" s="1072"/>
      <c r="T679" s="1072"/>
      <c r="BA679" s="1076"/>
    </row>
    <row r="680" spans="14:53" s="863" customFormat="1">
      <c r="N680" s="1072"/>
      <c r="T680" s="1072"/>
      <c r="BA680" s="1076"/>
    </row>
    <row r="681" spans="14:53" s="863" customFormat="1">
      <c r="N681" s="1072"/>
      <c r="T681" s="1072"/>
      <c r="BA681" s="1076"/>
    </row>
    <row r="682" spans="14:53" s="863" customFormat="1">
      <c r="N682" s="1072"/>
      <c r="T682" s="1072"/>
      <c r="BA682" s="1076"/>
    </row>
    <row r="683" spans="14:53" s="863" customFormat="1">
      <c r="N683" s="1072"/>
      <c r="T683" s="1072"/>
      <c r="BA683" s="1076"/>
    </row>
    <row r="684" spans="14:53" s="863" customFormat="1">
      <c r="N684" s="1072"/>
      <c r="T684" s="1072"/>
      <c r="BA684" s="1076"/>
    </row>
    <row r="685" spans="14:53" s="863" customFormat="1">
      <c r="N685" s="1072"/>
      <c r="T685" s="1072"/>
      <c r="BA685" s="1076"/>
    </row>
    <row r="686" spans="14:53" s="863" customFormat="1">
      <c r="N686" s="1072"/>
      <c r="T686" s="1072"/>
      <c r="BA686" s="1076"/>
    </row>
    <row r="687" spans="14:53" s="863" customFormat="1">
      <c r="N687" s="1072"/>
      <c r="T687" s="1072"/>
      <c r="BA687" s="1076"/>
    </row>
    <row r="688" spans="14:53" s="863" customFormat="1">
      <c r="N688" s="1072"/>
      <c r="T688" s="1072"/>
      <c r="BA688" s="1076"/>
    </row>
    <row r="689" spans="14:53" s="863" customFormat="1">
      <c r="N689" s="1072"/>
      <c r="T689" s="1072"/>
      <c r="BA689" s="1076"/>
    </row>
    <row r="690" spans="14:53" s="863" customFormat="1">
      <c r="N690" s="1072"/>
      <c r="T690" s="1072"/>
      <c r="BA690" s="1076"/>
    </row>
    <row r="691" spans="14:53" s="863" customFormat="1">
      <c r="N691" s="1072"/>
      <c r="T691" s="1072"/>
      <c r="BA691" s="1076"/>
    </row>
    <row r="692" spans="14:53" s="863" customFormat="1">
      <c r="N692" s="1072"/>
      <c r="T692" s="1072"/>
      <c r="BA692" s="1076"/>
    </row>
    <row r="693" spans="14:53" s="863" customFormat="1">
      <c r="N693" s="1072"/>
      <c r="T693" s="1072"/>
      <c r="BA693" s="1076"/>
    </row>
    <row r="694" spans="14:53" s="863" customFormat="1">
      <c r="N694" s="1072"/>
      <c r="T694" s="1072"/>
      <c r="BA694" s="1076"/>
    </row>
    <row r="695" spans="14:53" s="863" customFormat="1">
      <c r="N695" s="1072"/>
      <c r="T695" s="1072"/>
      <c r="BA695" s="1076"/>
    </row>
    <row r="696" spans="14:53" s="863" customFormat="1">
      <c r="N696" s="1072"/>
      <c r="T696" s="1072"/>
      <c r="BA696" s="1076"/>
    </row>
    <row r="697" spans="14:53" s="863" customFormat="1">
      <c r="N697" s="1072"/>
      <c r="T697" s="1072"/>
      <c r="BA697" s="1076"/>
    </row>
    <row r="698" spans="14:53" s="863" customFormat="1">
      <c r="N698" s="1072"/>
      <c r="T698" s="1072"/>
      <c r="BA698" s="1076"/>
    </row>
    <row r="699" spans="14:53" s="863" customFormat="1">
      <c r="N699" s="1072"/>
      <c r="T699" s="1072"/>
      <c r="BA699" s="1076"/>
    </row>
    <row r="700" spans="14:53" s="863" customFormat="1">
      <c r="N700" s="1072"/>
      <c r="T700" s="1072"/>
      <c r="BA700" s="1076"/>
    </row>
    <row r="701" spans="14:53" s="863" customFormat="1">
      <c r="N701" s="1072"/>
      <c r="T701" s="1072"/>
      <c r="BA701" s="1076"/>
    </row>
    <row r="702" spans="14:53" s="863" customFormat="1">
      <c r="N702" s="1072"/>
      <c r="T702" s="1072"/>
      <c r="BA702" s="1076"/>
    </row>
    <row r="703" spans="14:53" s="863" customFormat="1">
      <c r="N703" s="1072"/>
      <c r="T703" s="1072"/>
      <c r="BA703" s="1076"/>
    </row>
    <row r="704" spans="14:53" s="863" customFormat="1">
      <c r="N704" s="1072"/>
      <c r="T704" s="1072"/>
      <c r="BA704" s="1076"/>
    </row>
    <row r="705" spans="14:53" s="863" customFormat="1">
      <c r="N705" s="1072"/>
      <c r="T705" s="1072"/>
      <c r="BA705" s="1076"/>
    </row>
    <row r="706" spans="14:53" s="863" customFormat="1">
      <c r="N706" s="1072"/>
      <c r="T706" s="1072"/>
      <c r="BA706" s="1076"/>
    </row>
    <row r="707" spans="14:53" s="863" customFormat="1">
      <c r="N707" s="1072"/>
      <c r="T707" s="1072"/>
      <c r="BA707" s="1076"/>
    </row>
    <row r="708" spans="14:53" s="863" customFormat="1">
      <c r="N708" s="1072"/>
      <c r="T708" s="1072"/>
      <c r="BA708" s="1076"/>
    </row>
    <row r="709" spans="14:53" s="863" customFormat="1">
      <c r="N709" s="1072"/>
      <c r="T709" s="1072"/>
      <c r="BA709" s="1076"/>
    </row>
    <row r="710" spans="14:53" s="863" customFormat="1">
      <c r="N710" s="1072"/>
      <c r="T710" s="1072"/>
      <c r="BA710" s="1076"/>
    </row>
    <row r="711" spans="14:53" s="863" customFormat="1">
      <c r="N711" s="1072"/>
      <c r="T711" s="1072"/>
      <c r="BA711" s="1076"/>
    </row>
    <row r="712" spans="14:53" s="863" customFormat="1">
      <c r="N712" s="1072"/>
      <c r="T712" s="1072"/>
      <c r="BA712" s="1076"/>
    </row>
    <row r="713" spans="14:53" s="863" customFormat="1">
      <c r="N713" s="1072"/>
      <c r="T713" s="1072"/>
      <c r="BA713" s="1076"/>
    </row>
    <row r="714" spans="14:53" s="863" customFormat="1">
      <c r="N714" s="1072"/>
      <c r="T714" s="1072"/>
      <c r="BA714" s="1076"/>
    </row>
    <row r="715" spans="14:53" s="863" customFormat="1">
      <c r="N715" s="1072"/>
      <c r="T715" s="1072"/>
      <c r="BA715" s="1076"/>
    </row>
    <row r="716" spans="14:53" s="863" customFormat="1">
      <c r="N716" s="1072"/>
      <c r="T716" s="1072"/>
      <c r="BA716" s="1076"/>
    </row>
    <row r="717" spans="14:53" s="863" customFormat="1">
      <c r="N717" s="1072"/>
      <c r="T717" s="1072"/>
      <c r="BA717" s="1076"/>
    </row>
    <row r="718" spans="14:53" s="863" customFormat="1">
      <c r="N718" s="1072"/>
      <c r="T718" s="1072"/>
      <c r="BA718" s="1076"/>
    </row>
    <row r="719" spans="14:53" s="863" customFormat="1">
      <c r="N719" s="1072"/>
      <c r="T719" s="1072"/>
      <c r="BA719" s="1076"/>
    </row>
    <row r="720" spans="14:53" s="863" customFormat="1">
      <c r="N720" s="1072"/>
      <c r="T720" s="1072"/>
      <c r="BA720" s="1076"/>
    </row>
    <row r="721" spans="14:53" s="863" customFormat="1">
      <c r="N721" s="1072"/>
      <c r="T721" s="1072"/>
      <c r="BA721" s="1076"/>
    </row>
    <row r="722" spans="14:53" s="863" customFormat="1">
      <c r="N722" s="1072"/>
      <c r="T722" s="1072"/>
      <c r="BA722" s="1076"/>
    </row>
    <row r="723" spans="14:53" s="863" customFormat="1">
      <c r="N723" s="1072"/>
      <c r="T723" s="1072"/>
      <c r="BA723" s="1076"/>
    </row>
    <row r="724" spans="14:53" s="863" customFormat="1">
      <c r="N724" s="1072"/>
      <c r="T724" s="1072"/>
      <c r="BA724" s="1076"/>
    </row>
    <row r="725" spans="14:53" s="863" customFormat="1">
      <c r="N725" s="1072"/>
      <c r="T725" s="1072"/>
      <c r="BA725" s="1076"/>
    </row>
    <row r="726" spans="14:53" s="863" customFormat="1">
      <c r="N726" s="1072"/>
      <c r="T726" s="1072"/>
      <c r="BA726" s="1076"/>
    </row>
    <row r="727" spans="14:53" s="863" customFormat="1">
      <c r="N727" s="1072"/>
      <c r="T727" s="1072"/>
      <c r="BA727" s="1076"/>
    </row>
    <row r="728" spans="14:53" s="863" customFormat="1">
      <c r="N728" s="1072"/>
      <c r="T728" s="1072"/>
      <c r="BA728" s="1076"/>
    </row>
    <row r="729" spans="14:53" s="863" customFormat="1">
      <c r="N729" s="1072"/>
      <c r="T729" s="1072"/>
      <c r="BA729" s="1076"/>
    </row>
    <row r="730" spans="14:53" s="863" customFormat="1">
      <c r="N730" s="1072"/>
      <c r="T730" s="1072"/>
      <c r="BA730" s="1076"/>
    </row>
    <row r="731" spans="14:53" s="863" customFormat="1">
      <c r="N731" s="1072"/>
      <c r="T731" s="1072"/>
      <c r="BA731" s="1076"/>
    </row>
    <row r="732" spans="14:53" s="863" customFormat="1">
      <c r="N732" s="1072"/>
      <c r="T732" s="1072"/>
      <c r="BA732" s="1076"/>
    </row>
    <row r="733" spans="14:53" s="863" customFormat="1">
      <c r="N733" s="1072"/>
      <c r="T733" s="1072"/>
      <c r="BA733" s="1076"/>
    </row>
    <row r="734" spans="14:53" s="863" customFormat="1">
      <c r="N734" s="1072"/>
      <c r="T734" s="1072"/>
      <c r="BA734" s="1076"/>
    </row>
    <row r="735" spans="14:53" s="863" customFormat="1">
      <c r="N735" s="1072"/>
      <c r="T735" s="1072"/>
      <c r="BA735" s="1076"/>
    </row>
    <row r="736" spans="14:53" s="863" customFormat="1">
      <c r="N736" s="1072"/>
      <c r="T736" s="1072"/>
      <c r="BA736" s="1076"/>
    </row>
    <row r="737" spans="14:53" s="863" customFormat="1">
      <c r="N737" s="1072"/>
      <c r="T737" s="1072"/>
      <c r="BA737" s="1076"/>
    </row>
    <row r="738" spans="14:53" s="863" customFormat="1">
      <c r="N738" s="1072"/>
      <c r="T738" s="1072"/>
      <c r="BA738" s="1076"/>
    </row>
    <row r="739" spans="14:53" s="863" customFormat="1">
      <c r="N739" s="1072"/>
      <c r="T739" s="1072"/>
      <c r="BA739" s="1076"/>
    </row>
    <row r="740" spans="14:53" s="863" customFormat="1">
      <c r="N740" s="1072"/>
      <c r="T740" s="1072"/>
      <c r="BA740" s="1076"/>
    </row>
    <row r="741" spans="14:53" s="863" customFormat="1">
      <c r="N741" s="1072"/>
      <c r="T741" s="1072"/>
      <c r="BA741" s="1076"/>
    </row>
    <row r="742" spans="14:53" s="863" customFormat="1">
      <c r="N742" s="1072"/>
      <c r="T742" s="1072"/>
      <c r="BA742" s="1076"/>
    </row>
    <row r="743" spans="14:53" s="863" customFormat="1">
      <c r="N743" s="1072"/>
      <c r="T743" s="1072"/>
      <c r="BA743" s="1076"/>
    </row>
    <row r="744" spans="14:53" s="863" customFormat="1">
      <c r="N744" s="1072"/>
      <c r="T744" s="1072"/>
      <c r="BA744" s="1076"/>
    </row>
    <row r="745" spans="14:53" s="863" customFormat="1">
      <c r="N745" s="1072"/>
      <c r="T745" s="1072"/>
      <c r="BA745" s="1076"/>
    </row>
    <row r="746" spans="14:53" s="863" customFormat="1">
      <c r="N746" s="1072"/>
      <c r="T746" s="1072"/>
      <c r="BA746" s="1076"/>
    </row>
    <row r="747" spans="14:53" s="863" customFormat="1">
      <c r="N747" s="1072"/>
      <c r="T747" s="1072"/>
      <c r="BA747" s="1076"/>
    </row>
    <row r="748" spans="14:53" s="863" customFormat="1">
      <c r="N748" s="1072"/>
      <c r="T748" s="1072"/>
      <c r="BA748" s="1076"/>
    </row>
    <row r="749" spans="14:53" s="863" customFormat="1">
      <c r="N749" s="1072"/>
      <c r="T749" s="1072"/>
      <c r="BA749" s="1076"/>
    </row>
    <row r="750" spans="14:53" s="863" customFormat="1">
      <c r="N750" s="1072"/>
      <c r="T750" s="1072"/>
      <c r="BA750" s="1076"/>
    </row>
    <row r="751" spans="14:53" s="863" customFormat="1">
      <c r="N751" s="1072"/>
      <c r="T751" s="1072"/>
      <c r="BA751" s="1076"/>
    </row>
    <row r="752" spans="14:53" s="863" customFormat="1">
      <c r="N752" s="1072"/>
      <c r="T752" s="1072"/>
      <c r="BA752" s="1076"/>
    </row>
    <row r="753" spans="14:53" s="863" customFormat="1">
      <c r="N753" s="1072"/>
      <c r="T753" s="1072"/>
      <c r="BA753" s="1076"/>
    </row>
    <row r="754" spans="14:53" s="863" customFormat="1">
      <c r="N754" s="1072"/>
      <c r="T754" s="1072"/>
      <c r="BA754" s="1076"/>
    </row>
    <row r="755" spans="14:53" s="863" customFormat="1">
      <c r="N755" s="1072"/>
      <c r="T755" s="1072"/>
      <c r="BA755" s="1076"/>
    </row>
    <row r="756" spans="14:53" s="863" customFormat="1">
      <c r="N756" s="1072"/>
      <c r="T756" s="1072"/>
      <c r="BA756" s="1076"/>
    </row>
    <row r="757" spans="14:53" s="863" customFormat="1">
      <c r="N757" s="1072"/>
      <c r="T757" s="1072"/>
      <c r="BA757" s="1076"/>
    </row>
    <row r="758" spans="14:53" s="863" customFormat="1">
      <c r="N758" s="1072"/>
      <c r="T758" s="1072"/>
      <c r="BA758" s="1076"/>
    </row>
    <row r="759" spans="14:53" s="863" customFormat="1">
      <c r="N759" s="1072"/>
      <c r="T759" s="1072"/>
      <c r="BA759" s="1076"/>
    </row>
    <row r="760" spans="14:53" s="863" customFormat="1">
      <c r="N760" s="1072"/>
      <c r="T760" s="1072"/>
      <c r="BA760" s="1076"/>
    </row>
    <row r="761" spans="14:53" s="863" customFormat="1">
      <c r="N761" s="1072"/>
      <c r="T761" s="1072"/>
      <c r="BA761" s="1076"/>
    </row>
    <row r="762" spans="14:53" s="863" customFormat="1">
      <c r="N762" s="1072"/>
      <c r="T762" s="1072"/>
      <c r="BA762" s="1076"/>
    </row>
    <row r="763" spans="14:53" s="863" customFormat="1">
      <c r="N763" s="1072"/>
      <c r="T763" s="1072"/>
      <c r="BA763" s="1076"/>
    </row>
    <row r="764" spans="14:53" s="863" customFormat="1">
      <c r="N764" s="1072"/>
      <c r="T764" s="1072"/>
      <c r="BA764" s="1076"/>
    </row>
    <row r="765" spans="14:53" s="863" customFormat="1">
      <c r="N765" s="1072"/>
      <c r="T765" s="1072"/>
      <c r="BA765" s="1076"/>
    </row>
    <row r="766" spans="14:53" s="863" customFormat="1">
      <c r="N766" s="1072"/>
      <c r="T766" s="1072"/>
      <c r="BA766" s="1076"/>
    </row>
    <row r="767" spans="14:53" s="863" customFormat="1">
      <c r="N767" s="1072"/>
      <c r="T767" s="1072"/>
      <c r="BA767" s="1076"/>
    </row>
    <row r="768" spans="14:53" s="863" customFormat="1">
      <c r="N768" s="1072"/>
      <c r="T768" s="1072"/>
      <c r="BA768" s="1076"/>
    </row>
    <row r="769" spans="14:53" s="863" customFormat="1">
      <c r="N769" s="1072"/>
      <c r="T769" s="1072"/>
      <c r="BA769" s="1076"/>
    </row>
    <row r="770" spans="14:53" s="863" customFormat="1">
      <c r="N770" s="1072"/>
      <c r="T770" s="1072"/>
      <c r="BA770" s="1076"/>
    </row>
    <row r="771" spans="14:53" s="863" customFormat="1">
      <c r="N771" s="1072"/>
      <c r="T771" s="1072"/>
      <c r="BA771" s="1076"/>
    </row>
    <row r="772" spans="14:53" s="863" customFormat="1">
      <c r="N772" s="1072"/>
      <c r="T772" s="1072"/>
      <c r="BA772" s="1076"/>
    </row>
    <row r="773" spans="14:53" s="863" customFormat="1">
      <c r="N773" s="1072"/>
      <c r="T773" s="1072"/>
      <c r="BA773" s="1076"/>
    </row>
    <row r="774" spans="14:53" s="863" customFormat="1">
      <c r="N774" s="1072"/>
      <c r="T774" s="1072"/>
      <c r="BA774" s="1076"/>
    </row>
    <row r="775" spans="14:53" s="863" customFormat="1">
      <c r="N775" s="1072"/>
      <c r="T775" s="1072"/>
      <c r="BA775" s="1076"/>
    </row>
    <row r="776" spans="14:53" s="863" customFormat="1">
      <c r="N776" s="1072"/>
      <c r="T776" s="1072"/>
      <c r="BA776" s="1076"/>
    </row>
    <row r="777" spans="14:53" s="863" customFormat="1">
      <c r="N777" s="1072"/>
      <c r="T777" s="1072"/>
      <c r="BA777" s="1076"/>
    </row>
    <row r="778" spans="14:53" s="863" customFormat="1">
      <c r="N778" s="1072"/>
      <c r="T778" s="1072"/>
      <c r="BA778" s="1076"/>
    </row>
    <row r="779" spans="14:53" s="863" customFormat="1">
      <c r="N779" s="1072"/>
      <c r="T779" s="1072"/>
      <c r="BA779" s="1076"/>
    </row>
    <row r="780" spans="14:53" s="863" customFormat="1">
      <c r="N780" s="1072"/>
      <c r="T780" s="1072"/>
      <c r="BA780" s="1076"/>
    </row>
    <row r="781" spans="14:53" s="863" customFormat="1">
      <c r="N781" s="1072"/>
      <c r="T781" s="1072"/>
      <c r="BA781" s="1076"/>
    </row>
    <row r="782" spans="14:53" s="863" customFormat="1">
      <c r="N782" s="1072"/>
      <c r="T782" s="1072"/>
      <c r="BA782" s="1076"/>
    </row>
    <row r="783" spans="14:53" s="863" customFormat="1">
      <c r="N783" s="1072"/>
      <c r="T783" s="1072"/>
      <c r="BA783" s="1076"/>
    </row>
    <row r="784" spans="14:53" s="863" customFormat="1">
      <c r="N784" s="1072"/>
      <c r="T784" s="1072"/>
      <c r="BA784" s="1076"/>
    </row>
    <row r="785" spans="14:53" s="863" customFormat="1">
      <c r="N785" s="1072"/>
      <c r="T785" s="1072"/>
      <c r="BA785" s="1076"/>
    </row>
    <row r="786" spans="14:53" s="863" customFormat="1">
      <c r="N786" s="1072"/>
      <c r="T786" s="1072"/>
      <c r="BA786" s="1076"/>
    </row>
    <row r="787" spans="14:53" s="863" customFormat="1">
      <c r="N787" s="1072"/>
      <c r="T787" s="1072"/>
      <c r="BA787" s="1076"/>
    </row>
    <row r="788" spans="14:53" s="863" customFormat="1">
      <c r="N788" s="1072"/>
      <c r="T788" s="1072"/>
      <c r="BA788" s="1076"/>
    </row>
    <row r="789" spans="14:53" s="863" customFormat="1">
      <c r="N789" s="1072"/>
      <c r="T789" s="1072"/>
      <c r="BA789" s="1076"/>
    </row>
    <row r="790" spans="14:53" s="863" customFormat="1">
      <c r="N790" s="1072"/>
      <c r="T790" s="1072"/>
      <c r="BA790" s="1076"/>
    </row>
    <row r="791" spans="14:53" s="863" customFormat="1">
      <c r="N791" s="1072"/>
      <c r="T791" s="1072"/>
      <c r="BA791" s="1076"/>
    </row>
    <row r="792" spans="14:53" s="863" customFormat="1">
      <c r="N792" s="1072"/>
      <c r="T792" s="1072"/>
      <c r="BA792" s="1076"/>
    </row>
    <row r="793" spans="14:53" s="863" customFormat="1">
      <c r="N793" s="1072"/>
      <c r="T793" s="1072"/>
      <c r="BA793" s="1076"/>
    </row>
    <row r="794" spans="14:53" s="863" customFormat="1">
      <c r="N794" s="1072"/>
      <c r="T794" s="1072"/>
      <c r="BA794" s="1076"/>
    </row>
    <row r="795" spans="14:53" s="863" customFormat="1">
      <c r="N795" s="1072"/>
      <c r="T795" s="1072"/>
      <c r="BA795" s="1076"/>
    </row>
    <row r="796" spans="14:53" s="863" customFormat="1">
      <c r="N796" s="1072"/>
      <c r="T796" s="1072"/>
      <c r="BA796" s="1076"/>
    </row>
    <row r="797" spans="14:53" s="863" customFormat="1">
      <c r="N797" s="1072"/>
      <c r="T797" s="1072"/>
      <c r="BA797" s="1076"/>
    </row>
    <row r="798" spans="14:53" s="863" customFormat="1">
      <c r="N798" s="1072"/>
      <c r="T798" s="1072"/>
      <c r="BA798" s="1076"/>
    </row>
    <row r="799" spans="14:53" s="863" customFormat="1">
      <c r="N799" s="1072"/>
      <c r="T799" s="1072"/>
      <c r="BA799" s="1076"/>
    </row>
    <row r="800" spans="14:53" s="863" customFormat="1">
      <c r="N800" s="1072"/>
      <c r="T800" s="1072"/>
      <c r="BA800" s="1076"/>
    </row>
    <row r="801" spans="14:53" s="863" customFormat="1">
      <c r="N801" s="1072"/>
      <c r="T801" s="1072"/>
      <c r="BA801" s="1076"/>
    </row>
    <row r="802" spans="14:53" s="863" customFormat="1">
      <c r="N802" s="1072"/>
      <c r="T802" s="1072"/>
      <c r="BA802" s="1076"/>
    </row>
    <row r="803" spans="14:53" s="863" customFormat="1">
      <c r="N803" s="1072"/>
      <c r="T803" s="1072"/>
      <c r="BA803" s="1076"/>
    </row>
    <row r="804" spans="14:53" s="863" customFormat="1">
      <c r="N804" s="1072"/>
      <c r="T804" s="1072"/>
      <c r="BA804" s="1076"/>
    </row>
    <row r="805" spans="14:53" s="863" customFormat="1">
      <c r="N805" s="1072"/>
      <c r="T805" s="1072"/>
      <c r="BA805" s="1076"/>
    </row>
    <row r="806" spans="14:53" s="863" customFormat="1">
      <c r="N806" s="1072"/>
      <c r="T806" s="1072"/>
      <c r="BA806" s="1076"/>
    </row>
    <row r="807" spans="14:53" s="863" customFormat="1">
      <c r="N807" s="1072"/>
      <c r="T807" s="1072"/>
      <c r="BA807" s="1076"/>
    </row>
    <row r="808" spans="14:53" s="863" customFormat="1">
      <c r="N808" s="1072"/>
      <c r="T808" s="1072"/>
      <c r="BA808" s="1076"/>
    </row>
    <row r="809" spans="14:53" s="863" customFormat="1">
      <c r="N809" s="1072"/>
      <c r="T809" s="1072"/>
      <c r="BA809" s="1076"/>
    </row>
    <row r="810" spans="14:53" s="863" customFormat="1">
      <c r="N810" s="1072"/>
      <c r="T810" s="1072"/>
      <c r="BA810" s="1076"/>
    </row>
    <row r="811" spans="14:53" s="863" customFormat="1">
      <c r="N811" s="1072"/>
      <c r="T811" s="1072"/>
      <c r="BA811" s="1076"/>
    </row>
    <row r="812" spans="14:53" s="863" customFormat="1">
      <c r="N812" s="1072"/>
      <c r="T812" s="1072"/>
      <c r="BA812" s="1076"/>
    </row>
    <row r="813" spans="14:53" s="863" customFormat="1">
      <c r="N813" s="1072"/>
      <c r="T813" s="1072"/>
      <c r="BA813" s="1076"/>
    </row>
    <row r="814" spans="14:53" s="863" customFormat="1">
      <c r="N814" s="1072"/>
      <c r="T814" s="1072"/>
      <c r="BA814" s="1076"/>
    </row>
    <row r="815" spans="14:53" s="863" customFormat="1">
      <c r="N815" s="1072"/>
      <c r="T815" s="1072"/>
      <c r="BA815" s="1076"/>
    </row>
    <row r="816" spans="14:53" s="863" customFormat="1">
      <c r="N816" s="1072"/>
      <c r="T816" s="1072"/>
      <c r="BA816" s="1076"/>
    </row>
    <row r="817" spans="14:53" s="863" customFormat="1">
      <c r="N817" s="1072"/>
      <c r="T817" s="1072"/>
      <c r="BA817" s="1076"/>
    </row>
    <row r="818" spans="14:53" s="863" customFormat="1">
      <c r="N818" s="1072"/>
      <c r="T818" s="1072"/>
      <c r="BA818" s="1076"/>
    </row>
    <row r="819" spans="14:53" s="863" customFormat="1">
      <c r="N819" s="1072"/>
      <c r="T819" s="1072"/>
      <c r="BA819" s="1076"/>
    </row>
    <row r="820" spans="14:53" s="863" customFormat="1">
      <c r="N820" s="1072"/>
      <c r="T820" s="1072"/>
      <c r="BA820" s="1076"/>
    </row>
    <row r="821" spans="14:53" s="863" customFormat="1">
      <c r="N821" s="1072"/>
      <c r="T821" s="1072"/>
      <c r="BA821" s="1076"/>
    </row>
    <row r="822" spans="14:53" s="863" customFormat="1">
      <c r="N822" s="1072"/>
      <c r="T822" s="1072"/>
      <c r="BA822" s="1076"/>
    </row>
    <row r="823" spans="14:53" s="863" customFormat="1">
      <c r="N823" s="1072"/>
      <c r="T823" s="1072"/>
      <c r="BA823" s="1076"/>
    </row>
    <row r="824" spans="14:53" s="863" customFormat="1">
      <c r="N824" s="1072"/>
      <c r="T824" s="1072"/>
      <c r="BA824" s="1076"/>
    </row>
    <row r="825" spans="14:53" s="863" customFormat="1">
      <c r="N825" s="1072"/>
      <c r="T825" s="1072"/>
      <c r="BA825" s="1076"/>
    </row>
    <row r="826" spans="14:53" s="863" customFormat="1">
      <c r="N826" s="1072"/>
      <c r="T826" s="1072"/>
      <c r="BA826" s="1076"/>
    </row>
    <row r="827" spans="14:53" s="863" customFormat="1">
      <c r="N827" s="1072"/>
      <c r="T827" s="1072"/>
      <c r="BA827" s="1076"/>
    </row>
    <row r="828" spans="14:53" s="863" customFormat="1">
      <c r="N828" s="1072"/>
      <c r="T828" s="1072"/>
      <c r="BA828" s="1076"/>
    </row>
    <row r="829" spans="14:53" s="863" customFormat="1">
      <c r="N829" s="1072"/>
      <c r="T829" s="1072"/>
      <c r="BA829" s="1076"/>
    </row>
    <row r="830" spans="14:53" s="863" customFormat="1">
      <c r="N830" s="1072"/>
      <c r="T830" s="1072"/>
      <c r="BA830" s="1076"/>
    </row>
    <row r="831" spans="14:53" s="863" customFormat="1">
      <c r="N831" s="1072"/>
      <c r="T831" s="1072"/>
      <c r="BA831" s="1076"/>
    </row>
    <row r="832" spans="14:53" s="863" customFormat="1">
      <c r="N832" s="1072"/>
      <c r="T832" s="1072"/>
      <c r="BA832" s="1076"/>
    </row>
    <row r="833" spans="14:53" s="863" customFormat="1">
      <c r="N833" s="1072"/>
      <c r="T833" s="1072"/>
      <c r="BA833" s="1076"/>
    </row>
    <row r="834" spans="14:53" s="863" customFormat="1">
      <c r="N834" s="1072"/>
      <c r="T834" s="1072"/>
      <c r="BA834" s="1076"/>
    </row>
    <row r="835" spans="14:53" s="863" customFormat="1">
      <c r="N835" s="1072"/>
      <c r="T835" s="1072"/>
      <c r="BA835" s="1076"/>
    </row>
    <row r="836" spans="14:53" s="863" customFormat="1">
      <c r="N836" s="1072"/>
      <c r="T836" s="1072"/>
      <c r="BA836" s="1076"/>
    </row>
    <row r="837" spans="14:53" s="863" customFormat="1">
      <c r="N837" s="1072"/>
      <c r="T837" s="1072"/>
      <c r="BA837" s="1076"/>
    </row>
    <row r="838" spans="14:53" s="863" customFormat="1">
      <c r="N838" s="1072"/>
      <c r="T838" s="1072"/>
      <c r="BA838" s="1076"/>
    </row>
    <row r="839" spans="14:53" s="863" customFormat="1">
      <c r="N839" s="1072"/>
      <c r="T839" s="1072"/>
      <c r="BA839" s="1076"/>
    </row>
    <row r="840" spans="14:53" s="863" customFormat="1">
      <c r="N840" s="1072"/>
      <c r="T840" s="1072"/>
      <c r="BA840" s="1076"/>
    </row>
    <row r="841" spans="14:53" s="863" customFormat="1">
      <c r="N841" s="1072"/>
      <c r="T841" s="1072"/>
      <c r="BA841" s="1076"/>
    </row>
    <row r="842" spans="14:53" s="863" customFormat="1">
      <c r="N842" s="1072"/>
      <c r="T842" s="1072"/>
      <c r="BA842" s="1076"/>
    </row>
    <row r="843" spans="14:53" s="863" customFormat="1">
      <c r="N843" s="1072"/>
      <c r="T843" s="1072"/>
      <c r="BA843" s="1076"/>
    </row>
    <row r="844" spans="14:53" s="863" customFormat="1">
      <c r="N844" s="1072"/>
      <c r="T844" s="1072"/>
      <c r="BA844" s="1076"/>
    </row>
    <row r="845" spans="14:53" s="863" customFormat="1">
      <c r="N845" s="1072"/>
      <c r="T845" s="1072"/>
      <c r="BA845" s="1076"/>
    </row>
    <row r="846" spans="14:53" s="863" customFormat="1">
      <c r="N846" s="1072"/>
      <c r="T846" s="1072"/>
      <c r="BA846" s="1076"/>
    </row>
    <row r="847" spans="14:53" s="863" customFormat="1">
      <c r="N847" s="1072"/>
      <c r="T847" s="1072"/>
      <c r="BA847" s="1076"/>
    </row>
    <row r="848" spans="14:53" s="863" customFormat="1">
      <c r="N848" s="1072"/>
      <c r="T848" s="1072"/>
      <c r="BA848" s="1076"/>
    </row>
    <row r="849" spans="14:53" s="863" customFormat="1">
      <c r="N849" s="1072"/>
      <c r="T849" s="1072"/>
      <c r="BA849" s="1076"/>
    </row>
    <row r="850" spans="14:53" s="863" customFormat="1">
      <c r="N850" s="1072"/>
      <c r="T850" s="1072"/>
      <c r="BA850" s="1076"/>
    </row>
    <row r="851" spans="14:53" s="863" customFormat="1">
      <c r="N851" s="1072"/>
      <c r="T851" s="1072"/>
      <c r="BA851" s="1076"/>
    </row>
    <row r="852" spans="14:53" s="863" customFormat="1">
      <c r="N852" s="1072"/>
      <c r="T852" s="1072"/>
      <c r="BA852" s="1076"/>
    </row>
    <row r="853" spans="14:53" s="863" customFormat="1">
      <c r="N853" s="1072"/>
      <c r="T853" s="1072"/>
      <c r="BA853" s="1076"/>
    </row>
    <row r="854" spans="14:53" s="863" customFormat="1">
      <c r="N854" s="1072"/>
      <c r="T854" s="1072"/>
      <c r="BA854" s="1076"/>
    </row>
    <row r="855" spans="14:53" s="863" customFormat="1">
      <c r="N855" s="1072"/>
      <c r="T855" s="1072"/>
      <c r="BA855" s="1076"/>
    </row>
    <row r="856" spans="14:53" s="863" customFormat="1">
      <c r="N856" s="1072"/>
      <c r="T856" s="1072"/>
      <c r="BA856" s="1076"/>
    </row>
    <row r="857" spans="14:53" s="863" customFormat="1">
      <c r="N857" s="1072"/>
      <c r="T857" s="1072"/>
      <c r="BA857" s="1076"/>
    </row>
    <row r="858" spans="14:53" s="863" customFormat="1">
      <c r="N858" s="1072"/>
      <c r="T858" s="1072"/>
      <c r="BA858" s="1076"/>
    </row>
    <row r="859" spans="14:53" s="863" customFormat="1">
      <c r="N859" s="1072"/>
      <c r="T859" s="1072"/>
      <c r="BA859" s="1076"/>
    </row>
    <row r="860" spans="14:53" s="863" customFormat="1">
      <c r="N860" s="1072"/>
      <c r="T860" s="1072"/>
      <c r="BA860" s="1076"/>
    </row>
    <row r="861" spans="14:53" s="863" customFormat="1">
      <c r="N861" s="1072"/>
      <c r="T861" s="1072"/>
      <c r="BA861" s="1076"/>
    </row>
    <row r="862" spans="14:53" s="863" customFormat="1">
      <c r="N862" s="1072"/>
      <c r="T862" s="1072"/>
      <c r="BA862" s="1076"/>
    </row>
    <row r="863" spans="14:53" s="863" customFormat="1">
      <c r="N863" s="1072"/>
      <c r="T863" s="1072"/>
      <c r="BA863" s="1076"/>
    </row>
    <row r="864" spans="14:53" s="863" customFormat="1">
      <c r="N864" s="1072"/>
      <c r="T864" s="1072"/>
      <c r="BA864" s="1076"/>
    </row>
    <row r="865" spans="14:53" s="863" customFormat="1">
      <c r="N865" s="1072"/>
      <c r="T865" s="1072"/>
      <c r="BA865" s="1076"/>
    </row>
    <row r="866" spans="14:53" s="863" customFormat="1">
      <c r="N866" s="1072"/>
      <c r="T866" s="1072"/>
      <c r="BA866" s="1076"/>
    </row>
    <row r="867" spans="14:53" s="863" customFormat="1">
      <c r="N867" s="1072"/>
      <c r="T867" s="1072"/>
      <c r="BA867" s="1076"/>
    </row>
    <row r="868" spans="14:53" s="863" customFormat="1">
      <c r="N868" s="1072"/>
      <c r="T868" s="1072"/>
      <c r="BA868" s="1076"/>
    </row>
    <row r="869" spans="14:53" s="863" customFormat="1">
      <c r="N869" s="1072"/>
      <c r="T869" s="1072"/>
      <c r="BA869" s="1076"/>
    </row>
    <row r="870" spans="14:53" s="863" customFormat="1">
      <c r="N870" s="1072"/>
      <c r="T870" s="1072"/>
      <c r="BA870" s="1076"/>
    </row>
    <row r="871" spans="14:53" s="863" customFormat="1">
      <c r="N871" s="1072"/>
      <c r="T871" s="1072"/>
      <c r="BA871" s="1076"/>
    </row>
    <row r="872" spans="14:53" s="863" customFormat="1">
      <c r="N872" s="1072"/>
      <c r="T872" s="1072"/>
      <c r="BA872" s="1076"/>
    </row>
    <row r="873" spans="14:53" s="863" customFormat="1">
      <c r="N873" s="1072"/>
      <c r="T873" s="1072"/>
      <c r="BA873" s="1076"/>
    </row>
    <row r="874" spans="14:53" s="863" customFormat="1">
      <c r="N874" s="1072"/>
      <c r="T874" s="1072"/>
      <c r="BA874" s="1076"/>
    </row>
    <row r="875" spans="14:53" s="863" customFormat="1">
      <c r="N875" s="1072"/>
      <c r="T875" s="1072"/>
      <c r="BA875" s="1076"/>
    </row>
    <row r="876" spans="14:53" s="863" customFormat="1">
      <c r="N876" s="1072"/>
      <c r="T876" s="1072"/>
      <c r="BA876" s="1076"/>
    </row>
    <row r="877" spans="14:53" s="863" customFormat="1">
      <c r="N877" s="1072"/>
      <c r="T877" s="1072"/>
      <c r="BA877" s="1076"/>
    </row>
    <row r="878" spans="14:53" s="863" customFormat="1">
      <c r="N878" s="1072"/>
      <c r="T878" s="1072"/>
      <c r="BA878" s="1076"/>
    </row>
    <row r="879" spans="14:53" s="863" customFormat="1">
      <c r="N879" s="1072"/>
      <c r="T879" s="1072"/>
      <c r="BA879" s="1076"/>
    </row>
    <row r="880" spans="14:53" s="863" customFormat="1">
      <c r="N880" s="1072"/>
      <c r="T880" s="1072"/>
      <c r="BA880" s="1076"/>
    </row>
    <row r="881" spans="14:53" s="863" customFormat="1">
      <c r="N881" s="1072"/>
      <c r="T881" s="1072"/>
      <c r="BA881" s="1076"/>
    </row>
    <row r="882" spans="14:53" s="863" customFormat="1">
      <c r="N882" s="1072"/>
      <c r="T882" s="1072"/>
      <c r="BA882" s="1076"/>
    </row>
    <row r="883" spans="14:53" s="863" customFormat="1">
      <c r="N883" s="1072"/>
      <c r="T883" s="1072"/>
      <c r="BA883" s="1076"/>
    </row>
    <row r="884" spans="14:53" s="863" customFormat="1">
      <c r="N884" s="1072"/>
      <c r="T884" s="1072"/>
      <c r="BA884" s="1076"/>
    </row>
    <row r="885" spans="14:53" s="863" customFormat="1">
      <c r="N885" s="1072"/>
      <c r="T885" s="1072"/>
      <c r="BA885" s="1076"/>
    </row>
    <row r="886" spans="14:53" s="863" customFormat="1">
      <c r="N886" s="1072"/>
      <c r="T886" s="1072"/>
      <c r="BA886" s="1076"/>
    </row>
    <row r="887" spans="14:53" s="863" customFormat="1">
      <c r="N887" s="1072"/>
      <c r="T887" s="1072"/>
      <c r="BA887" s="1076"/>
    </row>
    <row r="888" spans="14:53" s="863" customFormat="1">
      <c r="N888" s="1072"/>
      <c r="T888" s="1072"/>
      <c r="BA888" s="1076"/>
    </row>
    <row r="889" spans="14:53" s="863" customFormat="1">
      <c r="N889" s="1072"/>
      <c r="T889" s="1072"/>
      <c r="BA889" s="1076"/>
    </row>
    <row r="890" spans="14:53" s="863" customFormat="1">
      <c r="N890" s="1072"/>
      <c r="T890" s="1072"/>
      <c r="BA890" s="1076"/>
    </row>
    <row r="891" spans="14:53" s="863" customFormat="1">
      <c r="N891" s="1072"/>
      <c r="T891" s="1072"/>
      <c r="BA891" s="1076"/>
    </row>
    <row r="892" spans="14:53" s="863" customFormat="1">
      <c r="N892" s="1072"/>
      <c r="T892" s="1072"/>
      <c r="BA892" s="1076"/>
    </row>
    <row r="893" spans="14:53" s="863" customFormat="1">
      <c r="N893" s="1072"/>
      <c r="T893" s="1072"/>
      <c r="BA893" s="1076"/>
    </row>
    <row r="894" spans="14:53" s="863" customFormat="1">
      <c r="N894" s="1072"/>
      <c r="T894" s="1072"/>
      <c r="BA894" s="1076"/>
    </row>
    <row r="895" spans="14:53" s="863" customFormat="1">
      <c r="N895" s="1072"/>
      <c r="T895" s="1072"/>
      <c r="BA895" s="1076"/>
    </row>
    <row r="896" spans="14:53" s="863" customFormat="1">
      <c r="N896" s="1072"/>
      <c r="T896" s="1072"/>
      <c r="BA896" s="1076"/>
    </row>
    <row r="897" spans="14:53" s="863" customFormat="1">
      <c r="N897" s="1072"/>
      <c r="T897" s="1072"/>
      <c r="BA897" s="1076"/>
    </row>
    <row r="898" spans="14:53" s="863" customFormat="1">
      <c r="N898" s="1072"/>
      <c r="T898" s="1072"/>
      <c r="BA898" s="1076"/>
    </row>
    <row r="899" spans="14:53" s="863" customFormat="1">
      <c r="N899" s="1072"/>
      <c r="T899" s="1072"/>
      <c r="BA899" s="1076"/>
    </row>
    <row r="900" spans="14:53" s="863" customFormat="1">
      <c r="N900" s="1072"/>
      <c r="T900" s="1072"/>
      <c r="BA900" s="1076"/>
    </row>
    <row r="901" spans="14:53" s="863" customFormat="1">
      <c r="N901" s="1072"/>
      <c r="T901" s="1072"/>
      <c r="BA901" s="1076"/>
    </row>
    <row r="902" spans="14:53" s="863" customFormat="1">
      <c r="N902" s="1072"/>
      <c r="T902" s="1072"/>
      <c r="BA902" s="1076"/>
    </row>
    <row r="903" spans="14:53" s="863" customFormat="1">
      <c r="N903" s="1072"/>
      <c r="T903" s="1072"/>
      <c r="BA903" s="1076"/>
    </row>
    <row r="904" spans="14:53" s="863" customFormat="1">
      <c r="N904" s="1072"/>
      <c r="T904" s="1072"/>
      <c r="BA904" s="1076"/>
    </row>
    <row r="905" spans="14:53" s="863" customFormat="1">
      <c r="N905" s="1072"/>
      <c r="T905" s="1072"/>
      <c r="BA905" s="1076"/>
    </row>
    <row r="906" spans="14:53" s="863" customFormat="1">
      <c r="N906" s="1072"/>
      <c r="T906" s="1072"/>
      <c r="BA906" s="1076"/>
    </row>
    <row r="907" spans="14:53" s="863" customFormat="1">
      <c r="N907" s="1072"/>
      <c r="T907" s="1072"/>
      <c r="BA907" s="1076"/>
    </row>
    <row r="908" spans="14:53" s="863" customFormat="1">
      <c r="N908" s="1072"/>
      <c r="T908" s="1072"/>
      <c r="BA908" s="1076"/>
    </row>
    <row r="909" spans="14:53" s="863" customFormat="1">
      <c r="N909" s="1072"/>
      <c r="T909" s="1072"/>
      <c r="BA909" s="1076"/>
    </row>
    <row r="910" spans="14:53" s="863" customFormat="1">
      <c r="N910" s="1072"/>
      <c r="T910" s="1072"/>
      <c r="BA910" s="1076"/>
    </row>
    <row r="911" spans="14:53" s="863" customFormat="1">
      <c r="N911" s="1072"/>
      <c r="T911" s="1072"/>
      <c r="BA911" s="1076"/>
    </row>
    <row r="912" spans="14:53" s="863" customFormat="1">
      <c r="N912" s="1072"/>
      <c r="T912" s="1072"/>
      <c r="BA912" s="1076"/>
    </row>
    <row r="913" spans="14:53" s="863" customFormat="1">
      <c r="N913" s="1072"/>
      <c r="T913" s="1072"/>
      <c r="BA913" s="1076"/>
    </row>
    <row r="914" spans="14:53" s="863" customFormat="1">
      <c r="N914" s="1072"/>
      <c r="T914" s="1072"/>
      <c r="BA914" s="1076"/>
    </row>
    <row r="915" spans="14:53" s="863" customFormat="1">
      <c r="N915" s="1072"/>
      <c r="T915" s="1072"/>
      <c r="BA915" s="1076"/>
    </row>
    <row r="916" spans="14:53" s="863" customFormat="1">
      <c r="N916" s="1072"/>
      <c r="T916" s="1072"/>
      <c r="BA916" s="1076"/>
    </row>
    <row r="917" spans="14:53" s="863" customFormat="1">
      <c r="N917" s="1072"/>
      <c r="T917" s="1072"/>
      <c r="BA917" s="1076"/>
    </row>
    <row r="918" spans="14:53" s="863" customFormat="1">
      <c r="N918" s="1072"/>
      <c r="T918" s="1072"/>
      <c r="BA918" s="1076"/>
    </row>
    <row r="919" spans="14:53" s="863" customFormat="1">
      <c r="N919" s="1072"/>
      <c r="T919" s="1072"/>
      <c r="BA919" s="1076"/>
    </row>
    <row r="920" spans="14:53" s="863" customFormat="1">
      <c r="N920" s="1072"/>
      <c r="T920" s="1072"/>
      <c r="BA920" s="1076"/>
    </row>
    <row r="921" spans="14:53" s="863" customFormat="1">
      <c r="N921" s="1072"/>
      <c r="T921" s="1072"/>
      <c r="BA921" s="1076"/>
    </row>
    <row r="922" spans="14:53" s="863" customFormat="1">
      <c r="N922" s="1072"/>
      <c r="T922" s="1072"/>
      <c r="BA922" s="1076"/>
    </row>
    <row r="923" spans="14:53" s="863" customFormat="1">
      <c r="N923" s="1072"/>
      <c r="T923" s="1072"/>
      <c r="BA923" s="1076"/>
    </row>
    <row r="924" spans="14:53" s="863" customFormat="1">
      <c r="N924" s="1072"/>
      <c r="T924" s="1072"/>
      <c r="BA924" s="1076"/>
    </row>
    <row r="925" spans="14:53" s="863" customFormat="1">
      <c r="N925" s="1072"/>
      <c r="T925" s="1072"/>
      <c r="BA925" s="1076"/>
    </row>
    <row r="926" spans="14:53" s="863" customFormat="1">
      <c r="N926" s="1072"/>
      <c r="T926" s="1072"/>
      <c r="BA926" s="1076"/>
    </row>
    <row r="927" spans="14:53" s="863" customFormat="1">
      <c r="N927" s="1072"/>
      <c r="T927" s="1072"/>
      <c r="BA927" s="1076"/>
    </row>
    <row r="928" spans="14:53" s="863" customFormat="1">
      <c r="N928" s="1072"/>
      <c r="T928" s="1072"/>
      <c r="BA928" s="1076"/>
    </row>
    <row r="929" spans="14:53" s="863" customFormat="1">
      <c r="N929" s="1072"/>
      <c r="T929" s="1072"/>
      <c r="BA929" s="1076"/>
    </row>
    <row r="930" spans="14:53" s="863" customFormat="1">
      <c r="N930" s="1072"/>
      <c r="T930" s="1072"/>
      <c r="BA930" s="1076"/>
    </row>
    <row r="931" spans="14:53" s="863" customFormat="1">
      <c r="N931" s="1072"/>
      <c r="T931" s="1072"/>
      <c r="BA931" s="1076"/>
    </row>
    <row r="932" spans="14:53" s="863" customFormat="1">
      <c r="N932" s="1072"/>
      <c r="T932" s="1072"/>
      <c r="BA932" s="1076"/>
    </row>
    <row r="933" spans="14:53" s="863" customFormat="1">
      <c r="N933" s="1072"/>
      <c r="T933" s="1072"/>
      <c r="BA933" s="1076"/>
    </row>
    <row r="934" spans="14:53" s="863" customFormat="1">
      <c r="N934" s="1072"/>
      <c r="T934" s="1072"/>
      <c r="BA934" s="1076"/>
    </row>
    <row r="935" spans="14:53" s="863" customFormat="1">
      <c r="N935" s="1072"/>
      <c r="T935" s="1072"/>
      <c r="BA935" s="1076"/>
    </row>
    <row r="936" spans="14:53" s="863" customFormat="1">
      <c r="N936" s="1072"/>
      <c r="T936" s="1072"/>
      <c r="BA936" s="1076"/>
    </row>
    <row r="937" spans="14:53" s="863" customFormat="1">
      <c r="N937" s="1072"/>
      <c r="T937" s="1072"/>
      <c r="BA937" s="1076"/>
    </row>
    <row r="938" spans="14:53" s="863" customFormat="1">
      <c r="N938" s="1072"/>
      <c r="T938" s="1072"/>
      <c r="BA938" s="1076"/>
    </row>
    <row r="939" spans="14:53" s="863" customFormat="1">
      <c r="N939" s="1072"/>
      <c r="T939" s="1072"/>
      <c r="BA939" s="1076"/>
    </row>
    <row r="940" spans="14:53" s="863" customFormat="1">
      <c r="N940" s="1072"/>
      <c r="T940" s="1072"/>
      <c r="BA940" s="1076"/>
    </row>
    <row r="941" spans="14:53" s="863" customFormat="1">
      <c r="N941" s="1072"/>
      <c r="T941" s="1072"/>
      <c r="BA941" s="1076"/>
    </row>
    <row r="942" spans="14:53" s="863" customFormat="1">
      <c r="N942" s="1072"/>
      <c r="T942" s="1072"/>
      <c r="BA942" s="1076"/>
    </row>
    <row r="943" spans="14:53" s="863" customFormat="1">
      <c r="N943" s="1072"/>
      <c r="T943" s="1072"/>
      <c r="BA943" s="1076"/>
    </row>
    <row r="944" spans="14:53" s="863" customFormat="1">
      <c r="N944" s="1072"/>
      <c r="T944" s="1072"/>
      <c r="BA944" s="1076"/>
    </row>
    <row r="945" spans="14:53" s="863" customFormat="1">
      <c r="N945" s="1072"/>
      <c r="T945" s="1072"/>
      <c r="BA945" s="1076"/>
    </row>
    <row r="946" spans="14:53" s="863" customFormat="1">
      <c r="N946" s="1072"/>
      <c r="T946" s="1072"/>
      <c r="BA946" s="1076"/>
    </row>
    <row r="947" spans="14:53" s="863" customFormat="1">
      <c r="N947" s="1072"/>
      <c r="T947" s="1072"/>
      <c r="BA947" s="1076"/>
    </row>
    <row r="948" spans="14:53" s="863" customFormat="1">
      <c r="N948" s="1072"/>
      <c r="T948" s="1072"/>
      <c r="BA948" s="1076"/>
    </row>
    <row r="949" spans="14:53" s="863" customFormat="1">
      <c r="N949" s="1072"/>
      <c r="T949" s="1072"/>
      <c r="BA949" s="1076"/>
    </row>
    <row r="950" spans="14:53" s="863" customFormat="1">
      <c r="N950" s="1072"/>
      <c r="T950" s="1072"/>
      <c r="BA950" s="1076"/>
    </row>
    <row r="951" spans="14:53" s="863" customFormat="1">
      <c r="N951" s="1072"/>
      <c r="T951" s="1072"/>
      <c r="BA951" s="1076"/>
    </row>
    <row r="952" spans="14:53" s="863" customFormat="1">
      <c r="N952" s="1072"/>
      <c r="T952" s="1072"/>
      <c r="BA952" s="1076"/>
    </row>
    <row r="953" spans="14:53" s="863" customFormat="1">
      <c r="N953" s="1072"/>
      <c r="T953" s="1072"/>
      <c r="BA953" s="1076"/>
    </row>
    <row r="954" spans="14:53" s="863" customFormat="1">
      <c r="N954" s="1072"/>
      <c r="T954" s="1072"/>
      <c r="BA954" s="1076"/>
    </row>
    <row r="955" spans="14:53" s="863" customFormat="1">
      <c r="N955" s="1072"/>
      <c r="T955" s="1072"/>
      <c r="BA955" s="1076"/>
    </row>
    <row r="956" spans="14:53" s="863" customFormat="1">
      <c r="N956" s="1072"/>
      <c r="T956" s="1072"/>
      <c r="BA956" s="1076"/>
    </row>
    <row r="957" spans="14:53" s="863" customFormat="1">
      <c r="N957" s="1072"/>
      <c r="T957" s="1072"/>
      <c r="BA957" s="1076"/>
    </row>
    <row r="958" spans="14:53" s="863" customFormat="1">
      <c r="N958" s="1072"/>
      <c r="T958" s="1072"/>
      <c r="BA958" s="1076"/>
    </row>
    <row r="959" spans="14:53" s="863" customFormat="1">
      <c r="N959" s="1072"/>
      <c r="T959" s="1072"/>
      <c r="BA959" s="1076"/>
    </row>
    <row r="960" spans="14:53" s="863" customFormat="1">
      <c r="N960" s="1072"/>
      <c r="T960" s="1072"/>
      <c r="BA960" s="1076"/>
    </row>
    <row r="961" spans="14:53" s="863" customFormat="1">
      <c r="N961" s="1072"/>
      <c r="T961" s="1072"/>
      <c r="BA961" s="1076"/>
    </row>
    <row r="962" spans="14:53" s="863" customFormat="1">
      <c r="N962" s="1072"/>
      <c r="T962" s="1072"/>
      <c r="BA962" s="1076"/>
    </row>
    <row r="963" spans="14:53" s="863" customFormat="1">
      <c r="N963" s="1072"/>
      <c r="T963" s="1072"/>
      <c r="BA963" s="1076"/>
    </row>
    <row r="964" spans="14:53" s="863" customFormat="1">
      <c r="N964" s="1072"/>
      <c r="T964" s="1072"/>
      <c r="BA964" s="1076"/>
    </row>
    <row r="965" spans="14:53" s="863" customFormat="1">
      <c r="N965" s="1072"/>
      <c r="T965" s="1072"/>
      <c r="BA965" s="1076"/>
    </row>
    <row r="966" spans="14:53" s="863" customFormat="1">
      <c r="N966" s="1072"/>
      <c r="T966" s="1072"/>
      <c r="BA966" s="1076"/>
    </row>
    <row r="967" spans="14:53" s="863" customFormat="1">
      <c r="N967" s="1072"/>
      <c r="T967" s="1072"/>
      <c r="BA967" s="1076"/>
    </row>
    <row r="968" spans="14:53" s="863" customFormat="1">
      <c r="N968" s="1072"/>
      <c r="T968" s="1072"/>
      <c r="BA968" s="1076"/>
    </row>
    <row r="969" spans="14:53" s="863" customFormat="1">
      <c r="N969" s="1072"/>
      <c r="T969" s="1072"/>
      <c r="BA969" s="1076"/>
    </row>
    <row r="970" spans="14:53" s="863" customFormat="1">
      <c r="N970" s="1072"/>
      <c r="T970" s="1072"/>
      <c r="BA970" s="1076"/>
    </row>
    <row r="971" spans="14:53" s="863" customFormat="1">
      <c r="N971" s="1072"/>
      <c r="T971" s="1072"/>
      <c r="BA971" s="1076"/>
    </row>
    <row r="972" spans="14:53" s="863" customFormat="1">
      <c r="N972" s="1072"/>
      <c r="T972" s="1072"/>
      <c r="BA972" s="1076"/>
    </row>
    <row r="973" spans="14:53" s="863" customFormat="1">
      <c r="N973" s="1072"/>
      <c r="T973" s="1072"/>
      <c r="BA973" s="1076"/>
    </row>
    <row r="974" spans="14:53" s="863" customFormat="1">
      <c r="N974" s="1072"/>
      <c r="T974" s="1072"/>
      <c r="BA974" s="1076"/>
    </row>
    <row r="975" spans="14:53" s="863" customFormat="1">
      <c r="N975" s="1072"/>
      <c r="T975" s="1072"/>
      <c r="BA975" s="1076"/>
    </row>
    <row r="976" spans="14:53" s="863" customFormat="1">
      <c r="N976" s="1072"/>
      <c r="T976" s="1072"/>
      <c r="BA976" s="1076"/>
    </row>
    <row r="977" spans="14:53" s="863" customFormat="1">
      <c r="N977" s="1072"/>
      <c r="T977" s="1072"/>
      <c r="BA977" s="1076"/>
    </row>
    <row r="978" spans="14:53" s="863" customFormat="1">
      <c r="N978" s="1072"/>
      <c r="T978" s="1072"/>
      <c r="BA978" s="1076"/>
    </row>
    <row r="979" spans="14:53" s="863" customFormat="1">
      <c r="N979" s="1072"/>
      <c r="T979" s="1072"/>
      <c r="BA979" s="1076"/>
    </row>
    <row r="980" spans="14:53" s="863" customFormat="1">
      <c r="N980" s="1072"/>
      <c r="T980" s="1072"/>
      <c r="BA980" s="1076"/>
    </row>
    <row r="981" spans="14:53" s="863" customFormat="1">
      <c r="N981" s="1072"/>
      <c r="T981" s="1072"/>
      <c r="BA981" s="1076"/>
    </row>
    <row r="982" spans="14:53" s="863" customFormat="1">
      <c r="N982" s="1072"/>
      <c r="T982" s="1072"/>
      <c r="BA982" s="1076"/>
    </row>
    <row r="983" spans="14:53" s="863" customFormat="1">
      <c r="N983" s="1072"/>
      <c r="T983" s="1072"/>
      <c r="BA983" s="1076"/>
    </row>
    <row r="984" spans="14:53" s="863" customFormat="1">
      <c r="N984" s="1072"/>
      <c r="T984" s="1072"/>
      <c r="BA984" s="1076"/>
    </row>
    <row r="985" spans="14:53" s="863" customFormat="1">
      <c r="N985" s="1072"/>
      <c r="T985" s="1072"/>
      <c r="BA985" s="1076"/>
    </row>
    <row r="986" spans="14:53" s="863" customFormat="1">
      <c r="N986" s="1072"/>
      <c r="T986" s="1072"/>
      <c r="BA986" s="1076"/>
    </row>
    <row r="987" spans="14:53" s="863" customFormat="1">
      <c r="N987" s="1072"/>
      <c r="T987" s="1072"/>
      <c r="BA987" s="1076"/>
    </row>
    <row r="988" spans="14:53" s="863" customFormat="1">
      <c r="N988" s="1072"/>
      <c r="T988" s="1072"/>
      <c r="BA988" s="1076"/>
    </row>
    <row r="989" spans="14:53" s="863" customFormat="1">
      <c r="N989" s="1072"/>
      <c r="T989" s="1072"/>
      <c r="BA989" s="1076"/>
    </row>
    <row r="990" spans="14:53" s="863" customFormat="1">
      <c r="N990" s="1072"/>
      <c r="T990" s="1072"/>
      <c r="BA990" s="1076"/>
    </row>
    <row r="991" spans="14:53" s="863" customFormat="1">
      <c r="N991" s="1072"/>
      <c r="T991" s="1072"/>
      <c r="BA991" s="1076"/>
    </row>
    <row r="992" spans="14:53" s="863" customFormat="1">
      <c r="N992" s="1072"/>
      <c r="T992" s="1072"/>
      <c r="BA992" s="1076"/>
    </row>
    <row r="993" spans="14:53" s="863" customFormat="1">
      <c r="N993" s="1072"/>
      <c r="T993" s="1072"/>
      <c r="BA993" s="1076"/>
    </row>
    <row r="994" spans="14:53" s="863" customFormat="1">
      <c r="N994" s="1072"/>
      <c r="T994" s="1072"/>
      <c r="BA994" s="1076"/>
    </row>
    <row r="995" spans="14:53" s="863" customFormat="1">
      <c r="N995" s="1072"/>
      <c r="T995" s="1072"/>
      <c r="BA995" s="1076"/>
    </row>
    <row r="996" spans="14:53" s="863" customFormat="1">
      <c r="N996" s="1072"/>
      <c r="T996" s="1072"/>
      <c r="BA996" s="1076"/>
    </row>
    <row r="997" spans="14:53" s="863" customFormat="1">
      <c r="N997" s="1072"/>
      <c r="T997" s="1072"/>
      <c r="BA997" s="1076"/>
    </row>
    <row r="998" spans="14:53" s="863" customFormat="1">
      <c r="N998" s="1072"/>
      <c r="T998" s="1072"/>
      <c r="BA998" s="1076"/>
    </row>
    <row r="999" spans="14:53" s="863" customFormat="1">
      <c r="N999" s="1072"/>
      <c r="T999" s="1072"/>
      <c r="BA999" s="1076"/>
    </row>
    <row r="1000" spans="14:53" s="863" customFormat="1">
      <c r="N1000" s="1072"/>
      <c r="T1000" s="1072"/>
      <c r="BA1000" s="1076"/>
    </row>
    <row r="1001" spans="14:53" s="863" customFormat="1">
      <c r="N1001" s="1072"/>
      <c r="T1001" s="1072"/>
      <c r="BA1001" s="1076"/>
    </row>
    <row r="1002" spans="14:53" s="863" customFormat="1">
      <c r="N1002" s="1072"/>
      <c r="T1002" s="1072"/>
      <c r="BA1002" s="1076"/>
    </row>
    <row r="1003" spans="14:53" s="863" customFormat="1">
      <c r="N1003" s="1072"/>
      <c r="T1003" s="1072"/>
      <c r="BA1003" s="1076"/>
    </row>
    <row r="1004" spans="14:53" s="863" customFormat="1">
      <c r="N1004" s="1072"/>
      <c r="T1004" s="1072"/>
      <c r="BA1004" s="1076"/>
    </row>
    <row r="1005" spans="14:53" s="863" customFormat="1">
      <c r="N1005" s="1072"/>
      <c r="T1005" s="1072"/>
      <c r="BA1005" s="1076"/>
    </row>
    <row r="1006" spans="14:53" s="863" customFormat="1">
      <c r="N1006" s="1072"/>
      <c r="T1006" s="1072"/>
      <c r="BA1006" s="1076"/>
    </row>
    <row r="1007" spans="14:53" s="863" customFormat="1">
      <c r="N1007" s="1072"/>
      <c r="T1007" s="1072"/>
      <c r="BA1007" s="1076"/>
    </row>
    <row r="1008" spans="14:53" s="863" customFormat="1">
      <c r="N1008" s="1072"/>
      <c r="T1008" s="1072"/>
      <c r="BA1008" s="1076"/>
    </row>
    <row r="1009" spans="14:53" s="863" customFormat="1">
      <c r="N1009" s="1072"/>
      <c r="T1009" s="1072"/>
      <c r="BA1009" s="1076"/>
    </row>
    <row r="1010" spans="14:53" s="863" customFormat="1">
      <c r="N1010" s="1072"/>
      <c r="T1010" s="1072"/>
      <c r="BA1010" s="1076"/>
    </row>
    <row r="1011" spans="14:53" s="863" customFormat="1">
      <c r="N1011" s="1072"/>
      <c r="T1011" s="1072"/>
      <c r="BA1011" s="1076"/>
    </row>
    <row r="1012" spans="14:53" s="863" customFormat="1">
      <c r="N1012" s="1072"/>
      <c r="T1012" s="1072"/>
      <c r="BA1012" s="1076"/>
    </row>
    <row r="1013" spans="14:53" s="863" customFormat="1">
      <c r="N1013" s="1072"/>
      <c r="T1013" s="1072"/>
      <c r="BA1013" s="1076"/>
    </row>
    <row r="1014" spans="14:53" s="863" customFormat="1">
      <c r="N1014" s="1072"/>
      <c r="T1014" s="1072"/>
      <c r="BA1014" s="1076"/>
    </row>
    <row r="1015" spans="14:53" s="863" customFormat="1">
      <c r="N1015" s="1072"/>
      <c r="T1015" s="1072"/>
      <c r="BA1015" s="1076"/>
    </row>
    <row r="1016" spans="14:53" s="863" customFormat="1">
      <c r="N1016" s="1072"/>
      <c r="T1016" s="1072"/>
      <c r="BA1016" s="1076"/>
    </row>
    <row r="1017" spans="14:53" s="863" customFormat="1">
      <c r="N1017" s="1072"/>
      <c r="T1017" s="1072"/>
      <c r="BA1017" s="1076"/>
    </row>
    <row r="1018" spans="14:53" s="863" customFormat="1">
      <c r="N1018" s="1072"/>
      <c r="T1018" s="1072"/>
      <c r="BA1018" s="1076"/>
    </row>
    <row r="1019" spans="14:53" s="863" customFormat="1">
      <c r="N1019" s="1072"/>
      <c r="T1019" s="1072"/>
      <c r="BA1019" s="1076"/>
    </row>
    <row r="1020" spans="14:53" s="863" customFormat="1">
      <c r="N1020" s="1072"/>
      <c r="T1020" s="1072"/>
      <c r="BA1020" s="1076"/>
    </row>
    <row r="1021" spans="14:53" s="863" customFormat="1">
      <c r="N1021" s="1072"/>
      <c r="T1021" s="1072"/>
      <c r="BA1021" s="1076"/>
    </row>
    <row r="1022" spans="14:53" s="863" customFormat="1">
      <c r="N1022" s="1072"/>
      <c r="T1022" s="1072"/>
      <c r="BA1022" s="1076"/>
    </row>
    <row r="1023" spans="14:53" s="863" customFormat="1">
      <c r="N1023" s="1072"/>
      <c r="T1023" s="1072"/>
      <c r="BA1023" s="1076"/>
    </row>
    <row r="1024" spans="14:53" s="863" customFormat="1">
      <c r="N1024" s="1072"/>
      <c r="T1024" s="1072"/>
      <c r="BA1024" s="1076"/>
    </row>
    <row r="1025" spans="14:53" s="863" customFormat="1">
      <c r="N1025" s="1072"/>
      <c r="T1025" s="1072"/>
      <c r="BA1025" s="1076"/>
    </row>
    <row r="1026" spans="14:53" s="863" customFormat="1">
      <c r="N1026" s="1072"/>
      <c r="T1026" s="1072"/>
      <c r="BA1026" s="1076"/>
    </row>
    <row r="1027" spans="14:53" s="863" customFormat="1">
      <c r="N1027" s="1072"/>
      <c r="T1027" s="1072"/>
      <c r="BA1027" s="1076"/>
    </row>
    <row r="1028" spans="14:53" s="863" customFormat="1">
      <c r="N1028" s="1072"/>
      <c r="T1028" s="1072"/>
      <c r="BA1028" s="1076"/>
    </row>
    <row r="1029" spans="14:53" s="863" customFormat="1">
      <c r="N1029" s="1072"/>
      <c r="T1029" s="1072"/>
      <c r="BA1029" s="1076"/>
    </row>
    <row r="1030" spans="14:53" s="863" customFormat="1">
      <c r="N1030" s="1072"/>
      <c r="T1030" s="1072"/>
      <c r="BA1030" s="1076"/>
    </row>
    <row r="1031" spans="14:53" s="863" customFormat="1">
      <c r="N1031" s="1072"/>
      <c r="T1031" s="1072"/>
      <c r="BA1031" s="1076"/>
    </row>
    <row r="1032" spans="14:53" s="863" customFormat="1">
      <c r="N1032" s="1072"/>
      <c r="T1032" s="1072"/>
      <c r="BA1032" s="1076"/>
    </row>
    <row r="1033" spans="14:53" s="863" customFormat="1">
      <c r="N1033" s="1072"/>
      <c r="T1033" s="1072"/>
      <c r="BA1033" s="1076"/>
    </row>
    <row r="1034" spans="14:53" s="863" customFormat="1">
      <c r="N1034" s="1072"/>
      <c r="T1034" s="1072"/>
      <c r="BA1034" s="1076"/>
    </row>
    <row r="1035" spans="14:53" s="863" customFormat="1">
      <c r="N1035" s="1072"/>
      <c r="T1035" s="1072"/>
      <c r="BA1035" s="1076"/>
    </row>
    <row r="1036" spans="14:53" s="863" customFormat="1">
      <c r="N1036" s="1072"/>
      <c r="T1036" s="1072"/>
      <c r="BA1036" s="1076"/>
    </row>
    <row r="1037" spans="14:53" s="863" customFormat="1">
      <c r="N1037" s="1072"/>
      <c r="T1037" s="1072"/>
      <c r="BA1037" s="1076"/>
    </row>
    <row r="1038" spans="14:53" s="863" customFormat="1">
      <c r="N1038" s="1072"/>
      <c r="T1038" s="1072"/>
      <c r="BA1038" s="1076"/>
    </row>
    <row r="1039" spans="14:53" s="863" customFormat="1">
      <c r="N1039" s="1072"/>
      <c r="T1039" s="1072"/>
      <c r="BA1039" s="1076"/>
    </row>
    <row r="1040" spans="14:53" s="863" customFormat="1">
      <c r="N1040" s="1072"/>
      <c r="T1040" s="1072"/>
      <c r="BA1040" s="1076"/>
    </row>
    <row r="1041" spans="14:53" s="863" customFormat="1">
      <c r="N1041" s="1072"/>
      <c r="T1041" s="1072"/>
      <c r="BA1041" s="1076"/>
    </row>
    <row r="1042" spans="14:53" s="863" customFormat="1">
      <c r="N1042" s="1072"/>
      <c r="T1042" s="1072"/>
      <c r="BA1042" s="1076"/>
    </row>
    <row r="1043" spans="14:53" s="863" customFormat="1">
      <c r="N1043" s="1072"/>
      <c r="T1043" s="1072"/>
      <c r="BA1043" s="1076"/>
    </row>
    <row r="1044" spans="14:53" s="863" customFormat="1">
      <c r="N1044" s="1072"/>
      <c r="T1044" s="1072"/>
      <c r="BA1044" s="1076"/>
    </row>
    <row r="1045" spans="14:53" s="863" customFormat="1">
      <c r="N1045" s="1072"/>
      <c r="T1045" s="1072"/>
      <c r="BA1045" s="1076"/>
    </row>
    <row r="1046" spans="14:53" s="863" customFormat="1">
      <c r="N1046" s="1072"/>
      <c r="T1046" s="1072"/>
      <c r="BA1046" s="1076"/>
    </row>
    <row r="1047" spans="14:53" s="863" customFormat="1">
      <c r="N1047" s="1072"/>
      <c r="T1047" s="1072"/>
      <c r="BA1047" s="1076"/>
    </row>
    <row r="1048" spans="14:53" s="863" customFormat="1">
      <c r="N1048" s="1072"/>
      <c r="T1048" s="1072"/>
      <c r="BA1048" s="1076"/>
    </row>
    <row r="1049" spans="14:53" s="863" customFormat="1">
      <c r="N1049" s="1072"/>
      <c r="T1049" s="1072"/>
      <c r="BA1049" s="1076"/>
    </row>
    <row r="1050" spans="14:53" s="863" customFormat="1">
      <c r="N1050" s="1072"/>
      <c r="T1050" s="1072"/>
      <c r="BA1050" s="1076"/>
    </row>
    <row r="1051" spans="14:53" s="863" customFormat="1">
      <c r="N1051" s="1072"/>
      <c r="T1051" s="1072"/>
      <c r="BA1051" s="1076"/>
    </row>
    <row r="1052" spans="14:53" s="863" customFormat="1">
      <c r="N1052" s="1072"/>
      <c r="T1052" s="1072"/>
      <c r="BA1052" s="1076"/>
    </row>
    <row r="1053" spans="14:53" s="863" customFormat="1">
      <c r="N1053" s="1072"/>
      <c r="T1053" s="1072"/>
      <c r="BA1053" s="1076"/>
    </row>
    <row r="1054" spans="14:53" s="863" customFormat="1">
      <c r="N1054" s="1072"/>
      <c r="T1054" s="1072"/>
      <c r="BA1054" s="1076"/>
    </row>
    <row r="1055" spans="14:53" s="863" customFormat="1">
      <c r="N1055" s="1072"/>
      <c r="T1055" s="1072"/>
      <c r="BA1055" s="1076"/>
    </row>
    <row r="1056" spans="14:53" s="863" customFormat="1">
      <c r="N1056" s="1072"/>
      <c r="T1056" s="1072"/>
      <c r="BA1056" s="1076"/>
    </row>
    <row r="1057" spans="14:53" s="863" customFormat="1">
      <c r="N1057" s="1072"/>
      <c r="T1057" s="1072"/>
      <c r="BA1057" s="1076"/>
    </row>
    <row r="1058" spans="14:53" s="863" customFormat="1">
      <c r="N1058" s="1072"/>
      <c r="T1058" s="1072"/>
      <c r="BA1058" s="1076"/>
    </row>
    <row r="1059" spans="14:53" s="863" customFormat="1">
      <c r="N1059" s="1072"/>
      <c r="T1059" s="1072"/>
      <c r="BA1059" s="1076"/>
    </row>
    <row r="1060" spans="14:53" s="863" customFormat="1">
      <c r="N1060" s="1072"/>
      <c r="T1060" s="1072"/>
      <c r="BA1060" s="1076"/>
    </row>
    <row r="1061" spans="14:53" s="863" customFormat="1">
      <c r="N1061" s="1072"/>
      <c r="T1061" s="1072"/>
      <c r="BA1061" s="1076"/>
    </row>
    <row r="1062" spans="14:53" s="863" customFormat="1">
      <c r="N1062" s="1072"/>
      <c r="T1062" s="1072"/>
      <c r="BA1062" s="1076"/>
    </row>
    <row r="1063" spans="14:53" s="863" customFormat="1">
      <c r="N1063" s="1072"/>
      <c r="T1063" s="1072"/>
      <c r="BA1063" s="1076"/>
    </row>
    <row r="1064" spans="14:53" s="863" customFormat="1">
      <c r="N1064" s="1072"/>
      <c r="T1064" s="1072"/>
      <c r="BA1064" s="1076"/>
    </row>
    <row r="1065" spans="14:53" s="863" customFormat="1">
      <c r="N1065" s="1072"/>
      <c r="T1065" s="1072"/>
      <c r="BA1065" s="1076"/>
    </row>
    <row r="1066" spans="14:53" s="863" customFormat="1">
      <c r="N1066" s="1072"/>
      <c r="T1066" s="1072"/>
      <c r="BA1066" s="1076"/>
    </row>
    <row r="1067" spans="14:53" s="863" customFormat="1">
      <c r="N1067" s="1072"/>
      <c r="T1067" s="1072"/>
      <c r="BA1067" s="1076"/>
    </row>
    <row r="1068" spans="14:53" s="863" customFormat="1">
      <c r="N1068" s="1072"/>
      <c r="T1068" s="1072"/>
      <c r="BA1068" s="1076"/>
    </row>
    <row r="1069" spans="14:53" s="863" customFormat="1">
      <c r="N1069" s="1072"/>
      <c r="T1069" s="1072"/>
      <c r="BA1069" s="1076"/>
    </row>
    <row r="1070" spans="14:53" s="863" customFormat="1">
      <c r="N1070" s="1072"/>
      <c r="T1070" s="1072"/>
      <c r="BA1070" s="1076"/>
    </row>
    <row r="1071" spans="14:53" s="863" customFormat="1">
      <c r="N1071" s="1072"/>
      <c r="T1071" s="1072"/>
      <c r="BA1071" s="1076"/>
    </row>
    <row r="1072" spans="14:53" s="863" customFormat="1">
      <c r="N1072" s="1072"/>
      <c r="T1072" s="1072"/>
      <c r="BA1072" s="1076"/>
    </row>
    <row r="1073" spans="14:53" s="863" customFormat="1">
      <c r="N1073" s="1072"/>
      <c r="T1073" s="1072"/>
      <c r="BA1073" s="1076"/>
    </row>
    <row r="1074" spans="14:53" s="863" customFormat="1">
      <c r="N1074" s="1072"/>
      <c r="T1074" s="1072"/>
      <c r="BA1074" s="1076"/>
    </row>
    <row r="1075" spans="14:53" s="863" customFormat="1">
      <c r="N1075" s="1072"/>
      <c r="T1075" s="1072"/>
      <c r="BA1075" s="1076"/>
    </row>
    <row r="1076" spans="14:53" s="863" customFormat="1">
      <c r="N1076" s="1072"/>
      <c r="T1076" s="1072"/>
      <c r="BA1076" s="1076"/>
    </row>
    <row r="1077" spans="14:53" s="863" customFormat="1">
      <c r="N1077" s="1072"/>
      <c r="T1077" s="1072"/>
      <c r="BA1077" s="1076"/>
    </row>
    <row r="1078" spans="14:53" s="863" customFormat="1">
      <c r="N1078" s="1072"/>
      <c r="T1078" s="1072"/>
      <c r="BA1078" s="1076"/>
    </row>
    <row r="1079" spans="14:53" s="863" customFormat="1">
      <c r="N1079" s="1072"/>
      <c r="T1079" s="1072"/>
      <c r="BA1079" s="1076"/>
    </row>
    <row r="1080" spans="14:53" s="863" customFormat="1">
      <c r="N1080" s="1072"/>
      <c r="T1080" s="1072"/>
      <c r="BA1080" s="1076"/>
    </row>
    <row r="1081" spans="14:53" s="863" customFormat="1">
      <c r="N1081" s="1072"/>
      <c r="T1081" s="1072"/>
      <c r="BA1081" s="1076"/>
    </row>
    <row r="1082" spans="14:53" s="863" customFormat="1">
      <c r="N1082" s="1072"/>
      <c r="T1082" s="1072"/>
      <c r="BA1082" s="1076"/>
    </row>
    <row r="1083" spans="14:53" s="863" customFormat="1">
      <c r="N1083" s="1072"/>
      <c r="T1083" s="1072"/>
      <c r="BA1083" s="1076"/>
    </row>
    <row r="1084" spans="14:53" s="863" customFormat="1">
      <c r="N1084" s="1072"/>
      <c r="T1084" s="1072"/>
      <c r="BA1084" s="1076"/>
    </row>
    <row r="1085" spans="14:53" s="863" customFormat="1">
      <c r="N1085" s="1072"/>
      <c r="T1085" s="1072"/>
      <c r="BA1085" s="1076"/>
    </row>
    <row r="1086" spans="14:53" s="863" customFormat="1">
      <c r="N1086" s="1072"/>
      <c r="T1086" s="1072"/>
      <c r="BA1086" s="1076"/>
    </row>
    <row r="1087" spans="14:53" s="863" customFormat="1">
      <c r="N1087" s="1072"/>
      <c r="T1087" s="1072"/>
      <c r="BA1087" s="1076"/>
    </row>
    <row r="1088" spans="14:53" s="863" customFormat="1">
      <c r="N1088" s="1072"/>
      <c r="T1088" s="1072"/>
      <c r="BA1088" s="1076"/>
    </row>
    <row r="1089" spans="14:53" s="863" customFormat="1">
      <c r="N1089" s="1072"/>
      <c r="T1089" s="1072"/>
      <c r="BA1089" s="1076"/>
    </row>
    <row r="1090" spans="14:53" s="863" customFormat="1">
      <c r="N1090" s="1072"/>
      <c r="T1090" s="1072"/>
      <c r="BA1090" s="1076"/>
    </row>
    <row r="1091" spans="14:53" s="863" customFormat="1">
      <c r="N1091" s="1072"/>
      <c r="T1091" s="1072"/>
      <c r="BA1091" s="1076"/>
    </row>
    <row r="1092" spans="14:53" s="863" customFormat="1">
      <c r="N1092" s="1072"/>
      <c r="T1092" s="1072"/>
      <c r="BA1092" s="1076"/>
    </row>
    <row r="1093" spans="14:53" s="863" customFormat="1">
      <c r="N1093" s="1072"/>
      <c r="T1093" s="1072"/>
      <c r="BA1093" s="1076"/>
    </row>
    <row r="1094" spans="14:53" s="863" customFormat="1">
      <c r="N1094" s="1072"/>
      <c r="T1094" s="1072"/>
      <c r="BA1094" s="1076"/>
    </row>
    <row r="1095" spans="14:53" s="863" customFormat="1">
      <c r="N1095" s="1072"/>
      <c r="T1095" s="1072"/>
      <c r="BA1095" s="1076"/>
    </row>
    <row r="1096" spans="14:53" s="863" customFormat="1">
      <c r="N1096" s="1072"/>
      <c r="T1096" s="1072"/>
      <c r="BA1096" s="1076"/>
    </row>
    <row r="1097" spans="14:53" s="863" customFormat="1">
      <c r="N1097" s="1072"/>
      <c r="T1097" s="1072"/>
      <c r="BA1097" s="1076"/>
    </row>
    <row r="1098" spans="14:53" s="863" customFormat="1">
      <c r="N1098" s="1072"/>
      <c r="T1098" s="1072"/>
      <c r="BA1098" s="1076"/>
    </row>
    <row r="1099" spans="14:53" s="863" customFormat="1">
      <c r="N1099" s="1072"/>
      <c r="T1099" s="1072"/>
      <c r="BA1099" s="1076"/>
    </row>
    <row r="1100" spans="14:53" s="863" customFormat="1">
      <c r="N1100" s="1072"/>
      <c r="T1100" s="1072"/>
      <c r="BA1100" s="1076"/>
    </row>
    <row r="1101" spans="14:53" s="863" customFormat="1">
      <c r="N1101" s="1072"/>
      <c r="T1101" s="1072"/>
      <c r="BA1101" s="1076"/>
    </row>
    <row r="1102" spans="14:53" s="863" customFormat="1">
      <c r="N1102" s="1072"/>
      <c r="T1102" s="1072"/>
      <c r="BA1102" s="1076"/>
    </row>
    <row r="1103" spans="14:53" s="863" customFormat="1">
      <c r="N1103" s="1072"/>
      <c r="T1103" s="1072"/>
      <c r="BA1103" s="1076"/>
    </row>
    <row r="1104" spans="14:53" s="863" customFormat="1">
      <c r="N1104" s="1072"/>
      <c r="T1104" s="1072"/>
      <c r="BA1104" s="1076"/>
    </row>
    <row r="1105" spans="14:53" s="863" customFormat="1">
      <c r="N1105" s="1072"/>
      <c r="T1105" s="1072"/>
      <c r="BA1105" s="1076"/>
    </row>
    <row r="1106" spans="14:53" s="863" customFormat="1">
      <c r="N1106" s="1072"/>
      <c r="T1106" s="1072"/>
      <c r="BA1106" s="1076"/>
    </row>
    <row r="1107" spans="14:53" s="863" customFormat="1">
      <c r="N1107" s="1072"/>
      <c r="T1107" s="1072"/>
      <c r="BA1107" s="1076"/>
    </row>
    <row r="1108" spans="14:53" s="863" customFormat="1">
      <c r="N1108" s="1072"/>
      <c r="T1108" s="1072"/>
      <c r="BA1108" s="1076"/>
    </row>
    <row r="1109" spans="14:53" s="863" customFormat="1">
      <c r="N1109" s="1072"/>
      <c r="T1109" s="1072"/>
      <c r="BA1109" s="1076"/>
    </row>
    <row r="1110" spans="14:53" s="863" customFormat="1">
      <c r="N1110" s="1072"/>
      <c r="T1110" s="1072"/>
      <c r="BA1110" s="1076"/>
    </row>
    <row r="1111" spans="14:53" s="863" customFormat="1">
      <c r="N1111" s="1072"/>
      <c r="T1111" s="1072"/>
      <c r="BA1111" s="1076"/>
    </row>
    <row r="1112" spans="14:53" s="863" customFormat="1">
      <c r="N1112" s="1072"/>
      <c r="T1112" s="1072"/>
      <c r="BA1112" s="1076"/>
    </row>
    <row r="1113" spans="14:53" s="863" customFormat="1">
      <c r="N1113" s="1072"/>
      <c r="T1113" s="1072"/>
      <c r="BA1113" s="1076"/>
    </row>
    <row r="1114" spans="14:53" s="863" customFormat="1">
      <c r="N1114" s="1072"/>
      <c r="T1114" s="1072"/>
      <c r="BA1114" s="1076"/>
    </row>
    <row r="1115" spans="14:53" s="863" customFormat="1">
      <c r="N1115" s="1072"/>
      <c r="T1115" s="1072"/>
      <c r="BA1115" s="1076"/>
    </row>
    <row r="1116" spans="14:53" s="863" customFormat="1">
      <c r="N1116" s="1072"/>
      <c r="T1116" s="1072"/>
      <c r="BA1116" s="1076"/>
    </row>
    <row r="1117" spans="14:53" s="863" customFormat="1">
      <c r="N1117" s="1072"/>
      <c r="T1117" s="1072"/>
      <c r="BA1117" s="1076"/>
    </row>
    <row r="1118" spans="14:53" s="863" customFormat="1">
      <c r="N1118" s="1072"/>
      <c r="T1118" s="1072"/>
      <c r="BA1118" s="1076"/>
    </row>
    <row r="1119" spans="14:53" s="863" customFormat="1">
      <c r="N1119" s="1072"/>
      <c r="T1119" s="1072"/>
      <c r="BA1119" s="1076"/>
    </row>
    <row r="1120" spans="14:53" s="863" customFormat="1">
      <c r="N1120" s="1072"/>
      <c r="T1120" s="1072"/>
      <c r="BA1120" s="1076"/>
    </row>
    <row r="1121" spans="14:53" s="863" customFormat="1">
      <c r="N1121" s="1072"/>
      <c r="T1121" s="1072"/>
      <c r="BA1121" s="1076"/>
    </row>
    <row r="1122" spans="14:53" s="863" customFormat="1">
      <c r="N1122" s="1072"/>
      <c r="T1122" s="1072"/>
      <c r="BA1122" s="1076"/>
    </row>
    <row r="1123" spans="14:53" s="863" customFormat="1">
      <c r="N1123" s="1072"/>
      <c r="T1123" s="1072"/>
      <c r="BA1123" s="1076"/>
    </row>
    <row r="1124" spans="14:53" s="863" customFormat="1">
      <c r="N1124" s="1072"/>
      <c r="T1124" s="1072"/>
      <c r="BA1124" s="1076"/>
    </row>
    <row r="1125" spans="14:53" s="863" customFormat="1">
      <c r="N1125" s="1072"/>
      <c r="T1125" s="1072"/>
      <c r="BA1125" s="1076"/>
    </row>
    <row r="1126" spans="14:53" s="863" customFormat="1">
      <c r="N1126" s="1072"/>
      <c r="T1126" s="1072"/>
      <c r="BA1126" s="1076"/>
    </row>
    <row r="1127" spans="14:53" s="863" customFormat="1">
      <c r="N1127" s="1072"/>
      <c r="T1127" s="1072"/>
      <c r="BA1127" s="1076"/>
    </row>
    <row r="1128" spans="14:53" s="863" customFormat="1">
      <c r="N1128" s="1072"/>
      <c r="T1128" s="1072"/>
      <c r="BA1128" s="1076"/>
    </row>
    <row r="1129" spans="14:53" s="863" customFormat="1">
      <c r="N1129" s="1072"/>
      <c r="T1129" s="1072"/>
      <c r="BA1129" s="1076"/>
    </row>
    <row r="1130" spans="14:53" s="863" customFormat="1">
      <c r="N1130" s="1072"/>
      <c r="T1130" s="1072"/>
      <c r="BA1130" s="1076"/>
    </row>
    <row r="1131" spans="14:53" s="863" customFormat="1">
      <c r="N1131" s="1072"/>
      <c r="T1131" s="1072"/>
      <c r="BA1131" s="1076"/>
    </row>
    <row r="1132" spans="14:53" s="863" customFormat="1">
      <c r="N1132" s="1072"/>
      <c r="T1132" s="1072"/>
      <c r="BA1132" s="1076"/>
    </row>
    <row r="1133" spans="14:53" s="863" customFormat="1">
      <c r="N1133" s="1072"/>
      <c r="T1133" s="1072"/>
      <c r="BA1133" s="1076"/>
    </row>
    <row r="1134" spans="14:53" s="863" customFormat="1">
      <c r="N1134" s="1072"/>
      <c r="T1134" s="1072"/>
      <c r="BA1134" s="1076"/>
    </row>
    <row r="1135" spans="14:53" s="863" customFormat="1">
      <c r="N1135" s="1072"/>
      <c r="T1135" s="1072"/>
      <c r="BA1135" s="1076"/>
    </row>
    <row r="1136" spans="14:53" s="863" customFormat="1">
      <c r="N1136" s="1072"/>
      <c r="T1136" s="1072"/>
      <c r="BA1136" s="1076"/>
    </row>
    <row r="1137" spans="14:53" s="863" customFormat="1">
      <c r="N1137" s="1072"/>
      <c r="T1137" s="1072"/>
      <c r="BA1137" s="1076"/>
    </row>
    <row r="1138" spans="14:53" s="863" customFormat="1">
      <c r="N1138" s="1072"/>
      <c r="T1138" s="1072"/>
      <c r="BA1138" s="1076"/>
    </row>
    <row r="1139" spans="14:53" s="863" customFormat="1">
      <c r="N1139" s="1072"/>
      <c r="T1139" s="1072"/>
      <c r="BA1139" s="1076"/>
    </row>
    <row r="1140" spans="14:53" s="863" customFormat="1">
      <c r="N1140" s="1072"/>
      <c r="T1140" s="1072"/>
      <c r="BA1140" s="1076"/>
    </row>
    <row r="1141" spans="14:53" s="863" customFormat="1">
      <c r="N1141" s="1072"/>
      <c r="T1141" s="1072"/>
      <c r="BA1141" s="1076"/>
    </row>
    <row r="1142" spans="14:53" s="863" customFormat="1">
      <c r="N1142" s="1072"/>
      <c r="T1142" s="1072"/>
      <c r="BA1142" s="1076"/>
    </row>
    <row r="1143" spans="14:53" s="863" customFormat="1">
      <c r="N1143" s="1072"/>
      <c r="T1143" s="1072"/>
      <c r="BA1143" s="1076"/>
    </row>
    <row r="1144" spans="14:53" s="863" customFormat="1">
      <c r="N1144" s="1072"/>
      <c r="T1144" s="1072"/>
      <c r="BA1144" s="1076"/>
    </row>
    <row r="1145" spans="14:53" s="863" customFormat="1">
      <c r="N1145" s="1072"/>
      <c r="T1145" s="1072"/>
      <c r="BA1145" s="1076"/>
    </row>
    <row r="1146" spans="14:53" s="863" customFormat="1">
      <c r="N1146" s="1072"/>
      <c r="T1146" s="1072"/>
      <c r="BA1146" s="1076"/>
    </row>
    <row r="1147" spans="14:53" s="863" customFormat="1">
      <c r="N1147" s="1072"/>
      <c r="T1147" s="1072"/>
      <c r="BA1147" s="1076"/>
    </row>
    <row r="1148" spans="14:53" s="863" customFormat="1">
      <c r="N1148" s="1072"/>
      <c r="T1148" s="1072"/>
      <c r="BA1148" s="1076"/>
    </row>
    <row r="1149" spans="14:53" s="863" customFormat="1">
      <c r="N1149" s="1072"/>
      <c r="T1149" s="1072"/>
      <c r="BA1149" s="1076"/>
    </row>
    <row r="1150" spans="14:53" s="863" customFormat="1">
      <c r="N1150" s="1072"/>
      <c r="T1150" s="1072"/>
      <c r="BA1150" s="1076"/>
    </row>
    <row r="1151" spans="14:53" s="863" customFormat="1">
      <c r="N1151" s="1072"/>
      <c r="T1151" s="1072"/>
      <c r="BA1151" s="1076"/>
    </row>
    <row r="1152" spans="14:53" s="863" customFormat="1">
      <c r="N1152" s="1072"/>
      <c r="T1152" s="1072"/>
      <c r="BA1152" s="1076"/>
    </row>
    <row r="1153" spans="14:53" s="863" customFormat="1">
      <c r="N1153" s="1072"/>
      <c r="T1153" s="1072"/>
      <c r="BA1153" s="1076"/>
    </row>
    <row r="1154" spans="14:53" s="863" customFormat="1">
      <c r="N1154" s="1072"/>
      <c r="T1154" s="1072"/>
      <c r="BA1154" s="1076"/>
    </row>
    <row r="1155" spans="14:53" s="863" customFormat="1">
      <c r="N1155" s="1072"/>
      <c r="T1155" s="1072"/>
      <c r="BA1155" s="1076"/>
    </row>
    <row r="1156" spans="14:53" s="863" customFormat="1">
      <c r="N1156" s="1072"/>
      <c r="T1156" s="1072"/>
      <c r="BA1156" s="1076"/>
    </row>
    <row r="1157" spans="14:53" s="863" customFormat="1">
      <c r="N1157" s="1072"/>
      <c r="T1157" s="1072"/>
      <c r="BA1157" s="1076"/>
    </row>
    <row r="1158" spans="14:53" s="863" customFormat="1">
      <c r="N1158" s="1072"/>
      <c r="T1158" s="1072"/>
      <c r="BA1158" s="1076"/>
    </row>
    <row r="1159" spans="14:53" s="863" customFormat="1">
      <c r="N1159" s="1072"/>
      <c r="T1159" s="1072"/>
      <c r="BA1159" s="1076"/>
    </row>
    <row r="1160" spans="14:53" s="863" customFormat="1">
      <c r="N1160" s="1072"/>
      <c r="T1160" s="1072"/>
      <c r="BA1160" s="1076"/>
    </row>
    <row r="1161" spans="14:53" s="863" customFormat="1">
      <c r="N1161" s="1072"/>
      <c r="T1161" s="1072"/>
      <c r="BA1161" s="1076"/>
    </row>
    <row r="1162" spans="14:53" s="863" customFormat="1">
      <c r="N1162" s="1072"/>
      <c r="T1162" s="1072"/>
      <c r="BA1162" s="1076"/>
    </row>
    <row r="1163" spans="14:53" s="863" customFormat="1">
      <c r="N1163" s="1072"/>
      <c r="T1163" s="1072"/>
      <c r="BA1163" s="1076"/>
    </row>
    <row r="1164" spans="14:53" s="863" customFormat="1">
      <c r="N1164" s="1072"/>
      <c r="T1164" s="1072"/>
      <c r="BA1164" s="1076"/>
    </row>
    <row r="1165" spans="14:53" s="863" customFormat="1">
      <c r="N1165" s="1072"/>
      <c r="T1165" s="1072"/>
      <c r="BA1165" s="1076"/>
    </row>
    <row r="1166" spans="14:53" s="863" customFormat="1">
      <c r="N1166" s="1072"/>
      <c r="T1166" s="1072"/>
      <c r="BA1166" s="1076"/>
    </row>
    <row r="1167" spans="14:53" s="863" customFormat="1">
      <c r="N1167" s="1072"/>
      <c r="T1167" s="1072"/>
      <c r="BA1167" s="1076"/>
    </row>
    <row r="1168" spans="14:53" s="863" customFormat="1">
      <c r="N1168" s="1072"/>
      <c r="T1168" s="1072"/>
      <c r="BA1168" s="1076"/>
    </row>
    <row r="1169" spans="14:53" s="863" customFormat="1">
      <c r="N1169" s="1072"/>
      <c r="T1169" s="1072"/>
      <c r="BA1169" s="1076"/>
    </row>
    <row r="1170" spans="14:53" s="863" customFormat="1">
      <c r="N1170" s="1072"/>
      <c r="T1170" s="1072"/>
      <c r="BA1170" s="1076"/>
    </row>
    <row r="1171" spans="14:53" s="863" customFormat="1">
      <c r="N1171" s="1072"/>
      <c r="T1171" s="1072"/>
      <c r="BA1171" s="1076"/>
    </row>
    <row r="1172" spans="14:53" s="863" customFormat="1">
      <c r="N1172" s="1072"/>
      <c r="T1172" s="1072"/>
      <c r="BA1172" s="1076"/>
    </row>
    <row r="1173" spans="14:53" s="863" customFormat="1">
      <c r="N1173" s="1072"/>
      <c r="T1173" s="1072"/>
      <c r="BA1173" s="1076"/>
    </row>
    <row r="1174" spans="14:53" s="863" customFormat="1">
      <c r="N1174" s="1072"/>
      <c r="T1174" s="1072"/>
      <c r="BA1174" s="1076"/>
    </row>
    <row r="1175" spans="14:53" s="863" customFormat="1">
      <c r="N1175" s="1072"/>
      <c r="T1175" s="1072"/>
      <c r="BA1175" s="1076"/>
    </row>
    <row r="1176" spans="14:53" s="863" customFormat="1">
      <c r="N1176" s="1072"/>
      <c r="T1176" s="1072"/>
      <c r="BA1176" s="1076"/>
    </row>
    <row r="1177" spans="14:53" s="863" customFormat="1">
      <c r="N1177" s="1072"/>
      <c r="T1177" s="1072"/>
      <c r="BA1177" s="1076"/>
    </row>
    <row r="1178" spans="14:53" s="863" customFormat="1">
      <c r="N1178" s="1072"/>
      <c r="T1178" s="1072"/>
      <c r="BA1178" s="1076"/>
    </row>
    <row r="1179" spans="14:53" s="863" customFormat="1">
      <c r="N1179" s="1072"/>
      <c r="T1179" s="1072"/>
      <c r="BA1179" s="1076"/>
    </row>
    <row r="1180" spans="14:53" s="863" customFormat="1">
      <c r="N1180" s="1072"/>
      <c r="T1180" s="1072"/>
      <c r="BA1180" s="1076"/>
    </row>
    <row r="1181" spans="14:53" s="863" customFormat="1">
      <c r="N1181" s="1072"/>
      <c r="T1181" s="1072"/>
      <c r="BA1181" s="1076"/>
    </row>
    <row r="1182" spans="14:53" s="863" customFormat="1">
      <c r="N1182" s="1072"/>
      <c r="T1182" s="1072"/>
      <c r="BA1182" s="1076"/>
    </row>
    <row r="1183" spans="14:53" s="863" customFormat="1">
      <c r="N1183" s="1072"/>
      <c r="T1183" s="1072"/>
      <c r="BA1183" s="1076"/>
    </row>
    <row r="1184" spans="14:53" s="863" customFormat="1">
      <c r="N1184" s="1072"/>
      <c r="T1184" s="1072"/>
      <c r="BA1184" s="1076"/>
    </row>
    <row r="1185" spans="14:53" s="863" customFormat="1">
      <c r="N1185" s="1072"/>
      <c r="T1185" s="1072"/>
      <c r="BA1185" s="1076"/>
    </row>
    <row r="1186" spans="14:53" s="863" customFormat="1">
      <c r="N1186" s="1072"/>
      <c r="T1186" s="1072"/>
      <c r="BA1186" s="1076"/>
    </row>
    <row r="1187" spans="14:53" s="863" customFormat="1">
      <c r="N1187" s="1072"/>
      <c r="T1187" s="1072"/>
      <c r="BA1187" s="1076"/>
    </row>
    <row r="1188" spans="14:53" s="863" customFormat="1">
      <c r="N1188" s="1072"/>
      <c r="T1188" s="1072"/>
      <c r="BA1188" s="1076"/>
    </row>
    <row r="1189" spans="14:53" s="863" customFormat="1">
      <c r="N1189" s="1072"/>
      <c r="T1189" s="1072"/>
      <c r="BA1189" s="1076"/>
    </row>
    <row r="1190" spans="14:53" s="863" customFormat="1">
      <c r="N1190" s="1072"/>
      <c r="T1190" s="1072"/>
      <c r="BA1190" s="1076"/>
    </row>
    <row r="1191" spans="14:53" s="863" customFormat="1">
      <c r="N1191" s="1072"/>
      <c r="T1191" s="1072"/>
      <c r="BA1191" s="1076"/>
    </row>
    <row r="1192" spans="14:53" s="863" customFormat="1">
      <c r="N1192" s="1072"/>
      <c r="T1192" s="1072"/>
      <c r="BA1192" s="1076"/>
    </row>
    <row r="1193" spans="14:53" s="863" customFormat="1">
      <c r="N1193" s="1072"/>
      <c r="T1193" s="1072"/>
      <c r="BA1193" s="1076"/>
    </row>
    <row r="1194" spans="14:53" s="863" customFormat="1">
      <c r="N1194" s="1072"/>
      <c r="T1194" s="1072"/>
      <c r="BA1194" s="1076"/>
    </row>
    <row r="1195" spans="14:53" s="863" customFormat="1">
      <c r="N1195" s="1072"/>
      <c r="T1195" s="1072"/>
      <c r="BA1195" s="1076"/>
    </row>
    <row r="1196" spans="14:53" s="863" customFormat="1">
      <c r="N1196" s="1072"/>
      <c r="T1196" s="1072"/>
      <c r="BA1196" s="1076"/>
    </row>
    <row r="1197" spans="14:53" s="863" customFormat="1">
      <c r="N1197" s="1072"/>
      <c r="T1197" s="1072"/>
      <c r="BA1197" s="1076"/>
    </row>
    <row r="1198" spans="14:53" s="863" customFormat="1">
      <c r="N1198" s="1072"/>
      <c r="T1198" s="1072"/>
      <c r="BA1198" s="1076"/>
    </row>
    <row r="1199" spans="14:53" s="863" customFormat="1">
      <c r="N1199" s="1072"/>
      <c r="T1199" s="1072"/>
      <c r="BA1199" s="1076"/>
    </row>
    <row r="1200" spans="14:53" s="863" customFormat="1">
      <c r="N1200" s="1072"/>
      <c r="T1200" s="1072"/>
      <c r="BA1200" s="1076"/>
    </row>
    <row r="1201" spans="14:53" s="863" customFormat="1">
      <c r="N1201" s="1072"/>
      <c r="T1201" s="1072"/>
      <c r="BA1201" s="1076"/>
    </row>
    <row r="1202" spans="14:53" s="863" customFormat="1">
      <c r="N1202" s="1072"/>
      <c r="T1202" s="1072"/>
      <c r="BA1202" s="1076"/>
    </row>
    <row r="1203" spans="14:53" s="863" customFormat="1">
      <c r="N1203" s="1072"/>
      <c r="T1203" s="1072"/>
      <c r="BA1203" s="1076"/>
    </row>
    <row r="1204" spans="14:53" s="863" customFormat="1">
      <c r="N1204" s="1072"/>
      <c r="T1204" s="1072"/>
      <c r="BA1204" s="1076"/>
    </row>
    <row r="1205" spans="14:53" s="863" customFormat="1">
      <c r="N1205" s="1072"/>
      <c r="T1205" s="1072"/>
      <c r="BA1205" s="1076"/>
    </row>
    <row r="1206" spans="14:53" s="863" customFormat="1">
      <c r="N1206" s="1072"/>
      <c r="T1206" s="1072"/>
      <c r="BA1206" s="1076"/>
    </row>
    <row r="1207" spans="14:53" s="863" customFormat="1">
      <c r="N1207" s="1072"/>
      <c r="T1207" s="1072"/>
      <c r="BA1207" s="1076"/>
    </row>
    <row r="1208" spans="14:53" s="863" customFormat="1">
      <c r="N1208" s="1072"/>
      <c r="T1208" s="1072"/>
      <c r="BA1208" s="1076"/>
    </row>
    <row r="1209" spans="14:53" s="863" customFormat="1">
      <c r="N1209" s="1072"/>
      <c r="T1209" s="1072"/>
      <c r="BA1209" s="1076"/>
    </row>
    <row r="1210" spans="14:53" s="863" customFormat="1">
      <c r="N1210" s="1072"/>
      <c r="T1210" s="1072"/>
      <c r="BA1210" s="1076"/>
    </row>
    <row r="1211" spans="14:53" s="863" customFormat="1">
      <c r="N1211" s="1072"/>
      <c r="T1211" s="1072"/>
      <c r="BA1211" s="1076"/>
    </row>
    <row r="1212" spans="14:53" s="863" customFormat="1">
      <c r="N1212" s="1072"/>
      <c r="T1212" s="1072"/>
      <c r="BA1212" s="1076"/>
    </row>
    <row r="1213" spans="14:53" s="863" customFormat="1">
      <c r="N1213" s="1072"/>
      <c r="T1213" s="1072"/>
      <c r="BA1213" s="1076"/>
    </row>
    <row r="1214" spans="14:53" s="863" customFormat="1">
      <c r="N1214" s="1072"/>
      <c r="T1214" s="1072"/>
      <c r="BA1214" s="1076"/>
    </row>
    <row r="1215" spans="14:53" s="863" customFormat="1">
      <c r="N1215" s="1072"/>
      <c r="T1215" s="1072"/>
      <c r="BA1215" s="1076"/>
    </row>
    <row r="1216" spans="14:53" s="863" customFormat="1">
      <c r="N1216" s="1072"/>
      <c r="T1216" s="1072"/>
      <c r="BA1216" s="1076"/>
    </row>
    <row r="1217" spans="14:53" s="863" customFormat="1">
      <c r="N1217" s="1072"/>
      <c r="T1217" s="1072"/>
      <c r="BA1217" s="1076"/>
    </row>
    <row r="1218" spans="14:53" s="863" customFormat="1">
      <c r="N1218" s="1072"/>
      <c r="T1218" s="1072"/>
      <c r="BA1218" s="1076"/>
    </row>
    <row r="1219" spans="14:53" s="863" customFormat="1">
      <c r="N1219" s="1072"/>
      <c r="T1219" s="1072"/>
      <c r="BA1219" s="1076"/>
    </row>
    <row r="1220" spans="14:53" s="863" customFormat="1">
      <c r="N1220" s="1072"/>
      <c r="T1220" s="1072"/>
      <c r="BA1220" s="1076"/>
    </row>
    <row r="1221" spans="14:53" s="863" customFormat="1">
      <c r="N1221" s="1072"/>
      <c r="T1221" s="1072"/>
      <c r="BA1221" s="1076"/>
    </row>
    <row r="1222" spans="14:53" s="863" customFormat="1">
      <c r="N1222" s="1072"/>
      <c r="T1222" s="1072"/>
      <c r="BA1222" s="1076"/>
    </row>
    <row r="1223" spans="14:53" s="863" customFormat="1">
      <c r="N1223" s="1072"/>
      <c r="T1223" s="1072"/>
      <c r="BA1223" s="1076"/>
    </row>
    <row r="1224" spans="14:53" s="863" customFormat="1">
      <c r="N1224" s="1072"/>
      <c r="T1224" s="1072"/>
      <c r="BA1224" s="1076"/>
    </row>
    <row r="1225" spans="14:53" s="863" customFormat="1">
      <c r="N1225" s="1072"/>
      <c r="T1225" s="1072"/>
      <c r="BA1225" s="1076"/>
    </row>
    <row r="1226" spans="14:53" s="863" customFormat="1">
      <c r="N1226" s="1072"/>
      <c r="T1226" s="1072"/>
      <c r="BA1226" s="1076"/>
    </row>
    <row r="1227" spans="14:53" s="863" customFormat="1">
      <c r="N1227" s="1072"/>
      <c r="T1227" s="1072"/>
      <c r="BA1227" s="1076"/>
    </row>
    <row r="1228" spans="14:53" s="863" customFormat="1">
      <c r="N1228" s="1072"/>
      <c r="T1228" s="1072"/>
      <c r="BA1228" s="1076"/>
    </row>
    <row r="1229" spans="14:53" s="863" customFormat="1">
      <c r="N1229" s="1072"/>
      <c r="T1229" s="1072"/>
      <c r="BA1229" s="1076"/>
    </row>
    <row r="1230" spans="14:53" s="863" customFormat="1">
      <c r="N1230" s="1072"/>
      <c r="T1230" s="1072"/>
      <c r="BA1230" s="1076"/>
    </row>
    <row r="1231" spans="14:53" s="863" customFormat="1">
      <c r="N1231" s="1072"/>
      <c r="T1231" s="1072"/>
      <c r="BA1231" s="1076"/>
    </row>
    <row r="1232" spans="14:53" s="863" customFormat="1">
      <c r="N1232" s="1072"/>
      <c r="T1232" s="1072"/>
      <c r="BA1232" s="1076"/>
    </row>
    <row r="1233" spans="14:53" s="863" customFormat="1">
      <c r="N1233" s="1072"/>
      <c r="T1233" s="1072"/>
      <c r="BA1233" s="1076"/>
    </row>
    <row r="1234" spans="14:53" s="863" customFormat="1">
      <c r="N1234" s="1072"/>
      <c r="T1234" s="1072"/>
      <c r="BA1234" s="1076"/>
    </row>
    <row r="1235" spans="14:53" s="863" customFormat="1">
      <c r="N1235" s="1072"/>
      <c r="T1235" s="1072"/>
      <c r="BA1235" s="1076"/>
    </row>
    <row r="1236" spans="14:53" s="863" customFormat="1">
      <c r="N1236" s="1072"/>
      <c r="T1236" s="1072"/>
      <c r="BA1236" s="1076"/>
    </row>
    <row r="1237" spans="14:53" s="863" customFormat="1">
      <c r="N1237" s="1072"/>
      <c r="T1237" s="1072"/>
      <c r="BA1237" s="1076"/>
    </row>
    <row r="1238" spans="14:53" s="863" customFormat="1">
      <c r="N1238" s="1072"/>
      <c r="T1238" s="1072"/>
      <c r="BA1238" s="1076"/>
    </row>
    <row r="1239" spans="14:53" s="863" customFormat="1">
      <c r="N1239" s="1072"/>
      <c r="T1239" s="1072"/>
      <c r="BA1239" s="1076"/>
    </row>
    <row r="1240" spans="14:53" s="863" customFormat="1">
      <c r="N1240" s="1072"/>
      <c r="T1240" s="1072"/>
      <c r="BA1240" s="1076"/>
    </row>
    <row r="1241" spans="14:53" s="863" customFormat="1">
      <c r="N1241" s="1072"/>
      <c r="T1241" s="1072"/>
      <c r="BA1241" s="1076"/>
    </row>
    <row r="1242" spans="14:53" s="863" customFormat="1">
      <c r="N1242" s="1072"/>
      <c r="T1242" s="1072"/>
      <c r="BA1242" s="1076"/>
    </row>
    <row r="1243" spans="14:53" s="863" customFormat="1">
      <c r="N1243" s="1072"/>
      <c r="T1243" s="1072"/>
      <c r="BA1243" s="1076"/>
    </row>
    <row r="1244" spans="14:53" s="863" customFormat="1">
      <c r="N1244" s="1072"/>
      <c r="T1244" s="1072"/>
      <c r="BA1244" s="1076"/>
    </row>
    <row r="1245" spans="14:53" s="863" customFormat="1">
      <c r="N1245" s="1072"/>
      <c r="T1245" s="1072"/>
      <c r="BA1245" s="1076"/>
    </row>
    <row r="1246" spans="14:53" s="863" customFormat="1">
      <c r="N1246" s="1072"/>
      <c r="T1246" s="1072"/>
      <c r="BA1246" s="1076"/>
    </row>
    <row r="1247" spans="14:53" s="863" customFormat="1">
      <c r="N1247" s="1072"/>
      <c r="T1247" s="1072"/>
      <c r="BA1247" s="1076"/>
    </row>
    <row r="1248" spans="14:53" s="863" customFormat="1">
      <c r="N1248" s="1072"/>
      <c r="T1248" s="1072"/>
      <c r="BA1248" s="1076"/>
    </row>
    <row r="1249" spans="14:53" s="863" customFormat="1">
      <c r="N1249" s="1072"/>
      <c r="T1249" s="1072"/>
      <c r="BA1249" s="1076"/>
    </row>
    <row r="1250" spans="14:53" s="863" customFormat="1">
      <c r="N1250" s="1072"/>
      <c r="T1250" s="1072"/>
      <c r="BA1250" s="1076"/>
    </row>
    <row r="1251" spans="14:53" s="863" customFormat="1">
      <c r="N1251" s="1072"/>
      <c r="T1251" s="1072"/>
      <c r="BA1251" s="1076"/>
    </row>
    <row r="1252" spans="14:53" s="863" customFormat="1">
      <c r="N1252" s="1072"/>
      <c r="T1252" s="1072"/>
      <c r="BA1252" s="1076"/>
    </row>
    <row r="1253" spans="14:53" s="863" customFormat="1">
      <c r="N1253" s="1072"/>
      <c r="T1253" s="1072"/>
      <c r="BA1253" s="1076"/>
    </row>
    <row r="1254" spans="14:53" s="863" customFormat="1">
      <c r="N1254" s="1072"/>
      <c r="T1254" s="1072"/>
      <c r="BA1254" s="1076"/>
    </row>
    <row r="1255" spans="14:53" s="863" customFormat="1">
      <c r="N1255" s="1072"/>
      <c r="T1255" s="1072"/>
      <c r="BA1255" s="1076"/>
    </row>
    <row r="1256" spans="14:53" s="863" customFormat="1">
      <c r="N1256" s="1072"/>
      <c r="T1256" s="1072"/>
      <c r="BA1256" s="1076"/>
    </row>
    <row r="1257" spans="14:53" s="863" customFormat="1">
      <c r="N1257" s="1072"/>
      <c r="T1257" s="1072"/>
      <c r="BA1257" s="1076"/>
    </row>
    <row r="1258" spans="14:53" s="863" customFormat="1">
      <c r="N1258" s="1072"/>
      <c r="T1258" s="1072"/>
      <c r="BA1258" s="1076"/>
    </row>
    <row r="1259" spans="14:53" s="863" customFormat="1">
      <c r="N1259" s="1072"/>
      <c r="T1259" s="1072"/>
      <c r="BA1259" s="1076"/>
    </row>
    <row r="1260" spans="14:53" s="863" customFormat="1">
      <c r="N1260" s="1072"/>
      <c r="T1260" s="1072"/>
      <c r="BA1260" s="1076"/>
    </row>
    <row r="1261" spans="14:53" s="863" customFormat="1">
      <c r="N1261" s="1072"/>
      <c r="T1261" s="1072"/>
      <c r="BA1261" s="1076"/>
    </row>
    <row r="1262" spans="14:53" s="863" customFormat="1">
      <c r="N1262" s="1072"/>
      <c r="T1262" s="1072"/>
      <c r="BA1262" s="1076"/>
    </row>
    <row r="1263" spans="14:53" s="863" customFormat="1">
      <c r="N1263" s="1072"/>
      <c r="T1263" s="1072"/>
      <c r="BA1263" s="1076"/>
    </row>
    <row r="1264" spans="14:53" s="863" customFormat="1">
      <c r="N1264" s="1072"/>
      <c r="T1264" s="1072"/>
      <c r="BA1264" s="1076"/>
    </row>
    <row r="1265" spans="14:53" s="863" customFormat="1">
      <c r="N1265" s="1072"/>
      <c r="T1265" s="1072"/>
      <c r="BA1265" s="1076"/>
    </row>
    <row r="1266" spans="14:53" s="863" customFormat="1">
      <c r="N1266" s="1072"/>
      <c r="T1266" s="1072"/>
      <c r="BA1266" s="1076"/>
    </row>
    <row r="1267" spans="14:53" s="863" customFormat="1">
      <c r="N1267" s="1072"/>
      <c r="T1267" s="1072"/>
      <c r="BA1267" s="1076"/>
    </row>
    <row r="1268" spans="14:53" s="863" customFormat="1">
      <c r="N1268" s="1072"/>
      <c r="T1268" s="1072"/>
      <c r="BA1268" s="1076"/>
    </row>
    <row r="1269" spans="14:53" s="863" customFormat="1">
      <c r="N1269" s="1072"/>
      <c r="T1269" s="1072"/>
      <c r="BA1269" s="1076"/>
    </row>
    <row r="1270" spans="14:53" s="863" customFormat="1">
      <c r="N1270" s="1072"/>
      <c r="T1270" s="1072"/>
      <c r="BA1270" s="1076"/>
    </row>
    <row r="1271" spans="14:53" s="863" customFormat="1">
      <c r="N1271" s="1072"/>
      <c r="T1271" s="1072"/>
      <c r="BA1271" s="1076"/>
    </row>
    <row r="1272" spans="14:53" s="863" customFormat="1">
      <c r="N1272" s="1072"/>
      <c r="T1272" s="1072"/>
      <c r="BA1272" s="1076"/>
    </row>
    <row r="1273" spans="14:53" s="863" customFormat="1">
      <c r="N1273" s="1072"/>
      <c r="T1273" s="1072"/>
      <c r="BA1273" s="1076"/>
    </row>
    <row r="1274" spans="14:53" s="863" customFormat="1">
      <c r="N1274" s="1072"/>
      <c r="T1274" s="1072"/>
      <c r="BA1274" s="1076"/>
    </row>
    <row r="1275" spans="14:53" s="863" customFormat="1">
      <c r="N1275" s="1072"/>
      <c r="T1275" s="1072"/>
      <c r="BA1275" s="1076"/>
    </row>
    <row r="1276" spans="14:53" s="863" customFormat="1">
      <c r="N1276" s="1072"/>
      <c r="T1276" s="1072"/>
      <c r="BA1276" s="1076"/>
    </row>
    <row r="1277" spans="14:53" s="863" customFormat="1">
      <c r="N1277" s="1072"/>
      <c r="T1277" s="1072"/>
      <c r="BA1277" s="1076"/>
    </row>
    <row r="1278" spans="14:53" s="863" customFormat="1">
      <c r="N1278" s="1072"/>
      <c r="T1278" s="1072"/>
      <c r="BA1278" s="1076"/>
    </row>
    <row r="1279" spans="14:53" s="863" customFormat="1">
      <c r="N1279" s="1072"/>
      <c r="T1279" s="1072"/>
      <c r="BA1279" s="1076"/>
    </row>
    <row r="1280" spans="14:53" s="863" customFormat="1">
      <c r="N1280" s="1072"/>
      <c r="T1280" s="1072"/>
      <c r="BA1280" s="1076"/>
    </row>
    <row r="1281" spans="14:53" s="863" customFormat="1">
      <c r="N1281" s="1072"/>
      <c r="T1281" s="1072"/>
      <c r="BA1281" s="1076"/>
    </row>
    <row r="1282" spans="14:53" s="863" customFormat="1">
      <c r="N1282" s="1072"/>
      <c r="T1282" s="1072"/>
      <c r="BA1282" s="1076"/>
    </row>
    <row r="1283" spans="14:53" s="863" customFormat="1">
      <c r="N1283" s="1072"/>
      <c r="T1283" s="1072"/>
      <c r="BA1283" s="1076"/>
    </row>
    <row r="1284" spans="14:53" s="863" customFormat="1">
      <c r="N1284" s="1072"/>
      <c r="T1284" s="1072"/>
      <c r="BA1284" s="1076"/>
    </row>
    <row r="1285" spans="14:53" s="863" customFormat="1">
      <c r="N1285" s="1072"/>
      <c r="T1285" s="1072"/>
      <c r="BA1285" s="1076"/>
    </row>
    <row r="1286" spans="14:53" s="863" customFormat="1">
      <c r="N1286" s="1072"/>
      <c r="T1286" s="1072"/>
      <c r="BA1286" s="1076"/>
    </row>
    <row r="1287" spans="14:53" s="863" customFormat="1">
      <c r="N1287" s="1072"/>
      <c r="T1287" s="1072"/>
      <c r="BA1287" s="1076"/>
    </row>
    <row r="1288" spans="14:53" s="863" customFormat="1">
      <c r="N1288" s="1072"/>
      <c r="T1288" s="1072"/>
      <c r="BA1288" s="1076"/>
    </row>
    <row r="1289" spans="14:53" s="863" customFormat="1">
      <c r="N1289" s="1072"/>
      <c r="T1289" s="1072"/>
      <c r="BA1289" s="1076"/>
    </row>
    <row r="1290" spans="14:53" s="863" customFormat="1">
      <c r="N1290" s="1072"/>
      <c r="T1290" s="1072"/>
      <c r="BA1290" s="1076"/>
    </row>
    <row r="1291" spans="14:53" s="863" customFormat="1">
      <c r="N1291" s="1072"/>
      <c r="T1291" s="1072"/>
      <c r="BA1291" s="1076"/>
    </row>
    <row r="1292" spans="14:53" s="863" customFormat="1">
      <c r="N1292" s="1072"/>
      <c r="T1292" s="1072"/>
      <c r="BA1292" s="1076"/>
    </row>
    <row r="1293" spans="14:53" s="863" customFormat="1">
      <c r="N1293" s="1072"/>
      <c r="T1293" s="1072"/>
      <c r="BA1293" s="1076"/>
    </row>
    <row r="1294" spans="14:53" s="863" customFormat="1">
      <c r="N1294" s="1072"/>
      <c r="T1294" s="1072"/>
      <c r="BA1294" s="1076"/>
    </row>
    <row r="1295" spans="14:53" s="863" customFormat="1">
      <c r="N1295" s="1072"/>
      <c r="T1295" s="1072"/>
      <c r="BA1295" s="1076"/>
    </row>
    <row r="1296" spans="14:53" s="863" customFormat="1">
      <c r="N1296" s="1072"/>
      <c r="T1296" s="1072"/>
      <c r="BA1296" s="1076"/>
    </row>
    <row r="1297" spans="14:53" s="863" customFormat="1">
      <c r="N1297" s="1072"/>
      <c r="T1297" s="1072"/>
      <c r="BA1297" s="1076"/>
    </row>
    <row r="1298" spans="14:53" s="863" customFormat="1">
      <c r="N1298" s="1072"/>
      <c r="T1298" s="1072"/>
      <c r="BA1298" s="1076"/>
    </row>
    <row r="1299" spans="14:53" s="863" customFormat="1">
      <c r="N1299" s="1072"/>
      <c r="T1299" s="1072"/>
      <c r="BA1299" s="1076"/>
    </row>
    <row r="1300" spans="14:53" s="863" customFormat="1">
      <c r="N1300" s="1072"/>
      <c r="T1300" s="1072"/>
      <c r="BA1300" s="1076"/>
    </row>
    <row r="1301" spans="14:53" s="863" customFormat="1">
      <c r="N1301" s="1072"/>
      <c r="T1301" s="1072"/>
      <c r="BA1301" s="1076"/>
    </row>
    <row r="1302" spans="14:53" s="863" customFormat="1">
      <c r="N1302" s="1072"/>
      <c r="T1302" s="1072"/>
      <c r="BA1302" s="1076"/>
    </row>
    <row r="1303" spans="14:53" s="863" customFormat="1">
      <c r="N1303" s="1072"/>
      <c r="T1303" s="1072"/>
      <c r="BA1303" s="1076"/>
    </row>
    <row r="1304" spans="14:53" s="863" customFormat="1">
      <c r="N1304" s="1072"/>
      <c r="T1304" s="1072"/>
      <c r="BA1304" s="1076"/>
    </row>
    <row r="1305" spans="14:53" s="863" customFormat="1">
      <c r="N1305" s="1072"/>
      <c r="T1305" s="1072"/>
      <c r="BA1305" s="1076"/>
    </row>
    <row r="1306" spans="14:53" s="863" customFormat="1">
      <c r="N1306" s="1072"/>
      <c r="T1306" s="1072"/>
      <c r="BA1306" s="1076"/>
    </row>
    <row r="1307" spans="14:53" s="863" customFormat="1">
      <c r="N1307" s="1072"/>
      <c r="T1307" s="1072"/>
      <c r="BA1307" s="1076"/>
    </row>
    <row r="1308" spans="14:53" s="863" customFormat="1">
      <c r="N1308" s="1072"/>
      <c r="T1308" s="1072"/>
      <c r="BA1308" s="1076"/>
    </row>
    <row r="1309" spans="14:53" s="863" customFormat="1">
      <c r="N1309" s="1072"/>
      <c r="T1309" s="1072"/>
      <c r="BA1309" s="1076"/>
    </row>
    <row r="1310" spans="14:53" s="863" customFormat="1">
      <c r="N1310" s="1072"/>
      <c r="T1310" s="1072"/>
      <c r="BA1310" s="1076"/>
    </row>
    <row r="1311" spans="14:53" s="863" customFormat="1">
      <c r="N1311" s="1072"/>
      <c r="T1311" s="1072"/>
      <c r="BA1311" s="1076"/>
    </row>
    <row r="1312" spans="14:53" s="863" customFormat="1">
      <c r="N1312" s="1072"/>
      <c r="T1312" s="1072"/>
      <c r="BA1312" s="1076"/>
    </row>
    <row r="1313" spans="2:76" s="863" customFormat="1">
      <c r="N1313" s="1072"/>
      <c r="T1313" s="1072"/>
      <c r="BA1313" s="1076"/>
    </row>
    <row r="1314" spans="2:76" s="863" customFormat="1">
      <c r="N1314" s="1072"/>
      <c r="T1314" s="1072"/>
      <c r="BA1314" s="1076"/>
    </row>
    <row r="1315" spans="2:76" s="863" customFormat="1">
      <c r="N1315" s="1072"/>
      <c r="T1315" s="1072"/>
      <c r="BA1315" s="1076"/>
    </row>
    <row r="1316" spans="2:76" s="863" customFormat="1">
      <c r="N1316" s="1072"/>
      <c r="T1316" s="1072"/>
      <c r="BA1316" s="1076"/>
    </row>
    <row r="1317" spans="2:76" s="863" customFormat="1">
      <c r="N1317" s="1072"/>
      <c r="T1317" s="1072"/>
      <c r="BA1317" s="1076"/>
    </row>
    <row r="1318" spans="2:76" s="863" customFormat="1">
      <c r="N1318" s="1072"/>
      <c r="T1318" s="1072"/>
      <c r="BA1318" s="1076"/>
    </row>
    <row r="1319" spans="2:76" s="863" customFormat="1">
      <c r="N1319" s="1072"/>
      <c r="T1319" s="1072"/>
      <c r="BA1319" s="1076"/>
    </row>
    <row r="1320" spans="2:76" s="863" customFormat="1">
      <c r="N1320" s="1072"/>
      <c r="T1320" s="1072"/>
      <c r="BA1320" s="1076"/>
    </row>
    <row r="1321" spans="2:76" s="863" customFormat="1">
      <c r="N1321" s="1072"/>
      <c r="T1321" s="1072"/>
      <c r="BA1321" s="1076"/>
    </row>
    <row r="1322" spans="2:76" s="863" customFormat="1">
      <c r="N1322" s="1072"/>
      <c r="T1322" s="1072"/>
      <c r="BA1322" s="1076"/>
    </row>
    <row r="1323" spans="2:76" s="863" customFormat="1">
      <c r="N1323" s="1072"/>
      <c r="T1323" s="1072"/>
      <c r="BA1323" s="1076"/>
    </row>
    <row r="1324" spans="2:76" s="863" customFormat="1">
      <c r="N1324" s="1072"/>
      <c r="T1324" s="1072"/>
      <c r="BA1324" s="1076"/>
    </row>
    <row r="1325" spans="2:76" s="863" customFormat="1">
      <c r="N1325" s="1072"/>
      <c r="T1325" s="1072"/>
      <c r="BA1325" s="1076"/>
    </row>
    <row r="1326" spans="2:76" s="863" customFormat="1">
      <c r="N1326" s="1072"/>
      <c r="T1326" s="1072"/>
      <c r="BA1326" s="1076"/>
    </row>
    <row r="1327" spans="2:76" s="863" customFormat="1">
      <c r="N1327" s="1072"/>
      <c r="T1327" s="1072"/>
      <c r="BA1327" s="1076"/>
    </row>
    <row r="1328" spans="2:76">
      <c r="B1328" s="863"/>
      <c r="C1328" s="863"/>
      <c r="D1328" s="863"/>
      <c r="E1328" s="863"/>
      <c r="F1328" s="863"/>
      <c r="G1328" s="863"/>
      <c r="H1328" s="863"/>
      <c r="I1328" s="863"/>
      <c r="J1328" s="863"/>
      <c r="K1328" s="863"/>
      <c r="L1328" s="863"/>
      <c r="M1328" s="863"/>
      <c r="N1328" s="1072"/>
      <c r="O1328" s="863"/>
      <c r="P1328" s="863"/>
      <c r="Q1328" s="863"/>
      <c r="R1328" s="863"/>
      <c r="S1328" s="863"/>
      <c r="T1328" s="1072"/>
      <c r="U1328" s="863"/>
      <c r="V1328" s="863"/>
      <c r="W1328" s="863"/>
      <c r="X1328" s="863"/>
      <c r="Y1328" s="863"/>
      <c r="Z1328" s="863"/>
      <c r="AA1328" s="863"/>
      <c r="AB1328" s="863"/>
      <c r="BK1328" s="1075"/>
      <c r="BL1328" s="1075"/>
      <c r="BM1328" s="1075"/>
      <c r="BN1328" s="1075"/>
      <c r="BO1328" s="1075"/>
      <c r="BP1328" s="1075"/>
      <c r="BQ1328" s="1075"/>
      <c r="BR1328" s="1075"/>
      <c r="BS1328" s="1075"/>
      <c r="BT1328" s="1075"/>
      <c r="BU1328" s="1075"/>
      <c r="BV1328" s="1075"/>
      <c r="BW1328" s="1075"/>
      <c r="BX1328" s="1075"/>
    </row>
    <row r="1329" spans="2:76">
      <c r="B1329" s="863"/>
      <c r="C1329" s="863"/>
      <c r="D1329" s="863"/>
      <c r="E1329" s="863"/>
      <c r="F1329" s="863"/>
      <c r="G1329" s="863"/>
      <c r="H1329" s="863"/>
      <c r="I1329" s="863"/>
      <c r="J1329" s="863"/>
      <c r="K1329" s="863"/>
      <c r="L1329" s="863"/>
      <c r="M1329" s="863"/>
      <c r="N1329" s="1072"/>
      <c r="O1329" s="863"/>
      <c r="P1329" s="863"/>
      <c r="Q1329" s="863"/>
      <c r="R1329" s="863"/>
      <c r="S1329" s="863"/>
      <c r="T1329" s="1072"/>
      <c r="U1329" s="863"/>
      <c r="V1329" s="863"/>
      <c r="W1329" s="863"/>
      <c r="X1329" s="863"/>
      <c r="Y1329" s="863"/>
      <c r="Z1329" s="863"/>
      <c r="AA1329" s="863"/>
      <c r="AB1329" s="863"/>
      <c r="BA1329" s="1075"/>
      <c r="BK1329" s="1075"/>
      <c r="BL1329" s="1075"/>
      <c r="BM1329" s="1075"/>
      <c r="BN1329" s="1075"/>
      <c r="BO1329" s="1075"/>
      <c r="BP1329" s="1075"/>
      <c r="BQ1329" s="1075"/>
      <c r="BR1329" s="1075"/>
      <c r="BS1329" s="1075"/>
      <c r="BT1329" s="1075"/>
      <c r="BU1329" s="1075"/>
      <c r="BV1329" s="1075"/>
      <c r="BW1329" s="1075"/>
      <c r="BX1329" s="1075"/>
    </row>
  </sheetData>
  <mergeCells count="512">
    <mergeCell ref="AB98:AB99"/>
    <mergeCell ref="X96:X97"/>
    <mergeCell ref="Y96:Y97"/>
    <mergeCell ref="Z96:Z97"/>
    <mergeCell ref="AA96:AA97"/>
    <mergeCell ref="AB96:AB97"/>
    <mergeCell ref="AB92:AB93"/>
    <mergeCell ref="B94:B95"/>
    <mergeCell ref="J94:J95"/>
    <mergeCell ref="P94:P95"/>
    <mergeCell ref="W94:W95"/>
    <mergeCell ref="X94:X95"/>
    <mergeCell ref="Y94:Y95"/>
    <mergeCell ref="Z94:Z95"/>
    <mergeCell ref="AA94:AA95"/>
    <mergeCell ref="AB94:AB95"/>
    <mergeCell ref="B92:B93"/>
    <mergeCell ref="J92:J93"/>
    <mergeCell ref="P92:P93"/>
    <mergeCell ref="W92:W93"/>
    <mergeCell ref="X92:X93"/>
    <mergeCell ref="Y92:Y93"/>
    <mergeCell ref="Z92:Z93"/>
    <mergeCell ref="AA92:AA93"/>
    <mergeCell ref="B98:B99"/>
    <mergeCell ref="J98:J99"/>
    <mergeCell ref="P98:P99"/>
    <mergeCell ref="W98:W99"/>
    <mergeCell ref="X98:X99"/>
    <mergeCell ref="Y98:Y99"/>
    <mergeCell ref="Z98:Z99"/>
    <mergeCell ref="AA98:AA99"/>
    <mergeCell ref="W88:W89"/>
    <mergeCell ref="X88:X89"/>
    <mergeCell ref="Y88:Y89"/>
    <mergeCell ref="Z88:Z89"/>
    <mergeCell ref="AA88:AA89"/>
    <mergeCell ref="AB88:AB89"/>
    <mergeCell ref="B90:B91"/>
    <mergeCell ref="J90:J91"/>
    <mergeCell ref="P90:P91"/>
    <mergeCell ref="W90:W91"/>
    <mergeCell ref="X90:X91"/>
    <mergeCell ref="Y90:Y91"/>
    <mergeCell ref="Z90:Z91"/>
    <mergeCell ref="AA90:AA91"/>
    <mergeCell ref="AB90:AB91"/>
    <mergeCell ref="C84:D84"/>
    <mergeCell ref="E84:G84"/>
    <mergeCell ref="H84:I84"/>
    <mergeCell ref="K84:M84"/>
    <mergeCell ref="N84:O84"/>
    <mergeCell ref="Q84:V84"/>
    <mergeCell ref="W84:AB84"/>
    <mergeCell ref="A86:A99"/>
    <mergeCell ref="B86:B87"/>
    <mergeCell ref="J86:J87"/>
    <mergeCell ref="P86:P87"/>
    <mergeCell ref="W86:W87"/>
    <mergeCell ref="X86:X87"/>
    <mergeCell ref="B96:B97"/>
    <mergeCell ref="J96:J97"/>
    <mergeCell ref="P96:P97"/>
    <mergeCell ref="W96:W97"/>
    <mergeCell ref="Y86:Y87"/>
    <mergeCell ref="Z86:Z87"/>
    <mergeCell ref="AA86:AA87"/>
    <mergeCell ref="AB86:AB87"/>
    <mergeCell ref="B88:B89"/>
    <mergeCell ref="J88:J89"/>
    <mergeCell ref="P88:P89"/>
    <mergeCell ref="Z78:Z79"/>
    <mergeCell ref="AA78:AA79"/>
    <mergeCell ref="AB78:AB79"/>
    <mergeCell ref="B80:B81"/>
    <mergeCell ref="J80:J81"/>
    <mergeCell ref="P80:P81"/>
    <mergeCell ref="W80:W81"/>
    <mergeCell ref="X80:X81"/>
    <mergeCell ref="Y80:Y81"/>
    <mergeCell ref="Z80:Z81"/>
    <mergeCell ref="B78:B79"/>
    <mergeCell ref="J78:J79"/>
    <mergeCell ref="P78:P79"/>
    <mergeCell ref="W78:W79"/>
    <mergeCell ref="X78:X79"/>
    <mergeCell ref="Y78:Y79"/>
    <mergeCell ref="AA80:AA81"/>
    <mergeCell ref="AB80:AB81"/>
    <mergeCell ref="B76:B77"/>
    <mergeCell ref="J76:J77"/>
    <mergeCell ref="P76:P77"/>
    <mergeCell ref="W76:W77"/>
    <mergeCell ref="X76:X77"/>
    <mergeCell ref="Y76:Y77"/>
    <mergeCell ref="Z76:Z77"/>
    <mergeCell ref="AA76:AA77"/>
    <mergeCell ref="AB76:AB77"/>
    <mergeCell ref="B74:B75"/>
    <mergeCell ref="J74:J75"/>
    <mergeCell ref="P74:P75"/>
    <mergeCell ref="W74:W75"/>
    <mergeCell ref="X74:X75"/>
    <mergeCell ref="Y74:Y75"/>
    <mergeCell ref="Z74:Z75"/>
    <mergeCell ref="AA74:AA75"/>
    <mergeCell ref="AB74:AB75"/>
    <mergeCell ref="B72:B73"/>
    <mergeCell ref="J72:J73"/>
    <mergeCell ref="P72:P73"/>
    <mergeCell ref="W72:W73"/>
    <mergeCell ref="X72:X73"/>
    <mergeCell ref="Y72:Y73"/>
    <mergeCell ref="Z72:Z73"/>
    <mergeCell ref="AA72:AA73"/>
    <mergeCell ref="AB72:AB73"/>
    <mergeCell ref="X68:X69"/>
    <mergeCell ref="Y68:Y69"/>
    <mergeCell ref="Z68:Z69"/>
    <mergeCell ref="AA68:AA69"/>
    <mergeCell ref="AB68:AB69"/>
    <mergeCell ref="B70:B71"/>
    <mergeCell ref="J70:J71"/>
    <mergeCell ref="P70:P71"/>
    <mergeCell ref="W70:W71"/>
    <mergeCell ref="X70:X71"/>
    <mergeCell ref="Y70:Y71"/>
    <mergeCell ref="Z70:Z71"/>
    <mergeCell ref="AA70:AA71"/>
    <mergeCell ref="AB70:AB71"/>
    <mergeCell ref="Y64:Y65"/>
    <mergeCell ref="Z64:Z65"/>
    <mergeCell ref="AA64:AA65"/>
    <mergeCell ref="AB64:AB65"/>
    <mergeCell ref="X66:X67"/>
    <mergeCell ref="Y66:Y67"/>
    <mergeCell ref="Z66:Z67"/>
    <mergeCell ref="AA66:AA67"/>
    <mergeCell ref="AB66:AB67"/>
    <mergeCell ref="Y60:Y61"/>
    <mergeCell ref="Z60:Z61"/>
    <mergeCell ref="AA60:AA61"/>
    <mergeCell ref="AB60:AB61"/>
    <mergeCell ref="B62:B63"/>
    <mergeCell ref="J62:J63"/>
    <mergeCell ref="P62:P63"/>
    <mergeCell ref="W62:W63"/>
    <mergeCell ref="X62:X63"/>
    <mergeCell ref="Y62:Y63"/>
    <mergeCell ref="Z62:Z63"/>
    <mergeCell ref="AA62:AA63"/>
    <mergeCell ref="AB62:AB63"/>
    <mergeCell ref="Y56:Y57"/>
    <mergeCell ref="Z56:Z57"/>
    <mergeCell ref="AA56:AA57"/>
    <mergeCell ref="AB56:AB57"/>
    <mergeCell ref="B58:B59"/>
    <mergeCell ref="J58:J59"/>
    <mergeCell ref="P58:P59"/>
    <mergeCell ref="W58:W59"/>
    <mergeCell ref="X58:X59"/>
    <mergeCell ref="Y58:Y59"/>
    <mergeCell ref="Z58:Z59"/>
    <mergeCell ref="AA58:AA59"/>
    <mergeCell ref="AB58:AB59"/>
    <mergeCell ref="A56:A81"/>
    <mergeCell ref="B56:B57"/>
    <mergeCell ref="J56:J57"/>
    <mergeCell ref="P56:P57"/>
    <mergeCell ref="W56:W57"/>
    <mergeCell ref="X56:X57"/>
    <mergeCell ref="B66:B67"/>
    <mergeCell ref="J66:J67"/>
    <mergeCell ref="P66:P67"/>
    <mergeCell ref="W66:W67"/>
    <mergeCell ref="B60:B61"/>
    <mergeCell ref="J60:J61"/>
    <mergeCell ref="P60:P61"/>
    <mergeCell ref="W60:W61"/>
    <mergeCell ref="X60:X61"/>
    <mergeCell ref="B64:B65"/>
    <mergeCell ref="J64:J65"/>
    <mergeCell ref="P64:P65"/>
    <mergeCell ref="W64:W65"/>
    <mergeCell ref="X64:X65"/>
    <mergeCell ref="B68:B69"/>
    <mergeCell ref="J68:J69"/>
    <mergeCell ref="P68:P69"/>
    <mergeCell ref="W68:W69"/>
    <mergeCell ref="C54:D54"/>
    <mergeCell ref="E54:G54"/>
    <mergeCell ref="H54:I54"/>
    <mergeCell ref="K54:M54"/>
    <mergeCell ref="N54:O54"/>
    <mergeCell ref="Q54:V54"/>
    <mergeCell ref="W54:AB54"/>
    <mergeCell ref="AN50:AN51"/>
    <mergeCell ref="AU50:AU51"/>
    <mergeCell ref="AW48:AW49"/>
    <mergeCell ref="AX48:AX49"/>
    <mergeCell ref="AY48:AY49"/>
    <mergeCell ref="AZ48:AZ49"/>
    <mergeCell ref="B50:B51"/>
    <mergeCell ref="J50:J51"/>
    <mergeCell ref="P50:P51"/>
    <mergeCell ref="V50:V51"/>
    <mergeCell ref="AB50:AB51"/>
    <mergeCell ref="AH50:AH51"/>
    <mergeCell ref="AZ50:AZ51"/>
    <mergeCell ref="AV50:AV51"/>
    <mergeCell ref="AW50:AW51"/>
    <mergeCell ref="AX50:AX51"/>
    <mergeCell ref="AY50:AY51"/>
    <mergeCell ref="B48:B49"/>
    <mergeCell ref="J48:J49"/>
    <mergeCell ref="P48:P49"/>
    <mergeCell ref="V48:V49"/>
    <mergeCell ref="AB48:AB49"/>
    <mergeCell ref="AH48:AH49"/>
    <mergeCell ref="AN48:AN49"/>
    <mergeCell ref="AU48:AU49"/>
    <mergeCell ref="AV48:AV49"/>
    <mergeCell ref="AW44:AW45"/>
    <mergeCell ref="AX44:AX45"/>
    <mergeCell ref="AY44:AY45"/>
    <mergeCell ref="AZ44:AZ45"/>
    <mergeCell ref="B46:B47"/>
    <mergeCell ref="J46:J47"/>
    <mergeCell ref="P46:P47"/>
    <mergeCell ref="V46:V47"/>
    <mergeCell ref="AB46:AB47"/>
    <mergeCell ref="AH46:AH47"/>
    <mergeCell ref="AZ46:AZ47"/>
    <mergeCell ref="AN46:AN47"/>
    <mergeCell ref="AU46:AU47"/>
    <mergeCell ref="AV46:AV47"/>
    <mergeCell ref="AW46:AW47"/>
    <mergeCell ref="AX46:AX47"/>
    <mergeCell ref="AY46:AY47"/>
    <mergeCell ref="B44:B45"/>
    <mergeCell ref="J44:J45"/>
    <mergeCell ref="P44:P45"/>
    <mergeCell ref="V44:V45"/>
    <mergeCell ref="AB44:AB45"/>
    <mergeCell ref="AH44:AH45"/>
    <mergeCell ref="AN44:AN45"/>
    <mergeCell ref="AU44:AU45"/>
    <mergeCell ref="AV44:AV45"/>
    <mergeCell ref="AW40:AW41"/>
    <mergeCell ref="AX40:AX41"/>
    <mergeCell ref="AY40:AY41"/>
    <mergeCell ref="AZ40:AZ41"/>
    <mergeCell ref="B42:B43"/>
    <mergeCell ref="J42:J43"/>
    <mergeCell ref="P42:P43"/>
    <mergeCell ref="V42:V43"/>
    <mergeCell ref="AB42:AB43"/>
    <mergeCell ref="AH42:AH43"/>
    <mergeCell ref="AZ42:AZ43"/>
    <mergeCell ref="AN42:AN43"/>
    <mergeCell ref="AU42:AU43"/>
    <mergeCell ref="AV42:AV43"/>
    <mergeCell ref="AW42:AW43"/>
    <mergeCell ref="AX42:AX43"/>
    <mergeCell ref="AY42:AY43"/>
    <mergeCell ref="B40:B41"/>
    <mergeCell ref="J40:J41"/>
    <mergeCell ref="P40:P41"/>
    <mergeCell ref="V40:V41"/>
    <mergeCell ref="AB40:AB41"/>
    <mergeCell ref="AH40:AH41"/>
    <mergeCell ref="AN40:AN41"/>
    <mergeCell ref="AU40:AU41"/>
    <mergeCell ref="AV40:AV41"/>
    <mergeCell ref="AW36:AW37"/>
    <mergeCell ref="AX36:AX37"/>
    <mergeCell ref="AY36:AY37"/>
    <mergeCell ref="AZ36:AZ37"/>
    <mergeCell ref="B38:B39"/>
    <mergeCell ref="J38:J39"/>
    <mergeCell ref="P38:P39"/>
    <mergeCell ref="V38:V39"/>
    <mergeCell ref="AB38:AB39"/>
    <mergeCell ref="AH38:AH39"/>
    <mergeCell ref="AZ38:AZ39"/>
    <mergeCell ref="AN38:AN39"/>
    <mergeCell ref="AU38:AU39"/>
    <mergeCell ref="AV38:AV39"/>
    <mergeCell ref="AW38:AW39"/>
    <mergeCell ref="AX38:AX39"/>
    <mergeCell ref="AY38:AY39"/>
    <mergeCell ref="B36:B37"/>
    <mergeCell ref="J36:J37"/>
    <mergeCell ref="P36:P37"/>
    <mergeCell ref="V36:V37"/>
    <mergeCell ref="AB36:AB37"/>
    <mergeCell ref="AH36:AH37"/>
    <mergeCell ref="AN36:AN37"/>
    <mergeCell ref="AU36:AU37"/>
    <mergeCell ref="AV36:AV37"/>
    <mergeCell ref="AW32:AW33"/>
    <mergeCell ref="AX32:AX33"/>
    <mergeCell ref="AY32:AY33"/>
    <mergeCell ref="AZ32:AZ33"/>
    <mergeCell ref="B34:B35"/>
    <mergeCell ref="J34:J35"/>
    <mergeCell ref="P34:P35"/>
    <mergeCell ref="V34:V35"/>
    <mergeCell ref="AB34:AB35"/>
    <mergeCell ref="AH34:AH35"/>
    <mergeCell ref="AZ34:AZ35"/>
    <mergeCell ref="AN34:AN35"/>
    <mergeCell ref="AU34:AU35"/>
    <mergeCell ref="AV34:AV35"/>
    <mergeCell ref="AW34:AW35"/>
    <mergeCell ref="AX34:AX35"/>
    <mergeCell ref="AY34:AY35"/>
    <mergeCell ref="B32:B33"/>
    <mergeCell ref="J32:J33"/>
    <mergeCell ref="P32:P33"/>
    <mergeCell ref="V32:V33"/>
    <mergeCell ref="AB32:AB33"/>
    <mergeCell ref="AH32:AH33"/>
    <mergeCell ref="AN32:AN33"/>
    <mergeCell ref="AU32:AU33"/>
    <mergeCell ref="AV32:AV33"/>
    <mergeCell ref="AW28:AW29"/>
    <mergeCell ref="AX28:AX29"/>
    <mergeCell ref="AY28:AY29"/>
    <mergeCell ref="AZ28:AZ29"/>
    <mergeCell ref="B30:B31"/>
    <mergeCell ref="J30:J31"/>
    <mergeCell ref="P30:P31"/>
    <mergeCell ref="V30:V31"/>
    <mergeCell ref="AB30:AB31"/>
    <mergeCell ref="AH30:AH31"/>
    <mergeCell ref="AZ30:AZ31"/>
    <mergeCell ref="AN30:AN31"/>
    <mergeCell ref="AU30:AU31"/>
    <mergeCell ref="AV30:AV31"/>
    <mergeCell ref="AW30:AW31"/>
    <mergeCell ref="AX30:AX31"/>
    <mergeCell ref="AY30:AY31"/>
    <mergeCell ref="B28:B29"/>
    <mergeCell ref="J28:J29"/>
    <mergeCell ref="P28:P29"/>
    <mergeCell ref="V28:V29"/>
    <mergeCell ref="AB28:AB29"/>
    <mergeCell ref="AH28:AH29"/>
    <mergeCell ref="AN28:AN29"/>
    <mergeCell ref="AU28:AU29"/>
    <mergeCell ref="AV28:AV29"/>
    <mergeCell ref="AW24:AW25"/>
    <mergeCell ref="AX24:AX25"/>
    <mergeCell ref="AY24:AY25"/>
    <mergeCell ref="AZ24:AZ25"/>
    <mergeCell ref="B26:B27"/>
    <mergeCell ref="J26:J27"/>
    <mergeCell ref="P26:P27"/>
    <mergeCell ref="V26:V27"/>
    <mergeCell ref="AB26:AB27"/>
    <mergeCell ref="AH26:AH27"/>
    <mergeCell ref="AZ26:AZ27"/>
    <mergeCell ref="AN26:AN27"/>
    <mergeCell ref="AU26:AU27"/>
    <mergeCell ref="AV26:AV27"/>
    <mergeCell ref="AW26:AW27"/>
    <mergeCell ref="AX26:AX27"/>
    <mergeCell ref="AY26:AY27"/>
    <mergeCell ref="B24:B25"/>
    <mergeCell ref="J24:J25"/>
    <mergeCell ref="P24:P25"/>
    <mergeCell ref="V24:V25"/>
    <mergeCell ref="AB24:AB25"/>
    <mergeCell ref="AH24:AH25"/>
    <mergeCell ref="AN24:AN25"/>
    <mergeCell ref="AU24:AU25"/>
    <mergeCell ref="AV24:AV25"/>
    <mergeCell ref="AW20:AW21"/>
    <mergeCell ref="AX20:AX21"/>
    <mergeCell ref="AY20:AY21"/>
    <mergeCell ref="AZ20:AZ21"/>
    <mergeCell ref="B22:B23"/>
    <mergeCell ref="J22:J23"/>
    <mergeCell ref="P22:P23"/>
    <mergeCell ref="V22:V23"/>
    <mergeCell ref="AB22:AB23"/>
    <mergeCell ref="AH22:AH23"/>
    <mergeCell ref="AZ22:AZ23"/>
    <mergeCell ref="AN22:AN23"/>
    <mergeCell ref="AU22:AU23"/>
    <mergeCell ref="AV22:AV23"/>
    <mergeCell ref="AW22:AW23"/>
    <mergeCell ref="AX22:AX23"/>
    <mergeCell ref="AY22:AY23"/>
    <mergeCell ref="B20:B21"/>
    <mergeCell ref="J20:J21"/>
    <mergeCell ref="P20:P21"/>
    <mergeCell ref="V20:V21"/>
    <mergeCell ref="AB20:AB21"/>
    <mergeCell ref="AH20:AH21"/>
    <mergeCell ref="AN20:AN21"/>
    <mergeCell ref="AU20:AU21"/>
    <mergeCell ref="AV20:AV21"/>
    <mergeCell ref="AW16:AW17"/>
    <mergeCell ref="AX16:AX17"/>
    <mergeCell ref="AY16:AY17"/>
    <mergeCell ref="AZ16:AZ17"/>
    <mergeCell ref="B18:B19"/>
    <mergeCell ref="J18:J19"/>
    <mergeCell ref="P18:P19"/>
    <mergeCell ref="V18:V19"/>
    <mergeCell ref="AB18:AB19"/>
    <mergeCell ref="AH18:AH19"/>
    <mergeCell ref="AZ18:AZ19"/>
    <mergeCell ref="AN18:AN19"/>
    <mergeCell ref="AU18:AU19"/>
    <mergeCell ref="AV18:AV19"/>
    <mergeCell ref="AW18:AW19"/>
    <mergeCell ref="AX18:AX19"/>
    <mergeCell ref="AY18:AY19"/>
    <mergeCell ref="B16:B17"/>
    <mergeCell ref="J16:J17"/>
    <mergeCell ref="P16:P17"/>
    <mergeCell ref="V16:V17"/>
    <mergeCell ref="AB16:AB17"/>
    <mergeCell ref="AH16:AH17"/>
    <mergeCell ref="AN16:AN17"/>
    <mergeCell ref="AU16:AU17"/>
    <mergeCell ref="AV16:AV17"/>
    <mergeCell ref="AX12:AX13"/>
    <mergeCell ref="AY12:AY13"/>
    <mergeCell ref="AZ12:AZ13"/>
    <mergeCell ref="B14:B15"/>
    <mergeCell ref="J14:J15"/>
    <mergeCell ref="P14:P15"/>
    <mergeCell ref="V14:V15"/>
    <mergeCell ref="AB14:AB15"/>
    <mergeCell ref="AH14:AH15"/>
    <mergeCell ref="AZ14:AZ15"/>
    <mergeCell ref="AN14:AN15"/>
    <mergeCell ref="AU14:AU15"/>
    <mergeCell ref="AV14:AV15"/>
    <mergeCell ref="AW14:AW15"/>
    <mergeCell ref="AX14:AX15"/>
    <mergeCell ref="AY14:AY15"/>
    <mergeCell ref="AZ8:AZ9"/>
    <mergeCell ref="B10:B11"/>
    <mergeCell ref="J10:J11"/>
    <mergeCell ref="P10:P11"/>
    <mergeCell ref="V10:V11"/>
    <mergeCell ref="AB10:AB11"/>
    <mergeCell ref="AH10:AH11"/>
    <mergeCell ref="AZ10:AZ11"/>
    <mergeCell ref="B12:B13"/>
    <mergeCell ref="J12:J13"/>
    <mergeCell ref="P12:P13"/>
    <mergeCell ref="V12:V13"/>
    <mergeCell ref="AB12:AB13"/>
    <mergeCell ref="AH12:AH13"/>
    <mergeCell ref="AN12:AN13"/>
    <mergeCell ref="AU12:AU13"/>
    <mergeCell ref="AV12:AV13"/>
    <mergeCell ref="AN10:AN11"/>
    <mergeCell ref="AU10:AU11"/>
    <mergeCell ref="AV10:AV11"/>
    <mergeCell ref="AW10:AW11"/>
    <mergeCell ref="AX10:AX11"/>
    <mergeCell ref="AY10:AY11"/>
    <mergeCell ref="AW12:AW13"/>
    <mergeCell ref="AN6:AN7"/>
    <mergeCell ref="AU6:AU7"/>
    <mergeCell ref="AV6:AV7"/>
    <mergeCell ref="AW6:AW7"/>
    <mergeCell ref="AX6:AX7"/>
    <mergeCell ref="AY6:AY7"/>
    <mergeCell ref="AW8:AW9"/>
    <mergeCell ref="AX8:AX9"/>
    <mergeCell ref="AY8:AY9"/>
    <mergeCell ref="AU4:AZ4"/>
    <mergeCell ref="A6:A51"/>
    <mergeCell ref="B6:B7"/>
    <mergeCell ref="J6:J7"/>
    <mergeCell ref="P6:P7"/>
    <mergeCell ref="V6:V7"/>
    <mergeCell ref="AB6:AB7"/>
    <mergeCell ref="AH6:AH7"/>
    <mergeCell ref="T4:U4"/>
    <mergeCell ref="W4:Y4"/>
    <mergeCell ref="Z4:AA4"/>
    <mergeCell ref="AC4:AE4"/>
    <mergeCell ref="AF4:AG4"/>
    <mergeCell ref="AI4:AK4"/>
    <mergeCell ref="AZ6:AZ7"/>
    <mergeCell ref="B8:B9"/>
    <mergeCell ref="J8:J9"/>
    <mergeCell ref="P8:P9"/>
    <mergeCell ref="V8:V9"/>
    <mergeCell ref="AB8:AB9"/>
    <mergeCell ref="AH8:AH9"/>
    <mergeCell ref="AN8:AN9"/>
    <mergeCell ref="AU8:AU9"/>
    <mergeCell ref="AV8:AV9"/>
    <mergeCell ref="A1:Q2"/>
    <mergeCell ref="C4:D4"/>
    <mergeCell ref="E4:G4"/>
    <mergeCell ref="H4:I4"/>
    <mergeCell ref="K4:M4"/>
    <mergeCell ref="N4:O4"/>
    <mergeCell ref="Q4:S4"/>
    <mergeCell ref="AL4:AM4"/>
    <mergeCell ref="AO4:AT4"/>
  </mergeCells>
  <conditionalFormatting sqref="AB72 AB70 AB58 AB62 AB66 AB56 AB60 AB64 AB68 AB74 AB76 AB78 AB80">
    <cfRule type="dataBar" priority="12">
      <dataBar>
        <cfvo type="min" val="0"/>
        <cfvo type="max" val="0"/>
        <color rgb="FFFFB628"/>
      </dataBar>
    </cfRule>
  </conditionalFormatting>
  <conditionalFormatting sqref="AB86:AB99">
    <cfRule type="dataBar" priority="11">
      <dataBar>
        <cfvo type="min" val="0"/>
        <cfvo type="max" val="0"/>
        <color rgb="FFFF555A"/>
      </dataBar>
    </cfRule>
  </conditionalFormatting>
  <conditionalFormatting sqref="AB56:AB81 AB86:AB99">
    <cfRule type="cellIs" dxfId="8" priority="10" operator="greaterThan">
      <formula>1</formula>
    </cfRule>
  </conditionalFormatting>
  <conditionalFormatting sqref="AZ28 AZ6 AZ8 AZ10 AZ12 AZ14 AZ16 AZ18 AZ20 AZ22 AZ24 AZ26 AZ30 AZ32 AZ34 AZ36 AZ38 AZ40 AZ42 AZ44 AZ46 AZ48 AZ50">
    <cfRule type="dataBar" priority="9">
      <dataBar>
        <cfvo type="min" val="0"/>
        <cfvo type="max" val="0"/>
        <color rgb="FFFFB628"/>
      </dataBar>
    </cfRule>
  </conditionalFormatting>
  <conditionalFormatting sqref="AZ6:AZ51">
    <cfRule type="dataBar" priority="7">
      <dataBar>
        <cfvo type="min" val="0"/>
        <cfvo type="max" val="0"/>
        <color theme="3" tint="0.79998168889431442"/>
      </dataBar>
    </cfRule>
    <cfRule type="cellIs" dxfId="7" priority="8" operator="greaterThan">
      <formula>1</formula>
    </cfRule>
  </conditionalFormatting>
  <conditionalFormatting sqref="AZ50">
    <cfRule type="dataBar" priority="6">
      <dataBar>
        <cfvo type="min" val="0"/>
        <cfvo type="max" val="0"/>
        <color rgb="FFFFB628"/>
      </dataBar>
    </cfRule>
  </conditionalFormatting>
  <conditionalFormatting sqref="AZ50:AZ51">
    <cfRule type="dataBar" priority="4">
      <dataBar>
        <cfvo type="min" val="0"/>
        <cfvo type="max" val="0"/>
        <color theme="3" tint="0.79998168889431442"/>
      </dataBar>
    </cfRule>
    <cfRule type="cellIs" dxfId="6" priority="5" operator="greaterThan">
      <formula>1</formula>
    </cfRule>
  </conditionalFormatting>
  <conditionalFormatting sqref="AZ14">
    <cfRule type="dataBar" priority="3">
      <dataBar>
        <cfvo type="min" val="0"/>
        <cfvo type="max" val="0"/>
        <color rgb="FFFFB628"/>
      </dataBar>
    </cfRule>
  </conditionalFormatting>
  <conditionalFormatting sqref="AZ14:AZ15">
    <cfRule type="dataBar" priority="1">
      <dataBar>
        <cfvo type="min" val="0"/>
        <cfvo type="max" val="0"/>
        <color theme="3" tint="0.79998168889431442"/>
      </dataBar>
    </cfRule>
    <cfRule type="cellIs" dxfId="5" priority="2" operator="greaterThan">
      <formula>1</formula>
    </cfRule>
  </conditionalFormatting>
  <hyperlinks>
    <hyperlink ref="AM42" r:id="rId1" display="http://200.54.73.149:8084/SRP.RLTP.Web.Ciudadana/BuscadorLtpWeb/volver/volverEditarLtp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BR1929"/>
  <sheetViews>
    <sheetView zoomScale="80" zoomScaleNormal="80" workbookViewId="0">
      <selection activeCell="A3" sqref="A3:H3"/>
    </sheetView>
  </sheetViews>
  <sheetFormatPr baseColWidth="10" defaultRowHeight="15"/>
  <cols>
    <col min="1" max="1" width="10.5703125" customWidth="1"/>
    <col min="2" max="2" width="12.5703125" style="352" customWidth="1"/>
    <col min="3" max="3" width="10.5703125" style="351" customWidth="1"/>
    <col min="4" max="4" width="14" style="352" customWidth="1"/>
    <col min="5" max="5" width="19.28515625" style="352" customWidth="1"/>
    <col min="6" max="6" width="13.5703125" customWidth="1"/>
    <col min="7" max="7" width="9.42578125" customWidth="1"/>
    <col min="8" max="8" width="27" customWidth="1"/>
    <col min="9" max="9" width="11.7109375" style="312" customWidth="1"/>
    <col min="10" max="10" width="19.42578125" style="312" customWidth="1"/>
    <col min="11" max="11" width="9.85546875" style="312" customWidth="1"/>
    <col min="12" max="12" width="10" style="272" customWidth="1"/>
    <col min="13" max="13" width="9.28515625" style="272" customWidth="1"/>
    <col min="14" max="14" width="12" style="272" customWidth="1"/>
    <col min="15" max="15" width="6" style="272" hidden="1" customWidth="1"/>
    <col min="16" max="16" width="3.85546875" style="272" customWidth="1"/>
    <col min="17" max="17" width="11.28515625" style="272" hidden="1" customWidth="1"/>
    <col min="18" max="18" width="10" style="312" customWidth="1"/>
    <col min="19" max="19" width="5.42578125" style="1492" customWidth="1"/>
    <col min="20" max="31" width="10.85546875" style="1492"/>
    <col min="32" max="70" width="10.85546875" style="312"/>
  </cols>
  <sheetData>
    <row r="1" spans="1:70" ht="15.75" thickBot="1">
      <c r="A1" s="59"/>
      <c r="B1" s="59"/>
      <c r="C1" s="59"/>
      <c r="D1" s="59"/>
      <c r="E1" s="59"/>
      <c r="F1" s="59"/>
      <c r="G1" s="59"/>
      <c r="H1" s="59"/>
      <c r="J1" s="1523"/>
      <c r="K1" s="1523"/>
    </row>
    <row r="2" spans="1:70" ht="24" customHeight="1">
      <c r="A2" s="2801" t="s">
        <v>502</v>
      </c>
      <c r="B2" s="2802"/>
      <c r="C2" s="2802"/>
      <c r="D2" s="2802"/>
      <c r="E2" s="2802"/>
      <c r="F2" s="2802"/>
      <c r="G2" s="2802"/>
      <c r="H2" s="2803"/>
      <c r="J2" s="1523"/>
      <c r="K2" s="1523"/>
    </row>
    <row r="3" spans="1:70" ht="23.25" customHeight="1" thickBot="1">
      <c r="A3" s="2804" t="s">
        <v>754</v>
      </c>
      <c r="B3" s="2805"/>
      <c r="C3" s="2805"/>
      <c r="D3" s="2805"/>
      <c r="E3" s="2805"/>
      <c r="F3" s="2805"/>
      <c r="G3" s="2805"/>
      <c r="H3" s="2806"/>
      <c r="J3" s="1523"/>
      <c r="K3" s="1523"/>
    </row>
    <row r="4" spans="1:70" ht="15.75" thickBot="1">
      <c r="A4" s="280"/>
      <c r="B4" s="334"/>
      <c r="C4" s="334"/>
      <c r="D4" s="334"/>
      <c r="E4" s="334"/>
      <c r="F4" s="334"/>
      <c r="G4" s="334"/>
      <c r="H4" s="282"/>
      <c r="J4" s="825"/>
      <c r="K4" s="776"/>
    </row>
    <row r="5" spans="1:70" ht="45.75" thickBot="1">
      <c r="A5" s="763" t="s">
        <v>491</v>
      </c>
      <c r="B5" s="764" t="s">
        <v>495</v>
      </c>
      <c r="C5" s="765" t="s">
        <v>492</v>
      </c>
      <c r="D5" s="764" t="s">
        <v>493</v>
      </c>
      <c r="E5" s="766" t="s">
        <v>496</v>
      </c>
      <c r="F5" s="765" t="s">
        <v>503</v>
      </c>
      <c r="G5" s="1836" t="s">
        <v>90</v>
      </c>
      <c r="H5" s="767" t="s">
        <v>163</v>
      </c>
      <c r="J5" s="1848"/>
      <c r="K5" s="776"/>
      <c r="L5" s="770"/>
      <c r="M5" s="769"/>
      <c r="N5" s="770" t="s">
        <v>653</v>
      </c>
      <c r="O5" s="312"/>
      <c r="P5" s="312"/>
      <c r="Q5" s="312"/>
      <c r="BP5"/>
      <c r="BQ5"/>
      <c r="BR5"/>
    </row>
    <row r="6" spans="1:70">
      <c r="A6" s="2789" t="s">
        <v>97</v>
      </c>
      <c r="B6" s="2792" t="s">
        <v>494</v>
      </c>
      <c r="C6" s="2795" t="s">
        <v>167</v>
      </c>
      <c r="D6" s="2777">
        <v>1100</v>
      </c>
      <c r="E6" s="348" t="s">
        <v>497</v>
      </c>
      <c r="F6" s="152">
        <v>810.39800000000002</v>
      </c>
      <c r="G6" s="2780">
        <f>+F11-D6</f>
        <v>0</v>
      </c>
      <c r="H6" s="2786">
        <f>+F11/D6</f>
        <v>1</v>
      </c>
      <c r="J6" s="1849"/>
      <c r="K6" s="776"/>
      <c r="L6" s="770"/>
      <c r="M6" s="771"/>
      <c r="N6" s="770">
        <v>104</v>
      </c>
      <c r="O6" s="312"/>
      <c r="P6" s="312"/>
      <c r="Q6" s="312"/>
      <c r="BP6"/>
      <c r="BQ6"/>
      <c r="BR6"/>
    </row>
    <row r="7" spans="1:70" ht="14.1" customHeight="1">
      <c r="A7" s="2790"/>
      <c r="B7" s="2793"/>
      <c r="C7" s="2796"/>
      <c r="D7" s="2778"/>
      <c r="E7" s="349" t="s">
        <v>499</v>
      </c>
      <c r="F7" s="64">
        <v>289.60199999999998</v>
      </c>
      <c r="G7" s="2781"/>
      <c r="H7" s="2787"/>
      <c r="J7" s="1849"/>
      <c r="K7" s="776"/>
      <c r="L7" s="770"/>
      <c r="M7" s="771"/>
      <c r="N7" s="770">
        <v>104</v>
      </c>
      <c r="O7" s="312"/>
      <c r="P7" s="312"/>
      <c r="Q7" s="312"/>
      <c r="BP7"/>
      <c r="BQ7"/>
      <c r="BR7"/>
    </row>
    <row r="8" spans="1:70">
      <c r="A8" s="2790"/>
      <c r="B8" s="2793"/>
      <c r="C8" s="2796"/>
      <c r="D8" s="2778"/>
      <c r="E8" s="349" t="s">
        <v>498</v>
      </c>
      <c r="F8" s="64"/>
      <c r="G8" s="2781"/>
      <c r="H8" s="2787"/>
      <c r="J8" s="1849"/>
      <c r="K8" s="776"/>
      <c r="L8" s="770"/>
      <c r="M8" s="771"/>
      <c r="N8" s="770">
        <v>81</v>
      </c>
      <c r="O8" s="312"/>
      <c r="P8" s="312"/>
      <c r="Q8" s="312"/>
      <c r="BP8"/>
      <c r="BQ8"/>
      <c r="BR8"/>
    </row>
    <row r="9" spans="1:70">
      <c r="A9" s="2790"/>
      <c r="B9" s="2793"/>
      <c r="C9" s="2796"/>
      <c r="D9" s="2778"/>
      <c r="E9" s="349" t="s">
        <v>500</v>
      </c>
      <c r="F9" s="64"/>
      <c r="G9" s="2781"/>
      <c r="H9" s="2787"/>
      <c r="J9" s="1849"/>
      <c r="K9" s="776"/>
      <c r="L9" s="770"/>
      <c r="M9" s="771"/>
      <c r="N9" s="770">
        <v>146</v>
      </c>
      <c r="O9" s="312"/>
      <c r="P9" s="312"/>
      <c r="Q9" s="312"/>
      <c r="BP9"/>
      <c r="BQ9"/>
      <c r="BR9"/>
    </row>
    <row r="10" spans="1:70" ht="15.75" thickBot="1">
      <c r="A10" s="2791"/>
      <c r="B10" s="2794"/>
      <c r="C10" s="2797"/>
      <c r="D10" s="2779"/>
      <c r="E10" s="350" t="s">
        <v>501</v>
      </c>
      <c r="F10" s="18"/>
      <c r="G10" s="2782"/>
      <c r="H10" s="2788"/>
      <c r="J10" s="825"/>
      <c r="K10" s="776"/>
      <c r="L10" s="770"/>
      <c r="M10" s="771"/>
      <c r="N10" s="770" t="s">
        <v>654</v>
      </c>
      <c r="O10" s="312"/>
      <c r="P10" s="312"/>
      <c r="Q10" s="312"/>
      <c r="BP10"/>
      <c r="BQ10"/>
      <c r="BR10"/>
    </row>
    <row r="11" spans="1:70" s="312" customFormat="1" ht="15.75" thickBot="1">
      <c r="F11" s="1240">
        <f>SUM(F6:F10)</f>
        <v>1100</v>
      </c>
      <c r="J11" s="1848"/>
      <c r="K11" s="776"/>
      <c r="L11" s="770"/>
      <c r="M11" s="771"/>
      <c r="N11" s="770" t="s">
        <v>655</v>
      </c>
      <c r="S11" s="1492"/>
      <c r="T11" s="1492"/>
      <c r="U11" s="1492"/>
      <c r="V11" s="1492"/>
      <c r="W11" s="1492"/>
      <c r="X11" s="1492"/>
      <c r="Y11" s="1492"/>
      <c r="Z11" s="1492"/>
      <c r="AA11" s="1492"/>
      <c r="AB11" s="1492"/>
      <c r="AC11" s="1492"/>
      <c r="AD11" s="1492"/>
      <c r="AE11" s="1492"/>
    </row>
    <row r="12" spans="1:70" s="312" customFormat="1" ht="15.75" thickBot="1">
      <c r="J12" s="1849"/>
      <c r="K12" s="776"/>
      <c r="L12" s="770"/>
      <c r="M12" s="771"/>
      <c r="N12" s="770" t="s">
        <v>656</v>
      </c>
      <c r="S12" s="1492"/>
      <c r="T12" s="1492"/>
      <c r="U12" s="1492"/>
      <c r="V12" s="1492"/>
      <c r="W12" s="1492"/>
      <c r="X12" s="1492"/>
      <c r="Y12" s="1492"/>
      <c r="Z12" s="1492"/>
      <c r="AA12" s="1492"/>
      <c r="AB12" s="1492"/>
      <c r="AC12" s="1492"/>
      <c r="AD12" s="1492"/>
      <c r="AE12" s="1492"/>
    </row>
    <row r="13" spans="1:70" s="312" customFormat="1" ht="45.75" thickBot="1">
      <c r="A13" s="763" t="s">
        <v>491</v>
      </c>
      <c r="B13" s="764" t="s">
        <v>495</v>
      </c>
      <c r="C13" s="765" t="s">
        <v>492</v>
      </c>
      <c r="D13" s="764" t="s">
        <v>493</v>
      </c>
      <c r="E13" s="766" t="s">
        <v>496</v>
      </c>
      <c r="F13" s="765" t="s">
        <v>503</v>
      </c>
      <c r="G13" s="1836" t="s">
        <v>90</v>
      </c>
      <c r="H13" s="767" t="s">
        <v>163</v>
      </c>
      <c r="J13" s="1849"/>
      <c r="K13" s="776"/>
      <c r="L13" s="770"/>
      <c r="M13" s="771"/>
      <c r="N13" s="770" t="s">
        <v>657</v>
      </c>
      <c r="S13" s="1492"/>
      <c r="T13" s="1492"/>
      <c r="U13" s="1492"/>
      <c r="V13" s="1492"/>
      <c r="W13" s="1492"/>
      <c r="X13" s="1492"/>
      <c r="Y13" s="1492"/>
      <c r="Z13" s="1492"/>
      <c r="AA13" s="1492"/>
      <c r="AB13" s="1492"/>
      <c r="AC13" s="1492"/>
      <c r="AD13" s="1492"/>
      <c r="AE13" s="1492"/>
    </row>
    <row r="14" spans="1:70" s="312" customFormat="1">
      <c r="A14" s="2789" t="s">
        <v>97</v>
      </c>
      <c r="B14" s="2792" t="s">
        <v>573</v>
      </c>
      <c r="C14" s="2795" t="s">
        <v>167</v>
      </c>
      <c r="D14" s="2777">
        <v>4000</v>
      </c>
      <c r="E14" s="348" t="s">
        <v>497</v>
      </c>
      <c r="F14" s="691">
        <v>1238.74</v>
      </c>
      <c r="G14" s="2780">
        <f>+D14-F19</f>
        <v>0</v>
      </c>
      <c r="H14" s="2786">
        <f>+F19/D14</f>
        <v>1</v>
      </c>
      <c r="J14" s="825"/>
      <c r="K14" s="776"/>
      <c r="L14" s="770"/>
      <c r="M14" s="771"/>
      <c r="N14" s="770" t="s">
        <v>658</v>
      </c>
      <c r="S14" s="1492"/>
      <c r="T14" s="1492"/>
      <c r="U14" s="1492"/>
      <c r="V14" s="1492"/>
      <c r="W14" s="1492"/>
      <c r="X14" s="1492"/>
      <c r="Y14" s="1492"/>
      <c r="Z14" s="1492"/>
      <c r="AA14" s="1492"/>
      <c r="AB14" s="1492"/>
      <c r="AC14" s="1492"/>
      <c r="AD14" s="1492"/>
      <c r="AE14" s="1492"/>
    </row>
    <row r="15" spans="1:70" s="312" customFormat="1">
      <c r="A15" s="2790"/>
      <c r="B15" s="2793"/>
      <c r="C15" s="2796"/>
      <c r="D15" s="2778"/>
      <c r="E15" s="349" t="s">
        <v>499</v>
      </c>
      <c r="F15" s="561"/>
      <c r="G15" s="2781"/>
      <c r="H15" s="2787"/>
      <c r="J15" s="1848"/>
      <c r="K15" s="776"/>
      <c r="L15" s="770"/>
      <c r="M15" s="771"/>
      <c r="N15" s="770" t="s">
        <v>659</v>
      </c>
      <c r="S15" s="1492"/>
      <c r="T15" s="1492"/>
      <c r="U15" s="1492"/>
      <c r="V15" s="1492"/>
      <c r="W15" s="1492"/>
      <c r="X15" s="1492"/>
      <c r="Y15" s="1492"/>
      <c r="Z15" s="1492"/>
      <c r="AA15" s="1492"/>
      <c r="AB15" s="1492"/>
      <c r="AC15" s="1492"/>
      <c r="AD15" s="1492"/>
      <c r="AE15" s="1492"/>
    </row>
    <row r="16" spans="1:70" s="312" customFormat="1">
      <c r="A16" s="2790"/>
      <c r="B16" s="2793"/>
      <c r="C16" s="2796"/>
      <c r="D16" s="2778"/>
      <c r="E16" s="349" t="s">
        <v>498</v>
      </c>
      <c r="F16" s="561"/>
      <c r="G16" s="2781"/>
      <c r="H16" s="2787"/>
      <c r="J16" s="1849"/>
      <c r="K16" s="776"/>
      <c r="L16" s="770"/>
      <c r="M16" s="771"/>
      <c r="N16" s="770" t="s">
        <v>660</v>
      </c>
      <c r="S16" s="1492"/>
      <c r="T16" s="1492"/>
      <c r="U16" s="1492"/>
      <c r="V16" s="1492"/>
      <c r="W16" s="1492"/>
      <c r="X16" s="1492"/>
      <c r="Y16" s="1492"/>
      <c r="Z16" s="1492"/>
      <c r="AA16" s="1492"/>
      <c r="AB16" s="1492"/>
      <c r="AC16" s="1492"/>
      <c r="AD16" s="1492"/>
      <c r="AE16" s="1492"/>
    </row>
    <row r="17" spans="1:31" s="312" customFormat="1">
      <c r="A17" s="2790"/>
      <c r="B17" s="2793"/>
      <c r="C17" s="2796"/>
      <c r="D17" s="2778"/>
      <c r="E17" s="349" t="s">
        <v>500</v>
      </c>
      <c r="F17" s="845">
        <v>1810.53</v>
      </c>
      <c r="G17" s="2781"/>
      <c r="H17" s="2787"/>
      <c r="J17" s="1849"/>
      <c r="K17" s="776"/>
      <c r="L17" s="770"/>
      <c r="M17" s="771"/>
      <c r="N17" s="770" t="s">
        <v>661</v>
      </c>
      <c r="S17" s="1492"/>
      <c r="T17" s="1492"/>
      <c r="U17" s="1492"/>
      <c r="V17" s="1492"/>
      <c r="W17" s="1492"/>
      <c r="X17" s="1492"/>
      <c r="Y17" s="1492"/>
      <c r="Z17" s="1492"/>
      <c r="AA17" s="1492"/>
      <c r="AB17" s="1492"/>
      <c r="AC17" s="1492"/>
      <c r="AD17" s="1492"/>
      <c r="AE17" s="1492"/>
    </row>
    <row r="18" spans="1:31" s="312" customFormat="1" ht="15.75" thickBot="1">
      <c r="A18" s="2791"/>
      <c r="B18" s="2794"/>
      <c r="C18" s="2797"/>
      <c r="D18" s="2779"/>
      <c r="E18" s="350" t="s">
        <v>501</v>
      </c>
      <c r="F18" s="1372">
        <v>950.73</v>
      </c>
      <c r="G18" s="2782"/>
      <c r="H18" s="2788"/>
      <c r="J18" s="1849"/>
      <c r="K18" s="776"/>
      <c r="L18" s="770"/>
      <c r="M18" s="771"/>
      <c r="N18" s="770" t="s">
        <v>662</v>
      </c>
      <c r="S18" s="1492"/>
      <c r="T18" s="1492"/>
      <c r="U18" s="1492"/>
      <c r="V18" s="1492"/>
      <c r="W18" s="1492"/>
      <c r="X18" s="1492"/>
      <c r="Y18" s="1492"/>
      <c r="Z18" s="1492"/>
      <c r="AA18" s="1492"/>
      <c r="AB18" s="1492"/>
      <c r="AC18" s="1492"/>
      <c r="AD18" s="1492"/>
      <c r="AE18" s="1492"/>
    </row>
    <row r="19" spans="1:31" s="312" customFormat="1" ht="15.75" thickBot="1">
      <c r="A19" s="361"/>
      <c r="B19" s="361"/>
      <c r="C19" s="361"/>
      <c r="D19" s="361"/>
      <c r="E19" s="361"/>
      <c r="F19" s="1268">
        <f>SUM(F14:F18)</f>
        <v>4000</v>
      </c>
      <c r="G19" s="361"/>
      <c r="H19" s="361"/>
      <c r="J19" s="825"/>
      <c r="K19" s="776"/>
      <c r="L19" s="770"/>
      <c r="M19" s="771"/>
      <c r="N19" s="772" t="s">
        <v>663</v>
      </c>
      <c r="S19" s="1492"/>
      <c r="T19" s="1492"/>
      <c r="U19" s="1492"/>
      <c r="V19" s="1492"/>
      <c r="W19" s="1492"/>
      <c r="X19" s="1492"/>
      <c r="Y19" s="1492"/>
      <c r="Z19" s="1492"/>
      <c r="AA19" s="1492"/>
      <c r="AB19" s="1492"/>
      <c r="AC19" s="1492"/>
      <c r="AD19" s="1492"/>
      <c r="AE19" s="1492"/>
    </row>
    <row r="20" spans="1:31" s="312" customFormat="1" ht="15.75" thickBot="1">
      <c r="J20" s="1848"/>
      <c r="K20" s="776"/>
      <c r="L20" s="272"/>
      <c r="M20" s="272"/>
      <c r="N20" s="272"/>
      <c r="S20" s="1492"/>
      <c r="T20" s="1492"/>
      <c r="U20" s="1492"/>
      <c r="V20" s="1492"/>
      <c r="W20" s="1492"/>
      <c r="X20" s="1492"/>
      <c r="Y20" s="1492"/>
      <c r="Z20" s="1492"/>
      <c r="AA20" s="1492"/>
      <c r="AB20" s="1492"/>
      <c r="AC20" s="1492"/>
      <c r="AD20" s="1492"/>
      <c r="AE20" s="1492"/>
    </row>
    <row r="21" spans="1:31" s="693" customFormat="1" ht="45.75" thickBot="1">
      <c r="A21" s="763" t="s">
        <v>491</v>
      </c>
      <c r="B21" s="764" t="s">
        <v>649</v>
      </c>
      <c r="C21" s="765" t="s">
        <v>492</v>
      </c>
      <c r="D21" s="764" t="s">
        <v>493</v>
      </c>
      <c r="E21" s="766" t="s">
        <v>496</v>
      </c>
      <c r="F21" s="765" t="s">
        <v>503</v>
      </c>
      <c r="G21" s="1836" t="s">
        <v>90</v>
      </c>
      <c r="H21" s="767" t="s">
        <v>163</v>
      </c>
      <c r="J21" s="1849"/>
      <c r="K21" s="776"/>
      <c r="L21" s="272"/>
      <c r="M21" s="272"/>
      <c r="N21" s="272"/>
      <c r="S21" s="1492"/>
      <c r="T21" s="1492"/>
      <c r="U21" s="1492"/>
      <c r="V21" s="1492"/>
      <c r="W21" s="1492"/>
      <c r="X21" s="1492"/>
      <c r="Y21" s="1492"/>
      <c r="Z21" s="1492"/>
      <c r="AA21" s="1492"/>
      <c r="AB21" s="1492"/>
      <c r="AC21" s="1492"/>
      <c r="AD21" s="1492"/>
      <c r="AE21" s="1492"/>
    </row>
    <row r="22" spans="1:31" s="693" customFormat="1">
      <c r="A22" s="2789" t="s">
        <v>97</v>
      </c>
      <c r="B22" s="2792" t="s">
        <v>648</v>
      </c>
      <c r="C22" s="2795" t="s">
        <v>647</v>
      </c>
      <c r="D22" s="2777">
        <v>3000</v>
      </c>
      <c r="E22" s="348" t="s">
        <v>455</v>
      </c>
      <c r="F22" s="1342">
        <v>3000</v>
      </c>
      <c r="G22" s="2780">
        <f>+D22-F27</f>
        <v>0</v>
      </c>
      <c r="H22" s="2798">
        <f>+F27/D22</f>
        <v>1</v>
      </c>
      <c r="J22" s="825"/>
      <c r="K22" s="776"/>
      <c r="L22" s="272"/>
      <c r="M22" s="272"/>
      <c r="N22" s="272"/>
      <c r="S22" s="1492"/>
      <c r="T22" s="1492"/>
      <c r="U22" s="1492"/>
      <c r="V22" s="1492"/>
      <c r="W22" s="1492"/>
      <c r="X22" s="1492"/>
      <c r="Y22" s="1492"/>
      <c r="Z22" s="1492"/>
      <c r="AA22" s="1492"/>
      <c r="AB22" s="1492"/>
      <c r="AC22" s="1492"/>
      <c r="AD22" s="1492"/>
      <c r="AE22" s="1492"/>
    </row>
    <row r="23" spans="1:31" s="693" customFormat="1">
      <c r="A23" s="2790"/>
      <c r="B23" s="2793"/>
      <c r="C23" s="2796"/>
      <c r="D23" s="2778"/>
      <c r="E23" s="844" t="s">
        <v>497</v>
      </c>
      <c r="F23" s="746"/>
      <c r="G23" s="2781"/>
      <c r="H23" s="2799"/>
      <c r="J23" s="1848"/>
      <c r="K23" s="776"/>
      <c r="L23" s="272"/>
      <c r="M23" s="272"/>
      <c r="N23" s="272"/>
      <c r="S23" s="1492"/>
      <c r="T23" s="1492"/>
      <c r="U23" s="1492"/>
      <c r="V23" s="1492"/>
      <c r="W23" s="1492"/>
      <c r="X23" s="1492"/>
      <c r="Y23" s="1492"/>
      <c r="Z23" s="1492"/>
      <c r="AA23" s="1492"/>
      <c r="AB23" s="1492"/>
      <c r="AC23" s="1492"/>
      <c r="AD23" s="1492"/>
      <c r="AE23" s="1492"/>
    </row>
    <row r="24" spans="1:31" s="693" customFormat="1">
      <c r="A24" s="2790"/>
      <c r="B24" s="2793"/>
      <c r="C24" s="2796"/>
      <c r="D24" s="2778"/>
      <c r="E24" s="349"/>
      <c r="F24" s="746"/>
      <c r="G24" s="2781"/>
      <c r="H24" s="2799"/>
      <c r="J24" s="1849"/>
      <c r="K24" s="776"/>
      <c r="L24" s="272"/>
      <c r="M24" s="272"/>
      <c r="N24" s="272"/>
      <c r="S24" s="1492"/>
      <c r="T24" s="1492"/>
      <c r="U24" s="1492"/>
      <c r="V24" s="1492"/>
      <c r="W24" s="1492"/>
      <c r="X24" s="1492"/>
      <c r="Y24" s="1492"/>
      <c r="Z24" s="1492"/>
      <c r="AA24" s="1492"/>
      <c r="AB24" s="1492"/>
      <c r="AC24" s="1492"/>
      <c r="AD24" s="1492"/>
      <c r="AE24" s="1492"/>
    </row>
    <row r="25" spans="1:31" s="693" customFormat="1">
      <c r="A25" s="2790"/>
      <c r="B25" s="2793"/>
      <c r="C25" s="2796"/>
      <c r="D25" s="2778"/>
      <c r="E25" s="349"/>
      <c r="F25" s="692"/>
      <c r="G25" s="2781"/>
      <c r="H25" s="2799"/>
      <c r="J25" s="1849"/>
      <c r="K25" s="776"/>
      <c r="L25" s="272"/>
      <c r="M25" s="272"/>
      <c r="N25" s="272"/>
      <c r="S25" s="1492"/>
      <c r="T25" s="1492"/>
      <c r="U25" s="1492"/>
      <c r="V25" s="1492"/>
      <c r="W25" s="1492"/>
      <c r="X25" s="1492"/>
      <c r="Y25" s="1492"/>
      <c r="Z25" s="1492"/>
      <c r="AA25" s="1492"/>
      <c r="AB25" s="1492"/>
      <c r="AC25" s="1492"/>
      <c r="AD25" s="1492"/>
      <c r="AE25" s="1492"/>
    </row>
    <row r="26" spans="1:31" s="693" customFormat="1" ht="15.75" thickBot="1">
      <c r="A26" s="2791"/>
      <c r="B26" s="2794"/>
      <c r="C26" s="2797"/>
      <c r="D26" s="2779"/>
      <c r="E26" s="350"/>
      <c r="F26" s="18"/>
      <c r="G26" s="2782"/>
      <c r="H26" s="2800"/>
      <c r="J26" s="825"/>
      <c r="K26" s="776"/>
      <c r="L26" s="272"/>
      <c r="M26" s="272"/>
      <c r="N26" s="272"/>
      <c r="O26" s="272"/>
      <c r="P26" s="272"/>
      <c r="Q26" s="272"/>
      <c r="S26" s="1492"/>
      <c r="T26" s="1492"/>
      <c r="U26" s="1492"/>
      <c r="V26" s="1492"/>
      <c r="W26" s="1492"/>
      <c r="X26" s="1492"/>
      <c r="Y26" s="1492"/>
      <c r="Z26" s="1492"/>
      <c r="AA26" s="1492"/>
      <c r="AB26" s="1492"/>
      <c r="AC26" s="1492"/>
      <c r="AD26" s="1492"/>
      <c r="AE26" s="1492"/>
    </row>
    <row r="27" spans="1:31" s="693" customFormat="1" ht="15.75" thickBot="1">
      <c r="F27" s="1240">
        <f>SUM(F22:F26)</f>
        <v>3000</v>
      </c>
      <c r="J27" s="1848"/>
      <c r="K27" s="776"/>
      <c r="L27" s="272"/>
      <c r="M27" s="272"/>
      <c r="N27" s="272"/>
      <c r="O27" s="272"/>
      <c r="P27" s="272"/>
      <c r="Q27" s="272"/>
      <c r="S27" s="1492"/>
      <c r="T27" s="1492"/>
      <c r="U27" s="1492"/>
      <c r="V27" s="1492"/>
      <c r="W27" s="1492"/>
      <c r="X27" s="1492"/>
      <c r="Y27" s="1492"/>
      <c r="Z27" s="1492"/>
      <c r="AA27" s="1492"/>
      <c r="AB27" s="1492"/>
      <c r="AC27" s="1492"/>
      <c r="AD27" s="1492"/>
      <c r="AE27" s="1492"/>
    </row>
    <row r="28" spans="1:31" s="693" customFormat="1">
      <c r="J28" s="1849"/>
      <c r="K28" s="776"/>
      <c r="L28" s="272"/>
      <c r="M28" s="272"/>
      <c r="N28" s="272"/>
      <c r="O28" s="272"/>
      <c r="P28" s="272"/>
      <c r="Q28" s="272"/>
      <c r="S28" s="1492"/>
      <c r="T28" s="1492"/>
      <c r="U28" s="1492"/>
      <c r="V28" s="1492"/>
      <c r="W28" s="1492"/>
      <c r="X28" s="1492"/>
      <c r="Y28" s="1492"/>
      <c r="Z28" s="1492"/>
      <c r="AA28" s="1492"/>
      <c r="AB28" s="1492"/>
      <c r="AC28" s="1492"/>
      <c r="AD28" s="1492"/>
      <c r="AE28" s="1492"/>
    </row>
    <row r="29" spans="1:31" s="693" customFormat="1" ht="15.75" thickBot="1">
      <c r="J29" s="1849"/>
      <c r="K29" s="776"/>
      <c r="L29" s="272"/>
      <c r="M29" s="272"/>
      <c r="N29" s="272"/>
      <c r="O29" s="272"/>
      <c r="P29" s="272"/>
      <c r="Q29" s="272"/>
      <c r="S29" s="1492"/>
      <c r="T29" s="1492"/>
      <c r="U29" s="1492"/>
      <c r="V29" s="1492"/>
      <c r="W29" s="1492"/>
      <c r="X29" s="1492"/>
      <c r="Y29" s="1492"/>
      <c r="Z29" s="1492"/>
      <c r="AA29" s="1492"/>
      <c r="AB29" s="1492"/>
      <c r="AC29" s="1492"/>
      <c r="AD29" s="1492"/>
      <c r="AE29" s="1492"/>
    </row>
    <row r="30" spans="1:31" s="693" customFormat="1" ht="45.75" thickBot="1">
      <c r="A30" s="763" t="s">
        <v>491</v>
      </c>
      <c r="B30" s="764" t="s">
        <v>649</v>
      </c>
      <c r="C30" s="765" t="s">
        <v>492</v>
      </c>
      <c r="D30" s="764" t="s">
        <v>493</v>
      </c>
      <c r="E30" s="766" t="s">
        <v>496</v>
      </c>
      <c r="F30" s="1487" t="s">
        <v>503</v>
      </c>
      <c r="G30" s="1836" t="s">
        <v>90</v>
      </c>
      <c r="H30" s="767" t="s">
        <v>163</v>
      </c>
      <c r="J30" s="1849"/>
      <c r="K30" s="776"/>
      <c r="L30" s="272"/>
      <c r="M30" s="272"/>
      <c r="N30" s="272"/>
      <c r="O30" s="272"/>
      <c r="P30" s="272"/>
      <c r="Q30" s="272"/>
      <c r="S30" s="1492"/>
      <c r="T30" s="1492"/>
      <c r="U30" s="1492"/>
      <c r="V30" s="1492"/>
      <c r="W30" s="1492"/>
      <c r="X30" s="1492"/>
      <c r="Y30" s="1492"/>
      <c r="Z30" s="1492"/>
      <c r="AA30" s="1492"/>
      <c r="AB30" s="1492"/>
      <c r="AC30" s="1492"/>
      <c r="AD30" s="1492"/>
      <c r="AE30" s="1492"/>
    </row>
    <row r="31" spans="1:31" s="693" customFormat="1" ht="15.75" thickBot="1">
      <c r="A31" s="2789" t="s">
        <v>97</v>
      </c>
      <c r="B31" s="2792" t="s">
        <v>650</v>
      </c>
      <c r="C31" s="2795" t="s">
        <v>167</v>
      </c>
      <c r="D31" s="2777">
        <v>5000</v>
      </c>
      <c r="E31" s="349" t="s">
        <v>498</v>
      </c>
      <c r="F31" s="1488">
        <v>1520.6419999999998</v>
      </c>
      <c r="G31" s="2780">
        <f>+D31-F36</f>
        <v>0</v>
      </c>
      <c r="H31" s="2786">
        <f>+F36/D31</f>
        <v>1</v>
      </c>
      <c r="J31" s="1849"/>
      <c r="K31" s="776"/>
      <c r="L31" s="272"/>
      <c r="M31" s="272"/>
      <c r="N31" s="272"/>
      <c r="O31" s="272"/>
      <c r="P31" s="272"/>
      <c r="Q31" s="272"/>
      <c r="S31" s="1492"/>
      <c r="T31" s="1492"/>
      <c r="U31" s="1492"/>
      <c r="V31" s="1492"/>
      <c r="W31" s="1492"/>
      <c r="X31" s="1492"/>
      <c r="Y31" s="1492"/>
      <c r="Z31" s="1492"/>
      <c r="AA31" s="1492"/>
      <c r="AB31" s="1492"/>
      <c r="AC31" s="1492"/>
      <c r="AD31" s="1492"/>
      <c r="AE31" s="1492"/>
    </row>
    <row r="32" spans="1:31" s="693" customFormat="1">
      <c r="A32" s="2790"/>
      <c r="B32" s="2793"/>
      <c r="C32" s="2796"/>
      <c r="D32" s="2778"/>
      <c r="E32" s="348" t="s">
        <v>497</v>
      </c>
      <c r="F32" s="1488">
        <v>1154.6949999999999</v>
      </c>
      <c r="G32" s="2781"/>
      <c r="H32" s="2787"/>
      <c r="J32" s="1849"/>
      <c r="K32" s="776"/>
      <c r="L32" s="1850"/>
      <c r="M32" s="272"/>
      <c r="N32" s="272"/>
      <c r="O32" s="272"/>
      <c r="P32" s="272"/>
      <c r="Q32" s="272"/>
      <c r="S32" s="1492"/>
      <c r="T32" s="1492"/>
      <c r="U32" s="1492"/>
      <c r="V32" s="1492"/>
      <c r="W32" s="1492"/>
      <c r="X32" s="1492"/>
      <c r="Y32" s="1492"/>
      <c r="Z32" s="1492"/>
      <c r="AA32" s="1492"/>
      <c r="AB32" s="1492"/>
      <c r="AC32" s="1492"/>
      <c r="AD32" s="1492"/>
      <c r="AE32" s="1492"/>
    </row>
    <row r="33" spans="1:70" s="693" customFormat="1">
      <c r="A33" s="2790"/>
      <c r="B33" s="2793"/>
      <c r="C33" s="2796"/>
      <c r="D33" s="2778"/>
      <c r="E33" s="349" t="s">
        <v>499</v>
      </c>
      <c r="F33" s="1489">
        <v>800.88</v>
      </c>
      <c r="G33" s="2781"/>
      <c r="H33" s="2787"/>
      <c r="J33" s="825"/>
      <c r="K33" s="776"/>
      <c r="L33" s="272"/>
      <c r="M33" s="272"/>
      <c r="N33" s="272"/>
      <c r="O33" s="272"/>
      <c r="P33" s="272"/>
      <c r="Q33" s="272"/>
      <c r="S33" s="1492"/>
      <c r="T33" s="1492"/>
      <c r="U33" s="1492"/>
      <c r="V33" s="1492"/>
      <c r="W33" s="1492"/>
      <c r="X33" s="1492"/>
      <c r="Y33" s="1492"/>
      <c r="Z33" s="1492"/>
      <c r="AA33" s="1492"/>
      <c r="AB33" s="1492"/>
      <c r="AC33" s="1492"/>
      <c r="AD33" s="1492"/>
      <c r="AE33" s="1492"/>
    </row>
    <row r="34" spans="1:70" s="693" customFormat="1">
      <c r="A34" s="2790"/>
      <c r="B34" s="2793"/>
      <c r="C34" s="2796"/>
      <c r="D34" s="2778"/>
      <c r="E34" s="349" t="s">
        <v>500</v>
      </c>
      <c r="F34" s="1480">
        <v>641.17499999999995</v>
      </c>
      <c r="G34" s="2781"/>
      <c r="H34" s="2787"/>
      <c r="J34" s="1848"/>
      <c r="K34" s="776"/>
      <c r="L34" s="272"/>
      <c r="M34" s="272"/>
      <c r="N34" s="272"/>
      <c r="O34" s="272"/>
      <c r="P34" s="272"/>
      <c r="Q34" s="272"/>
      <c r="S34" s="1492"/>
      <c r="T34" s="1492"/>
      <c r="U34" s="1492"/>
      <c r="V34" s="1492"/>
      <c r="W34" s="1492"/>
      <c r="X34" s="1492"/>
      <c r="Y34" s="1492"/>
      <c r="Z34" s="1492"/>
      <c r="AA34" s="1492"/>
      <c r="AB34" s="1492"/>
      <c r="AC34" s="1492"/>
      <c r="AD34" s="1492"/>
      <c r="AE34" s="1492"/>
    </row>
    <row r="35" spans="1:70" s="693" customFormat="1" ht="15.75" thickBot="1">
      <c r="A35" s="2791"/>
      <c r="B35" s="2794"/>
      <c r="C35" s="2797"/>
      <c r="D35" s="2779"/>
      <c r="E35" s="350" t="s">
        <v>501</v>
      </c>
      <c r="F35" s="1483">
        <v>882.60799999999995</v>
      </c>
      <c r="G35" s="2782"/>
      <c r="H35" s="2788"/>
      <c r="J35" s="1849"/>
      <c r="K35" s="776"/>
      <c r="L35" s="272"/>
      <c r="M35" s="272"/>
      <c r="N35" s="272"/>
      <c r="O35" s="272"/>
      <c r="P35" s="272"/>
      <c r="Q35" s="272"/>
      <c r="S35" s="1492"/>
      <c r="T35" s="1492"/>
      <c r="U35" s="1492"/>
      <c r="V35" s="1492"/>
      <c r="W35" s="1492"/>
      <c r="X35" s="1492"/>
      <c r="Y35" s="1492"/>
      <c r="Z35" s="1492"/>
      <c r="AA35" s="1492"/>
      <c r="AB35" s="1492"/>
      <c r="AC35" s="1492"/>
      <c r="AD35" s="1492"/>
      <c r="AE35" s="1492"/>
    </row>
    <row r="36" spans="1:70" s="693" customFormat="1" ht="15.75" thickBot="1">
      <c r="F36" s="1268">
        <f>SUM(F31:F35)</f>
        <v>5000</v>
      </c>
      <c r="J36" s="825"/>
      <c r="K36" s="776"/>
      <c r="L36" s="272"/>
      <c r="M36" s="272"/>
      <c r="N36" s="272"/>
      <c r="O36" s="272"/>
      <c r="P36" s="272"/>
      <c r="Q36" s="272"/>
      <c r="S36" s="1492"/>
      <c r="T36" s="1492"/>
      <c r="U36" s="1492"/>
      <c r="V36" s="1492"/>
      <c r="W36" s="1492"/>
      <c r="X36" s="1492"/>
      <c r="Y36" s="1492"/>
      <c r="Z36" s="1492"/>
      <c r="AA36" s="1492"/>
      <c r="AB36" s="1492"/>
      <c r="AC36" s="1492"/>
      <c r="AD36" s="1492"/>
      <c r="AE36" s="1492"/>
    </row>
    <row r="37" spans="1:70" s="693" customFormat="1">
      <c r="J37" s="1848"/>
      <c r="K37" s="776"/>
      <c r="L37" s="272"/>
      <c r="M37" s="272"/>
      <c r="N37" s="272"/>
      <c r="O37" s="272"/>
      <c r="P37" s="272"/>
      <c r="Q37" s="272"/>
      <c r="S37" s="1492"/>
      <c r="T37" s="1492"/>
      <c r="U37" s="1492"/>
      <c r="V37" s="1492"/>
      <c r="W37" s="1492"/>
      <c r="X37" s="1492"/>
      <c r="Y37" s="1492"/>
      <c r="Z37" s="1492"/>
      <c r="AA37" s="1492"/>
      <c r="AB37" s="1492"/>
      <c r="AC37" s="1492"/>
      <c r="AD37" s="1492"/>
      <c r="AE37" s="1492"/>
    </row>
    <row r="38" spans="1:70" s="312" customFormat="1" ht="15.75" thickBot="1">
      <c r="F38" s="768"/>
      <c r="J38" s="1849"/>
      <c r="K38" s="776"/>
      <c r="L38" s="272"/>
      <c r="M38" s="272"/>
      <c r="N38" s="272"/>
      <c r="O38" s="272"/>
      <c r="P38" s="272"/>
      <c r="Q38" s="272"/>
      <c r="S38" s="1492"/>
      <c r="T38" s="1492"/>
      <c r="U38" s="1492"/>
      <c r="V38" s="1492"/>
      <c r="W38" s="1492"/>
      <c r="X38" s="1492"/>
      <c r="Y38" s="1492"/>
      <c r="Z38" s="1492"/>
      <c r="AA38" s="1492"/>
      <c r="AB38" s="1492"/>
      <c r="AC38" s="1492"/>
      <c r="AD38" s="1492"/>
      <c r="AE38" s="1492"/>
    </row>
    <row r="39" spans="1:70" ht="45.75" thickBot="1">
      <c r="A39" s="763" t="s">
        <v>491</v>
      </c>
      <c r="B39" s="764" t="s">
        <v>649</v>
      </c>
      <c r="C39" s="765" t="s">
        <v>492</v>
      </c>
      <c r="D39" s="764" t="s">
        <v>493</v>
      </c>
      <c r="E39" s="766" t="s">
        <v>496</v>
      </c>
      <c r="F39" s="765" t="s">
        <v>503</v>
      </c>
      <c r="G39" s="1836" t="s">
        <v>90</v>
      </c>
      <c r="H39" s="767" t="s">
        <v>163</v>
      </c>
      <c r="J39" s="1849"/>
      <c r="K39" s="776"/>
    </row>
    <row r="40" spans="1:70">
      <c r="A40" s="2789" t="s">
        <v>97</v>
      </c>
      <c r="B40" s="2792">
        <v>3234</v>
      </c>
      <c r="C40" s="2795" t="s">
        <v>223</v>
      </c>
      <c r="D40" s="2777">
        <v>5500</v>
      </c>
      <c r="E40" s="348" t="s">
        <v>651</v>
      </c>
      <c r="F40" s="1373">
        <v>2213.1930000000002</v>
      </c>
      <c r="G40" s="2780">
        <f>+D40-F45</f>
        <v>0</v>
      </c>
      <c r="H40" s="2786">
        <f>+F45/D40</f>
        <v>1</v>
      </c>
      <c r="J40" s="1848"/>
      <c r="K40" s="776"/>
    </row>
    <row r="41" spans="1:70">
      <c r="A41" s="2790"/>
      <c r="B41" s="2793"/>
      <c r="C41" s="2796"/>
      <c r="D41" s="2778"/>
      <c r="E41" s="349" t="s">
        <v>452</v>
      </c>
      <c r="F41" s="1274">
        <v>3286.8069999999998</v>
      </c>
      <c r="G41" s="2781"/>
      <c r="H41" s="2787"/>
      <c r="J41" s="1849"/>
      <c r="K41" s="776"/>
    </row>
    <row r="42" spans="1:70">
      <c r="A42" s="2790"/>
      <c r="B42" s="2793"/>
      <c r="C42" s="2796"/>
      <c r="D42" s="2778"/>
      <c r="E42" s="349"/>
      <c r="F42" s="754"/>
      <c r="G42" s="2781"/>
      <c r="H42" s="2787"/>
      <c r="J42" s="825"/>
      <c r="K42" s="776"/>
    </row>
    <row r="43" spans="1:70">
      <c r="A43" s="2790"/>
      <c r="B43" s="2793"/>
      <c r="C43" s="2796"/>
      <c r="D43" s="2778"/>
      <c r="E43" s="349"/>
      <c r="F43" s="692"/>
      <c r="G43" s="2781"/>
      <c r="H43" s="2787"/>
      <c r="J43" s="1523"/>
      <c r="K43" s="1523"/>
    </row>
    <row r="44" spans="1:70" ht="15.75" thickBot="1">
      <c r="A44" s="2791"/>
      <c r="B44" s="2794"/>
      <c r="C44" s="2797"/>
      <c r="D44" s="2779"/>
      <c r="E44" s="350"/>
      <c r="F44" s="18"/>
      <c r="G44" s="2782"/>
      <c r="H44" s="2788"/>
      <c r="J44" s="1523"/>
      <c r="K44" s="1523"/>
    </row>
    <row r="45" spans="1:70" ht="15.75" thickBot="1">
      <c r="A45" s="693"/>
      <c r="B45" s="693"/>
      <c r="C45" s="693"/>
      <c r="D45" s="693"/>
      <c r="E45" s="693"/>
      <c r="F45" s="1240">
        <f>SUM(F40:F44)</f>
        <v>5500</v>
      </c>
      <c r="G45" s="693"/>
      <c r="H45" s="693"/>
      <c r="J45" s="1523"/>
      <c r="K45" s="1523"/>
    </row>
    <row r="46" spans="1:70">
      <c r="A46" s="693"/>
      <c r="B46" s="693"/>
      <c r="C46" s="693"/>
      <c r="D46" s="693"/>
      <c r="E46" s="693"/>
      <c r="F46" s="724"/>
      <c r="G46" s="693"/>
      <c r="H46" s="693"/>
      <c r="J46" s="1523"/>
      <c r="K46" s="1523"/>
    </row>
    <row r="47" spans="1:70" s="844" customFormat="1" ht="15.75" thickBot="1">
      <c r="A47" s="693"/>
      <c r="B47" s="693"/>
      <c r="C47" s="693"/>
      <c r="D47" s="693"/>
      <c r="E47" s="693"/>
      <c r="F47" s="724"/>
      <c r="G47" s="693"/>
      <c r="H47" s="693"/>
      <c r="I47" s="693"/>
      <c r="J47" s="1523"/>
      <c r="K47" s="1523"/>
      <c r="L47" s="272"/>
      <c r="M47" s="272"/>
      <c r="N47" s="272"/>
      <c r="O47" s="272"/>
      <c r="P47" s="272"/>
      <c r="Q47" s="272"/>
      <c r="R47" s="693"/>
      <c r="S47" s="1492"/>
      <c r="T47" s="1492"/>
      <c r="U47" s="1492"/>
      <c r="V47" s="1492"/>
      <c r="W47" s="1492"/>
      <c r="X47" s="1492"/>
      <c r="Y47" s="1492"/>
      <c r="Z47" s="1492"/>
      <c r="AA47" s="1492"/>
      <c r="AB47" s="1492"/>
      <c r="AC47" s="1492"/>
      <c r="AD47" s="1492"/>
      <c r="AE47" s="1492"/>
      <c r="AF47" s="693"/>
      <c r="AG47" s="693"/>
      <c r="AH47" s="693"/>
      <c r="AI47" s="693"/>
      <c r="AJ47" s="693"/>
      <c r="AK47" s="693"/>
      <c r="AL47" s="693"/>
      <c r="AM47" s="693"/>
      <c r="AN47" s="693"/>
      <c r="AO47" s="693"/>
      <c r="AP47" s="693"/>
      <c r="AQ47" s="693"/>
      <c r="AR47" s="693"/>
      <c r="AS47" s="693"/>
      <c r="AT47" s="693"/>
      <c r="AU47" s="693"/>
      <c r="AV47" s="693"/>
      <c r="AW47" s="693"/>
      <c r="AX47" s="693"/>
      <c r="AY47" s="693"/>
      <c r="AZ47" s="693"/>
      <c r="BA47" s="693"/>
      <c r="BB47" s="693"/>
      <c r="BC47" s="693"/>
      <c r="BD47" s="693"/>
      <c r="BE47" s="693"/>
      <c r="BF47" s="693"/>
      <c r="BG47" s="693"/>
      <c r="BH47" s="693"/>
      <c r="BI47" s="693"/>
      <c r="BJ47" s="693"/>
      <c r="BK47" s="693"/>
      <c r="BL47" s="693"/>
      <c r="BM47" s="693"/>
      <c r="BN47" s="693"/>
      <c r="BO47" s="693"/>
      <c r="BP47" s="693"/>
      <c r="BQ47" s="693"/>
      <c r="BR47" s="693"/>
    </row>
    <row r="48" spans="1:70" s="844" customFormat="1" ht="45.75" thickBot="1">
      <c r="A48" s="1837" t="s">
        <v>491</v>
      </c>
      <c r="B48" s="1838" t="s">
        <v>649</v>
      </c>
      <c r="C48" s="1487" t="s">
        <v>492</v>
      </c>
      <c r="D48" s="1838" t="s">
        <v>493</v>
      </c>
      <c r="E48" s="1839" t="s">
        <v>496</v>
      </c>
      <c r="F48" s="1487" t="s">
        <v>503</v>
      </c>
      <c r="G48" s="1840" t="s">
        <v>90</v>
      </c>
      <c r="H48" s="1841" t="s">
        <v>163</v>
      </c>
      <c r="I48" s="693"/>
      <c r="J48" s="1523"/>
      <c r="K48" s="1523"/>
      <c r="L48" s="272"/>
      <c r="M48" s="272"/>
      <c r="N48" s="272"/>
      <c r="O48" s="272"/>
      <c r="P48" s="272"/>
      <c r="Q48" s="272"/>
      <c r="R48" s="693"/>
      <c r="S48" s="1492"/>
      <c r="T48" s="1492"/>
      <c r="U48" s="1492"/>
      <c r="V48" s="1492"/>
      <c r="W48" s="1492"/>
      <c r="X48" s="1492"/>
      <c r="Y48" s="1492"/>
      <c r="Z48" s="1492"/>
      <c r="AA48" s="1492"/>
      <c r="AB48" s="1492"/>
      <c r="AC48" s="1492"/>
      <c r="AD48" s="1492"/>
      <c r="AE48" s="1492"/>
      <c r="AF48" s="693"/>
      <c r="AG48" s="693"/>
      <c r="AH48" s="693"/>
      <c r="AI48" s="693"/>
      <c r="AJ48" s="693"/>
      <c r="AK48" s="693"/>
      <c r="AL48" s="693"/>
      <c r="AM48" s="693"/>
      <c r="AN48" s="693"/>
      <c r="AO48" s="693"/>
      <c r="AP48" s="693"/>
      <c r="AQ48" s="693"/>
      <c r="AR48" s="693"/>
      <c r="AS48" s="693"/>
      <c r="AT48" s="693"/>
      <c r="AU48" s="693"/>
      <c r="AV48" s="693"/>
      <c r="AW48" s="693"/>
      <c r="AX48" s="693"/>
      <c r="AY48" s="693"/>
      <c r="AZ48" s="693"/>
      <c r="BA48" s="693"/>
      <c r="BB48" s="693"/>
      <c r="BC48" s="693"/>
      <c r="BD48" s="693"/>
      <c r="BE48" s="693"/>
      <c r="BF48" s="693"/>
      <c r="BG48" s="693"/>
      <c r="BH48" s="693"/>
      <c r="BI48" s="693"/>
      <c r="BJ48" s="693"/>
      <c r="BK48" s="693"/>
      <c r="BL48" s="693"/>
      <c r="BM48" s="693"/>
      <c r="BN48" s="693"/>
      <c r="BO48" s="693"/>
      <c r="BP48" s="693"/>
      <c r="BQ48" s="693"/>
      <c r="BR48" s="693"/>
    </row>
    <row r="49" spans="1:70" s="844" customFormat="1">
      <c r="A49" s="2811" t="s">
        <v>97</v>
      </c>
      <c r="B49" s="2814">
        <v>3551</v>
      </c>
      <c r="C49" s="2795" t="s">
        <v>670</v>
      </c>
      <c r="D49" s="2817">
        <v>3000</v>
      </c>
      <c r="E49" s="1842" t="s">
        <v>710</v>
      </c>
      <c r="F49" s="1843">
        <v>1049.6099999999999</v>
      </c>
      <c r="G49" s="2820">
        <f>+D49-F54</f>
        <v>0</v>
      </c>
      <c r="H49" s="2823">
        <f>+F54/D49</f>
        <v>0.99999999999999989</v>
      </c>
      <c r="I49" s="693"/>
      <c r="J49" s="1523"/>
      <c r="K49" s="1523"/>
      <c r="L49" s="272"/>
      <c r="M49" s="272"/>
      <c r="N49" s="272"/>
      <c r="O49" s="272"/>
      <c r="P49" s="272"/>
      <c r="Q49" s="272"/>
      <c r="R49" s="693"/>
      <c r="S49" s="1492"/>
      <c r="T49" s="1492"/>
      <c r="U49" s="1492"/>
      <c r="V49" s="1492"/>
      <c r="W49" s="1492"/>
      <c r="X49" s="1492"/>
      <c r="Y49" s="1492"/>
      <c r="Z49" s="1492"/>
      <c r="AA49" s="1492"/>
      <c r="AB49" s="1492"/>
      <c r="AC49" s="1492"/>
      <c r="AD49" s="1492"/>
      <c r="AE49" s="1492"/>
      <c r="AF49" s="693"/>
      <c r="AG49" s="693"/>
      <c r="AH49" s="693"/>
      <c r="AI49" s="693"/>
      <c r="AJ49" s="693"/>
      <c r="AK49" s="693"/>
      <c r="AL49" s="693"/>
      <c r="AM49" s="693"/>
      <c r="AN49" s="693"/>
      <c r="AO49" s="693"/>
      <c r="AP49" s="693"/>
      <c r="AQ49" s="693"/>
      <c r="AR49" s="693"/>
      <c r="AS49" s="693"/>
      <c r="AT49" s="693"/>
      <c r="AU49" s="693"/>
      <c r="AV49" s="693"/>
      <c r="AW49" s="693"/>
      <c r="AX49" s="693"/>
      <c r="AY49" s="693"/>
      <c r="AZ49" s="693"/>
      <c r="BA49" s="693"/>
      <c r="BB49" s="693"/>
      <c r="BC49" s="693"/>
      <c r="BD49" s="693"/>
      <c r="BE49" s="693"/>
      <c r="BF49" s="693"/>
      <c r="BG49" s="693"/>
      <c r="BH49" s="693"/>
      <c r="BI49" s="693"/>
      <c r="BJ49" s="693"/>
      <c r="BK49" s="693"/>
      <c r="BL49" s="693"/>
      <c r="BM49" s="693"/>
      <c r="BN49" s="693"/>
      <c r="BO49" s="693"/>
      <c r="BP49" s="693"/>
      <c r="BQ49" s="693"/>
      <c r="BR49" s="693"/>
    </row>
    <row r="50" spans="1:70" s="844" customFormat="1">
      <c r="A50" s="2812"/>
      <c r="B50" s="2815"/>
      <c r="C50" s="2796"/>
      <c r="D50" s="2818"/>
      <c r="E50" s="1844" t="s">
        <v>713</v>
      </c>
      <c r="F50" s="1845">
        <v>1011.107</v>
      </c>
      <c r="G50" s="2821"/>
      <c r="H50" s="2824"/>
      <c r="I50" s="693"/>
      <c r="J50" s="1523"/>
      <c r="K50" s="1523"/>
      <c r="L50" s="272"/>
      <c r="M50" s="272"/>
      <c r="N50" s="272"/>
      <c r="O50" s="272"/>
      <c r="P50" s="272"/>
      <c r="Q50" s="272"/>
      <c r="R50" s="693"/>
      <c r="S50" s="1492"/>
      <c r="T50" s="1492"/>
      <c r="U50" s="1492"/>
      <c r="V50" s="1492"/>
      <c r="W50" s="1492"/>
      <c r="X50" s="1492"/>
      <c r="Y50" s="1492"/>
      <c r="Z50" s="1492"/>
      <c r="AA50" s="1492"/>
      <c r="AB50" s="1492"/>
      <c r="AC50" s="1492"/>
      <c r="AD50" s="1492"/>
      <c r="AE50" s="1492"/>
      <c r="AF50" s="693"/>
      <c r="AG50" s="693"/>
      <c r="AH50" s="693"/>
      <c r="AI50" s="693"/>
      <c r="AJ50" s="693"/>
      <c r="AK50" s="693"/>
      <c r="AL50" s="693"/>
      <c r="AM50" s="693"/>
      <c r="AN50" s="693"/>
      <c r="AO50" s="693"/>
      <c r="AP50" s="693"/>
      <c r="AQ50" s="693"/>
      <c r="AR50" s="693"/>
      <c r="AS50" s="693"/>
      <c r="AT50" s="693"/>
      <c r="AU50" s="693"/>
      <c r="AV50" s="693"/>
      <c r="AW50" s="693"/>
      <c r="AX50" s="693"/>
      <c r="AY50" s="693"/>
      <c r="AZ50" s="693"/>
      <c r="BA50" s="693"/>
      <c r="BB50" s="693"/>
      <c r="BC50" s="693"/>
      <c r="BD50" s="693"/>
      <c r="BE50" s="693"/>
      <c r="BF50" s="693"/>
      <c r="BG50" s="693"/>
      <c r="BH50" s="693"/>
      <c r="BI50" s="693"/>
      <c r="BJ50" s="693"/>
      <c r="BK50" s="693"/>
      <c r="BL50" s="693"/>
      <c r="BM50" s="693"/>
      <c r="BN50" s="693"/>
      <c r="BO50" s="693"/>
      <c r="BP50" s="693"/>
      <c r="BQ50" s="693"/>
      <c r="BR50" s="693"/>
    </row>
    <row r="51" spans="1:70" s="844" customFormat="1">
      <c r="A51" s="2812"/>
      <c r="B51" s="2815"/>
      <c r="C51" s="2796"/>
      <c r="D51" s="2818"/>
      <c r="E51" s="1844" t="s">
        <v>714</v>
      </c>
      <c r="F51" s="1845">
        <v>0</v>
      </c>
      <c r="G51" s="2821"/>
      <c r="H51" s="2824"/>
      <c r="I51" s="693"/>
      <c r="J51" s="1523"/>
      <c r="K51" s="1523"/>
      <c r="L51" s="272"/>
      <c r="M51" s="272"/>
      <c r="N51" s="272"/>
      <c r="O51" s="272"/>
      <c r="P51" s="272"/>
      <c r="Q51" s="272"/>
      <c r="R51" s="693"/>
      <c r="S51" s="1492"/>
      <c r="T51" s="1492"/>
      <c r="U51" s="1492"/>
      <c r="V51" s="1492"/>
      <c r="W51" s="1492"/>
      <c r="X51" s="1492"/>
      <c r="Y51" s="1492"/>
      <c r="Z51" s="1492"/>
      <c r="AA51" s="1492"/>
      <c r="AB51" s="1492"/>
      <c r="AC51" s="1492"/>
      <c r="AD51" s="1492"/>
      <c r="AE51" s="1492"/>
      <c r="AF51" s="693"/>
      <c r="AG51" s="693"/>
      <c r="AH51" s="693"/>
      <c r="AI51" s="693"/>
      <c r="AJ51" s="693"/>
      <c r="AK51" s="693"/>
      <c r="AL51" s="693"/>
      <c r="AM51" s="693"/>
      <c r="AN51" s="693"/>
      <c r="AO51" s="693"/>
      <c r="AP51" s="693"/>
      <c r="AQ51" s="693"/>
      <c r="AR51" s="693"/>
      <c r="AS51" s="693"/>
      <c r="AT51" s="693"/>
      <c r="AU51" s="693"/>
      <c r="AV51" s="693"/>
      <c r="AW51" s="693"/>
      <c r="AX51" s="693"/>
      <c r="AY51" s="693"/>
      <c r="AZ51" s="693"/>
      <c r="BA51" s="693"/>
      <c r="BB51" s="693"/>
      <c r="BC51" s="693"/>
      <c r="BD51" s="693"/>
      <c r="BE51" s="693"/>
      <c r="BF51" s="693"/>
      <c r="BG51" s="693"/>
      <c r="BH51" s="693"/>
      <c r="BI51" s="693"/>
      <c r="BJ51" s="693"/>
      <c r="BK51" s="693"/>
      <c r="BL51" s="693"/>
      <c r="BM51" s="693"/>
      <c r="BN51" s="693"/>
      <c r="BO51" s="693"/>
      <c r="BP51" s="693"/>
      <c r="BQ51" s="693"/>
      <c r="BR51" s="693"/>
    </row>
    <row r="52" spans="1:70" s="844" customFormat="1" ht="16.5" customHeight="1">
      <c r="A52" s="2812"/>
      <c r="B52" s="2815"/>
      <c r="C52" s="2796"/>
      <c r="D52" s="2818"/>
      <c r="E52" s="1844" t="s">
        <v>455</v>
      </c>
      <c r="F52" s="1354">
        <v>939.28300000000002</v>
      </c>
      <c r="G52" s="2821"/>
      <c r="H52" s="2824"/>
      <c r="I52" s="693"/>
      <c r="J52" s="1523"/>
      <c r="K52" s="1523"/>
      <c r="L52" s="272"/>
      <c r="M52" s="272"/>
      <c r="N52" s="272"/>
      <c r="O52" s="272"/>
      <c r="P52" s="272"/>
      <c r="Q52" s="272"/>
      <c r="R52" s="693"/>
      <c r="S52" s="1492"/>
      <c r="T52" s="1492"/>
      <c r="U52" s="1492"/>
      <c r="V52" s="1492"/>
      <c r="W52" s="1492"/>
      <c r="X52" s="1492"/>
      <c r="Y52" s="1492"/>
      <c r="Z52" s="1492"/>
      <c r="AA52" s="1492"/>
      <c r="AB52" s="1492"/>
      <c r="AC52" s="1492"/>
      <c r="AD52" s="1492"/>
      <c r="AE52" s="1492"/>
      <c r="AF52" s="693"/>
      <c r="AG52" s="693"/>
      <c r="AH52" s="693"/>
      <c r="AI52" s="693"/>
      <c r="AJ52" s="693"/>
      <c r="AK52" s="693"/>
      <c r="AL52" s="693"/>
      <c r="AM52" s="693"/>
      <c r="AN52" s="693"/>
      <c r="AO52" s="693"/>
      <c r="AP52" s="693"/>
      <c r="AQ52" s="693"/>
      <c r="AR52" s="693"/>
      <c r="AS52" s="693"/>
      <c r="AT52" s="693"/>
      <c r="AU52" s="693"/>
      <c r="AV52" s="693"/>
      <c r="AW52" s="693"/>
      <c r="AX52" s="693"/>
      <c r="AY52" s="693"/>
      <c r="AZ52" s="693"/>
      <c r="BA52" s="693"/>
      <c r="BB52" s="693"/>
      <c r="BC52" s="693"/>
      <c r="BD52" s="693"/>
      <c r="BE52" s="693"/>
      <c r="BF52" s="693"/>
      <c r="BG52" s="693"/>
      <c r="BH52" s="693"/>
      <c r="BI52" s="693"/>
      <c r="BJ52" s="693"/>
      <c r="BK52" s="693"/>
      <c r="BL52" s="693"/>
      <c r="BM52" s="693"/>
      <c r="BN52" s="693"/>
      <c r="BO52" s="693"/>
      <c r="BP52" s="693"/>
      <c r="BQ52" s="693"/>
      <c r="BR52" s="693"/>
    </row>
    <row r="53" spans="1:70" s="844" customFormat="1" ht="15.75" thickBot="1">
      <c r="A53" s="2813"/>
      <c r="B53" s="2816"/>
      <c r="C53" s="2797"/>
      <c r="D53" s="2819"/>
      <c r="E53" s="1846"/>
      <c r="F53" s="1847"/>
      <c r="G53" s="2822"/>
      <c r="H53" s="2825"/>
      <c r="I53" s="693"/>
      <c r="J53" s="1523"/>
      <c r="K53" s="1523"/>
      <c r="L53" s="272"/>
      <c r="M53" s="272"/>
      <c r="N53" s="272"/>
      <c r="O53" s="272"/>
      <c r="P53" s="272"/>
      <c r="Q53" s="272"/>
      <c r="R53" s="693"/>
      <c r="S53" s="1492"/>
      <c r="T53" s="1492"/>
      <c r="U53" s="1492"/>
      <c r="V53" s="1492"/>
      <c r="W53" s="1492"/>
      <c r="X53" s="1492"/>
      <c r="Y53" s="1492"/>
      <c r="Z53" s="1492"/>
      <c r="AA53" s="1492"/>
      <c r="AB53" s="1492"/>
      <c r="AC53" s="1492"/>
      <c r="AD53" s="1492"/>
      <c r="AE53" s="1492"/>
      <c r="AF53" s="693"/>
      <c r="AG53" s="693"/>
      <c r="AH53" s="693"/>
      <c r="AI53" s="693"/>
      <c r="AJ53" s="693"/>
      <c r="AK53" s="693"/>
      <c r="AL53" s="693"/>
      <c r="AM53" s="693"/>
      <c r="AN53" s="693"/>
      <c r="AO53" s="693"/>
      <c r="AP53" s="693"/>
      <c r="AQ53" s="693"/>
      <c r="AR53" s="693"/>
      <c r="AS53" s="693"/>
      <c r="AT53" s="693"/>
      <c r="AU53" s="693"/>
      <c r="AV53" s="693"/>
      <c r="AW53" s="693"/>
      <c r="AX53" s="693"/>
      <c r="AY53" s="693"/>
      <c r="AZ53" s="693"/>
      <c r="BA53" s="693"/>
      <c r="BB53" s="693"/>
      <c r="BC53" s="693"/>
      <c r="BD53" s="693"/>
      <c r="BE53" s="693"/>
      <c r="BF53" s="693"/>
      <c r="BG53" s="693"/>
      <c r="BH53" s="693"/>
      <c r="BI53" s="693"/>
      <c r="BJ53" s="693"/>
      <c r="BK53" s="693"/>
      <c r="BL53" s="693"/>
      <c r="BM53" s="693"/>
      <c r="BN53" s="693"/>
      <c r="BO53" s="693"/>
      <c r="BP53" s="693"/>
      <c r="BQ53" s="693"/>
      <c r="BR53" s="693"/>
    </row>
    <row r="54" spans="1:70" s="844" customFormat="1" ht="15.75" thickBot="1">
      <c r="A54" s="693"/>
      <c r="B54" s="693"/>
      <c r="C54" s="693"/>
      <c r="D54" s="693"/>
      <c r="E54" s="693"/>
      <c r="F54" s="1240">
        <f>SUM(F49:F53)</f>
        <v>2999.9999999999995</v>
      </c>
      <c r="G54" s="693"/>
      <c r="H54" s="693"/>
      <c r="I54" s="693"/>
      <c r="J54" s="1523"/>
      <c r="K54" s="1523"/>
      <c r="L54" s="272"/>
      <c r="M54" s="272"/>
      <c r="N54" s="272"/>
      <c r="O54" s="272"/>
      <c r="P54" s="272"/>
      <c r="Q54" s="272"/>
      <c r="R54" s="693"/>
      <c r="S54" s="1492"/>
      <c r="T54" s="1492"/>
      <c r="U54" s="1492"/>
      <c r="V54" s="1492"/>
      <c r="W54" s="1492"/>
      <c r="X54" s="1492"/>
      <c r="Y54" s="1492"/>
      <c r="Z54" s="1492"/>
      <c r="AA54" s="1492"/>
      <c r="AB54" s="1492"/>
      <c r="AC54" s="1492"/>
      <c r="AD54" s="1492"/>
      <c r="AE54" s="1492"/>
      <c r="AF54" s="693"/>
      <c r="AG54" s="693"/>
      <c r="AH54" s="693"/>
      <c r="AI54" s="693"/>
      <c r="AJ54" s="693"/>
      <c r="AK54" s="693"/>
      <c r="AL54" s="693"/>
      <c r="AM54" s="693"/>
      <c r="AN54" s="693"/>
      <c r="AO54" s="693"/>
      <c r="AP54" s="693"/>
      <c r="AQ54" s="693"/>
      <c r="AR54" s="693"/>
      <c r="AS54" s="693"/>
      <c r="AT54" s="693"/>
      <c r="AU54" s="693"/>
      <c r="AV54" s="693"/>
      <c r="AW54" s="693"/>
      <c r="AX54" s="693"/>
      <c r="AY54" s="693"/>
      <c r="AZ54" s="693"/>
      <c r="BA54" s="693"/>
      <c r="BB54" s="693"/>
      <c r="BC54" s="693"/>
      <c r="BD54" s="693"/>
      <c r="BE54" s="693"/>
      <c r="BF54" s="693"/>
      <c r="BG54" s="693"/>
      <c r="BH54" s="693"/>
      <c r="BI54" s="693"/>
      <c r="BJ54" s="693"/>
      <c r="BK54" s="693"/>
      <c r="BL54" s="693"/>
      <c r="BM54" s="693"/>
      <c r="BN54" s="693"/>
      <c r="BO54" s="693"/>
      <c r="BP54" s="693"/>
      <c r="BQ54" s="693"/>
      <c r="BR54" s="693"/>
    </row>
    <row r="55" spans="1:70" s="844" customFormat="1">
      <c r="A55" s="693"/>
      <c r="B55" s="693"/>
      <c r="C55" s="693"/>
      <c r="D55" s="693"/>
      <c r="E55" s="693"/>
      <c r="G55" s="693"/>
      <c r="H55" s="693"/>
      <c r="I55" s="693"/>
      <c r="J55" s="1523"/>
      <c r="K55" s="1523"/>
      <c r="L55" s="272"/>
      <c r="M55" s="272"/>
      <c r="N55" s="272"/>
      <c r="O55" s="272"/>
      <c r="P55" s="272"/>
      <c r="Q55" s="272"/>
      <c r="R55" s="693"/>
      <c r="S55" s="1492"/>
      <c r="T55" s="1492"/>
      <c r="U55" s="1492"/>
      <c r="V55" s="1492"/>
      <c r="W55" s="1492"/>
      <c r="X55" s="1492"/>
      <c r="Y55" s="1492"/>
      <c r="Z55" s="1492"/>
      <c r="AA55" s="1492"/>
      <c r="AB55" s="1492"/>
      <c r="AC55" s="1492"/>
      <c r="AD55" s="1492"/>
      <c r="AE55" s="1492"/>
      <c r="AF55" s="693"/>
      <c r="AG55" s="693"/>
      <c r="AH55" s="693"/>
      <c r="AI55" s="693"/>
      <c r="AJ55" s="693"/>
      <c r="AK55" s="693"/>
      <c r="AL55" s="693"/>
      <c r="AM55" s="693"/>
      <c r="AN55" s="693"/>
      <c r="AO55" s="693"/>
      <c r="AP55" s="693"/>
      <c r="AQ55" s="693"/>
      <c r="AR55" s="693"/>
      <c r="AS55" s="693"/>
      <c r="AT55" s="693"/>
      <c r="AU55" s="693"/>
      <c r="AV55" s="693"/>
      <c r="AW55" s="693"/>
      <c r="AX55" s="693"/>
      <c r="AY55" s="693"/>
      <c r="AZ55" s="693"/>
      <c r="BA55" s="693"/>
      <c r="BB55" s="693"/>
      <c r="BC55" s="693"/>
      <c r="BD55" s="693"/>
      <c r="BE55" s="693"/>
      <c r="BF55" s="693"/>
      <c r="BG55" s="693"/>
      <c r="BH55" s="693"/>
      <c r="BI55" s="693"/>
      <c r="BJ55" s="693"/>
      <c r="BK55" s="693"/>
      <c r="BL55" s="693"/>
      <c r="BM55" s="693"/>
      <c r="BN55" s="693"/>
      <c r="BO55" s="693"/>
      <c r="BP55" s="693"/>
      <c r="BQ55" s="693"/>
      <c r="BR55" s="693"/>
    </row>
    <row r="56" spans="1:70" s="1491" customFormat="1" ht="15.75" thickBot="1">
      <c r="A56" s="1492"/>
      <c r="B56" s="1492"/>
      <c r="C56" s="1492"/>
      <c r="D56" s="1492"/>
      <c r="E56" s="1492"/>
      <c r="F56" s="1264"/>
      <c r="G56" s="1492"/>
      <c r="H56" s="1492"/>
      <c r="I56" s="1492"/>
      <c r="J56" s="1523"/>
      <c r="K56" s="1523"/>
      <c r="L56" s="272"/>
      <c r="M56" s="272"/>
      <c r="N56" s="272"/>
      <c r="O56" s="272"/>
      <c r="P56" s="272"/>
      <c r="Q56" s="272"/>
      <c r="R56" s="1492"/>
      <c r="S56" s="1492"/>
      <c r="T56" s="1492"/>
      <c r="U56" s="1492"/>
      <c r="V56" s="1492"/>
      <c r="W56" s="1492"/>
      <c r="X56" s="1492"/>
      <c r="Y56" s="1492"/>
      <c r="Z56" s="1492"/>
      <c r="AA56" s="1492"/>
      <c r="AB56" s="1492"/>
      <c r="AC56" s="1492"/>
      <c r="AD56" s="1492"/>
      <c r="AE56" s="1492"/>
      <c r="AF56" s="1492"/>
      <c r="AG56" s="1492"/>
      <c r="AH56" s="1492"/>
      <c r="AI56" s="1492"/>
      <c r="AJ56" s="1492"/>
      <c r="AK56" s="1492"/>
      <c r="AL56" s="1492"/>
      <c r="AM56" s="1492"/>
      <c r="AN56" s="1492"/>
      <c r="AO56" s="1492"/>
      <c r="AP56" s="1492"/>
      <c r="AQ56" s="1492"/>
      <c r="AR56" s="1492"/>
      <c r="AS56" s="1492"/>
      <c r="AT56" s="1492"/>
      <c r="AU56" s="1492"/>
      <c r="AV56" s="1492"/>
      <c r="AW56" s="1492"/>
      <c r="AX56" s="1492"/>
      <c r="AY56" s="1492"/>
      <c r="AZ56" s="1492"/>
      <c r="BA56" s="1492"/>
      <c r="BB56" s="1492"/>
      <c r="BC56" s="1492"/>
      <c r="BD56" s="1492"/>
      <c r="BE56" s="1492"/>
      <c r="BF56" s="1492"/>
      <c r="BG56" s="1492"/>
      <c r="BH56" s="1492"/>
      <c r="BI56" s="1492"/>
      <c r="BJ56" s="1492"/>
      <c r="BK56" s="1492"/>
      <c r="BL56" s="1492"/>
      <c r="BM56" s="1492"/>
      <c r="BN56" s="1492"/>
      <c r="BO56" s="1492"/>
      <c r="BP56" s="1492"/>
      <c r="BQ56" s="1492"/>
      <c r="BR56" s="1492"/>
    </row>
    <row r="57" spans="1:70" s="1491" customFormat="1" ht="45.75" thickBot="1">
      <c r="A57" s="763" t="s">
        <v>491</v>
      </c>
      <c r="B57" s="764" t="s">
        <v>649</v>
      </c>
      <c r="C57" s="765" t="s">
        <v>492</v>
      </c>
      <c r="D57" s="764" t="s">
        <v>493</v>
      </c>
      <c r="E57" s="766" t="s">
        <v>496</v>
      </c>
      <c r="F57" s="765" t="s">
        <v>503</v>
      </c>
      <c r="G57" s="1836" t="s">
        <v>90</v>
      </c>
      <c r="H57" s="767" t="s">
        <v>163</v>
      </c>
      <c r="I57" s="1492"/>
      <c r="J57" s="1523"/>
      <c r="K57" s="1523"/>
      <c r="L57" s="272"/>
      <c r="M57" s="272"/>
      <c r="N57" s="272"/>
      <c r="O57" s="272"/>
      <c r="P57" s="272"/>
      <c r="Q57" s="272"/>
      <c r="R57" s="1492"/>
      <c r="S57" s="1492"/>
      <c r="T57" s="1492"/>
      <c r="U57" s="1492"/>
      <c r="V57" s="1492"/>
      <c r="W57" s="1492"/>
      <c r="X57" s="1492"/>
      <c r="Y57" s="1492"/>
      <c r="Z57" s="1492"/>
      <c r="AA57" s="1492"/>
      <c r="AB57" s="1492"/>
      <c r="AC57" s="1492"/>
      <c r="AD57" s="1492"/>
      <c r="AE57" s="1492"/>
      <c r="AF57" s="1492"/>
      <c r="AG57" s="1492"/>
      <c r="AH57" s="1492"/>
      <c r="AI57" s="1492"/>
      <c r="AJ57" s="1492"/>
      <c r="AK57" s="1492"/>
      <c r="AL57" s="1492"/>
      <c r="AM57" s="1492"/>
      <c r="AN57" s="1492"/>
      <c r="AO57" s="1492"/>
      <c r="AP57" s="1492"/>
      <c r="AQ57" s="1492"/>
      <c r="AR57" s="1492"/>
      <c r="AS57" s="1492"/>
      <c r="AT57" s="1492"/>
      <c r="AU57" s="1492"/>
      <c r="AV57" s="1492"/>
      <c r="AW57" s="1492"/>
      <c r="AX57" s="1492"/>
      <c r="AY57" s="1492"/>
      <c r="AZ57" s="1492"/>
      <c r="BA57" s="1492"/>
      <c r="BB57" s="1492"/>
      <c r="BC57" s="1492"/>
      <c r="BD57" s="1492"/>
      <c r="BE57" s="1492"/>
      <c r="BF57" s="1492"/>
      <c r="BG57" s="1492"/>
      <c r="BH57" s="1492"/>
      <c r="BI57" s="1492"/>
      <c r="BJ57" s="1492"/>
      <c r="BK57" s="1492"/>
      <c r="BL57" s="1492"/>
      <c r="BM57" s="1492"/>
      <c r="BN57" s="1492"/>
      <c r="BO57" s="1492"/>
      <c r="BP57" s="1492"/>
      <c r="BQ57" s="1492"/>
      <c r="BR57" s="1492"/>
    </row>
    <row r="58" spans="1:70" s="1491" customFormat="1">
      <c r="A58" s="2789" t="s">
        <v>97</v>
      </c>
      <c r="B58" s="2792" t="s">
        <v>725</v>
      </c>
      <c r="C58" s="2826" t="s">
        <v>724</v>
      </c>
      <c r="D58" s="2777">
        <v>4000</v>
      </c>
      <c r="E58" s="1832" t="s">
        <v>498</v>
      </c>
      <c r="F58" s="1834">
        <v>1651.15</v>
      </c>
      <c r="G58" s="2780">
        <f>+D58-F63</f>
        <v>498.68499999999995</v>
      </c>
      <c r="H58" s="2783">
        <f>+F63/D58</f>
        <v>0.87532874999999999</v>
      </c>
      <c r="I58" s="1492"/>
      <c r="J58" s="1523"/>
      <c r="K58" s="1523"/>
      <c r="L58" s="272"/>
      <c r="M58" s="272"/>
      <c r="N58" s="272"/>
      <c r="O58" s="272"/>
      <c r="P58" s="272"/>
      <c r="Q58" s="272"/>
      <c r="R58" s="1492"/>
      <c r="S58" s="1492"/>
      <c r="T58" s="1492"/>
      <c r="U58" s="1492"/>
      <c r="V58" s="1492"/>
      <c r="W58" s="1492"/>
      <c r="X58" s="1492"/>
      <c r="Y58" s="1492"/>
      <c r="Z58" s="1492"/>
      <c r="AA58" s="1492"/>
      <c r="AB58" s="1492"/>
      <c r="AC58" s="1492"/>
      <c r="AD58" s="1492"/>
      <c r="AE58" s="1492"/>
      <c r="AF58" s="1492"/>
      <c r="AG58" s="1492"/>
      <c r="AH58" s="1492"/>
      <c r="AI58" s="1492"/>
      <c r="AJ58" s="1492"/>
      <c r="AK58" s="1492"/>
      <c r="AL58" s="1492"/>
      <c r="AM58" s="1492"/>
      <c r="AN58" s="1492"/>
      <c r="AO58" s="1492"/>
      <c r="AP58" s="1492"/>
      <c r="AQ58" s="1492"/>
      <c r="AR58" s="1492"/>
      <c r="AS58" s="1492"/>
      <c r="AT58" s="1492"/>
      <c r="AU58" s="1492"/>
      <c r="AV58" s="1492"/>
      <c r="AW58" s="1492"/>
      <c r="AX58" s="1492"/>
      <c r="AY58" s="1492"/>
      <c r="AZ58" s="1492"/>
      <c r="BA58" s="1492"/>
      <c r="BB58" s="1492"/>
      <c r="BC58" s="1492"/>
      <c r="BD58" s="1492"/>
      <c r="BE58" s="1492"/>
      <c r="BF58" s="1492"/>
      <c r="BG58" s="1492"/>
      <c r="BH58" s="1492"/>
      <c r="BI58" s="1492"/>
      <c r="BJ58" s="1492"/>
      <c r="BK58" s="1492"/>
      <c r="BL58" s="1492"/>
      <c r="BM58" s="1492"/>
      <c r="BN58" s="1492"/>
      <c r="BO58" s="1492"/>
      <c r="BP58" s="1492"/>
      <c r="BQ58" s="1492"/>
      <c r="BR58" s="1492"/>
    </row>
    <row r="59" spans="1:70" s="1491" customFormat="1">
      <c r="A59" s="2790"/>
      <c r="B59" s="2793"/>
      <c r="C59" s="2827"/>
      <c r="D59" s="2778"/>
      <c r="E59" s="1833" t="s">
        <v>497</v>
      </c>
      <c r="F59" s="1489">
        <v>836.625</v>
      </c>
      <c r="G59" s="2781"/>
      <c r="H59" s="2784"/>
      <c r="I59" s="1492"/>
      <c r="J59" s="1523"/>
      <c r="K59" s="1523"/>
      <c r="L59" s="272"/>
      <c r="M59" s="272"/>
      <c r="N59" s="272"/>
      <c r="O59" s="272"/>
      <c r="P59" s="272"/>
      <c r="Q59" s="272"/>
      <c r="R59" s="1492"/>
      <c r="S59" s="1492"/>
      <c r="T59" s="1492"/>
      <c r="U59" s="1492"/>
      <c r="V59" s="1492"/>
      <c r="W59" s="1492"/>
      <c r="X59" s="1492"/>
      <c r="Y59" s="1492"/>
      <c r="Z59" s="1492"/>
      <c r="AA59" s="1492"/>
      <c r="AB59" s="1492"/>
      <c r="AC59" s="1492"/>
      <c r="AD59" s="1492"/>
      <c r="AE59" s="1492"/>
      <c r="AF59" s="1492"/>
      <c r="AG59" s="1492"/>
      <c r="AH59" s="1492"/>
      <c r="AI59" s="1492"/>
      <c r="AJ59" s="1492"/>
      <c r="AK59" s="1492"/>
      <c r="AL59" s="1492"/>
      <c r="AM59" s="1492"/>
      <c r="AN59" s="1492"/>
      <c r="AO59" s="1492"/>
      <c r="AP59" s="1492"/>
      <c r="AQ59" s="1492"/>
      <c r="AR59" s="1492"/>
      <c r="AS59" s="1492"/>
      <c r="AT59" s="1492"/>
      <c r="AU59" s="1492"/>
      <c r="AV59" s="1492"/>
      <c r="AW59" s="1492"/>
      <c r="AX59" s="1492"/>
      <c r="AY59" s="1492"/>
      <c r="AZ59" s="1492"/>
      <c r="BA59" s="1492"/>
      <c r="BB59" s="1492"/>
      <c r="BC59" s="1492"/>
      <c r="BD59" s="1492"/>
      <c r="BE59" s="1492"/>
      <c r="BF59" s="1492"/>
      <c r="BG59" s="1492"/>
      <c r="BH59" s="1492"/>
      <c r="BI59" s="1492"/>
      <c r="BJ59" s="1492"/>
      <c r="BK59" s="1492"/>
      <c r="BL59" s="1492"/>
      <c r="BM59" s="1492"/>
      <c r="BN59" s="1492"/>
      <c r="BO59" s="1492"/>
      <c r="BP59" s="1492"/>
      <c r="BQ59" s="1492"/>
      <c r="BR59" s="1492"/>
    </row>
    <row r="60" spans="1:70" s="1491" customFormat="1" ht="18" customHeight="1">
      <c r="A60" s="2790"/>
      <c r="B60" s="2793"/>
      <c r="C60" s="2827"/>
      <c r="D60" s="2778"/>
      <c r="E60" s="349" t="s">
        <v>499</v>
      </c>
      <c r="F60" s="1835">
        <v>545.59500000000003</v>
      </c>
      <c r="G60" s="2781"/>
      <c r="H60" s="2784"/>
      <c r="I60" s="1492"/>
      <c r="J60" s="1523"/>
      <c r="K60" s="1523"/>
      <c r="L60" s="272"/>
      <c r="M60" s="272"/>
      <c r="N60" s="272"/>
      <c r="O60" s="272"/>
      <c r="P60" s="272"/>
      <c r="Q60" s="272"/>
      <c r="R60" s="1492"/>
      <c r="S60" s="1492"/>
      <c r="T60" s="1492"/>
      <c r="U60" s="1492"/>
      <c r="V60" s="1492"/>
      <c r="W60" s="1492"/>
      <c r="X60" s="1492"/>
      <c r="Y60" s="1492"/>
      <c r="Z60" s="1492"/>
      <c r="AA60" s="1492"/>
      <c r="AB60" s="1492"/>
      <c r="AC60" s="1492"/>
      <c r="AD60" s="1492"/>
      <c r="AE60" s="1492"/>
      <c r="AF60" s="1492"/>
      <c r="AG60" s="1492"/>
      <c r="AH60" s="1492"/>
      <c r="AI60" s="1492"/>
      <c r="AJ60" s="1492"/>
      <c r="AK60" s="1492"/>
      <c r="AL60" s="1492"/>
      <c r="AM60" s="1492"/>
      <c r="AN60" s="1492"/>
      <c r="AO60" s="1492"/>
      <c r="AP60" s="1492"/>
      <c r="AQ60" s="1492"/>
      <c r="AR60" s="1492"/>
      <c r="AS60" s="1492"/>
      <c r="AT60" s="1492"/>
      <c r="AU60" s="1492"/>
      <c r="AV60" s="1492"/>
      <c r="AW60" s="1492"/>
      <c r="AX60" s="1492"/>
      <c r="AY60" s="1492"/>
      <c r="AZ60" s="1492"/>
      <c r="BA60" s="1492"/>
      <c r="BB60" s="1492"/>
      <c r="BC60" s="1492"/>
      <c r="BD60" s="1492"/>
      <c r="BE60" s="1492"/>
      <c r="BF60" s="1492"/>
      <c r="BG60" s="1492"/>
      <c r="BH60" s="1492"/>
      <c r="BI60" s="1492"/>
      <c r="BJ60" s="1492"/>
      <c r="BK60" s="1492"/>
      <c r="BL60" s="1492"/>
      <c r="BM60" s="1492"/>
      <c r="BN60" s="1492"/>
      <c r="BO60" s="1492"/>
      <c r="BP60" s="1492"/>
      <c r="BQ60" s="1492"/>
      <c r="BR60" s="1492"/>
    </row>
    <row r="61" spans="1:70" s="1491" customFormat="1">
      <c r="A61" s="2790"/>
      <c r="B61" s="2793"/>
      <c r="C61" s="2827"/>
      <c r="D61" s="2778"/>
      <c r="E61" s="349" t="s">
        <v>500</v>
      </c>
      <c r="F61" s="1480">
        <v>467.94499999999999</v>
      </c>
      <c r="G61" s="2781"/>
      <c r="H61" s="2784"/>
      <c r="I61" s="1492"/>
      <c r="J61" s="1523"/>
      <c r="K61" s="1523"/>
      <c r="L61" s="272"/>
      <c r="M61" s="272"/>
      <c r="N61" s="272"/>
      <c r="O61" s="272"/>
      <c r="P61" s="272"/>
      <c r="Q61" s="272"/>
      <c r="R61" s="1492"/>
      <c r="S61" s="1492"/>
      <c r="T61" s="1492"/>
      <c r="U61" s="1492"/>
      <c r="V61" s="1492"/>
      <c r="W61" s="1492"/>
      <c r="X61" s="1492"/>
      <c r="Y61" s="1492"/>
      <c r="Z61" s="1492"/>
      <c r="AA61" s="1492"/>
      <c r="AB61" s="1492"/>
      <c r="AC61" s="1492"/>
      <c r="AD61" s="1492"/>
      <c r="AE61" s="1492"/>
      <c r="AF61" s="1492"/>
      <c r="AG61" s="1492"/>
      <c r="AH61" s="1492"/>
      <c r="AI61" s="1492"/>
      <c r="AJ61" s="1492"/>
      <c r="AK61" s="1492"/>
      <c r="AL61" s="1492"/>
      <c r="AM61" s="1492"/>
      <c r="AN61" s="1492"/>
      <c r="AO61" s="1492"/>
      <c r="AP61" s="1492"/>
      <c r="AQ61" s="1492"/>
      <c r="AR61" s="1492"/>
      <c r="AS61" s="1492"/>
      <c r="AT61" s="1492"/>
      <c r="AU61" s="1492"/>
      <c r="AV61" s="1492"/>
      <c r="AW61" s="1492"/>
      <c r="AX61" s="1492"/>
      <c r="AY61" s="1492"/>
      <c r="AZ61" s="1492"/>
      <c r="BA61" s="1492"/>
      <c r="BB61" s="1492"/>
      <c r="BC61" s="1492"/>
      <c r="BD61" s="1492"/>
      <c r="BE61" s="1492"/>
      <c r="BF61" s="1492"/>
      <c r="BG61" s="1492"/>
      <c r="BH61" s="1492"/>
      <c r="BI61" s="1492"/>
      <c r="BJ61" s="1492"/>
      <c r="BK61" s="1492"/>
      <c r="BL61" s="1492"/>
      <c r="BM61" s="1492"/>
      <c r="BN61" s="1492"/>
      <c r="BO61" s="1492"/>
      <c r="BP61" s="1492"/>
      <c r="BQ61" s="1492"/>
      <c r="BR61" s="1492"/>
    </row>
    <row r="62" spans="1:70" s="1491" customFormat="1" ht="15.75" thickBot="1">
      <c r="A62" s="2791"/>
      <c r="B62" s="2794"/>
      <c r="C62" s="2828"/>
      <c r="D62" s="2779"/>
      <c r="E62" s="350" t="s">
        <v>671</v>
      </c>
      <c r="F62" s="1483"/>
      <c r="G62" s="2782"/>
      <c r="H62" s="2785"/>
      <c r="I62" s="1492"/>
      <c r="J62" s="1523"/>
      <c r="K62" s="1523"/>
      <c r="L62" s="272"/>
      <c r="M62" s="272"/>
      <c r="N62" s="272"/>
      <c r="O62" s="272"/>
      <c r="P62" s="272"/>
      <c r="Q62" s="272"/>
      <c r="R62" s="1492"/>
      <c r="S62" s="1492"/>
      <c r="T62" s="1492"/>
      <c r="U62" s="1492"/>
      <c r="V62" s="1492"/>
      <c r="W62" s="1492"/>
      <c r="X62" s="1492"/>
      <c r="Y62" s="1492"/>
      <c r="Z62" s="1492"/>
      <c r="AA62" s="1492"/>
      <c r="AB62" s="1492"/>
      <c r="AC62" s="1492"/>
      <c r="AD62" s="1492"/>
      <c r="AE62" s="1492"/>
      <c r="AF62" s="1492"/>
      <c r="AG62" s="1492"/>
      <c r="AH62" s="1492"/>
      <c r="AI62" s="1492"/>
      <c r="AJ62" s="1492"/>
      <c r="AK62" s="1492"/>
      <c r="AL62" s="1492"/>
      <c r="AM62" s="1492"/>
      <c r="AN62" s="1492"/>
      <c r="AO62" s="1492"/>
      <c r="AP62" s="1492"/>
      <c r="AQ62" s="1492"/>
      <c r="AR62" s="1492"/>
      <c r="AS62" s="1492"/>
      <c r="AT62" s="1492"/>
      <c r="AU62" s="1492"/>
      <c r="AV62" s="1492"/>
      <c r="AW62" s="1492"/>
      <c r="AX62" s="1492"/>
      <c r="AY62" s="1492"/>
      <c r="AZ62" s="1492"/>
      <c r="BA62" s="1492"/>
      <c r="BB62" s="1492"/>
      <c r="BC62" s="1492"/>
      <c r="BD62" s="1492"/>
      <c r="BE62" s="1492"/>
      <c r="BF62" s="1492"/>
      <c r="BG62" s="1492"/>
      <c r="BH62" s="1492"/>
      <c r="BI62" s="1492"/>
      <c r="BJ62" s="1492"/>
      <c r="BK62" s="1492"/>
      <c r="BL62" s="1492"/>
      <c r="BM62" s="1492"/>
      <c r="BN62" s="1492"/>
      <c r="BO62" s="1492"/>
      <c r="BP62" s="1492"/>
      <c r="BQ62" s="1492"/>
      <c r="BR62" s="1492"/>
    </row>
    <row r="63" spans="1:70" s="1491" customFormat="1" ht="15.75" thickBot="1">
      <c r="A63" s="1492"/>
      <c r="B63" s="1492"/>
      <c r="C63" s="1492"/>
      <c r="D63" s="1492"/>
      <c r="E63" s="1492"/>
      <c r="F63" s="1240">
        <f>SUM(F58:F62)</f>
        <v>3501.3150000000001</v>
      </c>
      <c r="G63" s="1492"/>
      <c r="H63" s="1492"/>
      <c r="I63" s="1492"/>
      <c r="J63" s="1523"/>
      <c r="K63" s="1523"/>
      <c r="L63" s="272"/>
      <c r="M63" s="272"/>
      <c r="N63" s="272"/>
      <c r="O63" s="272"/>
      <c r="P63" s="272"/>
      <c r="Q63" s="272"/>
      <c r="R63" s="1492"/>
      <c r="S63" s="1492"/>
      <c r="T63" s="1492"/>
      <c r="U63" s="1492"/>
      <c r="V63" s="1492"/>
      <c r="W63" s="1492"/>
      <c r="X63" s="1492"/>
      <c r="Y63" s="1492"/>
      <c r="Z63" s="1492"/>
      <c r="AA63" s="1492"/>
      <c r="AB63" s="1492"/>
      <c r="AC63" s="1492"/>
      <c r="AD63" s="1492"/>
      <c r="AE63" s="1492"/>
      <c r="AF63" s="1492"/>
      <c r="AG63" s="1492"/>
      <c r="AH63" s="1492"/>
      <c r="AI63" s="1492"/>
      <c r="AJ63" s="1492"/>
      <c r="AK63" s="1492"/>
      <c r="AL63" s="1492"/>
      <c r="AM63" s="1492"/>
      <c r="AN63" s="1492"/>
      <c r="AO63" s="1492"/>
      <c r="AP63" s="1492"/>
      <c r="AQ63" s="1492"/>
      <c r="AR63" s="1492"/>
      <c r="AS63" s="1492"/>
      <c r="AT63" s="1492"/>
      <c r="AU63" s="1492"/>
      <c r="AV63" s="1492"/>
      <c r="AW63" s="1492"/>
      <c r="AX63" s="1492"/>
      <c r="AY63" s="1492"/>
      <c r="AZ63" s="1492"/>
      <c r="BA63" s="1492"/>
      <c r="BB63" s="1492"/>
      <c r="BC63" s="1492"/>
      <c r="BD63" s="1492"/>
      <c r="BE63" s="1492"/>
      <c r="BF63" s="1492"/>
      <c r="BG63" s="1492"/>
      <c r="BH63" s="1492"/>
      <c r="BI63" s="1492"/>
      <c r="BJ63" s="1492"/>
      <c r="BK63" s="1492"/>
      <c r="BL63" s="1492"/>
      <c r="BM63" s="1492"/>
      <c r="BN63" s="1492"/>
      <c r="BO63" s="1492"/>
      <c r="BP63" s="1492"/>
      <c r="BQ63" s="1492"/>
      <c r="BR63" s="1492"/>
    </row>
    <row r="64" spans="1:70" s="1491" customFormat="1">
      <c r="A64" s="1492"/>
      <c r="B64" s="1492"/>
      <c r="C64" s="1492"/>
      <c r="D64" s="1492"/>
      <c r="E64" s="1492"/>
      <c r="F64" s="1264"/>
      <c r="G64" s="1492"/>
      <c r="H64" s="1492"/>
      <c r="I64" s="1492"/>
      <c r="J64" s="1523"/>
      <c r="K64" s="1523"/>
      <c r="L64" s="272"/>
      <c r="M64" s="272"/>
      <c r="N64" s="272"/>
      <c r="O64" s="272"/>
      <c r="P64" s="272"/>
      <c r="Q64" s="272"/>
      <c r="R64" s="1492"/>
      <c r="S64" s="1492"/>
      <c r="T64" s="1492"/>
      <c r="U64" s="1492"/>
      <c r="V64" s="1492"/>
      <c r="W64" s="1492"/>
      <c r="X64" s="1492"/>
      <c r="Y64" s="1492"/>
      <c r="Z64" s="1492"/>
      <c r="AA64" s="1492"/>
      <c r="AB64" s="1492"/>
      <c r="AC64" s="1492"/>
      <c r="AD64" s="1492"/>
      <c r="AE64" s="1492"/>
      <c r="AF64" s="1492"/>
      <c r="AG64" s="1492"/>
      <c r="AH64" s="1492"/>
      <c r="AI64" s="1492"/>
      <c r="AJ64" s="1492"/>
      <c r="AK64" s="1492"/>
      <c r="AL64" s="1492"/>
      <c r="AM64" s="1492"/>
      <c r="AN64" s="1492"/>
      <c r="AO64" s="1492"/>
      <c r="AP64" s="1492"/>
      <c r="AQ64" s="1492"/>
      <c r="AR64" s="1492"/>
      <c r="AS64" s="1492"/>
      <c r="AT64" s="1492"/>
      <c r="AU64" s="1492"/>
      <c r="AV64" s="1492"/>
      <c r="AW64" s="1492"/>
      <c r="AX64" s="1492"/>
      <c r="AY64" s="1492"/>
      <c r="AZ64" s="1492"/>
      <c r="BA64" s="1492"/>
      <c r="BB64" s="1492"/>
      <c r="BC64" s="1492"/>
      <c r="BD64" s="1492"/>
      <c r="BE64" s="1492"/>
      <c r="BF64" s="1492"/>
      <c r="BG64" s="1492"/>
      <c r="BH64" s="1492"/>
      <c r="BI64" s="1492"/>
      <c r="BJ64" s="1492"/>
      <c r="BK64" s="1492"/>
      <c r="BL64" s="1492"/>
      <c r="BM64" s="1492"/>
      <c r="BN64" s="1492"/>
      <c r="BO64" s="1492"/>
      <c r="BP64" s="1492"/>
      <c r="BQ64" s="1492"/>
      <c r="BR64" s="1492"/>
    </row>
    <row r="65" spans="1:70" s="1491" customFormat="1" ht="15.75" thickBot="1">
      <c r="A65" s="1492"/>
      <c r="B65" s="1492"/>
      <c r="C65" s="1492"/>
      <c r="D65" s="1492"/>
      <c r="E65" s="1492"/>
      <c r="G65" s="1492"/>
      <c r="H65" s="1492"/>
      <c r="I65" s="1492"/>
      <c r="J65" s="1523"/>
      <c r="K65" s="1523"/>
      <c r="L65" s="272"/>
      <c r="M65" s="272"/>
      <c r="N65" s="272"/>
      <c r="O65" s="272"/>
      <c r="P65" s="272"/>
      <c r="Q65" s="272"/>
      <c r="R65" s="1492"/>
      <c r="S65" s="1492"/>
      <c r="T65" s="1492"/>
      <c r="U65" s="1492"/>
      <c r="V65" s="1492"/>
      <c r="W65" s="1492"/>
      <c r="X65" s="1492"/>
      <c r="Y65" s="1492"/>
      <c r="Z65" s="1492"/>
      <c r="AA65" s="1492"/>
      <c r="AB65" s="1492"/>
      <c r="AC65" s="1492"/>
      <c r="AD65" s="1492"/>
      <c r="AE65" s="1492"/>
      <c r="AF65" s="1492"/>
      <c r="AG65" s="1492"/>
      <c r="AH65" s="1492"/>
      <c r="AI65" s="1492"/>
      <c r="AJ65" s="1492"/>
      <c r="AK65" s="1492"/>
      <c r="AL65" s="1492"/>
      <c r="AM65" s="1492"/>
      <c r="AN65" s="1492"/>
      <c r="AO65" s="1492"/>
      <c r="AP65" s="1492"/>
      <c r="AQ65" s="1492"/>
      <c r="AR65" s="1492"/>
      <c r="AS65" s="1492"/>
      <c r="AT65" s="1492"/>
      <c r="AU65" s="1492"/>
      <c r="AV65" s="1492"/>
      <c r="AW65" s="1492"/>
      <c r="AX65" s="1492"/>
      <c r="AY65" s="1492"/>
      <c r="AZ65" s="1492"/>
      <c r="BA65" s="1492"/>
      <c r="BB65" s="1492"/>
      <c r="BC65" s="1492"/>
      <c r="BD65" s="1492"/>
      <c r="BE65" s="1492"/>
      <c r="BF65" s="1492"/>
      <c r="BG65" s="1492"/>
      <c r="BH65" s="1492"/>
      <c r="BI65" s="1492"/>
      <c r="BJ65" s="1492"/>
      <c r="BK65" s="1492"/>
      <c r="BL65" s="1492"/>
      <c r="BM65" s="1492"/>
      <c r="BN65" s="1492"/>
      <c r="BO65" s="1492"/>
      <c r="BP65" s="1492"/>
      <c r="BQ65" s="1492"/>
      <c r="BR65" s="1492"/>
    </row>
    <row r="66" spans="1:70" s="1522" customFormat="1" ht="45.75" thickBot="1">
      <c r="A66" s="763" t="s">
        <v>491</v>
      </c>
      <c r="B66" s="764" t="s">
        <v>649</v>
      </c>
      <c r="C66" s="765" t="s">
        <v>492</v>
      </c>
      <c r="D66" s="764" t="s">
        <v>493</v>
      </c>
      <c r="E66" s="766" t="s">
        <v>496</v>
      </c>
      <c r="F66" s="765" t="s">
        <v>503</v>
      </c>
      <c r="G66" s="765" t="s">
        <v>90</v>
      </c>
      <c r="H66" s="767" t="s">
        <v>163</v>
      </c>
      <c r="I66" s="1523"/>
      <c r="J66" s="1523"/>
      <c r="K66" s="1523"/>
      <c r="L66" s="272"/>
      <c r="M66" s="272"/>
      <c r="N66" s="272"/>
      <c r="O66" s="272"/>
      <c r="P66" s="272"/>
      <c r="Q66" s="272"/>
      <c r="R66" s="1523"/>
      <c r="S66" s="1523"/>
      <c r="T66" s="1523"/>
      <c r="U66" s="1523"/>
      <c r="V66" s="1523"/>
      <c r="W66" s="1523"/>
      <c r="X66" s="1523"/>
      <c r="Y66" s="1523"/>
      <c r="Z66" s="1523"/>
      <c r="AA66" s="1523"/>
      <c r="AB66" s="1523"/>
      <c r="AC66" s="1523"/>
      <c r="AD66" s="1523"/>
      <c r="AE66" s="1523"/>
      <c r="AF66" s="1523"/>
      <c r="AG66" s="1523"/>
      <c r="AH66" s="1523"/>
      <c r="AI66" s="1523"/>
      <c r="AJ66" s="1523"/>
      <c r="AK66" s="1523"/>
      <c r="AL66" s="1523"/>
      <c r="AM66" s="1523"/>
      <c r="AN66" s="1523"/>
      <c r="AO66" s="1523"/>
      <c r="AP66" s="1523"/>
      <c r="AQ66" s="1523"/>
      <c r="AR66" s="1523"/>
      <c r="AS66" s="1523"/>
      <c r="AT66" s="1523"/>
      <c r="AU66" s="1523"/>
      <c r="AV66" s="1523"/>
      <c r="AW66" s="1523"/>
      <c r="AX66" s="1523"/>
      <c r="AY66" s="1523"/>
      <c r="AZ66" s="1523"/>
      <c r="BA66" s="1523"/>
      <c r="BB66" s="1523"/>
      <c r="BC66" s="1523"/>
      <c r="BD66" s="1523"/>
      <c r="BE66" s="1523"/>
      <c r="BF66" s="1523"/>
      <c r="BG66" s="1523"/>
      <c r="BH66" s="1523"/>
      <c r="BI66" s="1523"/>
      <c r="BJ66" s="1523"/>
      <c r="BK66" s="1523"/>
      <c r="BL66" s="1523"/>
      <c r="BM66" s="1523"/>
      <c r="BN66" s="1523"/>
      <c r="BO66" s="1523"/>
      <c r="BP66" s="1523"/>
      <c r="BQ66" s="1523"/>
      <c r="BR66" s="1523"/>
    </row>
    <row r="67" spans="1:70" s="1522" customFormat="1">
      <c r="A67" s="2789" t="s">
        <v>97</v>
      </c>
      <c r="B67" s="2792" t="s">
        <v>732</v>
      </c>
      <c r="C67" s="2795" t="s">
        <v>485</v>
      </c>
      <c r="D67" s="2777">
        <v>500</v>
      </c>
      <c r="E67" s="1832" t="s">
        <v>733</v>
      </c>
      <c r="F67" s="1834">
        <v>500</v>
      </c>
      <c r="G67" s="2780">
        <f>+D67-F69</f>
        <v>0</v>
      </c>
      <c r="H67" s="2829">
        <v>1</v>
      </c>
      <c r="I67" s="1523"/>
      <c r="J67" s="1523"/>
      <c r="K67" s="1523"/>
      <c r="L67" s="272"/>
      <c r="M67" s="272"/>
      <c r="N67" s="272"/>
      <c r="O67" s="272"/>
      <c r="P67" s="272"/>
      <c r="Q67" s="272"/>
      <c r="R67" s="1523"/>
      <c r="S67" s="1523"/>
      <c r="T67" s="1523"/>
      <c r="U67" s="1523"/>
      <c r="V67" s="1523"/>
      <c r="W67" s="1523"/>
      <c r="X67" s="1523"/>
      <c r="Y67" s="1523"/>
      <c r="Z67" s="1523"/>
      <c r="AA67" s="1523"/>
      <c r="AB67" s="1523"/>
      <c r="AC67" s="1523"/>
      <c r="AD67" s="1523"/>
      <c r="AE67" s="1523"/>
      <c r="AF67" s="1523"/>
      <c r="AG67" s="1523"/>
      <c r="AH67" s="1523"/>
      <c r="AI67" s="1523"/>
      <c r="AJ67" s="1523"/>
      <c r="AK67" s="1523"/>
      <c r="AL67" s="1523"/>
      <c r="AM67" s="1523"/>
      <c r="AN67" s="1523"/>
      <c r="AO67" s="1523"/>
      <c r="AP67" s="1523"/>
      <c r="AQ67" s="1523"/>
      <c r="AR67" s="1523"/>
      <c r="AS67" s="1523"/>
      <c r="AT67" s="1523"/>
      <c r="AU67" s="1523"/>
      <c r="AV67" s="1523"/>
      <c r="AW67" s="1523"/>
      <c r="AX67" s="1523"/>
      <c r="AY67" s="1523"/>
      <c r="AZ67" s="1523"/>
      <c r="BA67" s="1523"/>
      <c r="BB67" s="1523"/>
      <c r="BC67" s="1523"/>
      <c r="BD67" s="1523"/>
      <c r="BE67" s="1523"/>
      <c r="BF67" s="1523"/>
      <c r="BG67" s="1523"/>
      <c r="BH67" s="1523"/>
      <c r="BI67" s="1523"/>
      <c r="BJ67" s="1523"/>
      <c r="BK67" s="1523"/>
      <c r="BL67" s="1523"/>
      <c r="BM67" s="1523"/>
      <c r="BN67" s="1523"/>
      <c r="BO67" s="1523"/>
      <c r="BP67" s="1523"/>
      <c r="BQ67" s="1523"/>
      <c r="BR67" s="1523"/>
    </row>
    <row r="68" spans="1:70" s="1522" customFormat="1" ht="15.75" thickBot="1">
      <c r="A68" s="2790"/>
      <c r="B68" s="2793"/>
      <c r="C68" s="2831"/>
      <c r="D68" s="2778"/>
      <c r="E68" s="1833" t="s">
        <v>751</v>
      </c>
      <c r="F68" s="1489">
        <v>0</v>
      </c>
      <c r="G68" s="2781"/>
      <c r="H68" s="2830"/>
      <c r="I68" s="1523"/>
      <c r="J68" s="1523"/>
      <c r="K68" s="1523"/>
      <c r="L68" s="272"/>
      <c r="M68" s="272"/>
      <c r="N68" s="272"/>
      <c r="O68" s="272"/>
      <c r="P68" s="272"/>
      <c r="Q68" s="272"/>
      <c r="R68" s="1523"/>
      <c r="S68" s="1523"/>
      <c r="T68" s="1523"/>
      <c r="U68" s="1523"/>
      <c r="V68" s="1523"/>
      <c r="W68" s="1523"/>
      <c r="X68" s="1523"/>
      <c r="Y68" s="1523"/>
      <c r="Z68" s="1523"/>
      <c r="AA68" s="1523"/>
      <c r="AB68" s="1523"/>
      <c r="AC68" s="1523"/>
      <c r="AD68" s="1523"/>
      <c r="AE68" s="1523"/>
      <c r="AF68" s="1523"/>
      <c r="AG68" s="1523"/>
      <c r="AH68" s="1523"/>
      <c r="AI68" s="1523"/>
      <c r="AJ68" s="1523"/>
      <c r="AK68" s="1523"/>
      <c r="AL68" s="1523"/>
      <c r="AM68" s="1523"/>
      <c r="AN68" s="1523"/>
      <c r="AO68" s="1523"/>
      <c r="AP68" s="1523"/>
      <c r="AQ68" s="1523"/>
      <c r="AR68" s="1523"/>
      <c r="AS68" s="1523"/>
      <c r="AT68" s="1523"/>
      <c r="AU68" s="1523"/>
      <c r="AV68" s="1523"/>
      <c r="AW68" s="1523"/>
      <c r="AX68" s="1523"/>
      <c r="AY68" s="1523"/>
      <c r="AZ68" s="1523"/>
      <c r="BA68" s="1523"/>
      <c r="BB68" s="1523"/>
      <c r="BC68" s="1523"/>
      <c r="BD68" s="1523"/>
      <c r="BE68" s="1523"/>
      <c r="BF68" s="1523"/>
      <c r="BG68" s="1523"/>
      <c r="BH68" s="1523"/>
      <c r="BI68" s="1523"/>
      <c r="BJ68" s="1523"/>
      <c r="BK68" s="1523"/>
      <c r="BL68" s="1523"/>
      <c r="BM68" s="1523"/>
      <c r="BN68" s="1523"/>
      <c r="BO68" s="1523"/>
      <c r="BP68" s="1523"/>
      <c r="BQ68" s="1523"/>
      <c r="BR68" s="1523"/>
    </row>
    <row r="69" spans="1:70" s="1522" customFormat="1" ht="15.75" thickBot="1">
      <c r="A69" s="1523"/>
      <c r="B69" s="1523"/>
      <c r="C69" s="1523"/>
      <c r="D69" s="1523"/>
      <c r="E69" s="1523"/>
      <c r="F69" s="1240">
        <f>SUM(F67:F68)</f>
        <v>500</v>
      </c>
      <c r="G69" s="1523"/>
      <c r="H69" s="1523"/>
      <c r="I69" s="1523"/>
      <c r="J69" s="1523"/>
      <c r="K69" s="1523"/>
      <c r="L69" s="272"/>
      <c r="M69" s="272"/>
      <c r="N69" s="272"/>
      <c r="O69" s="272"/>
      <c r="P69" s="272"/>
      <c r="Q69" s="272"/>
      <c r="R69" s="1523"/>
      <c r="S69" s="1523"/>
      <c r="T69" s="1523"/>
      <c r="U69" s="1523"/>
      <c r="V69" s="1523"/>
      <c r="W69" s="1523"/>
      <c r="X69" s="1523"/>
      <c r="Y69" s="1523"/>
      <c r="Z69" s="1523"/>
      <c r="AA69" s="1523"/>
      <c r="AB69" s="1523"/>
      <c r="AC69" s="1523"/>
      <c r="AD69" s="1523"/>
      <c r="AE69" s="1523"/>
      <c r="AF69" s="1523"/>
      <c r="AG69" s="1523"/>
      <c r="AH69" s="1523"/>
      <c r="AI69" s="1523"/>
      <c r="AJ69" s="1523"/>
      <c r="AK69" s="1523"/>
      <c r="AL69" s="1523"/>
      <c r="AM69" s="1523"/>
      <c r="AN69" s="1523"/>
      <c r="AO69" s="1523"/>
      <c r="AP69" s="1523"/>
      <c r="AQ69" s="1523"/>
      <c r="AR69" s="1523"/>
      <c r="AS69" s="1523"/>
      <c r="AT69" s="1523"/>
      <c r="AU69" s="1523"/>
      <c r="AV69" s="1523"/>
      <c r="AW69" s="1523"/>
      <c r="AX69" s="1523"/>
      <c r="AY69" s="1523"/>
      <c r="AZ69" s="1523"/>
      <c r="BA69" s="1523"/>
      <c r="BB69" s="1523"/>
      <c r="BC69" s="1523"/>
      <c r="BD69" s="1523"/>
      <c r="BE69" s="1523"/>
      <c r="BF69" s="1523"/>
      <c r="BG69" s="1523"/>
      <c r="BH69" s="1523"/>
      <c r="BI69" s="1523"/>
      <c r="BJ69" s="1523"/>
      <c r="BK69" s="1523"/>
      <c r="BL69" s="1523"/>
      <c r="BM69" s="1523"/>
      <c r="BN69" s="1523"/>
      <c r="BO69" s="1523"/>
      <c r="BP69" s="1523"/>
      <c r="BQ69" s="1523"/>
      <c r="BR69" s="1523"/>
    </row>
    <row r="70" spans="1:70" s="1491" customFormat="1">
      <c r="A70" s="1492"/>
      <c r="B70" s="1492"/>
      <c r="C70" s="1492"/>
      <c r="D70" s="1492"/>
      <c r="E70" s="1492"/>
      <c r="F70" s="95"/>
      <c r="G70" s="1492"/>
      <c r="H70" s="1492"/>
      <c r="I70" s="1492"/>
      <c r="J70" s="1523"/>
      <c r="K70" s="1523"/>
      <c r="L70" s="272"/>
      <c r="M70" s="272"/>
      <c r="N70" s="272"/>
      <c r="O70" s="272"/>
      <c r="P70" s="272"/>
      <c r="Q70" s="272"/>
      <c r="R70" s="1492"/>
      <c r="S70" s="1492"/>
      <c r="T70" s="1492"/>
      <c r="U70" s="1492"/>
      <c r="V70" s="1492"/>
      <c r="W70" s="1492"/>
      <c r="X70" s="1492"/>
      <c r="Y70" s="1492"/>
      <c r="Z70" s="1492"/>
      <c r="AA70" s="1492"/>
      <c r="AB70" s="1492"/>
      <c r="AC70" s="1492"/>
      <c r="AD70" s="1492"/>
      <c r="AE70" s="1492"/>
      <c r="AF70" s="1492"/>
      <c r="AG70" s="1492"/>
      <c r="AH70" s="1492"/>
      <c r="AI70" s="1492"/>
      <c r="AJ70" s="1492"/>
      <c r="AK70" s="1492"/>
      <c r="AL70" s="1492"/>
      <c r="AM70" s="1492"/>
      <c r="AN70" s="1492"/>
      <c r="AO70" s="1492"/>
      <c r="AP70" s="1492"/>
      <c r="AQ70" s="1492"/>
      <c r="AR70" s="1492"/>
      <c r="AS70" s="1492"/>
      <c r="AT70" s="1492"/>
      <c r="AU70" s="1492"/>
      <c r="AV70" s="1492"/>
      <c r="AW70" s="1492"/>
      <c r="AX70" s="1492"/>
      <c r="AY70" s="1492"/>
      <c r="AZ70" s="1492"/>
      <c r="BA70" s="1492"/>
      <c r="BB70" s="1492"/>
      <c r="BC70" s="1492"/>
      <c r="BD70" s="1492"/>
      <c r="BE70" s="1492"/>
      <c r="BF70" s="1492"/>
      <c r="BG70" s="1492"/>
      <c r="BH70" s="1492"/>
      <c r="BI70" s="1492"/>
      <c r="BJ70" s="1492"/>
      <c r="BK70" s="1492"/>
      <c r="BL70" s="1492"/>
      <c r="BM70" s="1492"/>
      <c r="BN70" s="1492"/>
      <c r="BO70" s="1492"/>
      <c r="BP70" s="1492"/>
      <c r="BQ70" s="1492"/>
      <c r="BR70" s="1492"/>
    </row>
    <row r="71" spans="1:70" s="1522" customFormat="1">
      <c r="A71" s="1523"/>
      <c r="B71" s="1523"/>
      <c r="C71" s="1523"/>
      <c r="D71" s="1523"/>
      <c r="E71" s="1523"/>
      <c r="F71" s="95">
        <f>+F63+F54+F45+F36+F27+F19+F11+F69</f>
        <v>25601.314999999999</v>
      </c>
      <c r="G71" s="1523"/>
      <c r="H71" s="1523"/>
      <c r="I71" s="1523"/>
      <c r="J71" s="1523"/>
      <c r="K71" s="1523"/>
      <c r="L71" s="272"/>
      <c r="M71" s="272"/>
      <c r="N71" s="272"/>
      <c r="O71" s="272"/>
      <c r="P71" s="272"/>
      <c r="Q71" s="272"/>
      <c r="R71" s="1523"/>
      <c r="S71" s="1523"/>
      <c r="T71" s="1523"/>
      <c r="U71" s="1523"/>
      <c r="V71" s="1523"/>
      <c r="W71" s="1523"/>
      <c r="X71" s="1523"/>
      <c r="Y71" s="1523"/>
      <c r="Z71" s="1523"/>
      <c r="AA71" s="1523"/>
      <c r="AB71" s="1523"/>
      <c r="AC71" s="1523"/>
      <c r="AD71" s="1523"/>
      <c r="AE71" s="1523"/>
      <c r="AF71" s="1523"/>
      <c r="AG71" s="1523"/>
      <c r="AH71" s="1523"/>
      <c r="AI71" s="1523"/>
      <c r="AJ71" s="1523"/>
      <c r="AK71" s="1523"/>
      <c r="AL71" s="1523"/>
      <c r="AM71" s="1523"/>
      <c r="AN71" s="1523"/>
      <c r="AO71" s="1523"/>
      <c r="AP71" s="1523"/>
      <c r="AQ71" s="1523"/>
      <c r="AR71" s="1523"/>
      <c r="AS71" s="1523"/>
      <c r="AT71" s="1523"/>
      <c r="AU71" s="1523"/>
      <c r="AV71" s="1523"/>
      <c r="AW71" s="1523"/>
      <c r="AX71" s="1523"/>
      <c r="AY71" s="1523"/>
      <c r="AZ71" s="1523"/>
      <c r="BA71" s="1523"/>
      <c r="BB71" s="1523"/>
      <c r="BC71" s="1523"/>
      <c r="BD71" s="1523"/>
      <c r="BE71" s="1523"/>
      <c r="BF71" s="1523"/>
      <c r="BG71" s="1523"/>
      <c r="BH71" s="1523"/>
      <c r="BI71" s="1523"/>
      <c r="BJ71" s="1523"/>
      <c r="BK71" s="1523"/>
      <c r="BL71" s="1523"/>
      <c r="BM71" s="1523"/>
      <c r="BN71" s="1523"/>
      <c r="BO71" s="1523"/>
      <c r="BP71" s="1523"/>
      <c r="BQ71" s="1523"/>
      <c r="BR71" s="1523"/>
    </row>
    <row r="72" spans="1:70" s="1492" customFormat="1" ht="15.75" thickBot="1">
      <c r="F72" s="724"/>
      <c r="L72" s="272"/>
      <c r="M72" s="272"/>
      <c r="N72" s="272"/>
      <c r="O72" s="272"/>
      <c r="P72" s="272"/>
      <c r="Q72" s="272"/>
    </row>
    <row r="73" spans="1:70" s="693" customFormat="1" ht="23.25" customHeight="1">
      <c r="A73" s="2807" t="s">
        <v>652</v>
      </c>
      <c r="B73" s="2808"/>
      <c r="C73" s="2808"/>
      <c r="D73" s="2808"/>
      <c r="E73" s="2808"/>
      <c r="F73" s="2808"/>
      <c r="G73" s="2808"/>
      <c r="H73" s="2808"/>
      <c r="I73" s="2808"/>
      <c r="J73" s="2808"/>
      <c r="K73" s="2808"/>
      <c r="L73" s="2808"/>
      <c r="M73" s="2808"/>
      <c r="N73" s="2808"/>
      <c r="O73" s="2808"/>
      <c r="P73" s="2808"/>
      <c r="Q73" s="2808"/>
      <c r="R73" s="1266"/>
      <c r="S73" s="1492"/>
      <c r="T73" s="1492"/>
      <c r="U73" s="1492"/>
      <c r="V73" s="1492"/>
      <c r="W73" s="1492"/>
      <c r="X73" s="1492"/>
      <c r="Y73" s="1492"/>
      <c r="Z73" s="1492"/>
      <c r="AA73" s="1492"/>
      <c r="AB73" s="1492"/>
      <c r="AC73" s="1492"/>
      <c r="AD73" s="1492"/>
      <c r="AE73" s="1492"/>
    </row>
    <row r="74" spans="1:70" s="312" customFormat="1" ht="15" customHeight="1" thickBot="1">
      <c r="A74" s="2809"/>
      <c r="B74" s="2810"/>
      <c r="C74" s="2810"/>
      <c r="D74" s="2810"/>
      <c r="E74" s="2810"/>
      <c r="F74" s="2810"/>
      <c r="G74" s="2810"/>
      <c r="H74" s="2810"/>
      <c r="I74" s="2810"/>
      <c r="J74" s="2810"/>
      <c r="K74" s="2810"/>
      <c r="L74" s="2810"/>
      <c r="M74" s="2810"/>
      <c r="N74" s="2810"/>
      <c r="O74" s="2810"/>
      <c r="P74" s="2810"/>
      <c r="Q74" s="2810"/>
      <c r="R74" s="1265"/>
      <c r="S74" s="1492"/>
      <c r="T74" s="1492"/>
      <c r="U74" s="1492"/>
      <c r="V74" s="1492"/>
      <c r="W74" s="1492"/>
      <c r="X74" s="1492"/>
      <c r="Y74" s="1492"/>
      <c r="Z74" s="1492"/>
      <c r="AA74" s="1492"/>
      <c r="AB74" s="1492"/>
      <c r="AC74" s="1492"/>
      <c r="AD74" s="1492"/>
      <c r="AE74" s="1492"/>
    </row>
    <row r="75" spans="1:70" s="312" customFormat="1">
      <c r="L75" s="272"/>
      <c r="M75" s="272"/>
      <c r="N75" s="272"/>
      <c r="O75" s="272"/>
      <c r="P75" s="272"/>
      <c r="Q75" s="272"/>
      <c r="S75" s="1492"/>
      <c r="T75" s="1492"/>
      <c r="U75" s="1492"/>
      <c r="V75" s="1492"/>
      <c r="W75" s="1492"/>
      <c r="X75" s="1492"/>
      <c r="Y75" s="1492"/>
      <c r="Z75" s="1492"/>
      <c r="AA75" s="1492"/>
      <c r="AB75" s="1492"/>
      <c r="AC75" s="1492"/>
      <c r="AD75" s="1492"/>
      <c r="AE75" s="1492"/>
    </row>
    <row r="76" spans="1:70" s="844" customFormat="1" ht="12" customHeight="1">
      <c r="A76" s="1828" t="s">
        <v>591</v>
      </c>
      <c r="B76" s="1828" t="s">
        <v>592</v>
      </c>
      <c r="C76" s="1828" t="s">
        <v>421</v>
      </c>
      <c r="D76" s="1828" t="s">
        <v>424</v>
      </c>
      <c r="E76" s="1828" t="s">
        <v>422</v>
      </c>
      <c r="F76" s="1828" t="s">
        <v>423</v>
      </c>
      <c r="G76" s="1828" t="s">
        <v>719</v>
      </c>
      <c r="H76" s="1828" t="s">
        <v>593</v>
      </c>
      <c r="I76" s="1828" t="s">
        <v>594</v>
      </c>
      <c r="J76" s="1828" t="s">
        <v>355</v>
      </c>
      <c r="K76" s="1828" t="s">
        <v>589</v>
      </c>
      <c r="L76" s="1828" t="s">
        <v>356</v>
      </c>
      <c r="M76" s="1828" t="s">
        <v>425</v>
      </c>
      <c r="N76" s="1828" t="s">
        <v>595</v>
      </c>
      <c r="O76" s="1828" t="s">
        <v>357</v>
      </c>
      <c r="P76" s="1828" t="s">
        <v>720</v>
      </c>
      <c r="Q76" s="1828" t="s">
        <v>721</v>
      </c>
      <c r="R76" s="1828" t="s">
        <v>709</v>
      </c>
      <c r="S76" s="1828" t="s">
        <v>728</v>
      </c>
      <c r="T76" s="1828" t="s">
        <v>722</v>
      </c>
      <c r="U76" s="1492"/>
      <c r="V76" s="1492"/>
      <c r="W76" s="1492"/>
      <c r="X76" s="1492"/>
      <c r="Y76" s="1492"/>
      <c r="Z76" s="1492"/>
      <c r="AA76" s="1492"/>
      <c r="AB76" s="1492"/>
      <c r="AC76" s="1492"/>
      <c r="AD76" s="1492"/>
      <c r="AE76" s="1492"/>
    </row>
    <row r="77" spans="1:70" s="844" customFormat="1" ht="12" customHeight="1">
      <c r="A77" s="1829">
        <v>2016</v>
      </c>
      <c r="B77" s="1829">
        <v>7</v>
      </c>
      <c r="C77" s="1829">
        <v>415547</v>
      </c>
      <c r="D77" s="1830" t="s">
        <v>454</v>
      </c>
      <c r="E77" s="1831">
        <v>42553</v>
      </c>
      <c r="F77" s="1831">
        <v>42556</v>
      </c>
      <c r="G77" s="1829">
        <v>4</v>
      </c>
      <c r="H77" s="1830" t="s">
        <v>640</v>
      </c>
      <c r="I77" s="1829">
        <v>2530</v>
      </c>
      <c r="J77" s="1830" t="s">
        <v>497</v>
      </c>
      <c r="K77" s="1829">
        <v>234</v>
      </c>
      <c r="L77" s="1830" t="s">
        <v>641</v>
      </c>
      <c r="M77" s="1830" t="s">
        <v>510</v>
      </c>
      <c r="N77" s="1829">
        <v>495.49599999999998</v>
      </c>
      <c r="O77" s="1829">
        <v>153</v>
      </c>
      <c r="P77" s="1829">
        <v>8</v>
      </c>
      <c r="Q77" s="1829">
        <v>8</v>
      </c>
      <c r="R77" s="1829">
        <v>3</v>
      </c>
      <c r="S77" s="1829">
        <v>697</v>
      </c>
      <c r="T77" s="1830" t="s">
        <v>642</v>
      </c>
      <c r="U77" s="1492"/>
      <c r="V77" s="1492"/>
      <c r="W77" s="1492"/>
      <c r="X77" s="1492"/>
      <c r="Y77" s="1492"/>
      <c r="Z77" s="1492"/>
      <c r="AA77" s="1492"/>
      <c r="AB77" s="1492"/>
      <c r="AC77" s="1492"/>
      <c r="AD77" s="1492"/>
      <c r="AE77" s="1492"/>
    </row>
    <row r="78" spans="1:70" s="844" customFormat="1" ht="12" customHeight="1">
      <c r="A78" s="1829">
        <v>2016</v>
      </c>
      <c r="B78" s="1829">
        <v>7</v>
      </c>
      <c r="C78" s="1829">
        <v>415629</v>
      </c>
      <c r="D78" s="1830" t="s">
        <v>454</v>
      </c>
      <c r="E78" s="1831">
        <v>42556</v>
      </c>
      <c r="F78" s="1831">
        <v>42559</v>
      </c>
      <c r="G78" s="1829">
        <v>4</v>
      </c>
      <c r="H78" s="1830" t="s">
        <v>640</v>
      </c>
      <c r="I78" s="1829">
        <v>1977</v>
      </c>
      <c r="J78" s="1830" t="s">
        <v>499</v>
      </c>
      <c r="K78" s="1829">
        <v>234</v>
      </c>
      <c r="L78" s="1830" t="s">
        <v>641</v>
      </c>
      <c r="M78" s="1830" t="s">
        <v>510</v>
      </c>
      <c r="N78" s="1829">
        <v>289.60199999999998</v>
      </c>
      <c r="O78" s="1829">
        <v>153</v>
      </c>
      <c r="P78" s="1829">
        <v>8</v>
      </c>
      <c r="Q78" s="1829">
        <v>8</v>
      </c>
      <c r="R78" s="1829">
        <v>3</v>
      </c>
      <c r="S78" s="1829">
        <v>697</v>
      </c>
      <c r="T78" s="1830" t="s">
        <v>642</v>
      </c>
      <c r="U78" s="1492"/>
      <c r="V78" s="1492"/>
      <c r="W78" s="1492"/>
      <c r="X78" s="1492"/>
      <c r="Y78" s="1492"/>
      <c r="Z78" s="1492"/>
      <c r="AA78" s="1492"/>
      <c r="AB78" s="1492"/>
      <c r="AC78" s="1492"/>
      <c r="AD78" s="1492"/>
      <c r="AE78" s="1492"/>
    </row>
    <row r="79" spans="1:70" s="844" customFormat="1" ht="12" customHeight="1">
      <c r="A79" s="1829">
        <v>2016</v>
      </c>
      <c r="B79" s="1829">
        <v>7</v>
      </c>
      <c r="C79" s="1829">
        <v>415889</v>
      </c>
      <c r="D79" s="1830" t="s">
        <v>454</v>
      </c>
      <c r="E79" s="1831">
        <v>42559</v>
      </c>
      <c r="F79" s="1831">
        <v>42566</v>
      </c>
      <c r="G79" s="1829">
        <v>8</v>
      </c>
      <c r="H79" s="1830" t="s">
        <v>640</v>
      </c>
      <c r="I79" s="1829">
        <v>2530</v>
      </c>
      <c r="J79" s="1830" t="s">
        <v>497</v>
      </c>
      <c r="K79" s="1829">
        <v>234</v>
      </c>
      <c r="L79" s="1830" t="s">
        <v>641</v>
      </c>
      <c r="M79" s="1830" t="s">
        <v>510</v>
      </c>
      <c r="N79" s="1829">
        <v>314.90199999999999</v>
      </c>
      <c r="O79" s="1829">
        <v>150</v>
      </c>
      <c r="P79" s="1829">
        <v>5</v>
      </c>
      <c r="Q79" s="1829">
        <v>8</v>
      </c>
      <c r="R79" s="1829">
        <v>3</v>
      </c>
      <c r="S79" s="1829">
        <v>697</v>
      </c>
      <c r="T79" s="1830" t="s">
        <v>642</v>
      </c>
      <c r="U79" s="1492"/>
      <c r="V79" s="1492"/>
      <c r="W79" s="1492"/>
      <c r="X79" s="1492"/>
      <c r="Y79" s="1492"/>
      <c r="Z79" s="1492"/>
      <c r="AA79" s="1492"/>
      <c r="AB79" s="1492"/>
      <c r="AC79" s="1492"/>
      <c r="AD79" s="1492"/>
      <c r="AE79" s="1492"/>
    </row>
    <row r="80" spans="1:70" s="844" customFormat="1" ht="12" customHeight="1">
      <c r="A80" s="1829">
        <v>2016</v>
      </c>
      <c r="B80" s="1829">
        <v>10</v>
      </c>
      <c r="C80" s="1829">
        <v>417376</v>
      </c>
      <c r="D80" s="1830" t="s">
        <v>454</v>
      </c>
      <c r="E80" s="1831">
        <v>42649</v>
      </c>
      <c r="F80" s="1831">
        <v>42655</v>
      </c>
      <c r="G80" s="1829">
        <v>7</v>
      </c>
      <c r="H80" s="1830" t="s">
        <v>640</v>
      </c>
      <c r="I80" s="1829">
        <v>2530</v>
      </c>
      <c r="J80" s="1830" t="s">
        <v>497</v>
      </c>
      <c r="K80" s="1829">
        <v>234</v>
      </c>
      <c r="L80" s="1830" t="s">
        <v>641</v>
      </c>
      <c r="M80" s="1830" t="s">
        <v>510</v>
      </c>
      <c r="N80" s="1829">
        <v>195.75</v>
      </c>
      <c r="O80" s="1829">
        <v>115</v>
      </c>
      <c r="P80" s="1829">
        <v>9</v>
      </c>
      <c r="Q80" s="1829">
        <v>8</v>
      </c>
      <c r="R80" s="1829">
        <v>3</v>
      </c>
      <c r="S80" s="1829">
        <v>746</v>
      </c>
      <c r="T80" s="1830" t="s">
        <v>643</v>
      </c>
      <c r="U80" s="1492"/>
      <c r="V80" s="1492"/>
      <c r="W80" s="1492"/>
      <c r="X80" s="1492"/>
      <c r="Y80" s="1492"/>
      <c r="Z80" s="1492"/>
      <c r="AA80" s="1492"/>
      <c r="AB80" s="1492"/>
      <c r="AC80" s="1492"/>
      <c r="AD80" s="1492"/>
      <c r="AE80" s="1492"/>
    </row>
    <row r="81" spans="1:31" s="844" customFormat="1" ht="12" customHeight="1">
      <c r="A81" s="1829">
        <v>2016</v>
      </c>
      <c r="B81" s="1829">
        <v>10</v>
      </c>
      <c r="C81" s="1829">
        <v>417383</v>
      </c>
      <c r="D81" s="1830" t="s">
        <v>454</v>
      </c>
      <c r="E81" s="1831">
        <v>42649</v>
      </c>
      <c r="F81" s="1831">
        <v>42656</v>
      </c>
      <c r="G81" s="1829">
        <v>8</v>
      </c>
      <c r="H81" s="1830" t="s">
        <v>640</v>
      </c>
      <c r="I81" s="1829">
        <v>2530</v>
      </c>
      <c r="J81" s="1830" t="s">
        <v>497</v>
      </c>
      <c r="K81" s="1829">
        <v>234</v>
      </c>
      <c r="L81" s="1830" t="s">
        <v>641</v>
      </c>
      <c r="M81" s="1830" t="s">
        <v>510</v>
      </c>
      <c r="N81" s="1829">
        <v>297.52999999999997</v>
      </c>
      <c r="O81" s="1829">
        <v>115</v>
      </c>
      <c r="P81" s="1829">
        <v>9</v>
      </c>
      <c r="Q81" s="1829">
        <v>8</v>
      </c>
      <c r="R81" s="1829">
        <v>3</v>
      </c>
      <c r="S81" s="1829">
        <v>746</v>
      </c>
      <c r="T81" s="1830" t="s">
        <v>643</v>
      </c>
      <c r="U81" s="1492"/>
      <c r="V81" s="1492"/>
      <c r="W81" s="1492"/>
      <c r="X81" s="1492"/>
      <c r="Y81" s="1492"/>
      <c r="Z81" s="1492"/>
      <c r="AA81" s="1492"/>
      <c r="AB81" s="1492"/>
      <c r="AC81" s="1492"/>
      <c r="AD81" s="1492"/>
      <c r="AE81" s="1492"/>
    </row>
    <row r="82" spans="1:31" s="844" customFormat="1" ht="12" customHeight="1">
      <c r="A82" s="1829">
        <v>2016</v>
      </c>
      <c r="B82" s="1829">
        <v>10</v>
      </c>
      <c r="C82" s="1829">
        <v>417413</v>
      </c>
      <c r="D82" s="1830" t="s">
        <v>454</v>
      </c>
      <c r="E82" s="1831">
        <v>42658</v>
      </c>
      <c r="F82" s="1831">
        <v>42661</v>
      </c>
      <c r="G82" s="1829">
        <v>4</v>
      </c>
      <c r="H82" s="1830" t="s">
        <v>640</v>
      </c>
      <c r="I82" s="1829">
        <v>2530</v>
      </c>
      <c r="J82" s="1830" t="s">
        <v>497</v>
      </c>
      <c r="K82" s="1829">
        <v>234</v>
      </c>
      <c r="L82" s="1830" t="s">
        <v>641</v>
      </c>
      <c r="M82" s="1830" t="s">
        <v>510</v>
      </c>
      <c r="N82" s="1829">
        <v>390.68</v>
      </c>
      <c r="O82" s="1829">
        <v>114</v>
      </c>
      <c r="P82" s="1829">
        <v>8</v>
      </c>
      <c r="Q82" s="1829">
        <v>8</v>
      </c>
      <c r="R82" s="1829">
        <v>3</v>
      </c>
      <c r="S82" s="1829">
        <v>746</v>
      </c>
      <c r="T82" s="1830" t="s">
        <v>643</v>
      </c>
      <c r="U82" s="1492"/>
      <c r="V82" s="1492"/>
      <c r="W82" s="1492"/>
      <c r="X82" s="1492"/>
      <c r="Y82" s="1492"/>
      <c r="Z82" s="1492"/>
      <c r="AA82" s="1492"/>
      <c r="AB82" s="1492"/>
      <c r="AC82" s="1492"/>
      <c r="AD82" s="1492"/>
      <c r="AE82" s="1492"/>
    </row>
    <row r="83" spans="1:31" s="844" customFormat="1" ht="12" customHeight="1">
      <c r="A83" s="1829">
        <v>2016</v>
      </c>
      <c r="B83" s="1829">
        <v>10</v>
      </c>
      <c r="C83" s="1829">
        <v>417423</v>
      </c>
      <c r="D83" s="1830" t="s">
        <v>454</v>
      </c>
      <c r="E83" s="1831">
        <v>42660</v>
      </c>
      <c r="F83" s="1831">
        <v>42662</v>
      </c>
      <c r="G83" s="1829">
        <v>3</v>
      </c>
      <c r="H83" s="1830" t="s">
        <v>640</v>
      </c>
      <c r="I83" s="1829">
        <v>1954</v>
      </c>
      <c r="J83" s="1830" t="s">
        <v>500</v>
      </c>
      <c r="K83" s="1829">
        <v>234</v>
      </c>
      <c r="L83" s="1830" t="s">
        <v>641</v>
      </c>
      <c r="M83" s="1830" t="s">
        <v>510</v>
      </c>
      <c r="N83" s="1829">
        <v>492.95</v>
      </c>
      <c r="O83" s="1829">
        <v>114</v>
      </c>
      <c r="P83" s="1829">
        <v>8</v>
      </c>
      <c r="Q83" s="1829">
        <v>8</v>
      </c>
      <c r="R83" s="1829">
        <v>3</v>
      </c>
      <c r="S83" s="1829">
        <v>746</v>
      </c>
      <c r="T83" s="1830" t="s">
        <v>643</v>
      </c>
      <c r="U83" s="1492"/>
      <c r="V83" s="1492"/>
      <c r="W83" s="1492"/>
      <c r="X83" s="1492"/>
      <c r="Y83" s="1492"/>
      <c r="Z83" s="1492"/>
      <c r="AA83" s="1492"/>
      <c r="AB83" s="1492"/>
      <c r="AC83" s="1492"/>
      <c r="AD83" s="1492"/>
      <c r="AE83" s="1492"/>
    </row>
    <row r="84" spans="1:31" s="844" customFormat="1" ht="12" customHeight="1">
      <c r="A84" s="1829">
        <v>2016</v>
      </c>
      <c r="B84" s="1829">
        <v>10</v>
      </c>
      <c r="C84" s="1829">
        <v>417429</v>
      </c>
      <c r="D84" s="1830" t="s">
        <v>454</v>
      </c>
      <c r="E84" s="1831">
        <v>42660</v>
      </c>
      <c r="F84" s="1831">
        <v>42663</v>
      </c>
      <c r="G84" s="1829">
        <v>4</v>
      </c>
      <c r="H84" s="1830" t="s">
        <v>640</v>
      </c>
      <c r="I84" s="1829">
        <v>1954</v>
      </c>
      <c r="J84" s="1830" t="s">
        <v>500</v>
      </c>
      <c r="K84" s="1829">
        <v>234</v>
      </c>
      <c r="L84" s="1830" t="s">
        <v>641</v>
      </c>
      <c r="M84" s="1830" t="s">
        <v>510</v>
      </c>
      <c r="N84" s="1829">
        <v>85.1</v>
      </c>
      <c r="O84" s="1829">
        <v>114</v>
      </c>
      <c r="P84" s="1829">
        <v>8</v>
      </c>
      <c r="Q84" s="1829">
        <v>8</v>
      </c>
      <c r="R84" s="1829">
        <v>3</v>
      </c>
      <c r="S84" s="1829">
        <v>746</v>
      </c>
      <c r="T84" s="1830" t="s">
        <v>643</v>
      </c>
      <c r="U84" s="1492"/>
      <c r="V84" s="1492"/>
      <c r="W84" s="1492"/>
      <c r="X84" s="1492"/>
      <c r="Y84" s="1492"/>
      <c r="Z84" s="1492"/>
      <c r="AA84" s="1492"/>
      <c r="AB84" s="1492"/>
      <c r="AC84" s="1492"/>
      <c r="AD84" s="1492"/>
      <c r="AE84" s="1492"/>
    </row>
    <row r="85" spans="1:31" s="844" customFormat="1" ht="12" customHeight="1">
      <c r="A85" s="1829">
        <v>2016</v>
      </c>
      <c r="B85" s="1829">
        <v>10</v>
      </c>
      <c r="C85" s="1829">
        <v>417587</v>
      </c>
      <c r="D85" s="1830" t="s">
        <v>454</v>
      </c>
      <c r="E85" s="1831">
        <v>42664</v>
      </c>
      <c r="F85" s="1831">
        <v>42668</v>
      </c>
      <c r="G85" s="1829">
        <v>5</v>
      </c>
      <c r="H85" s="1830" t="s">
        <v>640</v>
      </c>
      <c r="I85" s="1829">
        <v>1954</v>
      </c>
      <c r="J85" s="1830" t="s">
        <v>500</v>
      </c>
      <c r="K85" s="1829">
        <v>234</v>
      </c>
      <c r="L85" s="1830" t="s">
        <v>641</v>
      </c>
      <c r="M85" s="1830" t="s">
        <v>510</v>
      </c>
      <c r="N85" s="1829">
        <v>137.16</v>
      </c>
      <c r="O85" s="1829">
        <v>114</v>
      </c>
      <c r="P85" s="1829">
        <v>8</v>
      </c>
      <c r="Q85" s="1829">
        <v>8</v>
      </c>
      <c r="R85" s="1829">
        <v>3</v>
      </c>
      <c r="S85" s="1829">
        <v>746</v>
      </c>
      <c r="T85" s="1830" t="s">
        <v>643</v>
      </c>
      <c r="U85" s="1492"/>
      <c r="V85" s="1492"/>
      <c r="W85" s="1492"/>
      <c r="X85" s="1492"/>
      <c r="Y85" s="1492"/>
      <c r="Z85" s="1492"/>
      <c r="AA85" s="1492"/>
      <c r="AB85" s="1492"/>
      <c r="AC85" s="1492"/>
      <c r="AD85" s="1492"/>
      <c r="AE85" s="1492"/>
    </row>
    <row r="86" spans="1:31" s="844" customFormat="1" ht="12" customHeight="1">
      <c r="A86" s="1829">
        <v>2016</v>
      </c>
      <c r="B86" s="1829">
        <v>10</v>
      </c>
      <c r="C86" s="1829">
        <v>417591</v>
      </c>
      <c r="D86" s="1830" t="s">
        <v>454</v>
      </c>
      <c r="E86" s="1831">
        <v>42661</v>
      </c>
      <c r="F86" s="1831">
        <v>42668</v>
      </c>
      <c r="G86" s="1829">
        <v>8</v>
      </c>
      <c r="H86" s="1830" t="s">
        <v>640</v>
      </c>
      <c r="I86" s="1829">
        <v>2530</v>
      </c>
      <c r="J86" s="1830" t="s">
        <v>497</v>
      </c>
      <c r="K86" s="1829">
        <v>234</v>
      </c>
      <c r="L86" s="1830" t="s">
        <v>641</v>
      </c>
      <c r="M86" s="1830" t="s">
        <v>510</v>
      </c>
      <c r="N86" s="1829">
        <v>133.28</v>
      </c>
      <c r="O86" s="1829">
        <v>114</v>
      </c>
      <c r="P86" s="1829">
        <v>8</v>
      </c>
      <c r="Q86" s="1829">
        <v>8</v>
      </c>
      <c r="R86" s="1829">
        <v>3</v>
      </c>
      <c r="S86" s="1829">
        <v>746</v>
      </c>
      <c r="T86" s="1830" t="s">
        <v>643</v>
      </c>
      <c r="U86" s="1492"/>
      <c r="V86" s="1492"/>
      <c r="W86" s="1492"/>
      <c r="X86" s="1492"/>
      <c r="Y86" s="1492"/>
      <c r="Z86" s="1492"/>
      <c r="AA86" s="1492"/>
      <c r="AB86" s="1492"/>
      <c r="AC86" s="1492"/>
      <c r="AD86" s="1492"/>
      <c r="AE86" s="1492"/>
    </row>
    <row r="87" spans="1:31" s="844" customFormat="1" ht="12" customHeight="1">
      <c r="A87" s="1829">
        <v>2016</v>
      </c>
      <c r="B87" s="1829">
        <v>11</v>
      </c>
      <c r="C87" s="1829">
        <v>417891</v>
      </c>
      <c r="D87" s="1830" t="s">
        <v>454</v>
      </c>
      <c r="E87" s="1831">
        <v>42676</v>
      </c>
      <c r="F87" s="1831">
        <v>42679</v>
      </c>
      <c r="G87" s="1829">
        <v>4</v>
      </c>
      <c r="H87" s="1830" t="s">
        <v>640</v>
      </c>
      <c r="I87" s="1829">
        <v>1954</v>
      </c>
      <c r="J87" s="1830" t="s">
        <v>500</v>
      </c>
      <c r="K87" s="1829">
        <v>234</v>
      </c>
      <c r="L87" s="1830" t="s">
        <v>641</v>
      </c>
      <c r="M87" s="1830" t="s">
        <v>510</v>
      </c>
      <c r="N87" s="1829">
        <v>348.3</v>
      </c>
      <c r="O87" s="1829">
        <v>114</v>
      </c>
      <c r="P87" s="1829">
        <v>8</v>
      </c>
      <c r="Q87" s="1829">
        <v>8</v>
      </c>
      <c r="R87" s="1829">
        <v>3</v>
      </c>
      <c r="S87" s="1829">
        <v>746</v>
      </c>
      <c r="T87" s="1830" t="s">
        <v>643</v>
      </c>
      <c r="U87" s="1492"/>
      <c r="V87" s="1492"/>
      <c r="W87" s="1492"/>
      <c r="X87" s="1492"/>
      <c r="Y87" s="1492"/>
      <c r="Z87" s="1492"/>
      <c r="AA87" s="1492"/>
      <c r="AB87" s="1492"/>
      <c r="AC87" s="1492"/>
      <c r="AD87" s="1492"/>
      <c r="AE87" s="1492"/>
    </row>
    <row r="88" spans="1:31" s="844" customFormat="1" ht="12" customHeight="1">
      <c r="A88" s="1829">
        <v>2016</v>
      </c>
      <c r="B88" s="1829">
        <v>11</v>
      </c>
      <c r="C88" s="1829">
        <v>417897</v>
      </c>
      <c r="D88" s="1830" t="s">
        <v>454</v>
      </c>
      <c r="E88" s="1831">
        <v>42677</v>
      </c>
      <c r="F88" s="1831">
        <v>42679</v>
      </c>
      <c r="G88" s="1829">
        <v>3</v>
      </c>
      <c r="H88" s="1830" t="s">
        <v>640</v>
      </c>
      <c r="I88" s="1829">
        <v>2530</v>
      </c>
      <c r="J88" s="1830" t="s">
        <v>497</v>
      </c>
      <c r="K88" s="1829">
        <v>234</v>
      </c>
      <c r="L88" s="1830" t="s">
        <v>641</v>
      </c>
      <c r="M88" s="1830" t="s">
        <v>510</v>
      </c>
      <c r="N88" s="1829">
        <v>221.5</v>
      </c>
      <c r="O88" s="1829">
        <v>114</v>
      </c>
      <c r="P88" s="1829">
        <v>8</v>
      </c>
      <c r="Q88" s="1829">
        <v>8</v>
      </c>
      <c r="R88" s="1829">
        <v>3</v>
      </c>
      <c r="S88" s="1829">
        <v>746</v>
      </c>
      <c r="T88" s="1830" t="s">
        <v>643</v>
      </c>
      <c r="U88" s="1492"/>
      <c r="V88" s="1492"/>
      <c r="W88" s="1492"/>
      <c r="X88" s="1492"/>
      <c r="Y88" s="1492"/>
      <c r="Z88" s="1492"/>
      <c r="AA88" s="1492"/>
      <c r="AB88" s="1492"/>
      <c r="AC88" s="1492"/>
      <c r="AD88" s="1492"/>
      <c r="AE88" s="1492"/>
    </row>
    <row r="89" spans="1:31" s="844" customFormat="1" ht="12" customHeight="1">
      <c r="A89" s="1829">
        <v>2016</v>
      </c>
      <c r="B89" s="1829">
        <v>11</v>
      </c>
      <c r="C89" s="1829">
        <v>417904</v>
      </c>
      <c r="D89" s="1830" t="s">
        <v>644</v>
      </c>
      <c r="E89" s="1831">
        <v>42676</v>
      </c>
      <c r="F89" s="1831">
        <v>42680</v>
      </c>
      <c r="G89" s="1829">
        <v>5</v>
      </c>
      <c r="H89" s="1830" t="s">
        <v>645</v>
      </c>
      <c r="I89" s="1829">
        <v>1962</v>
      </c>
      <c r="J89" s="1830" t="s">
        <v>455</v>
      </c>
      <c r="K89" s="1829">
        <v>234</v>
      </c>
      <c r="L89" s="1830" t="s">
        <v>641</v>
      </c>
      <c r="M89" s="1830" t="s">
        <v>510</v>
      </c>
      <c r="N89" s="1829">
        <v>643.78499999999997</v>
      </c>
      <c r="O89" s="1829">
        <v>114</v>
      </c>
      <c r="P89" s="1829">
        <v>8</v>
      </c>
      <c r="Q89" s="1829">
        <v>8</v>
      </c>
      <c r="R89" s="1829">
        <v>3</v>
      </c>
      <c r="S89" s="1829">
        <v>758</v>
      </c>
      <c r="T89" s="1830" t="s">
        <v>646</v>
      </c>
      <c r="U89" s="1492"/>
      <c r="V89" s="1492"/>
      <c r="W89" s="1492"/>
      <c r="X89" s="1492"/>
      <c r="Y89" s="1492"/>
      <c r="Z89" s="1492"/>
      <c r="AA89" s="1492"/>
      <c r="AB89" s="1492"/>
      <c r="AC89" s="1492"/>
      <c r="AD89" s="1492"/>
      <c r="AE89" s="1492"/>
    </row>
    <row r="90" spans="1:31" s="844" customFormat="1" ht="12" customHeight="1">
      <c r="A90" s="1829">
        <v>2016</v>
      </c>
      <c r="B90" s="1829">
        <v>11</v>
      </c>
      <c r="C90" s="1829">
        <v>418053</v>
      </c>
      <c r="D90" s="1830" t="s">
        <v>454</v>
      </c>
      <c r="E90" s="1831">
        <v>42686</v>
      </c>
      <c r="F90" s="1831">
        <v>42690</v>
      </c>
      <c r="G90" s="1829">
        <v>5</v>
      </c>
      <c r="H90" s="1830" t="s">
        <v>640</v>
      </c>
      <c r="I90" s="1829">
        <v>1954</v>
      </c>
      <c r="J90" s="1830" t="s">
        <v>500</v>
      </c>
      <c r="K90" s="1829">
        <v>234</v>
      </c>
      <c r="L90" s="1830" t="s">
        <v>641</v>
      </c>
      <c r="M90" s="1830" t="s">
        <v>510</v>
      </c>
      <c r="N90" s="1829">
        <v>582.04399999999998</v>
      </c>
      <c r="O90" s="1829">
        <v>115</v>
      </c>
      <c r="P90" s="1829">
        <v>9</v>
      </c>
      <c r="Q90" s="1829">
        <v>8</v>
      </c>
      <c r="R90" s="1829">
        <v>3</v>
      </c>
      <c r="S90" s="1829">
        <v>746</v>
      </c>
      <c r="T90" s="1830" t="s">
        <v>643</v>
      </c>
      <c r="U90" s="1492"/>
      <c r="V90" s="1492"/>
      <c r="W90" s="1492"/>
      <c r="X90" s="1492"/>
      <c r="Y90" s="1492"/>
      <c r="Z90" s="1492"/>
      <c r="AA90" s="1492"/>
      <c r="AB90" s="1492"/>
      <c r="AC90" s="1492"/>
      <c r="AD90" s="1492"/>
      <c r="AE90" s="1492"/>
    </row>
    <row r="91" spans="1:31" s="844" customFormat="1" ht="12" customHeight="1">
      <c r="A91" s="1829">
        <v>2016</v>
      </c>
      <c r="B91" s="1829">
        <v>11</v>
      </c>
      <c r="C91" s="1829">
        <v>418140</v>
      </c>
      <c r="D91" s="1830" t="s">
        <v>667</v>
      </c>
      <c r="E91" s="1831">
        <v>42690</v>
      </c>
      <c r="F91" s="1831">
        <v>42699</v>
      </c>
      <c r="G91" s="1829">
        <v>10</v>
      </c>
      <c r="H91" s="1830" t="s">
        <v>668</v>
      </c>
      <c r="I91" s="1829">
        <v>2520</v>
      </c>
      <c r="J91" s="1830" t="s">
        <v>452</v>
      </c>
      <c r="K91" s="1829">
        <v>234</v>
      </c>
      <c r="L91" s="1830" t="s">
        <v>641</v>
      </c>
      <c r="M91" s="1830" t="s">
        <v>510</v>
      </c>
      <c r="N91" s="1829">
        <v>191.982</v>
      </c>
      <c r="O91" s="1829">
        <v>115</v>
      </c>
      <c r="P91" s="1829">
        <v>9</v>
      </c>
      <c r="Q91" s="1829">
        <v>8</v>
      </c>
      <c r="R91" s="1829">
        <v>3</v>
      </c>
      <c r="S91" s="1829">
        <v>767</v>
      </c>
      <c r="T91" s="1830" t="s">
        <v>669</v>
      </c>
      <c r="U91" s="1492"/>
      <c r="V91" s="1492"/>
      <c r="W91" s="1492"/>
      <c r="X91" s="1492"/>
      <c r="Y91" s="1492"/>
      <c r="Z91" s="1492"/>
      <c r="AA91" s="1492"/>
      <c r="AB91" s="1492"/>
      <c r="AC91" s="1492"/>
      <c r="AD91" s="1492"/>
      <c r="AE91" s="1492"/>
    </row>
    <row r="92" spans="1:31" s="844" customFormat="1" ht="12" customHeight="1">
      <c r="A92" s="1829">
        <v>2016</v>
      </c>
      <c r="B92" s="1829">
        <v>11</v>
      </c>
      <c r="C92" s="1829">
        <v>418177</v>
      </c>
      <c r="D92" s="1830" t="s">
        <v>644</v>
      </c>
      <c r="E92" s="1831">
        <v>42690</v>
      </c>
      <c r="F92" s="1831">
        <v>42702</v>
      </c>
      <c r="G92" s="1829">
        <v>13</v>
      </c>
      <c r="H92" s="1830" t="s">
        <v>645</v>
      </c>
      <c r="I92" s="1829">
        <v>1962</v>
      </c>
      <c r="J92" s="1830" t="s">
        <v>455</v>
      </c>
      <c r="K92" s="1829">
        <v>234</v>
      </c>
      <c r="L92" s="1830" t="s">
        <v>641</v>
      </c>
      <c r="M92" s="1830" t="s">
        <v>510</v>
      </c>
      <c r="N92" s="1829">
        <v>241.21600000000001</v>
      </c>
      <c r="O92" s="1829">
        <v>115</v>
      </c>
      <c r="P92" s="1829">
        <v>9</v>
      </c>
      <c r="Q92" s="1829">
        <v>8</v>
      </c>
      <c r="R92" s="1829">
        <v>3</v>
      </c>
      <c r="S92" s="1829">
        <v>758</v>
      </c>
      <c r="T92" s="1830" t="s">
        <v>646</v>
      </c>
      <c r="U92" s="1492"/>
      <c r="V92" s="1492"/>
      <c r="W92" s="1492"/>
      <c r="X92" s="1492"/>
      <c r="Y92" s="1492"/>
      <c r="Z92" s="1492"/>
      <c r="AA92" s="1492"/>
      <c r="AB92" s="1492"/>
      <c r="AC92" s="1492"/>
      <c r="AD92" s="1492"/>
      <c r="AE92" s="1492"/>
    </row>
    <row r="93" spans="1:31" s="844" customFormat="1" ht="12" customHeight="1">
      <c r="A93" s="1829">
        <v>2016</v>
      </c>
      <c r="B93" s="1829">
        <v>12</v>
      </c>
      <c r="C93" s="1829">
        <v>418247</v>
      </c>
      <c r="D93" s="1830" t="s">
        <v>667</v>
      </c>
      <c r="E93" s="1831">
        <v>42700</v>
      </c>
      <c r="F93" s="1831">
        <v>42708</v>
      </c>
      <c r="G93" s="1829">
        <v>9</v>
      </c>
      <c r="H93" s="1830" t="s">
        <v>668</v>
      </c>
      <c r="I93" s="1829">
        <v>2520</v>
      </c>
      <c r="J93" s="1830" t="s">
        <v>452</v>
      </c>
      <c r="K93" s="1829">
        <v>234</v>
      </c>
      <c r="L93" s="1830" t="s">
        <v>641</v>
      </c>
      <c r="M93" s="1830" t="s">
        <v>510</v>
      </c>
      <c r="N93" s="1829">
        <v>364.904</v>
      </c>
      <c r="O93" s="1829">
        <v>115</v>
      </c>
      <c r="P93" s="1829">
        <v>9</v>
      </c>
      <c r="Q93" s="1829">
        <v>8</v>
      </c>
      <c r="R93" s="1829">
        <v>3</v>
      </c>
      <c r="S93" s="1829">
        <v>767</v>
      </c>
      <c r="T93" s="1830" t="s">
        <v>669</v>
      </c>
      <c r="U93" s="1492"/>
      <c r="V93" s="1492"/>
      <c r="W93" s="1492"/>
      <c r="X93" s="1492"/>
      <c r="Y93" s="1492"/>
      <c r="Z93" s="1492"/>
      <c r="AA93" s="1492"/>
      <c r="AB93" s="1492"/>
      <c r="AC93" s="1492"/>
      <c r="AD93" s="1492"/>
      <c r="AE93" s="1492"/>
    </row>
    <row r="94" spans="1:31" s="844" customFormat="1" ht="12" customHeight="1">
      <c r="A94" s="1829">
        <v>2016</v>
      </c>
      <c r="B94" s="1829">
        <v>12</v>
      </c>
      <c r="C94" s="1829">
        <v>418264</v>
      </c>
      <c r="D94" s="1830" t="s">
        <v>454</v>
      </c>
      <c r="E94" s="1831">
        <v>42706</v>
      </c>
      <c r="F94" s="1831">
        <v>42710</v>
      </c>
      <c r="G94" s="1829">
        <v>5</v>
      </c>
      <c r="H94" s="1830" t="s">
        <v>640</v>
      </c>
      <c r="I94" s="1829">
        <v>1942</v>
      </c>
      <c r="J94" s="1830" t="s">
        <v>671</v>
      </c>
      <c r="K94" s="1829">
        <v>234</v>
      </c>
      <c r="L94" s="1830" t="s">
        <v>641</v>
      </c>
      <c r="M94" s="1830" t="s">
        <v>510</v>
      </c>
      <c r="N94" s="1829">
        <v>235.11500000000001</v>
      </c>
      <c r="O94" s="1829">
        <v>115</v>
      </c>
      <c r="P94" s="1829">
        <v>9</v>
      </c>
      <c r="Q94" s="1829">
        <v>8</v>
      </c>
      <c r="R94" s="1829">
        <v>3</v>
      </c>
      <c r="S94" s="1829">
        <v>746</v>
      </c>
      <c r="T94" s="1830" t="s">
        <v>643</v>
      </c>
      <c r="U94" s="1492"/>
      <c r="V94" s="1492"/>
      <c r="W94" s="1492"/>
      <c r="X94" s="1492"/>
      <c r="Y94" s="1492"/>
      <c r="Z94" s="1492"/>
      <c r="AA94" s="1492"/>
      <c r="AB94" s="1492"/>
      <c r="AC94" s="1492"/>
      <c r="AD94" s="1492"/>
      <c r="AE94" s="1492"/>
    </row>
    <row r="95" spans="1:31" s="844" customFormat="1" ht="12" customHeight="1">
      <c r="A95" s="1829">
        <v>2016</v>
      </c>
      <c r="B95" s="1829">
        <v>12</v>
      </c>
      <c r="C95" s="1829">
        <v>418267</v>
      </c>
      <c r="D95" s="1830" t="s">
        <v>454</v>
      </c>
      <c r="E95" s="1831">
        <v>42706</v>
      </c>
      <c r="F95" s="1831">
        <v>42710</v>
      </c>
      <c r="G95" s="1829">
        <v>5</v>
      </c>
      <c r="H95" s="1830" t="s">
        <v>640</v>
      </c>
      <c r="I95" s="1829">
        <v>1975</v>
      </c>
      <c r="J95" s="1830" t="s">
        <v>498</v>
      </c>
      <c r="K95" s="1829">
        <v>234</v>
      </c>
      <c r="L95" s="1830" t="s">
        <v>641</v>
      </c>
      <c r="M95" s="1830" t="s">
        <v>510</v>
      </c>
      <c r="N95" s="1829">
        <v>102.83</v>
      </c>
      <c r="O95" s="1829">
        <v>115</v>
      </c>
      <c r="P95" s="1829">
        <v>9</v>
      </c>
      <c r="Q95" s="1829">
        <v>8</v>
      </c>
      <c r="R95" s="1829">
        <v>3</v>
      </c>
      <c r="S95" s="1829">
        <v>773</v>
      </c>
      <c r="T95" s="1830" t="s">
        <v>672</v>
      </c>
      <c r="U95" s="1492"/>
      <c r="V95" s="1492"/>
      <c r="W95" s="1492"/>
      <c r="X95" s="1492"/>
      <c r="Y95" s="1492"/>
      <c r="Z95" s="1492"/>
      <c r="AA95" s="1492"/>
      <c r="AB95" s="1492"/>
      <c r="AC95" s="1492"/>
      <c r="AD95" s="1492"/>
      <c r="AE95" s="1492"/>
    </row>
    <row r="96" spans="1:31" s="844" customFormat="1" ht="12" customHeight="1">
      <c r="A96" s="1829">
        <v>2016</v>
      </c>
      <c r="B96" s="1829">
        <v>12</v>
      </c>
      <c r="C96" s="1829">
        <v>418268</v>
      </c>
      <c r="D96" s="1830" t="s">
        <v>454</v>
      </c>
      <c r="E96" s="1831">
        <v>42706</v>
      </c>
      <c r="F96" s="1831">
        <v>42710</v>
      </c>
      <c r="G96" s="1829">
        <v>5</v>
      </c>
      <c r="H96" s="1830" t="s">
        <v>640</v>
      </c>
      <c r="I96" s="1829">
        <v>1975</v>
      </c>
      <c r="J96" s="1830" t="s">
        <v>498</v>
      </c>
      <c r="K96" s="1829">
        <v>234</v>
      </c>
      <c r="L96" s="1830" t="s">
        <v>641</v>
      </c>
      <c r="M96" s="1830" t="s">
        <v>510</v>
      </c>
      <c r="N96" s="1829">
        <v>77.454999999999998</v>
      </c>
      <c r="O96" s="1829">
        <v>115</v>
      </c>
      <c r="P96" s="1829">
        <v>9</v>
      </c>
      <c r="Q96" s="1829">
        <v>8</v>
      </c>
      <c r="R96" s="1829">
        <v>3</v>
      </c>
      <c r="S96" s="1829">
        <v>773</v>
      </c>
      <c r="T96" s="1830" t="s">
        <v>672</v>
      </c>
      <c r="U96" s="1492"/>
      <c r="V96" s="1492"/>
      <c r="W96" s="1492"/>
      <c r="X96" s="1492"/>
      <c r="Y96" s="1492"/>
      <c r="Z96" s="1492"/>
      <c r="AA96" s="1492"/>
      <c r="AB96" s="1492"/>
      <c r="AC96" s="1492"/>
      <c r="AD96" s="1492"/>
      <c r="AE96" s="1492"/>
    </row>
    <row r="97" spans="1:31" s="844" customFormat="1" ht="12" customHeight="1">
      <c r="A97" s="1829">
        <v>2016</v>
      </c>
      <c r="B97" s="1829">
        <v>12</v>
      </c>
      <c r="C97" s="1829">
        <v>418273</v>
      </c>
      <c r="D97" s="1830" t="s">
        <v>454</v>
      </c>
      <c r="E97" s="1831">
        <v>42707</v>
      </c>
      <c r="F97" s="1831">
        <v>42711</v>
      </c>
      <c r="G97" s="1829">
        <v>5</v>
      </c>
      <c r="H97" s="1830" t="s">
        <v>640</v>
      </c>
      <c r="I97" s="1829">
        <v>2530</v>
      </c>
      <c r="J97" s="1830" t="s">
        <v>497</v>
      </c>
      <c r="K97" s="1829">
        <v>234</v>
      </c>
      <c r="L97" s="1830" t="s">
        <v>641</v>
      </c>
      <c r="M97" s="1830" t="s">
        <v>510</v>
      </c>
      <c r="N97" s="1829">
        <v>58.77</v>
      </c>
      <c r="O97" s="1829">
        <v>114</v>
      </c>
      <c r="P97" s="1829">
        <v>8</v>
      </c>
      <c r="Q97" s="1829">
        <v>8</v>
      </c>
      <c r="R97" s="1829">
        <v>3</v>
      </c>
      <c r="S97" s="1829">
        <v>773</v>
      </c>
      <c r="T97" s="1830" t="s">
        <v>672</v>
      </c>
      <c r="U97" s="1492"/>
      <c r="V97" s="1492"/>
      <c r="W97" s="1492"/>
      <c r="X97" s="1492"/>
      <c r="Y97" s="1492"/>
      <c r="Z97" s="1492"/>
      <c r="AA97" s="1492"/>
      <c r="AB97" s="1492"/>
      <c r="AC97" s="1492"/>
      <c r="AD97" s="1492"/>
      <c r="AE97" s="1492"/>
    </row>
    <row r="98" spans="1:31" s="844" customFormat="1" ht="12" customHeight="1">
      <c r="A98" s="1829">
        <v>2016</v>
      </c>
      <c r="B98" s="1829">
        <v>12</v>
      </c>
      <c r="C98" s="1829">
        <v>418275</v>
      </c>
      <c r="D98" s="1830" t="s">
        <v>667</v>
      </c>
      <c r="E98" s="1831">
        <v>42709</v>
      </c>
      <c r="F98" s="1831">
        <v>42711</v>
      </c>
      <c r="G98" s="1829">
        <v>3</v>
      </c>
      <c r="H98" s="1830" t="s">
        <v>668</v>
      </c>
      <c r="I98" s="1829">
        <v>2520</v>
      </c>
      <c r="J98" s="1830" t="s">
        <v>452</v>
      </c>
      <c r="K98" s="1829">
        <v>234</v>
      </c>
      <c r="L98" s="1830" t="s">
        <v>641</v>
      </c>
      <c r="M98" s="1830" t="s">
        <v>510</v>
      </c>
      <c r="N98" s="1829">
        <v>329.45699999999999</v>
      </c>
      <c r="O98" s="1829">
        <v>115</v>
      </c>
      <c r="P98" s="1829">
        <v>9</v>
      </c>
      <c r="Q98" s="1829">
        <v>8</v>
      </c>
      <c r="R98" s="1829">
        <v>3</v>
      </c>
      <c r="S98" s="1829">
        <v>767</v>
      </c>
      <c r="T98" s="1830" t="s">
        <v>669</v>
      </c>
      <c r="U98" s="1492"/>
      <c r="V98" s="1492"/>
      <c r="W98" s="1492"/>
      <c r="X98" s="1492"/>
      <c r="Y98" s="1492"/>
      <c r="Z98" s="1492"/>
      <c r="AA98" s="1492"/>
      <c r="AB98" s="1492"/>
      <c r="AC98" s="1492"/>
      <c r="AD98" s="1492"/>
      <c r="AE98" s="1492"/>
    </row>
    <row r="99" spans="1:31" s="844" customFormat="1" ht="12" customHeight="1">
      <c r="A99" s="1829">
        <v>2016</v>
      </c>
      <c r="B99" s="1829">
        <v>12</v>
      </c>
      <c r="C99" s="1829">
        <v>418294</v>
      </c>
      <c r="D99" s="1830" t="s">
        <v>454</v>
      </c>
      <c r="E99" s="1831">
        <v>42710</v>
      </c>
      <c r="F99" s="1831">
        <v>42714</v>
      </c>
      <c r="G99" s="1829">
        <v>5</v>
      </c>
      <c r="H99" s="1830" t="s">
        <v>640</v>
      </c>
      <c r="I99" s="1829">
        <v>1975</v>
      </c>
      <c r="J99" s="1830" t="s">
        <v>498</v>
      </c>
      <c r="K99" s="1829">
        <v>234</v>
      </c>
      <c r="L99" s="1830" t="s">
        <v>641</v>
      </c>
      <c r="M99" s="1830" t="s">
        <v>510</v>
      </c>
      <c r="N99" s="1829">
        <v>736.25699999999995</v>
      </c>
      <c r="O99" s="1829">
        <v>111</v>
      </c>
      <c r="P99" s="1829">
        <v>5</v>
      </c>
      <c r="Q99" s="1829">
        <v>8</v>
      </c>
      <c r="R99" s="1829">
        <v>3</v>
      </c>
      <c r="S99" s="1829">
        <v>773</v>
      </c>
      <c r="T99" s="1830" t="s">
        <v>672</v>
      </c>
      <c r="U99" s="1492"/>
      <c r="V99" s="1492"/>
      <c r="W99" s="1492"/>
      <c r="X99" s="1492"/>
      <c r="Y99" s="1492"/>
      <c r="Z99" s="1492"/>
      <c r="AA99" s="1492"/>
      <c r="AB99" s="1492"/>
      <c r="AC99" s="1492"/>
      <c r="AD99" s="1492"/>
      <c r="AE99" s="1492"/>
    </row>
    <row r="100" spans="1:31" s="844" customFormat="1" ht="12" customHeight="1">
      <c r="A100" s="1829">
        <v>2016</v>
      </c>
      <c r="B100" s="1829">
        <v>12</v>
      </c>
      <c r="C100" s="1829">
        <v>418296</v>
      </c>
      <c r="D100" s="1830" t="s">
        <v>644</v>
      </c>
      <c r="E100" s="1831">
        <v>42707</v>
      </c>
      <c r="F100" s="1831">
        <v>42714</v>
      </c>
      <c r="G100" s="1829">
        <v>8</v>
      </c>
      <c r="H100" s="1830" t="s">
        <v>645</v>
      </c>
      <c r="I100" s="1829">
        <v>1962</v>
      </c>
      <c r="J100" s="1830" t="s">
        <v>455</v>
      </c>
      <c r="K100" s="1829">
        <v>234</v>
      </c>
      <c r="L100" s="1830" t="s">
        <v>641</v>
      </c>
      <c r="M100" s="1830" t="s">
        <v>510</v>
      </c>
      <c r="N100" s="1829">
        <v>780.7</v>
      </c>
      <c r="O100" s="1829">
        <v>111</v>
      </c>
      <c r="P100" s="1829">
        <v>5</v>
      </c>
      <c r="Q100" s="1829">
        <v>8</v>
      </c>
      <c r="R100" s="1829">
        <v>3</v>
      </c>
      <c r="S100" s="1829">
        <v>758</v>
      </c>
      <c r="T100" s="1830" t="s">
        <v>646</v>
      </c>
      <c r="U100" s="1492"/>
      <c r="V100" s="1492"/>
      <c r="W100" s="1492"/>
      <c r="X100" s="1492"/>
      <c r="Y100" s="1492"/>
      <c r="Z100" s="1492"/>
      <c r="AA100" s="1492"/>
      <c r="AB100" s="1492"/>
      <c r="AC100" s="1492"/>
      <c r="AD100" s="1492"/>
      <c r="AE100" s="1492"/>
    </row>
    <row r="101" spans="1:31" s="844" customFormat="1" ht="12" customHeight="1">
      <c r="A101" s="1829">
        <v>2016</v>
      </c>
      <c r="B101" s="1829">
        <v>12</v>
      </c>
      <c r="C101" s="1829">
        <v>418301</v>
      </c>
      <c r="D101" s="1830" t="s">
        <v>667</v>
      </c>
      <c r="E101" s="1831">
        <v>42712</v>
      </c>
      <c r="F101" s="1831">
        <v>42715</v>
      </c>
      <c r="G101" s="1829">
        <v>4</v>
      </c>
      <c r="H101" s="1830" t="s">
        <v>668</v>
      </c>
      <c r="I101" s="1829">
        <v>2520</v>
      </c>
      <c r="J101" s="1830" t="s">
        <v>452</v>
      </c>
      <c r="K101" s="1829">
        <v>234</v>
      </c>
      <c r="L101" s="1830" t="s">
        <v>641</v>
      </c>
      <c r="M101" s="1830" t="s">
        <v>510</v>
      </c>
      <c r="N101" s="1829">
        <v>390</v>
      </c>
      <c r="O101" s="1829">
        <v>112</v>
      </c>
      <c r="P101" s="1829">
        <v>6</v>
      </c>
      <c r="Q101" s="1829">
        <v>8</v>
      </c>
      <c r="R101" s="1829">
        <v>3</v>
      </c>
      <c r="S101" s="1829">
        <v>767</v>
      </c>
      <c r="T101" s="1830" t="s">
        <v>669</v>
      </c>
      <c r="U101" s="1492"/>
      <c r="V101" s="1492"/>
      <c r="W101" s="1492"/>
      <c r="X101" s="1492"/>
      <c r="Y101" s="1492"/>
      <c r="Z101" s="1492"/>
      <c r="AA101" s="1492"/>
      <c r="AB101" s="1492"/>
      <c r="AC101" s="1492"/>
      <c r="AD101" s="1492"/>
      <c r="AE101" s="1492"/>
    </row>
    <row r="102" spans="1:31" s="844" customFormat="1" ht="12" customHeight="1">
      <c r="A102" s="1829">
        <v>2016</v>
      </c>
      <c r="B102" s="1829">
        <v>12</v>
      </c>
      <c r="C102" s="1829">
        <v>418301</v>
      </c>
      <c r="D102" s="1830" t="s">
        <v>667</v>
      </c>
      <c r="E102" s="1831">
        <v>42712</v>
      </c>
      <c r="F102" s="1831">
        <v>42715</v>
      </c>
      <c r="G102" s="1829">
        <v>4</v>
      </c>
      <c r="H102" s="1830" t="s">
        <v>668</v>
      </c>
      <c r="I102" s="1829">
        <v>2520</v>
      </c>
      <c r="J102" s="1830" t="s">
        <v>452</v>
      </c>
      <c r="K102" s="1829">
        <v>234</v>
      </c>
      <c r="L102" s="1830" t="s">
        <v>641</v>
      </c>
      <c r="M102" s="1830" t="s">
        <v>510</v>
      </c>
      <c r="N102" s="1829">
        <v>797.41</v>
      </c>
      <c r="O102" s="1829">
        <v>111</v>
      </c>
      <c r="P102" s="1829">
        <v>5</v>
      </c>
      <c r="Q102" s="1829">
        <v>8</v>
      </c>
      <c r="R102" s="1829">
        <v>3</v>
      </c>
      <c r="S102" s="1829">
        <v>767</v>
      </c>
      <c r="T102" s="1830" t="s">
        <v>669</v>
      </c>
      <c r="U102" s="1492"/>
      <c r="V102" s="1492"/>
      <c r="W102" s="1492"/>
      <c r="X102" s="1492"/>
      <c r="Y102" s="1492"/>
      <c r="Z102" s="1492"/>
      <c r="AA102" s="1492"/>
      <c r="AB102" s="1492"/>
      <c r="AC102" s="1492"/>
      <c r="AD102" s="1492"/>
      <c r="AE102" s="1492"/>
    </row>
    <row r="103" spans="1:31" s="844" customFormat="1" ht="12" customHeight="1">
      <c r="A103" s="1829">
        <v>2016</v>
      </c>
      <c r="B103" s="1829">
        <v>12</v>
      </c>
      <c r="C103" s="1829">
        <v>418300</v>
      </c>
      <c r="D103" s="1830" t="s">
        <v>454</v>
      </c>
      <c r="E103" s="1831">
        <v>42710</v>
      </c>
      <c r="F103" s="1831">
        <v>42715</v>
      </c>
      <c r="G103" s="1829">
        <v>6</v>
      </c>
      <c r="H103" s="1830" t="s">
        <v>640</v>
      </c>
      <c r="I103" s="1829">
        <v>1942</v>
      </c>
      <c r="J103" s="1830" t="s">
        <v>671</v>
      </c>
      <c r="K103" s="1829">
        <v>234</v>
      </c>
      <c r="L103" s="1830" t="s">
        <v>641</v>
      </c>
      <c r="M103" s="1830" t="s">
        <v>510</v>
      </c>
      <c r="N103" s="1829">
        <v>715.61500000000001</v>
      </c>
      <c r="O103" s="1829">
        <v>111</v>
      </c>
      <c r="P103" s="1829">
        <v>5</v>
      </c>
      <c r="Q103" s="1829">
        <v>8</v>
      </c>
      <c r="R103" s="1829">
        <v>3</v>
      </c>
      <c r="S103" s="1829">
        <v>746</v>
      </c>
      <c r="T103" s="1830" t="s">
        <v>643</v>
      </c>
      <c r="U103" s="1492"/>
      <c r="V103" s="1492"/>
      <c r="W103" s="1492"/>
      <c r="X103" s="1492"/>
      <c r="Y103" s="1492"/>
      <c r="Z103" s="1492"/>
      <c r="AA103" s="1492"/>
      <c r="AB103" s="1492"/>
      <c r="AC103" s="1492"/>
      <c r="AD103" s="1492"/>
      <c r="AE103" s="1492"/>
    </row>
    <row r="104" spans="1:31" s="844" customFormat="1" ht="12" customHeight="1">
      <c r="A104" s="1829">
        <v>2016</v>
      </c>
      <c r="B104" s="1829">
        <v>12</v>
      </c>
      <c r="C104" s="1829">
        <v>418311</v>
      </c>
      <c r="D104" s="1830" t="s">
        <v>667</v>
      </c>
      <c r="E104" s="1831">
        <v>42705</v>
      </c>
      <c r="F104" s="1831">
        <v>42716</v>
      </c>
      <c r="G104" s="1829">
        <v>12</v>
      </c>
      <c r="H104" s="1830" t="s">
        <v>668</v>
      </c>
      <c r="I104" s="1829">
        <v>1968</v>
      </c>
      <c r="J104" s="1830" t="s">
        <v>651</v>
      </c>
      <c r="K104" s="1829">
        <v>234</v>
      </c>
      <c r="L104" s="1830" t="s">
        <v>641</v>
      </c>
      <c r="M104" s="1830" t="s">
        <v>510</v>
      </c>
      <c r="N104" s="1829">
        <v>335.25</v>
      </c>
      <c r="O104" s="1829">
        <v>151</v>
      </c>
      <c r="P104" s="1829">
        <v>6</v>
      </c>
      <c r="Q104" s="1829">
        <v>8</v>
      </c>
      <c r="R104" s="1829">
        <v>3</v>
      </c>
      <c r="S104" s="1829">
        <v>767</v>
      </c>
      <c r="T104" s="1830" t="s">
        <v>669</v>
      </c>
      <c r="U104" s="1492"/>
      <c r="V104" s="1492"/>
      <c r="W104" s="1492"/>
      <c r="X104" s="1492"/>
      <c r="Y104" s="1492"/>
      <c r="Z104" s="1492"/>
      <c r="AA104" s="1492"/>
      <c r="AB104" s="1492"/>
      <c r="AC104" s="1492"/>
      <c r="AD104" s="1492"/>
      <c r="AE104" s="1492"/>
    </row>
    <row r="105" spans="1:31" s="844" customFormat="1" ht="12" customHeight="1">
      <c r="A105" s="1829">
        <v>2016</v>
      </c>
      <c r="B105" s="1829">
        <v>12</v>
      </c>
      <c r="C105" s="1829">
        <v>418311</v>
      </c>
      <c r="D105" s="1830" t="s">
        <v>667</v>
      </c>
      <c r="E105" s="1831">
        <v>42705</v>
      </c>
      <c r="F105" s="1831">
        <v>42716</v>
      </c>
      <c r="G105" s="1829">
        <v>12</v>
      </c>
      <c r="H105" s="1830" t="s">
        <v>668</v>
      </c>
      <c r="I105" s="1829">
        <v>1968</v>
      </c>
      <c r="J105" s="1830" t="s">
        <v>651</v>
      </c>
      <c r="K105" s="1829">
        <v>234</v>
      </c>
      <c r="L105" s="1830" t="s">
        <v>641</v>
      </c>
      <c r="M105" s="1830" t="s">
        <v>510</v>
      </c>
      <c r="N105" s="1829">
        <v>811.95500000000004</v>
      </c>
      <c r="O105" s="1829">
        <v>111</v>
      </c>
      <c r="P105" s="1829">
        <v>5</v>
      </c>
      <c r="Q105" s="1829">
        <v>8</v>
      </c>
      <c r="R105" s="1829">
        <v>3</v>
      </c>
      <c r="S105" s="1829">
        <v>767</v>
      </c>
      <c r="T105" s="1830" t="s">
        <v>669</v>
      </c>
      <c r="U105" s="1492"/>
      <c r="V105" s="1492"/>
      <c r="W105" s="1492"/>
      <c r="X105" s="1492"/>
      <c r="Y105" s="1492"/>
      <c r="Z105" s="1492"/>
      <c r="AA105" s="1492"/>
      <c r="AB105" s="1492"/>
      <c r="AC105" s="1492"/>
      <c r="AD105" s="1492"/>
      <c r="AE105" s="1492"/>
    </row>
    <row r="106" spans="1:31" s="844" customFormat="1" ht="12" customHeight="1">
      <c r="A106" s="1829">
        <v>2016</v>
      </c>
      <c r="B106" s="1829">
        <v>12</v>
      </c>
      <c r="C106" s="1829">
        <v>418318</v>
      </c>
      <c r="D106" s="1830" t="s">
        <v>644</v>
      </c>
      <c r="E106" s="1831">
        <v>42713</v>
      </c>
      <c r="F106" s="1831">
        <v>42717</v>
      </c>
      <c r="G106" s="1829">
        <v>5</v>
      </c>
      <c r="H106" s="1830" t="s">
        <v>712</v>
      </c>
      <c r="I106" s="1829">
        <v>1938</v>
      </c>
      <c r="J106" s="1830" t="s">
        <v>710</v>
      </c>
      <c r="K106" s="1829">
        <v>234</v>
      </c>
      <c r="L106" s="1830" t="s">
        <v>641</v>
      </c>
      <c r="M106" s="1830" t="s">
        <v>510</v>
      </c>
      <c r="N106" s="1829">
        <v>282.73</v>
      </c>
      <c r="O106" s="1829">
        <v>151</v>
      </c>
      <c r="P106" s="1829">
        <v>6</v>
      </c>
      <c r="Q106" s="1829">
        <v>8</v>
      </c>
      <c r="R106" s="1829">
        <v>3</v>
      </c>
      <c r="S106" s="1829">
        <v>777</v>
      </c>
      <c r="T106" s="1830" t="s">
        <v>711</v>
      </c>
      <c r="U106" s="1492"/>
      <c r="V106" s="1492"/>
      <c r="W106" s="1492"/>
      <c r="X106" s="1492"/>
      <c r="Y106" s="1492"/>
      <c r="Z106" s="1492"/>
      <c r="AA106" s="1492"/>
      <c r="AB106" s="1492"/>
      <c r="AC106" s="1492"/>
      <c r="AD106" s="1492"/>
      <c r="AE106" s="1492"/>
    </row>
    <row r="107" spans="1:31" s="844" customFormat="1" ht="12" customHeight="1">
      <c r="A107" s="1829">
        <v>2016</v>
      </c>
      <c r="B107" s="1829">
        <v>12</v>
      </c>
      <c r="C107" s="1829">
        <v>418323</v>
      </c>
      <c r="D107" s="1830" t="s">
        <v>644</v>
      </c>
      <c r="E107" s="1831">
        <v>42715</v>
      </c>
      <c r="F107" s="1831">
        <v>42717</v>
      </c>
      <c r="G107" s="1829">
        <v>3</v>
      </c>
      <c r="H107" s="1830" t="s">
        <v>645</v>
      </c>
      <c r="I107" s="1829">
        <v>1962</v>
      </c>
      <c r="J107" s="1830" t="s">
        <v>455</v>
      </c>
      <c r="K107" s="1829">
        <v>234</v>
      </c>
      <c r="L107" s="1830" t="s">
        <v>641</v>
      </c>
      <c r="M107" s="1830" t="s">
        <v>510</v>
      </c>
      <c r="N107" s="1829">
        <v>427.57499999999999</v>
      </c>
      <c r="O107" s="1829">
        <v>111</v>
      </c>
      <c r="P107" s="1829">
        <v>5</v>
      </c>
      <c r="Q107" s="1829">
        <v>8</v>
      </c>
      <c r="R107" s="1829">
        <v>3</v>
      </c>
      <c r="S107" s="1829">
        <v>758</v>
      </c>
      <c r="T107" s="1830" t="s">
        <v>646</v>
      </c>
      <c r="U107" s="1492"/>
      <c r="V107" s="1492"/>
      <c r="W107" s="1492"/>
      <c r="X107" s="1492"/>
      <c r="Y107" s="1492"/>
      <c r="Z107" s="1492"/>
      <c r="AA107" s="1492"/>
      <c r="AB107" s="1492"/>
      <c r="AC107" s="1492"/>
      <c r="AD107" s="1492"/>
      <c r="AE107" s="1492"/>
    </row>
    <row r="108" spans="1:31" s="844" customFormat="1" ht="12" customHeight="1">
      <c r="A108" s="1829">
        <v>2016</v>
      </c>
      <c r="B108" s="1829">
        <v>12</v>
      </c>
      <c r="C108" s="1829">
        <v>418318</v>
      </c>
      <c r="D108" s="1830" t="s">
        <v>644</v>
      </c>
      <c r="E108" s="1831">
        <v>42713</v>
      </c>
      <c r="F108" s="1831">
        <v>42717</v>
      </c>
      <c r="G108" s="1829">
        <v>5</v>
      </c>
      <c r="H108" s="1830" t="s">
        <v>712</v>
      </c>
      <c r="I108" s="1829">
        <v>1938</v>
      </c>
      <c r="J108" s="1830" t="s">
        <v>710</v>
      </c>
      <c r="K108" s="1829">
        <v>234</v>
      </c>
      <c r="L108" s="1830" t="s">
        <v>641</v>
      </c>
      <c r="M108" s="1830" t="s">
        <v>510</v>
      </c>
      <c r="N108" s="1829">
        <v>48.1</v>
      </c>
      <c r="O108" s="1829">
        <v>111</v>
      </c>
      <c r="P108" s="1829">
        <v>5</v>
      </c>
      <c r="Q108" s="1829">
        <v>8</v>
      </c>
      <c r="R108" s="1829">
        <v>3</v>
      </c>
      <c r="S108" s="1829">
        <v>777</v>
      </c>
      <c r="T108" s="1830" t="s">
        <v>711</v>
      </c>
      <c r="U108" s="1492"/>
      <c r="V108" s="1492"/>
      <c r="W108" s="1492"/>
      <c r="X108" s="1492"/>
      <c r="Y108" s="1492"/>
      <c r="Z108" s="1492"/>
      <c r="AA108" s="1492"/>
      <c r="AB108" s="1492"/>
      <c r="AC108" s="1492"/>
      <c r="AD108" s="1492"/>
      <c r="AE108" s="1492"/>
    </row>
    <row r="109" spans="1:31" s="844" customFormat="1" ht="12" customHeight="1">
      <c r="A109" s="1829">
        <v>2016</v>
      </c>
      <c r="B109" s="1829">
        <v>12</v>
      </c>
      <c r="C109" s="1829">
        <v>418317</v>
      </c>
      <c r="D109" s="1830" t="s">
        <v>454</v>
      </c>
      <c r="E109" s="1831">
        <v>42713</v>
      </c>
      <c r="F109" s="1831">
        <v>42717</v>
      </c>
      <c r="G109" s="1829">
        <v>5</v>
      </c>
      <c r="H109" s="1830" t="s">
        <v>640</v>
      </c>
      <c r="I109" s="1829">
        <v>2530</v>
      </c>
      <c r="J109" s="1830" t="s">
        <v>497</v>
      </c>
      <c r="K109" s="1829">
        <v>234</v>
      </c>
      <c r="L109" s="1830" t="s">
        <v>641</v>
      </c>
      <c r="M109" s="1830" t="s">
        <v>510</v>
      </c>
      <c r="N109" s="1829">
        <v>434.37</v>
      </c>
      <c r="O109" s="1829">
        <v>111</v>
      </c>
      <c r="P109" s="1829">
        <v>5</v>
      </c>
      <c r="Q109" s="1829">
        <v>8</v>
      </c>
      <c r="R109" s="1829">
        <v>3</v>
      </c>
      <c r="S109" s="1829">
        <v>773</v>
      </c>
      <c r="T109" s="1830" t="s">
        <v>672</v>
      </c>
      <c r="U109" s="1492"/>
      <c r="V109" s="1492"/>
      <c r="W109" s="1492"/>
      <c r="X109" s="1492"/>
      <c r="Y109" s="1492"/>
      <c r="Z109" s="1492"/>
      <c r="AA109" s="1492"/>
      <c r="AB109" s="1492"/>
      <c r="AC109" s="1492"/>
      <c r="AD109" s="1492"/>
      <c r="AE109" s="1492"/>
    </row>
    <row r="110" spans="1:31" s="844" customFormat="1" ht="12" customHeight="1">
      <c r="A110" s="1829">
        <v>2016</v>
      </c>
      <c r="B110" s="1829">
        <v>12</v>
      </c>
      <c r="C110" s="1829">
        <v>418320</v>
      </c>
      <c r="D110" s="1830" t="s">
        <v>454</v>
      </c>
      <c r="E110" s="1831">
        <v>42712</v>
      </c>
      <c r="F110" s="1831">
        <v>42717</v>
      </c>
      <c r="G110" s="1829">
        <v>6</v>
      </c>
      <c r="H110" s="1830" t="s">
        <v>640</v>
      </c>
      <c r="I110" s="1829">
        <v>1954</v>
      </c>
      <c r="J110" s="1830" t="s">
        <v>500</v>
      </c>
      <c r="K110" s="1829">
        <v>234</v>
      </c>
      <c r="L110" s="1830" t="s">
        <v>641</v>
      </c>
      <c r="M110" s="1830" t="s">
        <v>510</v>
      </c>
      <c r="N110" s="1829">
        <v>164.976</v>
      </c>
      <c r="O110" s="1829">
        <v>111</v>
      </c>
      <c r="P110" s="1829">
        <v>5</v>
      </c>
      <c r="Q110" s="1829">
        <v>8</v>
      </c>
      <c r="R110" s="1829">
        <v>3</v>
      </c>
      <c r="S110" s="1829">
        <v>746</v>
      </c>
      <c r="T110" s="1830" t="s">
        <v>643</v>
      </c>
      <c r="U110" s="1492"/>
      <c r="V110" s="1492"/>
      <c r="W110" s="1492"/>
      <c r="X110" s="1492"/>
      <c r="Y110" s="1492"/>
      <c r="Z110" s="1492"/>
      <c r="AA110" s="1492"/>
      <c r="AB110" s="1492"/>
      <c r="AC110" s="1492"/>
      <c r="AD110" s="1492"/>
      <c r="AE110" s="1492"/>
    </row>
    <row r="111" spans="1:31" s="844" customFormat="1" ht="12" customHeight="1">
      <c r="A111" s="1829">
        <v>2016</v>
      </c>
      <c r="B111" s="1829">
        <v>12</v>
      </c>
      <c r="C111" s="1829">
        <v>418332</v>
      </c>
      <c r="D111" s="1830" t="s">
        <v>454</v>
      </c>
      <c r="E111" s="1831">
        <v>42714</v>
      </c>
      <c r="F111" s="1831">
        <v>42718</v>
      </c>
      <c r="G111" s="1829">
        <v>5</v>
      </c>
      <c r="H111" s="1830" t="s">
        <v>640</v>
      </c>
      <c r="I111" s="1829">
        <v>1975</v>
      </c>
      <c r="J111" s="1830" t="s">
        <v>498</v>
      </c>
      <c r="K111" s="1829">
        <v>234</v>
      </c>
      <c r="L111" s="1830" t="s">
        <v>641</v>
      </c>
      <c r="M111" s="1830" t="s">
        <v>510</v>
      </c>
      <c r="N111" s="1829">
        <v>604.1</v>
      </c>
      <c r="O111" s="1829">
        <v>112</v>
      </c>
      <c r="P111" s="1829">
        <v>6</v>
      </c>
      <c r="Q111" s="1829">
        <v>8</v>
      </c>
      <c r="R111" s="1829">
        <v>3</v>
      </c>
      <c r="S111" s="1829">
        <v>773</v>
      </c>
      <c r="T111" s="1830" t="s">
        <v>672</v>
      </c>
      <c r="U111" s="1492"/>
      <c r="V111" s="1492"/>
      <c r="W111" s="1492"/>
      <c r="X111" s="1492"/>
      <c r="Y111" s="1492"/>
      <c r="Z111" s="1492"/>
      <c r="AA111" s="1492"/>
      <c r="AB111" s="1492"/>
      <c r="AC111" s="1492"/>
      <c r="AD111" s="1492"/>
      <c r="AE111" s="1492"/>
    </row>
    <row r="112" spans="1:31" s="844" customFormat="1" ht="12" customHeight="1">
      <c r="A112" s="1829">
        <v>2016</v>
      </c>
      <c r="B112" s="1829">
        <v>12</v>
      </c>
      <c r="C112" s="1829">
        <v>418352</v>
      </c>
      <c r="D112" s="1830" t="s">
        <v>644</v>
      </c>
      <c r="E112" s="1831">
        <v>42717</v>
      </c>
      <c r="F112" s="1831">
        <v>42720</v>
      </c>
      <c r="G112" s="1829">
        <v>4</v>
      </c>
      <c r="H112" s="1830" t="s">
        <v>712</v>
      </c>
      <c r="I112" s="1829">
        <v>1966</v>
      </c>
      <c r="J112" s="1830" t="s">
        <v>713</v>
      </c>
      <c r="K112" s="1829">
        <v>234</v>
      </c>
      <c r="L112" s="1830" t="s">
        <v>641</v>
      </c>
      <c r="M112" s="1830" t="s">
        <v>510</v>
      </c>
      <c r="N112" s="1829">
        <v>1011.107</v>
      </c>
      <c r="O112" s="1829">
        <v>151</v>
      </c>
      <c r="P112" s="1829">
        <v>6</v>
      </c>
      <c r="Q112" s="1829">
        <v>8</v>
      </c>
      <c r="R112" s="1829">
        <v>3</v>
      </c>
      <c r="S112" s="1829">
        <v>777</v>
      </c>
      <c r="T112" s="1830" t="s">
        <v>711</v>
      </c>
      <c r="U112" s="1492"/>
      <c r="V112" s="1492"/>
      <c r="W112" s="1492"/>
      <c r="X112" s="1492"/>
      <c r="Y112" s="1492"/>
      <c r="Z112" s="1492"/>
      <c r="AA112" s="1492"/>
      <c r="AB112" s="1492"/>
      <c r="AC112" s="1492"/>
      <c r="AD112" s="1492"/>
      <c r="AE112" s="1492"/>
    </row>
    <row r="113" spans="1:31" s="844" customFormat="1" ht="12" customHeight="1">
      <c r="A113" s="1829">
        <v>2016</v>
      </c>
      <c r="B113" s="1829">
        <v>12</v>
      </c>
      <c r="C113" s="1829">
        <v>418348</v>
      </c>
      <c r="D113" s="1830" t="s">
        <v>667</v>
      </c>
      <c r="E113" s="1831">
        <v>42716</v>
      </c>
      <c r="F113" s="1831">
        <v>42720</v>
      </c>
      <c r="G113" s="1829">
        <v>5</v>
      </c>
      <c r="H113" s="1830" t="s">
        <v>668</v>
      </c>
      <c r="I113" s="1829">
        <v>2520</v>
      </c>
      <c r="J113" s="1830" t="s">
        <v>452</v>
      </c>
      <c r="K113" s="1829">
        <v>234</v>
      </c>
      <c r="L113" s="1830" t="s">
        <v>641</v>
      </c>
      <c r="M113" s="1830" t="s">
        <v>510</v>
      </c>
      <c r="N113" s="1829">
        <v>557.28200000000004</v>
      </c>
      <c r="O113" s="1829">
        <v>151</v>
      </c>
      <c r="P113" s="1829">
        <v>6</v>
      </c>
      <c r="Q113" s="1829">
        <v>8</v>
      </c>
      <c r="R113" s="1829">
        <v>3</v>
      </c>
      <c r="S113" s="1829">
        <v>767</v>
      </c>
      <c r="T113" s="1830" t="s">
        <v>669</v>
      </c>
      <c r="U113" s="1492"/>
      <c r="V113" s="1492"/>
      <c r="W113" s="1492"/>
      <c r="X113" s="1492"/>
      <c r="Y113" s="1492"/>
      <c r="Z113" s="1492"/>
      <c r="AA113" s="1492"/>
      <c r="AB113" s="1492"/>
      <c r="AC113" s="1492"/>
      <c r="AD113" s="1492"/>
      <c r="AE113" s="1492"/>
    </row>
    <row r="114" spans="1:31" s="844" customFormat="1" ht="12" customHeight="1">
      <c r="A114" s="1829">
        <v>2016</v>
      </c>
      <c r="B114" s="1829">
        <v>12</v>
      </c>
      <c r="C114" s="1829">
        <v>418347</v>
      </c>
      <c r="D114" s="1830" t="s">
        <v>454</v>
      </c>
      <c r="E114" s="1831">
        <v>42718</v>
      </c>
      <c r="F114" s="1831">
        <v>42720</v>
      </c>
      <c r="G114" s="1829">
        <v>3</v>
      </c>
      <c r="H114" s="1830" t="s">
        <v>640</v>
      </c>
      <c r="I114" s="1829">
        <v>2530</v>
      </c>
      <c r="J114" s="1830" t="s">
        <v>497</v>
      </c>
      <c r="K114" s="1829">
        <v>234</v>
      </c>
      <c r="L114" s="1830" t="s">
        <v>641</v>
      </c>
      <c r="M114" s="1830" t="s">
        <v>510</v>
      </c>
      <c r="N114" s="1829">
        <v>661.55499999999995</v>
      </c>
      <c r="O114" s="1829">
        <v>112</v>
      </c>
      <c r="P114" s="1829">
        <v>6</v>
      </c>
      <c r="Q114" s="1829">
        <v>8</v>
      </c>
      <c r="R114" s="1829">
        <v>3</v>
      </c>
      <c r="S114" s="1829">
        <v>773</v>
      </c>
      <c r="T114" s="1830" t="s">
        <v>672</v>
      </c>
      <c r="U114" s="1492"/>
      <c r="V114" s="1492"/>
      <c r="W114" s="1492"/>
      <c r="X114" s="1492"/>
      <c r="Y114" s="1492"/>
      <c r="Z114" s="1492"/>
      <c r="AA114" s="1492"/>
      <c r="AB114" s="1492"/>
      <c r="AC114" s="1492"/>
      <c r="AD114" s="1492"/>
      <c r="AE114" s="1492"/>
    </row>
    <row r="115" spans="1:31" s="844" customFormat="1" ht="12" customHeight="1">
      <c r="A115" s="1829">
        <v>2016</v>
      </c>
      <c r="B115" s="1829">
        <v>12</v>
      </c>
      <c r="C115" s="1829">
        <v>418351</v>
      </c>
      <c r="D115" s="1830" t="s">
        <v>454</v>
      </c>
      <c r="E115" s="1831">
        <v>42719</v>
      </c>
      <c r="F115" s="1831">
        <v>42720</v>
      </c>
      <c r="G115" s="1829">
        <v>2</v>
      </c>
      <c r="H115" s="1830" t="s">
        <v>640</v>
      </c>
      <c r="I115" s="1829">
        <v>1975</v>
      </c>
      <c r="J115" s="1830" t="s">
        <v>498</v>
      </c>
      <c r="K115" s="1829">
        <v>234</v>
      </c>
      <c r="L115" s="1830" t="s">
        <v>641</v>
      </c>
      <c r="M115" s="1830" t="s">
        <v>510</v>
      </c>
      <c r="N115" s="1829">
        <v>793.43499999999995</v>
      </c>
      <c r="O115" s="1829">
        <v>112</v>
      </c>
      <c r="P115" s="1829">
        <v>6</v>
      </c>
      <c r="Q115" s="1829">
        <v>8</v>
      </c>
      <c r="R115" s="1829">
        <v>3</v>
      </c>
      <c r="S115" s="1829">
        <v>781</v>
      </c>
      <c r="T115" s="1830" t="s">
        <v>723</v>
      </c>
      <c r="U115" s="1492"/>
      <c r="V115" s="1492"/>
      <c r="W115" s="1492"/>
      <c r="X115" s="1492"/>
      <c r="Y115" s="1492"/>
      <c r="Z115" s="1492"/>
      <c r="AA115" s="1492"/>
      <c r="AB115" s="1492"/>
      <c r="AC115" s="1492"/>
      <c r="AD115" s="1492"/>
      <c r="AE115" s="1492"/>
    </row>
    <row r="116" spans="1:31" s="844" customFormat="1" ht="12" customHeight="1">
      <c r="A116" s="1829">
        <v>2016</v>
      </c>
      <c r="B116" s="1829">
        <v>12</v>
      </c>
      <c r="C116" s="1829">
        <v>418360</v>
      </c>
      <c r="D116" s="1830" t="s">
        <v>454</v>
      </c>
      <c r="E116" s="1831">
        <v>42715</v>
      </c>
      <c r="F116" s="1831">
        <v>42721</v>
      </c>
      <c r="G116" s="1829">
        <v>7</v>
      </c>
      <c r="H116" s="1830" t="s">
        <v>640</v>
      </c>
      <c r="I116" s="1829">
        <v>1942</v>
      </c>
      <c r="J116" s="1830" t="s">
        <v>671</v>
      </c>
      <c r="K116" s="1829">
        <v>234</v>
      </c>
      <c r="L116" s="1830" t="s">
        <v>641</v>
      </c>
      <c r="M116" s="1830" t="s">
        <v>510</v>
      </c>
      <c r="N116" s="1829">
        <v>626.03499999999997</v>
      </c>
      <c r="O116" s="1829">
        <v>112</v>
      </c>
      <c r="P116" s="1829">
        <v>6</v>
      </c>
      <c r="Q116" s="1829">
        <v>8</v>
      </c>
      <c r="R116" s="1829">
        <v>3</v>
      </c>
      <c r="S116" s="1829">
        <v>773</v>
      </c>
      <c r="T116" s="1830" t="s">
        <v>672</v>
      </c>
      <c r="U116" s="1492"/>
      <c r="V116" s="1492"/>
      <c r="W116" s="1492"/>
      <c r="X116" s="1492"/>
      <c r="Y116" s="1492"/>
      <c r="Z116" s="1492"/>
      <c r="AA116" s="1492"/>
      <c r="AB116" s="1492"/>
      <c r="AC116" s="1492"/>
      <c r="AD116" s="1492"/>
      <c r="AE116" s="1492"/>
    </row>
    <row r="117" spans="1:31" s="844" customFormat="1" ht="12" customHeight="1">
      <c r="A117" s="1829">
        <v>2016</v>
      </c>
      <c r="B117" s="1829">
        <v>12</v>
      </c>
      <c r="C117" s="1829">
        <v>418356</v>
      </c>
      <c r="D117" s="1830" t="s">
        <v>644</v>
      </c>
      <c r="E117" s="1831">
        <v>42718</v>
      </c>
      <c r="F117" s="1831">
        <v>42721</v>
      </c>
      <c r="G117" s="1829">
        <v>4</v>
      </c>
      <c r="H117" s="1830" t="s">
        <v>645</v>
      </c>
      <c r="I117" s="1829">
        <v>1962</v>
      </c>
      <c r="J117" s="1830" t="s">
        <v>455</v>
      </c>
      <c r="K117" s="1829">
        <v>234</v>
      </c>
      <c r="L117" s="1830" t="s">
        <v>641</v>
      </c>
      <c r="M117" s="1830" t="s">
        <v>510</v>
      </c>
      <c r="N117" s="1829">
        <v>804.95</v>
      </c>
      <c r="O117" s="1829">
        <v>112</v>
      </c>
      <c r="P117" s="1829">
        <v>6</v>
      </c>
      <c r="Q117" s="1829">
        <v>8</v>
      </c>
      <c r="R117" s="1829">
        <v>3</v>
      </c>
      <c r="S117" s="1829">
        <v>758</v>
      </c>
      <c r="T117" s="1830" t="s">
        <v>646</v>
      </c>
      <c r="U117" s="1492"/>
      <c r="V117" s="1492"/>
      <c r="W117" s="1492"/>
      <c r="X117" s="1492"/>
      <c r="Y117" s="1492"/>
      <c r="Z117" s="1492"/>
      <c r="AA117" s="1492"/>
      <c r="AB117" s="1492"/>
      <c r="AC117" s="1492"/>
      <c r="AD117" s="1492"/>
      <c r="AE117" s="1492"/>
    </row>
    <row r="118" spans="1:31" s="844" customFormat="1" ht="12" customHeight="1">
      <c r="A118" s="1829">
        <v>2016</v>
      </c>
      <c r="B118" s="1829">
        <v>12</v>
      </c>
      <c r="C118" s="1829">
        <v>418357</v>
      </c>
      <c r="D118" s="1830" t="s">
        <v>667</v>
      </c>
      <c r="E118" s="1831">
        <v>42717</v>
      </c>
      <c r="F118" s="1831">
        <v>42721</v>
      </c>
      <c r="G118" s="1829">
        <v>5</v>
      </c>
      <c r="H118" s="1830" t="s">
        <v>668</v>
      </c>
      <c r="I118" s="1829">
        <v>1968</v>
      </c>
      <c r="J118" s="1830" t="s">
        <v>651</v>
      </c>
      <c r="K118" s="1829">
        <v>234</v>
      </c>
      <c r="L118" s="1830" t="s">
        <v>641</v>
      </c>
      <c r="M118" s="1830" t="s">
        <v>510</v>
      </c>
      <c r="N118" s="1829">
        <v>532.99400000000003</v>
      </c>
      <c r="O118" s="1829">
        <v>112</v>
      </c>
      <c r="P118" s="1829">
        <v>6</v>
      </c>
      <c r="Q118" s="1829">
        <v>8</v>
      </c>
      <c r="R118" s="1829">
        <v>3</v>
      </c>
      <c r="S118" s="1829">
        <v>767</v>
      </c>
      <c r="T118" s="1830" t="s">
        <v>669</v>
      </c>
      <c r="U118" s="1492"/>
      <c r="V118" s="1492"/>
      <c r="W118" s="1492"/>
      <c r="X118" s="1492"/>
      <c r="Y118" s="1492"/>
      <c r="Z118" s="1492"/>
      <c r="AA118" s="1492"/>
      <c r="AB118" s="1492"/>
      <c r="AC118" s="1492"/>
      <c r="AD118" s="1492"/>
      <c r="AE118" s="1492"/>
    </row>
    <row r="119" spans="1:31" s="844" customFormat="1" ht="12" customHeight="1">
      <c r="A119" s="1829">
        <v>2016</v>
      </c>
      <c r="B119" s="1829">
        <v>12</v>
      </c>
      <c r="C119" s="1829">
        <v>418357</v>
      </c>
      <c r="D119" s="1830" t="s">
        <v>667</v>
      </c>
      <c r="E119" s="1831">
        <v>42717</v>
      </c>
      <c r="F119" s="1831">
        <v>42721</v>
      </c>
      <c r="G119" s="1829">
        <v>5</v>
      </c>
      <c r="H119" s="1830" t="s">
        <v>668</v>
      </c>
      <c r="I119" s="1829">
        <v>1968</v>
      </c>
      <c r="J119" s="1830" t="s">
        <v>651</v>
      </c>
      <c r="K119" s="1829">
        <v>234</v>
      </c>
      <c r="L119" s="1830" t="s">
        <v>641</v>
      </c>
      <c r="M119" s="1830" t="s">
        <v>510</v>
      </c>
      <c r="N119" s="1829">
        <v>532.99400000000003</v>
      </c>
      <c r="O119" s="1829">
        <v>151</v>
      </c>
      <c r="P119" s="1829">
        <v>6</v>
      </c>
      <c r="Q119" s="1829">
        <v>8</v>
      </c>
      <c r="R119" s="1829">
        <v>3</v>
      </c>
      <c r="S119" s="1829">
        <v>767</v>
      </c>
      <c r="T119" s="1830" t="s">
        <v>669</v>
      </c>
      <c r="U119" s="1492"/>
      <c r="V119" s="1492"/>
      <c r="W119" s="1492"/>
      <c r="X119" s="1492"/>
      <c r="Y119" s="1492"/>
      <c r="Z119" s="1492"/>
      <c r="AA119" s="1492"/>
      <c r="AB119" s="1492"/>
      <c r="AC119" s="1492"/>
      <c r="AD119" s="1492"/>
      <c r="AE119" s="1492"/>
    </row>
    <row r="120" spans="1:31" s="844" customFormat="1" ht="12" customHeight="1">
      <c r="A120" s="1829">
        <v>2016</v>
      </c>
      <c r="B120" s="1829">
        <v>12</v>
      </c>
      <c r="C120" s="1829">
        <v>418359</v>
      </c>
      <c r="D120" s="1830" t="s">
        <v>454</v>
      </c>
      <c r="E120" s="1831">
        <v>42718</v>
      </c>
      <c r="F120" s="1831">
        <v>42721</v>
      </c>
      <c r="G120" s="1829">
        <v>4</v>
      </c>
      <c r="H120" s="1830" t="s">
        <v>640</v>
      </c>
      <c r="I120" s="1829">
        <v>1954</v>
      </c>
      <c r="J120" s="1830" t="s">
        <v>500</v>
      </c>
      <c r="K120" s="1829">
        <v>234</v>
      </c>
      <c r="L120" s="1830" t="s">
        <v>641</v>
      </c>
      <c r="M120" s="1830" t="s">
        <v>510</v>
      </c>
      <c r="N120" s="1829">
        <v>598.5</v>
      </c>
      <c r="O120" s="1829">
        <v>112</v>
      </c>
      <c r="P120" s="1829">
        <v>6</v>
      </c>
      <c r="Q120" s="1829">
        <v>8</v>
      </c>
      <c r="R120" s="1829">
        <v>3</v>
      </c>
      <c r="S120" s="1829">
        <v>773</v>
      </c>
      <c r="T120" s="1830" t="s">
        <v>672</v>
      </c>
      <c r="U120" s="1492"/>
      <c r="V120" s="1492"/>
      <c r="W120" s="1492"/>
      <c r="X120" s="1492"/>
      <c r="Y120" s="1492"/>
      <c r="Z120" s="1492"/>
      <c r="AA120" s="1492"/>
      <c r="AB120" s="1492"/>
      <c r="AC120" s="1492"/>
      <c r="AD120" s="1492"/>
      <c r="AE120" s="1492"/>
    </row>
    <row r="121" spans="1:31" s="844" customFormat="1" ht="12" customHeight="1">
      <c r="A121" s="1829">
        <v>2016</v>
      </c>
      <c r="B121" s="1829">
        <v>12</v>
      </c>
      <c r="C121" s="1829">
        <v>418366</v>
      </c>
      <c r="D121" s="1830" t="s">
        <v>454</v>
      </c>
      <c r="E121" s="1831">
        <v>42717</v>
      </c>
      <c r="F121" s="1831">
        <v>42722</v>
      </c>
      <c r="G121" s="1829">
        <v>6</v>
      </c>
      <c r="H121" s="1830" t="s">
        <v>640</v>
      </c>
      <c r="I121" s="1829">
        <v>1977</v>
      </c>
      <c r="J121" s="1830" t="s">
        <v>499</v>
      </c>
      <c r="K121" s="1829">
        <v>234</v>
      </c>
      <c r="L121" s="1830" t="s">
        <v>641</v>
      </c>
      <c r="M121" s="1830" t="s">
        <v>510</v>
      </c>
      <c r="N121" s="1829">
        <v>800.88</v>
      </c>
      <c r="O121" s="1829">
        <v>112</v>
      </c>
      <c r="P121" s="1829">
        <v>6</v>
      </c>
      <c r="Q121" s="1829">
        <v>8</v>
      </c>
      <c r="R121" s="1829">
        <v>3</v>
      </c>
      <c r="S121" s="1829">
        <v>773</v>
      </c>
      <c r="T121" s="1830" t="s">
        <v>672</v>
      </c>
      <c r="U121" s="1492"/>
      <c r="V121" s="1492"/>
      <c r="W121" s="1492"/>
      <c r="X121" s="1492"/>
      <c r="Y121" s="1492"/>
      <c r="Z121" s="1492"/>
      <c r="AA121" s="1492"/>
      <c r="AB121" s="1492"/>
      <c r="AC121" s="1492"/>
      <c r="AD121" s="1492"/>
      <c r="AE121" s="1492"/>
    </row>
    <row r="122" spans="1:31" s="844" customFormat="1" ht="12" customHeight="1">
      <c r="A122" s="1829">
        <v>2016</v>
      </c>
      <c r="B122" s="1829">
        <v>12</v>
      </c>
      <c r="C122" s="1829">
        <v>418364</v>
      </c>
      <c r="D122" s="1830" t="s">
        <v>667</v>
      </c>
      <c r="E122" s="1831">
        <v>42716</v>
      </c>
      <c r="F122" s="1831">
        <v>42722</v>
      </c>
      <c r="G122" s="1829">
        <v>7</v>
      </c>
      <c r="H122" s="1830" t="s">
        <v>668</v>
      </c>
      <c r="I122" s="1829">
        <v>2520</v>
      </c>
      <c r="J122" s="1830" t="s">
        <v>452</v>
      </c>
      <c r="K122" s="1829">
        <v>234</v>
      </c>
      <c r="L122" s="1830" t="s">
        <v>641</v>
      </c>
      <c r="M122" s="1830" t="s">
        <v>510</v>
      </c>
      <c r="N122" s="1829">
        <v>655.77200000000005</v>
      </c>
      <c r="O122" s="1829">
        <v>151</v>
      </c>
      <c r="P122" s="1829">
        <v>6</v>
      </c>
      <c r="Q122" s="1829">
        <v>8</v>
      </c>
      <c r="R122" s="1829">
        <v>3</v>
      </c>
      <c r="S122" s="1829">
        <v>767</v>
      </c>
      <c r="T122" s="1830" t="s">
        <v>669</v>
      </c>
      <c r="U122" s="1492"/>
      <c r="V122" s="1492"/>
      <c r="W122" s="1492"/>
      <c r="X122" s="1492"/>
      <c r="Y122" s="1492"/>
      <c r="Z122" s="1492"/>
      <c r="AA122" s="1492"/>
      <c r="AB122" s="1492"/>
      <c r="AC122" s="1492"/>
      <c r="AD122" s="1492"/>
      <c r="AE122" s="1492"/>
    </row>
    <row r="123" spans="1:31" s="844" customFormat="1" ht="12" customHeight="1">
      <c r="A123" s="1829">
        <v>2016</v>
      </c>
      <c r="B123" s="1829">
        <v>12</v>
      </c>
      <c r="C123" s="1829">
        <v>418361</v>
      </c>
      <c r="D123" s="1830" t="s">
        <v>454</v>
      </c>
      <c r="E123" s="1831">
        <v>42718</v>
      </c>
      <c r="F123" s="1831">
        <v>42722</v>
      </c>
      <c r="G123" s="1829">
        <v>5</v>
      </c>
      <c r="H123" s="1830" t="s">
        <v>640</v>
      </c>
      <c r="I123" s="1829">
        <v>1954</v>
      </c>
      <c r="J123" s="1830" t="s">
        <v>500</v>
      </c>
      <c r="K123" s="1829">
        <v>234</v>
      </c>
      <c r="L123" s="1830" t="s">
        <v>641</v>
      </c>
      <c r="M123" s="1830" t="s">
        <v>510</v>
      </c>
      <c r="N123" s="1829">
        <v>42.674999999999997</v>
      </c>
      <c r="O123" s="1829">
        <v>112</v>
      </c>
      <c r="P123" s="1829">
        <v>6</v>
      </c>
      <c r="Q123" s="1829">
        <v>8</v>
      </c>
      <c r="R123" s="1829">
        <v>3</v>
      </c>
      <c r="S123" s="1829">
        <v>773</v>
      </c>
      <c r="T123" s="1830" t="s">
        <v>672</v>
      </c>
      <c r="U123" s="1492"/>
      <c r="V123" s="1492"/>
      <c r="W123" s="1492"/>
      <c r="X123" s="1492"/>
      <c r="Y123" s="1492"/>
      <c r="Z123" s="1492"/>
      <c r="AA123" s="1492"/>
      <c r="AB123" s="1492"/>
      <c r="AC123" s="1492"/>
      <c r="AD123" s="1492"/>
      <c r="AE123" s="1492"/>
    </row>
    <row r="124" spans="1:31" s="844" customFormat="1" ht="12" customHeight="1">
      <c r="A124" s="1829">
        <v>2016</v>
      </c>
      <c r="B124" s="1829">
        <v>12</v>
      </c>
      <c r="C124" s="1829">
        <v>418374</v>
      </c>
      <c r="D124" s="1830" t="s">
        <v>644</v>
      </c>
      <c r="E124" s="1831">
        <v>42720</v>
      </c>
      <c r="F124" s="1831">
        <v>42723</v>
      </c>
      <c r="G124" s="1829">
        <v>4</v>
      </c>
      <c r="H124" s="1830" t="s">
        <v>712</v>
      </c>
      <c r="I124" s="1829">
        <v>1938</v>
      </c>
      <c r="J124" s="1830" t="s">
        <v>710</v>
      </c>
      <c r="K124" s="1829">
        <v>234</v>
      </c>
      <c r="L124" s="1830" t="s">
        <v>641</v>
      </c>
      <c r="M124" s="1830" t="s">
        <v>510</v>
      </c>
      <c r="N124" s="1829">
        <v>119.31699999999999</v>
      </c>
      <c r="O124" s="1829">
        <v>112</v>
      </c>
      <c r="P124" s="1829">
        <v>6</v>
      </c>
      <c r="Q124" s="1829">
        <v>8</v>
      </c>
      <c r="R124" s="1829">
        <v>3</v>
      </c>
      <c r="S124" s="1829">
        <v>777</v>
      </c>
      <c r="T124" s="1830" t="s">
        <v>711</v>
      </c>
      <c r="U124" s="1492"/>
      <c r="V124" s="1492"/>
      <c r="W124" s="1492"/>
      <c r="X124" s="1492"/>
      <c r="Y124" s="1492"/>
      <c r="Z124" s="1492"/>
      <c r="AA124" s="1492"/>
      <c r="AB124" s="1492"/>
      <c r="AC124" s="1492"/>
      <c r="AD124" s="1492"/>
      <c r="AE124" s="1492"/>
    </row>
    <row r="125" spans="1:31" s="844" customFormat="1" ht="12" customHeight="1">
      <c r="A125" s="1829">
        <v>2016</v>
      </c>
      <c r="B125" s="1829">
        <v>12</v>
      </c>
      <c r="C125" s="1829">
        <v>418374</v>
      </c>
      <c r="D125" s="1830" t="s">
        <v>644</v>
      </c>
      <c r="E125" s="1831">
        <v>42720</v>
      </c>
      <c r="F125" s="1831">
        <v>42723</v>
      </c>
      <c r="G125" s="1829">
        <v>4</v>
      </c>
      <c r="H125" s="1830" t="s">
        <v>712</v>
      </c>
      <c r="I125" s="1829">
        <v>1938</v>
      </c>
      <c r="J125" s="1830" t="s">
        <v>710</v>
      </c>
      <c r="K125" s="1829">
        <v>234</v>
      </c>
      <c r="L125" s="1830" t="s">
        <v>641</v>
      </c>
      <c r="M125" s="1830" t="s">
        <v>510</v>
      </c>
      <c r="N125" s="1829">
        <v>599.46299999999997</v>
      </c>
      <c r="O125" s="1829">
        <v>151</v>
      </c>
      <c r="P125" s="1829">
        <v>6</v>
      </c>
      <c r="Q125" s="1829">
        <v>8</v>
      </c>
      <c r="R125" s="1829">
        <v>3</v>
      </c>
      <c r="S125" s="1829">
        <v>777</v>
      </c>
      <c r="T125" s="1830" t="s">
        <v>711</v>
      </c>
      <c r="U125" s="1492"/>
      <c r="V125" s="1492"/>
      <c r="W125" s="1492"/>
      <c r="X125" s="1492"/>
      <c r="Y125" s="1492"/>
      <c r="Z125" s="1492"/>
      <c r="AA125" s="1492"/>
      <c r="AB125" s="1492"/>
      <c r="AC125" s="1492"/>
      <c r="AD125" s="1492"/>
      <c r="AE125" s="1492"/>
    </row>
    <row r="126" spans="1:31" ht="12" customHeight="1">
      <c r="A126" s="1829">
        <v>2016</v>
      </c>
      <c r="B126" s="1829">
        <v>12</v>
      </c>
      <c r="C126" s="1829">
        <v>418390</v>
      </c>
      <c r="D126" s="1830" t="s">
        <v>644</v>
      </c>
      <c r="E126" s="1831">
        <v>42721</v>
      </c>
      <c r="F126" s="1831">
        <v>42724</v>
      </c>
      <c r="G126" s="1829">
        <v>4</v>
      </c>
      <c r="H126" s="1830" t="s">
        <v>645</v>
      </c>
      <c r="I126" s="1829">
        <v>1962</v>
      </c>
      <c r="J126" s="1830" t="s">
        <v>455</v>
      </c>
      <c r="K126" s="1829">
        <v>234</v>
      </c>
      <c r="L126" s="1830" t="s">
        <v>641</v>
      </c>
      <c r="M126" s="1830" t="s">
        <v>510</v>
      </c>
      <c r="N126" s="1829">
        <v>750.91600000000005</v>
      </c>
      <c r="O126" s="1829">
        <v>152</v>
      </c>
      <c r="P126" s="1829">
        <v>7</v>
      </c>
      <c r="Q126" s="1829">
        <v>8</v>
      </c>
      <c r="R126" s="1829">
        <v>3</v>
      </c>
      <c r="S126" s="1829">
        <v>777</v>
      </c>
      <c r="T126" s="1830" t="s">
        <v>711</v>
      </c>
    </row>
    <row r="127" spans="1:31" ht="12" customHeight="1">
      <c r="A127" s="1829">
        <v>2016</v>
      </c>
      <c r="B127" s="1829">
        <v>12</v>
      </c>
      <c r="C127" s="1829">
        <v>418389</v>
      </c>
      <c r="D127" s="1830" t="s">
        <v>454</v>
      </c>
      <c r="E127" s="1831">
        <v>42721</v>
      </c>
      <c r="F127" s="1831">
        <v>42724</v>
      </c>
      <c r="G127" s="1829">
        <v>4</v>
      </c>
      <c r="H127" s="1830" t="s">
        <v>640</v>
      </c>
      <c r="I127" s="1829">
        <v>1975</v>
      </c>
      <c r="J127" s="1830" t="s">
        <v>498</v>
      </c>
      <c r="K127" s="1829">
        <v>234</v>
      </c>
      <c r="L127" s="1830" t="s">
        <v>641</v>
      </c>
      <c r="M127" s="1830" t="s">
        <v>510</v>
      </c>
      <c r="N127" s="1829">
        <v>857.71500000000003</v>
      </c>
      <c r="O127" s="1829">
        <v>113</v>
      </c>
      <c r="P127" s="1829">
        <v>7</v>
      </c>
      <c r="Q127" s="1829">
        <v>8</v>
      </c>
      <c r="R127" s="1829">
        <v>3</v>
      </c>
      <c r="S127" s="1829">
        <v>781</v>
      </c>
      <c r="T127" s="1830" t="s">
        <v>723</v>
      </c>
    </row>
    <row r="128" spans="1:31" ht="12" customHeight="1">
      <c r="A128" s="1829">
        <v>2016</v>
      </c>
      <c r="B128" s="1829">
        <v>12</v>
      </c>
      <c r="C128" s="1829">
        <v>418390</v>
      </c>
      <c r="D128" s="1830" t="s">
        <v>644</v>
      </c>
      <c r="E128" s="1831">
        <v>42721</v>
      </c>
      <c r="F128" s="1831">
        <v>42724</v>
      </c>
      <c r="G128" s="1829">
        <v>4</v>
      </c>
      <c r="H128" s="1830" t="s">
        <v>645</v>
      </c>
      <c r="I128" s="1829">
        <v>1962</v>
      </c>
      <c r="J128" s="1830" t="s">
        <v>455</v>
      </c>
      <c r="K128" s="1829">
        <v>234</v>
      </c>
      <c r="L128" s="1830" t="s">
        <v>641</v>
      </c>
      <c r="M128" s="1830" t="s">
        <v>510</v>
      </c>
      <c r="N128" s="1829">
        <v>101.774</v>
      </c>
      <c r="O128" s="1829">
        <v>152</v>
      </c>
      <c r="P128" s="1829">
        <v>7</v>
      </c>
      <c r="Q128" s="1829">
        <v>8</v>
      </c>
      <c r="R128" s="1829">
        <v>3</v>
      </c>
      <c r="S128" s="1829">
        <v>758</v>
      </c>
      <c r="T128" s="1830" t="s">
        <v>646</v>
      </c>
    </row>
    <row r="129" spans="1:20" ht="12" customHeight="1">
      <c r="A129" s="1829">
        <v>2016</v>
      </c>
      <c r="B129" s="1829">
        <v>12</v>
      </c>
      <c r="C129" s="1829">
        <v>418398</v>
      </c>
      <c r="D129" s="1830" t="s">
        <v>667</v>
      </c>
      <c r="E129" s="1831">
        <v>42720</v>
      </c>
      <c r="F129" s="1831">
        <v>42725</v>
      </c>
      <c r="G129" s="1829">
        <v>6</v>
      </c>
      <c r="H129" s="1830" t="s">
        <v>729</v>
      </c>
      <c r="I129" s="1829">
        <v>1974</v>
      </c>
      <c r="J129" s="1830" t="s">
        <v>730</v>
      </c>
      <c r="K129" s="1829">
        <v>234</v>
      </c>
      <c r="L129" s="1830" t="s">
        <v>641</v>
      </c>
      <c r="M129" s="1830" t="s">
        <v>510</v>
      </c>
      <c r="N129" s="1829">
        <v>500</v>
      </c>
      <c r="O129" s="1829">
        <v>152</v>
      </c>
      <c r="P129" s="1829">
        <v>7</v>
      </c>
      <c r="Q129" s="1829">
        <v>8</v>
      </c>
      <c r="R129" s="1829">
        <v>3</v>
      </c>
      <c r="S129" s="1829">
        <v>786</v>
      </c>
      <c r="T129" s="1830" t="s">
        <v>731</v>
      </c>
    </row>
    <row r="130" spans="1:20" ht="12" customHeight="1">
      <c r="A130" s="1829">
        <v>2016</v>
      </c>
      <c r="B130" s="1829">
        <v>12</v>
      </c>
      <c r="C130" s="1829">
        <v>418396</v>
      </c>
      <c r="D130" s="1830" t="s">
        <v>454</v>
      </c>
      <c r="E130" s="1831">
        <v>42722</v>
      </c>
      <c r="F130" s="1831">
        <v>42725</v>
      </c>
      <c r="G130" s="1829">
        <v>4</v>
      </c>
      <c r="H130" s="1830" t="s">
        <v>640</v>
      </c>
      <c r="I130" s="1829">
        <v>1954</v>
      </c>
      <c r="J130" s="1830" t="s">
        <v>500</v>
      </c>
      <c r="K130" s="1829">
        <v>234</v>
      </c>
      <c r="L130" s="1830" t="s">
        <v>641</v>
      </c>
      <c r="M130" s="1830" t="s">
        <v>510</v>
      </c>
      <c r="N130" s="1829">
        <v>296.3</v>
      </c>
      <c r="O130" s="1829">
        <v>113</v>
      </c>
      <c r="P130" s="1829">
        <v>7</v>
      </c>
      <c r="Q130" s="1829">
        <v>8</v>
      </c>
      <c r="R130" s="1829">
        <v>3</v>
      </c>
      <c r="S130" s="1829">
        <v>781</v>
      </c>
      <c r="T130" s="1830" t="s">
        <v>723</v>
      </c>
    </row>
    <row r="131" spans="1:20" ht="12" customHeight="1">
      <c r="A131" s="1829">
        <v>2016</v>
      </c>
      <c r="B131" s="1829">
        <v>12</v>
      </c>
      <c r="C131" s="1829">
        <v>418397</v>
      </c>
      <c r="D131" s="1830" t="s">
        <v>454</v>
      </c>
      <c r="E131" s="1831">
        <v>42721</v>
      </c>
      <c r="F131" s="1831">
        <v>42725</v>
      </c>
      <c r="G131" s="1829">
        <v>5</v>
      </c>
      <c r="H131" s="1830" t="s">
        <v>640</v>
      </c>
      <c r="I131" s="1829">
        <v>2530</v>
      </c>
      <c r="J131" s="1830" t="s">
        <v>497</v>
      </c>
      <c r="K131" s="1829">
        <v>234</v>
      </c>
      <c r="L131" s="1830" t="s">
        <v>641</v>
      </c>
      <c r="M131" s="1830" t="s">
        <v>510</v>
      </c>
      <c r="N131" s="1829">
        <v>836.625</v>
      </c>
      <c r="O131" s="1829">
        <v>113</v>
      </c>
      <c r="P131" s="1829">
        <v>7</v>
      </c>
      <c r="Q131" s="1829">
        <v>8</v>
      </c>
      <c r="R131" s="1829">
        <v>3</v>
      </c>
      <c r="S131" s="1829">
        <v>781</v>
      </c>
      <c r="T131" s="1830" t="s">
        <v>723</v>
      </c>
    </row>
    <row r="132" spans="1:20" ht="12" customHeight="1">
      <c r="A132" s="1829">
        <v>2016</v>
      </c>
      <c r="B132" s="1829">
        <v>12</v>
      </c>
      <c r="C132" s="1829">
        <v>418408</v>
      </c>
      <c r="D132" s="1830" t="s">
        <v>454</v>
      </c>
      <c r="E132" s="1831">
        <v>42722</v>
      </c>
      <c r="F132" s="1831">
        <v>42726</v>
      </c>
      <c r="G132" s="1829">
        <v>5</v>
      </c>
      <c r="H132" s="1830" t="s">
        <v>640</v>
      </c>
      <c r="I132" s="1829">
        <v>1942</v>
      </c>
      <c r="J132" s="1830" t="s">
        <v>671</v>
      </c>
      <c r="K132" s="1829">
        <v>234</v>
      </c>
      <c r="L132" s="1830" t="s">
        <v>641</v>
      </c>
      <c r="M132" s="1830" t="s">
        <v>510</v>
      </c>
      <c r="N132" s="1829">
        <v>256.57299999999998</v>
      </c>
      <c r="O132" s="1829">
        <v>113</v>
      </c>
      <c r="P132" s="1829">
        <v>7</v>
      </c>
      <c r="Q132" s="1829">
        <v>8</v>
      </c>
      <c r="R132" s="1829">
        <v>3</v>
      </c>
      <c r="S132" s="1829">
        <v>773</v>
      </c>
      <c r="T132" s="1830" t="s">
        <v>672</v>
      </c>
    </row>
    <row r="133" spans="1:20" ht="12" customHeight="1">
      <c r="A133" s="1829">
        <v>2016</v>
      </c>
      <c r="B133" s="1829">
        <v>12</v>
      </c>
      <c r="C133" s="1829">
        <v>418402</v>
      </c>
      <c r="D133" s="1830" t="s">
        <v>454</v>
      </c>
      <c r="E133" s="1831">
        <v>42722</v>
      </c>
      <c r="F133" s="1831">
        <v>42726</v>
      </c>
      <c r="G133" s="1829">
        <v>5</v>
      </c>
      <c r="H133" s="1830" t="s">
        <v>640</v>
      </c>
      <c r="I133" s="1829">
        <v>1954</v>
      </c>
      <c r="J133" s="1830" t="s">
        <v>500</v>
      </c>
      <c r="K133" s="1829">
        <v>234</v>
      </c>
      <c r="L133" s="1830" t="s">
        <v>641</v>
      </c>
      <c r="M133" s="1830" t="s">
        <v>510</v>
      </c>
      <c r="N133" s="1829">
        <v>171.64500000000001</v>
      </c>
      <c r="O133" s="1829">
        <v>113</v>
      </c>
      <c r="P133" s="1829">
        <v>7</v>
      </c>
      <c r="Q133" s="1829">
        <v>8</v>
      </c>
      <c r="R133" s="1829">
        <v>3</v>
      </c>
      <c r="S133" s="1829">
        <v>781</v>
      </c>
      <c r="T133" s="1830" t="s">
        <v>723</v>
      </c>
    </row>
    <row r="134" spans="1:20" ht="12" customHeight="1">
      <c r="A134" s="1829">
        <v>2016</v>
      </c>
      <c r="B134" s="1829">
        <v>12</v>
      </c>
      <c r="C134" s="1829">
        <v>418406</v>
      </c>
      <c r="D134" s="1830" t="s">
        <v>454</v>
      </c>
      <c r="E134" s="1831">
        <v>42723</v>
      </c>
      <c r="F134" s="1831">
        <v>42726</v>
      </c>
      <c r="G134" s="1829">
        <v>4</v>
      </c>
      <c r="H134" s="1830" t="s">
        <v>640</v>
      </c>
      <c r="I134" s="1829">
        <v>1977</v>
      </c>
      <c r="J134" s="1830" t="s">
        <v>499</v>
      </c>
      <c r="K134" s="1829">
        <v>234</v>
      </c>
      <c r="L134" s="1830" t="s">
        <v>641</v>
      </c>
      <c r="M134" s="1830" t="s">
        <v>510</v>
      </c>
      <c r="N134" s="1829">
        <v>235.1</v>
      </c>
      <c r="O134" s="1829">
        <v>113</v>
      </c>
      <c r="P134" s="1829">
        <v>7</v>
      </c>
      <c r="Q134" s="1829">
        <v>8</v>
      </c>
      <c r="R134" s="1829">
        <v>3</v>
      </c>
      <c r="S134" s="1829">
        <v>781</v>
      </c>
      <c r="T134" s="1830" t="s">
        <v>723</v>
      </c>
    </row>
    <row r="135" spans="1:20" ht="12" customHeight="1">
      <c r="A135" s="1829">
        <v>2016</v>
      </c>
      <c r="B135" s="1829">
        <v>12</v>
      </c>
      <c r="C135" s="1829">
        <v>418423</v>
      </c>
      <c r="D135" s="1830" t="s">
        <v>454</v>
      </c>
      <c r="E135" s="1831">
        <v>42723</v>
      </c>
      <c r="F135" s="1831">
        <v>42727</v>
      </c>
      <c r="G135" s="1829">
        <v>5</v>
      </c>
      <c r="H135" s="1830" t="s">
        <v>640</v>
      </c>
      <c r="I135" s="1829">
        <v>1977</v>
      </c>
      <c r="J135" s="1830" t="s">
        <v>499</v>
      </c>
      <c r="K135" s="1829">
        <v>234</v>
      </c>
      <c r="L135" s="1830" t="s">
        <v>641</v>
      </c>
      <c r="M135" s="1830" t="s">
        <v>510</v>
      </c>
      <c r="N135" s="1829">
        <v>310.495</v>
      </c>
      <c r="O135" s="1829">
        <v>113</v>
      </c>
      <c r="P135" s="1829">
        <v>7</v>
      </c>
      <c r="Q135" s="1829">
        <v>8</v>
      </c>
      <c r="R135" s="1829">
        <v>3</v>
      </c>
      <c r="S135" s="1829">
        <v>781</v>
      </c>
      <c r="T135" s="1830" t="s">
        <v>723</v>
      </c>
    </row>
    <row r="136" spans="1:20" s="1523" customFormat="1" ht="12" customHeight="1">
      <c r="A136" s="1829">
        <v>2016</v>
      </c>
      <c r="B136" s="1829">
        <v>12</v>
      </c>
      <c r="C136" s="1829">
        <v>418448</v>
      </c>
      <c r="D136" s="1830" t="s">
        <v>644</v>
      </c>
      <c r="E136" s="1831">
        <v>42725</v>
      </c>
      <c r="F136" s="1831">
        <v>42732</v>
      </c>
      <c r="G136" s="1829">
        <v>8</v>
      </c>
      <c r="H136" s="1830" t="s">
        <v>645</v>
      </c>
      <c r="I136" s="1829">
        <v>1962</v>
      </c>
      <c r="J136" s="1830" t="s">
        <v>455</v>
      </c>
      <c r="K136" s="1829">
        <v>234</v>
      </c>
      <c r="L136" s="1830" t="s">
        <v>641</v>
      </c>
      <c r="M136" s="1830" t="s">
        <v>510</v>
      </c>
      <c r="N136" s="1829">
        <v>188.36699999999999</v>
      </c>
      <c r="O136" s="1829">
        <v>153</v>
      </c>
      <c r="P136" s="1829">
        <v>8</v>
      </c>
      <c r="Q136" s="1829">
        <v>8</v>
      </c>
      <c r="R136" s="1829">
        <v>3</v>
      </c>
      <c r="S136" s="1829">
        <v>777</v>
      </c>
      <c r="T136" s="1830" t="s">
        <v>711</v>
      </c>
    </row>
    <row r="137" spans="1:20" s="1523" customFormat="1">
      <c r="L137" s="272"/>
      <c r="M137" s="272"/>
      <c r="N137" s="272"/>
      <c r="O137" s="272"/>
      <c r="P137" s="272"/>
      <c r="Q137" s="272"/>
    </row>
    <row r="138" spans="1:20" s="1523" customFormat="1">
      <c r="L138" s="272"/>
      <c r="M138" s="272"/>
      <c r="N138" s="272"/>
      <c r="O138" s="272"/>
      <c r="P138" s="272"/>
      <c r="Q138" s="272"/>
    </row>
    <row r="139" spans="1:20" s="1523" customFormat="1">
      <c r="L139" s="272"/>
      <c r="M139" s="272"/>
      <c r="N139" s="272"/>
      <c r="O139" s="272"/>
      <c r="P139" s="272"/>
      <c r="Q139" s="272"/>
    </row>
    <row r="140" spans="1:20" s="1523" customFormat="1">
      <c r="L140" s="272"/>
      <c r="M140" s="272"/>
      <c r="N140" s="272"/>
      <c r="O140" s="272"/>
      <c r="P140" s="272"/>
      <c r="Q140" s="272"/>
    </row>
    <row r="141" spans="1:20" s="1523" customFormat="1">
      <c r="L141" s="272"/>
      <c r="M141" s="272"/>
      <c r="N141" s="272"/>
      <c r="O141" s="272"/>
      <c r="P141" s="272"/>
      <c r="Q141" s="272"/>
    </row>
    <row r="142" spans="1:20" s="1523" customFormat="1">
      <c r="L142" s="272"/>
      <c r="M142" s="272"/>
      <c r="N142" s="272"/>
      <c r="O142" s="272"/>
      <c r="P142" s="272"/>
      <c r="Q142" s="272"/>
    </row>
    <row r="143" spans="1:20" s="1523" customFormat="1">
      <c r="L143" s="272"/>
      <c r="M143" s="272"/>
      <c r="N143" s="272"/>
      <c r="O143" s="272"/>
      <c r="P143" s="272"/>
      <c r="Q143" s="272"/>
    </row>
    <row r="144" spans="1:20" s="1523" customFormat="1">
      <c r="L144" s="272"/>
      <c r="M144" s="272"/>
      <c r="N144" s="272"/>
      <c r="O144" s="272"/>
      <c r="P144" s="272"/>
      <c r="Q144" s="272"/>
    </row>
    <row r="145" spans="12:17" s="1523" customFormat="1">
      <c r="L145" s="272"/>
      <c r="M145" s="272"/>
      <c r="N145" s="272"/>
      <c r="O145" s="272"/>
      <c r="P145" s="272"/>
      <c r="Q145" s="272"/>
    </row>
    <row r="146" spans="12:17" s="1523" customFormat="1">
      <c r="L146" s="272"/>
      <c r="M146" s="272"/>
      <c r="N146" s="272"/>
      <c r="O146" s="272"/>
      <c r="P146" s="272"/>
      <c r="Q146" s="272"/>
    </row>
    <row r="147" spans="12:17" s="1523" customFormat="1">
      <c r="L147" s="272"/>
      <c r="M147" s="272"/>
      <c r="N147" s="272"/>
      <c r="O147" s="272"/>
      <c r="P147" s="272"/>
      <c r="Q147" s="272"/>
    </row>
    <row r="148" spans="12:17" s="1523" customFormat="1">
      <c r="L148" s="272"/>
      <c r="M148" s="272"/>
      <c r="N148" s="272"/>
      <c r="O148" s="272"/>
      <c r="P148" s="272"/>
      <c r="Q148" s="272"/>
    </row>
    <row r="149" spans="12:17" s="1523" customFormat="1">
      <c r="L149" s="272"/>
      <c r="M149" s="272"/>
      <c r="N149" s="272"/>
      <c r="O149" s="272"/>
      <c r="P149" s="272"/>
      <c r="Q149" s="272"/>
    </row>
    <row r="150" spans="12:17" s="1523" customFormat="1">
      <c r="L150" s="272"/>
      <c r="M150" s="272"/>
      <c r="N150" s="272"/>
      <c r="O150" s="272"/>
      <c r="P150" s="272"/>
      <c r="Q150" s="272"/>
    </row>
    <row r="151" spans="12:17" s="1523" customFormat="1">
      <c r="L151" s="272"/>
      <c r="M151" s="272"/>
      <c r="N151" s="272"/>
      <c r="O151" s="272"/>
      <c r="P151" s="272"/>
      <c r="Q151" s="272"/>
    </row>
    <row r="152" spans="12:17" s="1523" customFormat="1">
      <c r="L152" s="272"/>
      <c r="M152" s="272"/>
      <c r="N152" s="272"/>
      <c r="O152" s="272"/>
      <c r="P152" s="272"/>
      <c r="Q152" s="272"/>
    </row>
    <row r="153" spans="12:17" s="1523" customFormat="1">
      <c r="L153" s="272"/>
      <c r="M153" s="272"/>
      <c r="N153" s="272"/>
      <c r="O153" s="272"/>
      <c r="P153" s="272"/>
      <c r="Q153" s="272"/>
    </row>
    <row r="154" spans="12:17" s="1523" customFormat="1">
      <c r="L154" s="272"/>
      <c r="M154" s="272"/>
      <c r="N154" s="272"/>
      <c r="O154" s="272"/>
      <c r="P154" s="272"/>
      <c r="Q154" s="272"/>
    </row>
    <row r="155" spans="12:17" s="1523" customFormat="1">
      <c r="L155" s="272"/>
      <c r="M155" s="272"/>
      <c r="N155" s="272"/>
      <c r="O155" s="272"/>
      <c r="P155" s="272"/>
      <c r="Q155" s="272"/>
    </row>
    <row r="156" spans="12:17" s="1523" customFormat="1">
      <c r="L156" s="272"/>
      <c r="M156" s="272"/>
      <c r="N156" s="272"/>
      <c r="O156" s="272"/>
      <c r="P156" s="272"/>
      <c r="Q156" s="272"/>
    </row>
    <row r="157" spans="12:17" s="1523" customFormat="1">
      <c r="L157" s="272"/>
      <c r="M157" s="272"/>
      <c r="N157" s="272"/>
      <c r="O157" s="272"/>
      <c r="P157" s="272"/>
      <c r="Q157" s="272"/>
    </row>
    <row r="158" spans="12:17" s="1523" customFormat="1">
      <c r="L158" s="272"/>
      <c r="M158" s="272"/>
      <c r="N158" s="272"/>
      <c r="O158" s="272"/>
      <c r="P158" s="272"/>
      <c r="Q158" s="272"/>
    </row>
    <row r="159" spans="12:17" s="1523" customFormat="1">
      <c r="L159" s="272"/>
      <c r="M159" s="272"/>
      <c r="N159" s="272"/>
      <c r="O159" s="272"/>
      <c r="P159" s="272"/>
      <c r="Q159" s="272"/>
    </row>
    <row r="160" spans="12:17" s="1523" customFormat="1">
      <c r="L160" s="272"/>
      <c r="M160" s="272"/>
      <c r="N160" s="272"/>
      <c r="O160" s="272"/>
      <c r="P160" s="272"/>
      <c r="Q160" s="272"/>
    </row>
    <row r="161" spans="12:17" s="1523" customFormat="1">
      <c r="L161" s="272"/>
      <c r="M161" s="272"/>
      <c r="N161" s="272"/>
      <c r="O161" s="272"/>
      <c r="P161" s="272"/>
      <c r="Q161" s="272"/>
    </row>
    <row r="162" spans="12:17" s="1523" customFormat="1">
      <c r="L162" s="272"/>
      <c r="M162" s="272"/>
      <c r="N162" s="272"/>
      <c r="O162" s="272"/>
      <c r="P162" s="272"/>
      <c r="Q162" s="272"/>
    </row>
    <row r="163" spans="12:17" s="1523" customFormat="1">
      <c r="L163" s="272"/>
      <c r="M163" s="272"/>
      <c r="N163" s="272"/>
      <c r="O163" s="272"/>
      <c r="P163" s="272"/>
      <c r="Q163" s="272"/>
    </row>
    <row r="164" spans="12:17" s="1523" customFormat="1">
      <c r="L164" s="272"/>
      <c r="M164" s="272"/>
      <c r="N164" s="272"/>
      <c r="O164" s="272"/>
      <c r="P164" s="272"/>
      <c r="Q164" s="272"/>
    </row>
    <row r="165" spans="12:17" s="1523" customFormat="1">
      <c r="L165" s="272"/>
      <c r="M165" s="272"/>
      <c r="N165" s="272"/>
      <c r="O165" s="272"/>
      <c r="P165" s="272"/>
      <c r="Q165" s="272"/>
    </row>
    <row r="166" spans="12:17" s="1523" customFormat="1">
      <c r="L166" s="272"/>
      <c r="M166" s="272"/>
      <c r="N166" s="272"/>
      <c r="O166" s="272"/>
      <c r="P166" s="272"/>
      <c r="Q166" s="272"/>
    </row>
    <row r="167" spans="12:17" s="1523" customFormat="1">
      <c r="L167" s="272"/>
      <c r="M167" s="272"/>
      <c r="N167" s="272"/>
      <c r="O167" s="272"/>
      <c r="P167" s="272"/>
      <c r="Q167" s="272"/>
    </row>
    <row r="168" spans="12:17" s="1523" customFormat="1">
      <c r="L168" s="272"/>
      <c r="M168" s="272"/>
      <c r="N168" s="272"/>
      <c r="O168" s="272"/>
      <c r="P168" s="272"/>
      <c r="Q168" s="272"/>
    </row>
    <row r="169" spans="12:17" s="1523" customFormat="1">
      <c r="L169" s="272"/>
      <c r="M169" s="272"/>
      <c r="N169" s="272"/>
      <c r="O169" s="272"/>
      <c r="P169" s="272"/>
      <c r="Q169" s="272"/>
    </row>
    <row r="170" spans="12:17" s="1523" customFormat="1">
      <c r="L170" s="272"/>
      <c r="M170" s="272"/>
      <c r="N170" s="272"/>
      <c r="O170" s="272"/>
      <c r="P170" s="272"/>
      <c r="Q170" s="272"/>
    </row>
    <row r="171" spans="12:17" s="1523" customFormat="1">
      <c r="L171" s="272"/>
      <c r="M171" s="272"/>
      <c r="N171" s="272"/>
      <c r="O171" s="272"/>
      <c r="P171" s="272"/>
      <c r="Q171" s="272"/>
    </row>
    <row r="172" spans="12:17" s="1523" customFormat="1">
      <c r="L172" s="272"/>
      <c r="M172" s="272"/>
      <c r="N172" s="272"/>
      <c r="O172" s="272"/>
      <c r="P172" s="272"/>
      <c r="Q172" s="272"/>
    </row>
    <row r="173" spans="12:17" s="1523" customFormat="1">
      <c r="L173" s="272"/>
      <c r="M173" s="272"/>
      <c r="N173" s="272"/>
      <c r="O173" s="272"/>
      <c r="P173" s="272"/>
      <c r="Q173" s="272"/>
    </row>
    <row r="174" spans="12:17" s="1523" customFormat="1">
      <c r="L174" s="272"/>
      <c r="M174" s="272"/>
      <c r="N174" s="272"/>
      <c r="O174" s="272"/>
      <c r="P174" s="272"/>
      <c r="Q174" s="272"/>
    </row>
    <row r="175" spans="12:17" s="1523" customFormat="1">
      <c r="L175" s="272"/>
      <c r="M175" s="272"/>
      <c r="N175" s="272"/>
      <c r="O175" s="272"/>
      <c r="P175" s="272"/>
      <c r="Q175" s="272"/>
    </row>
    <row r="176" spans="12:17" s="1523" customFormat="1">
      <c r="L176" s="272"/>
      <c r="M176" s="272"/>
      <c r="N176" s="272"/>
      <c r="O176" s="272"/>
      <c r="P176" s="272"/>
      <c r="Q176" s="272"/>
    </row>
    <row r="177" spans="12:17" s="1523" customFormat="1">
      <c r="L177" s="272"/>
      <c r="M177" s="272"/>
      <c r="N177" s="272"/>
      <c r="O177" s="272"/>
      <c r="P177" s="272"/>
      <c r="Q177" s="272"/>
    </row>
    <row r="178" spans="12:17" s="1523" customFormat="1">
      <c r="L178" s="272"/>
      <c r="M178" s="272"/>
      <c r="N178" s="272"/>
      <c r="O178" s="272"/>
      <c r="P178" s="272"/>
      <c r="Q178" s="272"/>
    </row>
    <row r="179" spans="12:17" s="1523" customFormat="1">
      <c r="L179" s="272"/>
      <c r="M179" s="272"/>
      <c r="N179" s="272"/>
      <c r="O179" s="272"/>
      <c r="P179" s="272"/>
      <c r="Q179" s="272"/>
    </row>
    <row r="180" spans="12:17" s="1523" customFormat="1">
      <c r="L180" s="272"/>
      <c r="M180" s="272"/>
      <c r="N180" s="272"/>
      <c r="O180" s="272"/>
      <c r="P180" s="272"/>
      <c r="Q180" s="272"/>
    </row>
    <row r="181" spans="12:17" s="1523" customFormat="1">
      <c r="L181" s="272"/>
      <c r="M181" s="272"/>
      <c r="N181" s="272"/>
      <c r="O181" s="272"/>
      <c r="P181" s="272"/>
      <c r="Q181" s="272"/>
    </row>
    <row r="182" spans="12:17" s="1523" customFormat="1">
      <c r="L182" s="272"/>
      <c r="M182" s="272"/>
      <c r="N182" s="272"/>
      <c r="O182" s="272"/>
      <c r="P182" s="272"/>
      <c r="Q182" s="272"/>
    </row>
    <row r="183" spans="12:17" s="1523" customFormat="1">
      <c r="L183" s="272"/>
      <c r="M183" s="272"/>
      <c r="N183" s="272"/>
      <c r="O183" s="272"/>
      <c r="P183" s="272"/>
      <c r="Q183" s="272"/>
    </row>
    <row r="184" spans="12:17" s="1523" customFormat="1">
      <c r="L184" s="272"/>
      <c r="M184" s="272"/>
      <c r="N184" s="272"/>
      <c r="O184" s="272"/>
      <c r="P184" s="272"/>
      <c r="Q184" s="272"/>
    </row>
    <row r="185" spans="12:17" s="1523" customFormat="1">
      <c r="L185" s="272"/>
      <c r="M185" s="272"/>
      <c r="N185" s="272"/>
      <c r="O185" s="272"/>
      <c r="P185" s="272"/>
      <c r="Q185" s="272"/>
    </row>
    <row r="186" spans="12:17" s="1523" customFormat="1">
      <c r="L186" s="272"/>
      <c r="M186" s="272"/>
      <c r="N186" s="272"/>
      <c r="O186" s="272"/>
      <c r="P186" s="272"/>
      <c r="Q186" s="272"/>
    </row>
    <row r="187" spans="12:17" s="1523" customFormat="1">
      <c r="L187" s="272"/>
      <c r="M187" s="272"/>
      <c r="N187" s="272"/>
      <c r="O187" s="272"/>
      <c r="P187" s="272"/>
      <c r="Q187" s="272"/>
    </row>
    <row r="188" spans="12:17" s="1523" customFormat="1">
      <c r="L188" s="272"/>
      <c r="M188" s="272"/>
      <c r="N188" s="272"/>
      <c r="O188" s="272"/>
      <c r="P188" s="272"/>
      <c r="Q188" s="272"/>
    </row>
    <row r="189" spans="12:17" s="1523" customFormat="1">
      <c r="L189" s="272"/>
      <c r="M189" s="272"/>
      <c r="N189" s="272"/>
      <c r="O189" s="272"/>
      <c r="P189" s="272"/>
      <c r="Q189" s="272"/>
    </row>
    <row r="190" spans="12:17" s="1523" customFormat="1">
      <c r="L190" s="272"/>
      <c r="M190" s="272"/>
      <c r="N190" s="272"/>
      <c r="O190" s="272"/>
      <c r="P190" s="272"/>
      <c r="Q190" s="272"/>
    </row>
    <row r="191" spans="12:17" s="1523" customFormat="1">
      <c r="L191" s="272"/>
      <c r="M191" s="272"/>
      <c r="N191" s="272"/>
      <c r="O191" s="272"/>
      <c r="P191" s="272"/>
      <c r="Q191" s="272"/>
    </row>
    <row r="192" spans="12:17" s="1523" customFormat="1">
      <c r="L192" s="272"/>
      <c r="M192" s="272"/>
      <c r="N192" s="272"/>
      <c r="O192" s="272"/>
      <c r="P192" s="272"/>
      <c r="Q192" s="272"/>
    </row>
    <row r="193" spans="12:17" s="1523" customFormat="1">
      <c r="L193" s="272"/>
      <c r="M193" s="272"/>
      <c r="N193" s="272"/>
      <c r="O193" s="272"/>
      <c r="P193" s="272"/>
      <c r="Q193" s="272"/>
    </row>
    <row r="194" spans="12:17" s="1523" customFormat="1">
      <c r="L194" s="272"/>
      <c r="M194" s="272"/>
      <c r="N194" s="272"/>
      <c r="O194" s="272"/>
      <c r="P194" s="272"/>
      <c r="Q194" s="272"/>
    </row>
    <row r="195" spans="12:17" s="1523" customFormat="1">
      <c r="L195" s="272"/>
      <c r="M195" s="272"/>
      <c r="N195" s="272"/>
      <c r="O195" s="272"/>
      <c r="P195" s="272"/>
      <c r="Q195" s="272"/>
    </row>
    <row r="196" spans="12:17" s="1523" customFormat="1">
      <c r="L196" s="272"/>
      <c r="M196" s="272"/>
      <c r="N196" s="272"/>
      <c r="O196" s="272"/>
      <c r="P196" s="272"/>
      <c r="Q196" s="272"/>
    </row>
    <row r="197" spans="12:17" s="1523" customFormat="1">
      <c r="L197" s="272"/>
      <c r="M197" s="272"/>
      <c r="N197" s="272"/>
      <c r="O197" s="272"/>
      <c r="P197" s="272"/>
      <c r="Q197" s="272"/>
    </row>
    <row r="198" spans="12:17" s="1523" customFormat="1">
      <c r="L198" s="272"/>
      <c r="M198" s="272"/>
      <c r="N198" s="272"/>
      <c r="O198" s="272"/>
      <c r="P198" s="272"/>
      <c r="Q198" s="272"/>
    </row>
    <row r="199" spans="12:17" s="1523" customFormat="1">
      <c r="L199" s="272"/>
      <c r="M199" s="272"/>
      <c r="N199" s="272"/>
      <c r="O199" s="272"/>
      <c r="P199" s="272"/>
      <c r="Q199" s="272"/>
    </row>
    <row r="200" spans="12:17" s="1523" customFormat="1">
      <c r="L200" s="272"/>
      <c r="M200" s="272"/>
      <c r="N200" s="272"/>
      <c r="O200" s="272"/>
      <c r="P200" s="272"/>
      <c r="Q200" s="272"/>
    </row>
    <row r="201" spans="12:17" s="1523" customFormat="1">
      <c r="L201" s="272"/>
      <c r="M201" s="272"/>
      <c r="N201" s="272"/>
      <c r="O201" s="272"/>
      <c r="P201" s="272"/>
      <c r="Q201" s="272"/>
    </row>
    <row r="202" spans="12:17" s="1523" customFormat="1">
      <c r="L202" s="272"/>
      <c r="M202" s="272"/>
      <c r="N202" s="272"/>
      <c r="O202" s="272"/>
      <c r="P202" s="272"/>
      <c r="Q202" s="272"/>
    </row>
    <row r="203" spans="12:17" s="1523" customFormat="1">
      <c r="L203" s="272"/>
      <c r="M203" s="272"/>
      <c r="N203" s="272"/>
      <c r="O203" s="272"/>
      <c r="P203" s="272"/>
      <c r="Q203" s="272"/>
    </row>
    <row r="204" spans="12:17" s="1523" customFormat="1">
      <c r="L204" s="272"/>
      <c r="M204" s="272"/>
      <c r="N204" s="272"/>
      <c r="O204" s="272"/>
      <c r="P204" s="272"/>
      <c r="Q204" s="272"/>
    </row>
    <row r="205" spans="12:17" s="1523" customFormat="1">
      <c r="L205" s="272"/>
      <c r="M205" s="272"/>
      <c r="N205" s="272"/>
      <c r="O205" s="272"/>
      <c r="P205" s="272"/>
      <c r="Q205" s="272"/>
    </row>
    <row r="206" spans="12:17" s="1523" customFormat="1">
      <c r="L206" s="272"/>
      <c r="M206" s="272"/>
      <c r="N206" s="272"/>
      <c r="O206" s="272"/>
      <c r="P206" s="272"/>
      <c r="Q206" s="272"/>
    </row>
    <row r="207" spans="12:17" s="1523" customFormat="1">
      <c r="L207" s="272"/>
      <c r="M207" s="272"/>
      <c r="N207" s="272"/>
      <c r="O207" s="272"/>
      <c r="P207" s="272"/>
      <c r="Q207" s="272"/>
    </row>
    <row r="208" spans="12:17" s="1523" customFormat="1">
      <c r="L208" s="272"/>
      <c r="M208" s="272"/>
      <c r="N208" s="272"/>
      <c r="O208" s="272"/>
      <c r="P208" s="272"/>
      <c r="Q208" s="272"/>
    </row>
    <row r="209" spans="12:17" s="1523" customFormat="1">
      <c r="L209" s="272"/>
      <c r="M209" s="272"/>
      <c r="N209" s="272"/>
      <c r="O209" s="272"/>
      <c r="P209" s="272"/>
      <c r="Q209" s="272"/>
    </row>
    <row r="210" spans="12:17" s="1523" customFormat="1">
      <c r="L210" s="272"/>
      <c r="M210" s="272"/>
      <c r="N210" s="272"/>
      <c r="O210" s="272"/>
      <c r="P210" s="272"/>
      <c r="Q210" s="272"/>
    </row>
    <row r="211" spans="12:17" s="1523" customFormat="1">
      <c r="L211" s="272"/>
      <c r="M211" s="272"/>
      <c r="N211" s="272"/>
      <c r="O211" s="272"/>
      <c r="P211" s="272"/>
      <c r="Q211" s="272"/>
    </row>
    <row r="212" spans="12:17" s="1523" customFormat="1">
      <c r="L212" s="272"/>
      <c r="M212" s="272"/>
      <c r="N212" s="272"/>
      <c r="O212" s="272"/>
      <c r="P212" s="272"/>
      <c r="Q212" s="272"/>
    </row>
    <row r="213" spans="12:17" s="1523" customFormat="1">
      <c r="L213" s="272"/>
      <c r="M213" s="272"/>
      <c r="N213" s="272"/>
      <c r="O213" s="272"/>
      <c r="P213" s="272"/>
      <c r="Q213" s="272"/>
    </row>
    <row r="214" spans="12:17" s="1523" customFormat="1">
      <c r="L214" s="272"/>
      <c r="M214" s="272"/>
      <c r="N214" s="272"/>
      <c r="O214" s="272"/>
      <c r="P214" s="272"/>
      <c r="Q214" s="272"/>
    </row>
    <row r="215" spans="12:17" s="1523" customFormat="1">
      <c r="L215" s="272"/>
      <c r="M215" s="272"/>
      <c r="N215" s="272"/>
      <c r="O215" s="272"/>
      <c r="P215" s="272"/>
      <c r="Q215" s="272"/>
    </row>
    <row r="216" spans="12:17" s="1523" customFormat="1">
      <c r="L216" s="272"/>
      <c r="M216" s="272"/>
      <c r="N216" s="272"/>
      <c r="O216" s="272"/>
      <c r="P216" s="272"/>
      <c r="Q216" s="272"/>
    </row>
    <row r="217" spans="12:17" s="1523" customFormat="1">
      <c r="L217" s="272"/>
      <c r="M217" s="272"/>
      <c r="N217" s="272"/>
      <c r="O217" s="272"/>
      <c r="P217" s="272"/>
      <c r="Q217" s="272"/>
    </row>
    <row r="218" spans="12:17" s="1523" customFormat="1">
      <c r="L218" s="272"/>
      <c r="M218" s="272"/>
      <c r="N218" s="272"/>
      <c r="O218" s="272"/>
      <c r="P218" s="272"/>
      <c r="Q218" s="272"/>
    </row>
    <row r="219" spans="12:17" s="1523" customFormat="1">
      <c r="L219" s="272"/>
      <c r="M219" s="272"/>
      <c r="N219" s="272"/>
      <c r="O219" s="272"/>
      <c r="P219" s="272"/>
      <c r="Q219" s="272"/>
    </row>
    <row r="220" spans="12:17" s="1523" customFormat="1">
      <c r="L220" s="272"/>
      <c r="M220" s="272"/>
      <c r="N220" s="272"/>
      <c r="O220" s="272"/>
      <c r="P220" s="272"/>
      <c r="Q220" s="272"/>
    </row>
    <row r="221" spans="12:17" s="1523" customFormat="1">
      <c r="L221" s="272"/>
      <c r="M221" s="272"/>
      <c r="N221" s="272"/>
      <c r="O221" s="272"/>
      <c r="P221" s="272"/>
      <c r="Q221" s="272"/>
    </row>
    <row r="222" spans="12:17" s="1523" customFormat="1">
      <c r="L222" s="272"/>
      <c r="M222" s="272"/>
      <c r="N222" s="272"/>
      <c r="O222" s="272"/>
      <c r="P222" s="272"/>
      <c r="Q222" s="272"/>
    </row>
    <row r="223" spans="12:17" s="1523" customFormat="1">
      <c r="L223" s="272"/>
      <c r="M223" s="272"/>
      <c r="N223" s="272"/>
      <c r="O223" s="272"/>
      <c r="P223" s="272"/>
      <c r="Q223" s="272"/>
    </row>
    <row r="224" spans="12:17" s="1523" customFormat="1">
      <c r="L224" s="272"/>
      <c r="M224" s="272"/>
      <c r="N224" s="272"/>
      <c r="O224" s="272"/>
      <c r="P224" s="272"/>
      <c r="Q224" s="272"/>
    </row>
    <row r="225" spans="12:17" s="1523" customFormat="1">
      <c r="L225" s="272"/>
      <c r="M225" s="272"/>
      <c r="N225" s="272"/>
      <c r="O225" s="272"/>
      <c r="P225" s="272"/>
      <c r="Q225" s="272"/>
    </row>
    <row r="226" spans="12:17" s="1523" customFormat="1">
      <c r="L226" s="272"/>
      <c r="M226" s="272"/>
      <c r="N226" s="272"/>
      <c r="O226" s="272"/>
      <c r="P226" s="272"/>
      <c r="Q226" s="272"/>
    </row>
    <row r="227" spans="12:17" s="1523" customFormat="1">
      <c r="L227" s="272"/>
      <c r="M227" s="272"/>
      <c r="N227" s="272"/>
      <c r="O227" s="272"/>
      <c r="P227" s="272"/>
      <c r="Q227" s="272"/>
    </row>
    <row r="228" spans="12:17" s="1523" customFormat="1">
      <c r="L228" s="272"/>
      <c r="M228" s="272"/>
      <c r="N228" s="272"/>
      <c r="O228" s="272"/>
      <c r="P228" s="272"/>
      <c r="Q228" s="272"/>
    </row>
    <row r="229" spans="12:17" s="1523" customFormat="1">
      <c r="L229" s="272"/>
      <c r="M229" s="272"/>
      <c r="N229" s="272"/>
      <c r="O229" s="272"/>
      <c r="P229" s="272"/>
      <c r="Q229" s="272"/>
    </row>
    <row r="230" spans="12:17" s="1523" customFormat="1">
      <c r="L230" s="272"/>
      <c r="M230" s="272"/>
      <c r="N230" s="272"/>
      <c r="O230" s="272"/>
      <c r="P230" s="272"/>
      <c r="Q230" s="272"/>
    </row>
    <row r="231" spans="12:17" s="1523" customFormat="1">
      <c r="L231" s="272"/>
      <c r="M231" s="272"/>
      <c r="N231" s="272"/>
      <c r="O231" s="272"/>
      <c r="P231" s="272"/>
      <c r="Q231" s="272"/>
    </row>
    <row r="232" spans="12:17" s="1523" customFormat="1">
      <c r="L232" s="272"/>
      <c r="M232" s="272"/>
      <c r="N232" s="272"/>
      <c r="O232" s="272"/>
      <c r="P232" s="272"/>
      <c r="Q232" s="272"/>
    </row>
    <row r="233" spans="12:17" s="1523" customFormat="1">
      <c r="L233" s="272"/>
      <c r="M233" s="272"/>
      <c r="N233" s="272"/>
      <c r="O233" s="272"/>
      <c r="P233" s="272"/>
      <c r="Q233" s="272"/>
    </row>
    <row r="234" spans="12:17" s="1523" customFormat="1">
      <c r="L234" s="272"/>
      <c r="M234" s="272"/>
      <c r="N234" s="272"/>
      <c r="O234" s="272"/>
      <c r="P234" s="272"/>
      <c r="Q234" s="272"/>
    </row>
    <row r="235" spans="12:17" s="1523" customFormat="1">
      <c r="L235" s="272"/>
      <c r="M235" s="272"/>
      <c r="N235" s="272"/>
      <c r="O235" s="272"/>
      <c r="P235" s="272"/>
      <c r="Q235" s="272"/>
    </row>
    <row r="236" spans="12:17" s="1523" customFormat="1">
      <c r="L236" s="272"/>
      <c r="M236" s="272"/>
      <c r="N236" s="272"/>
      <c r="O236" s="272"/>
      <c r="P236" s="272"/>
      <c r="Q236" s="272"/>
    </row>
    <row r="237" spans="12:17" s="1523" customFormat="1">
      <c r="L237" s="272"/>
      <c r="M237" s="272"/>
      <c r="N237" s="272"/>
      <c r="O237" s="272"/>
      <c r="P237" s="272"/>
      <c r="Q237" s="272"/>
    </row>
    <row r="238" spans="12:17" s="1523" customFormat="1">
      <c r="L238" s="272"/>
      <c r="M238" s="272"/>
      <c r="N238" s="272"/>
      <c r="O238" s="272"/>
      <c r="P238" s="272"/>
      <c r="Q238" s="272"/>
    </row>
    <row r="239" spans="12:17" s="1523" customFormat="1">
      <c r="L239" s="272"/>
      <c r="M239" s="272"/>
      <c r="N239" s="272"/>
      <c r="O239" s="272"/>
      <c r="P239" s="272"/>
      <c r="Q239" s="272"/>
    </row>
    <row r="240" spans="12:17" s="1523" customFormat="1">
      <c r="L240" s="272"/>
      <c r="M240" s="272"/>
      <c r="N240" s="272"/>
      <c r="O240" s="272"/>
      <c r="P240" s="272"/>
      <c r="Q240" s="272"/>
    </row>
    <row r="241" spans="12:17" s="1523" customFormat="1">
      <c r="L241" s="272"/>
      <c r="M241" s="272"/>
      <c r="N241" s="272"/>
      <c r="O241" s="272"/>
      <c r="P241" s="272"/>
      <c r="Q241" s="272"/>
    </row>
    <row r="242" spans="12:17" s="1523" customFormat="1">
      <c r="L242" s="272"/>
      <c r="M242" s="272"/>
      <c r="N242" s="272"/>
      <c r="O242" s="272"/>
      <c r="P242" s="272"/>
      <c r="Q242" s="272"/>
    </row>
    <row r="243" spans="12:17" s="1523" customFormat="1">
      <c r="L243" s="272"/>
      <c r="M243" s="272"/>
      <c r="N243" s="272"/>
      <c r="O243" s="272"/>
      <c r="P243" s="272"/>
      <c r="Q243" s="272"/>
    </row>
    <row r="244" spans="12:17" s="1523" customFormat="1">
      <c r="L244" s="272"/>
      <c r="M244" s="272"/>
      <c r="N244" s="272"/>
      <c r="O244" s="272"/>
      <c r="P244" s="272"/>
      <c r="Q244" s="272"/>
    </row>
    <row r="245" spans="12:17" s="1523" customFormat="1">
      <c r="L245" s="272"/>
      <c r="M245" s="272"/>
      <c r="N245" s="272"/>
      <c r="O245" s="272"/>
      <c r="P245" s="272"/>
      <c r="Q245" s="272"/>
    </row>
    <row r="246" spans="12:17" s="1523" customFormat="1">
      <c r="L246" s="272"/>
      <c r="M246" s="272"/>
      <c r="N246" s="272"/>
      <c r="O246" s="272"/>
      <c r="P246" s="272"/>
      <c r="Q246" s="272"/>
    </row>
    <row r="247" spans="12:17" s="1523" customFormat="1">
      <c r="L247" s="272"/>
      <c r="M247" s="272"/>
      <c r="N247" s="272"/>
      <c r="O247" s="272"/>
      <c r="P247" s="272"/>
      <c r="Q247" s="272"/>
    </row>
    <row r="248" spans="12:17" s="1523" customFormat="1">
      <c r="L248" s="272"/>
      <c r="M248" s="272"/>
      <c r="N248" s="272"/>
      <c r="O248" s="272"/>
      <c r="P248" s="272"/>
      <c r="Q248" s="272"/>
    </row>
    <row r="249" spans="12:17" s="1523" customFormat="1">
      <c r="L249" s="272"/>
      <c r="M249" s="272"/>
      <c r="N249" s="272"/>
      <c r="O249" s="272"/>
      <c r="P249" s="272"/>
      <c r="Q249" s="272"/>
    </row>
    <row r="250" spans="12:17" s="1523" customFormat="1">
      <c r="L250" s="272"/>
      <c r="M250" s="272"/>
      <c r="N250" s="272"/>
      <c r="O250" s="272"/>
      <c r="P250" s="272"/>
      <c r="Q250" s="272"/>
    </row>
    <row r="251" spans="12:17" s="1523" customFormat="1">
      <c r="L251" s="272"/>
      <c r="M251" s="272"/>
      <c r="N251" s="272"/>
      <c r="O251" s="272"/>
      <c r="P251" s="272"/>
      <c r="Q251" s="272"/>
    </row>
    <row r="252" spans="12:17" s="1523" customFormat="1">
      <c r="L252" s="272"/>
      <c r="M252" s="272"/>
      <c r="N252" s="272"/>
      <c r="O252" s="272"/>
      <c r="P252" s="272"/>
      <c r="Q252" s="272"/>
    </row>
    <row r="253" spans="12:17" s="1523" customFormat="1">
      <c r="L253" s="272"/>
      <c r="M253" s="272"/>
      <c r="N253" s="272"/>
      <c r="O253" s="272"/>
      <c r="P253" s="272"/>
      <c r="Q253" s="272"/>
    </row>
    <row r="254" spans="12:17" s="1523" customFormat="1">
      <c r="L254" s="272"/>
      <c r="M254" s="272"/>
      <c r="N254" s="272"/>
      <c r="O254" s="272"/>
      <c r="P254" s="272"/>
      <c r="Q254" s="272"/>
    </row>
    <row r="255" spans="12:17" s="1523" customFormat="1">
      <c r="L255" s="272"/>
      <c r="M255" s="272"/>
      <c r="N255" s="272"/>
      <c r="O255" s="272"/>
      <c r="P255" s="272"/>
      <c r="Q255" s="272"/>
    </row>
    <row r="256" spans="12:17" s="1523" customFormat="1">
      <c r="L256" s="272"/>
      <c r="M256" s="272"/>
      <c r="N256" s="272"/>
      <c r="O256" s="272"/>
      <c r="P256" s="272"/>
      <c r="Q256" s="272"/>
    </row>
    <row r="257" spans="12:17" s="1523" customFormat="1">
      <c r="L257" s="272"/>
      <c r="M257" s="272"/>
      <c r="N257" s="272"/>
      <c r="O257" s="272"/>
      <c r="P257" s="272"/>
      <c r="Q257" s="272"/>
    </row>
    <row r="258" spans="12:17" s="1523" customFormat="1">
      <c r="L258" s="272"/>
      <c r="M258" s="272"/>
      <c r="N258" s="272"/>
      <c r="O258" s="272"/>
      <c r="P258" s="272"/>
      <c r="Q258" s="272"/>
    </row>
    <row r="259" spans="12:17" s="1523" customFormat="1">
      <c r="L259" s="272"/>
      <c r="M259" s="272"/>
      <c r="N259" s="272"/>
      <c r="O259" s="272"/>
      <c r="P259" s="272"/>
      <c r="Q259" s="272"/>
    </row>
    <row r="260" spans="12:17" s="1523" customFormat="1">
      <c r="L260" s="272"/>
      <c r="M260" s="272"/>
      <c r="N260" s="272"/>
      <c r="O260" s="272"/>
      <c r="P260" s="272"/>
      <c r="Q260" s="272"/>
    </row>
    <row r="261" spans="12:17" s="1523" customFormat="1">
      <c r="L261" s="272"/>
      <c r="M261" s="272"/>
      <c r="N261" s="272"/>
      <c r="O261" s="272"/>
      <c r="P261" s="272"/>
      <c r="Q261" s="272"/>
    </row>
    <row r="262" spans="12:17" s="1523" customFormat="1">
      <c r="L262" s="272"/>
      <c r="M262" s="272"/>
      <c r="N262" s="272"/>
      <c r="O262" s="272"/>
      <c r="P262" s="272"/>
      <c r="Q262" s="272"/>
    </row>
    <row r="263" spans="12:17" s="1523" customFormat="1">
      <c r="L263" s="272"/>
      <c r="M263" s="272"/>
      <c r="N263" s="272"/>
      <c r="O263" s="272"/>
      <c r="P263" s="272"/>
      <c r="Q263" s="272"/>
    </row>
    <row r="264" spans="12:17" s="1523" customFormat="1">
      <c r="L264" s="272"/>
      <c r="M264" s="272"/>
      <c r="N264" s="272"/>
      <c r="O264" s="272"/>
      <c r="P264" s="272"/>
      <c r="Q264" s="272"/>
    </row>
    <row r="265" spans="12:17" s="1523" customFormat="1">
      <c r="L265" s="272"/>
      <c r="M265" s="272"/>
      <c r="N265" s="272"/>
      <c r="O265" s="272"/>
      <c r="P265" s="272"/>
      <c r="Q265" s="272"/>
    </row>
    <row r="266" spans="12:17" s="1523" customFormat="1">
      <c r="L266" s="272"/>
      <c r="M266" s="272"/>
      <c r="N266" s="272"/>
      <c r="O266" s="272"/>
      <c r="P266" s="272"/>
      <c r="Q266" s="272"/>
    </row>
    <row r="267" spans="12:17" s="1523" customFormat="1">
      <c r="L267" s="272"/>
      <c r="M267" s="272"/>
      <c r="N267" s="272"/>
      <c r="O267" s="272"/>
      <c r="P267" s="272"/>
      <c r="Q267" s="272"/>
    </row>
    <row r="268" spans="12:17" s="1523" customFormat="1">
      <c r="L268" s="272"/>
      <c r="M268" s="272"/>
      <c r="N268" s="272"/>
      <c r="O268" s="272"/>
      <c r="P268" s="272"/>
      <c r="Q268" s="272"/>
    </row>
    <row r="269" spans="12:17" s="1523" customFormat="1">
      <c r="L269" s="272"/>
      <c r="M269" s="272"/>
      <c r="N269" s="272"/>
      <c r="O269" s="272"/>
      <c r="P269" s="272"/>
      <c r="Q269" s="272"/>
    </row>
    <row r="270" spans="12:17" s="1523" customFormat="1">
      <c r="L270" s="272"/>
      <c r="M270" s="272"/>
      <c r="N270" s="272"/>
      <c r="O270" s="272"/>
      <c r="P270" s="272"/>
      <c r="Q270" s="272"/>
    </row>
    <row r="271" spans="12:17" s="1523" customFormat="1">
      <c r="L271" s="272"/>
      <c r="M271" s="272"/>
      <c r="N271" s="272"/>
      <c r="O271" s="272"/>
      <c r="P271" s="272"/>
      <c r="Q271" s="272"/>
    </row>
    <row r="272" spans="12:17" s="1523" customFormat="1">
      <c r="L272" s="272"/>
      <c r="M272" s="272"/>
      <c r="N272" s="272"/>
      <c r="O272" s="272"/>
      <c r="P272" s="272"/>
      <c r="Q272" s="272"/>
    </row>
    <row r="273" spans="12:17" s="1523" customFormat="1">
      <c r="L273" s="272"/>
      <c r="M273" s="272"/>
      <c r="N273" s="272"/>
      <c r="O273" s="272"/>
      <c r="P273" s="272"/>
      <c r="Q273" s="272"/>
    </row>
    <row r="274" spans="12:17" s="1523" customFormat="1">
      <c r="L274" s="272"/>
      <c r="M274" s="272"/>
      <c r="N274" s="272"/>
      <c r="O274" s="272"/>
      <c r="P274" s="272"/>
      <c r="Q274" s="272"/>
    </row>
    <row r="275" spans="12:17" s="1523" customFormat="1">
      <c r="L275" s="272"/>
      <c r="M275" s="272"/>
      <c r="N275" s="272"/>
      <c r="O275" s="272"/>
      <c r="P275" s="272"/>
      <c r="Q275" s="272"/>
    </row>
    <row r="276" spans="12:17" s="1523" customFormat="1">
      <c r="L276" s="272"/>
      <c r="M276" s="272"/>
      <c r="N276" s="272"/>
      <c r="O276" s="272"/>
      <c r="P276" s="272"/>
      <c r="Q276" s="272"/>
    </row>
    <row r="277" spans="12:17" s="1523" customFormat="1">
      <c r="L277" s="272"/>
      <c r="M277" s="272"/>
      <c r="N277" s="272"/>
      <c r="O277" s="272"/>
      <c r="P277" s="272"/>
      <c r="Q277" s="272"/>
    </row>
    <row r="278" spans="12:17" s="1523" customFormat="1">
      <c r="L278" s="272"/>
      <c r="M278" s="272"/>
      <c r="N278" s="272"/>
      <c r="O278" s="272"/>
      <c r="P278" s="272"/>
      <c r="Q278" s="272"/>
    </row>
    <row r="279" spans="12:17" s="1523" customFormat="1">
      <c r="L279" s="272"/>
      <c r="M279" s="272"/>
      <c r="N279" s="272"/>
      <c r="O279" s="272"/>
      <c r="P279" s="272"/>
      <c r="Q279" s="272"/>
    </row>
    <row r="280" spans="12:17" s="1523" customFormat="1">
      <c r="L280" s="272"/>
      <c r="M280" s="272"/>
      <c r="N280" s="272"/>
      <c r="O280" s="272"/>
      <c r="P280" s="272"/>
      <c r="Q280" s="272"/>
    </row>
    <row r="281" spans="12:17" s="1523" customFormat="1">
      <c r="L281" s="272"/>
      <c r="M281" s="272"/>
      <c r="N281" s="272"/>
      <c r="O281" s="272"/>
      <c r="P281" s="272"/>
      <c r="Q281" s="272"/>
    </row>
    <row r="282" spans="12:17" s="1523" customFormat="1">
      <c r="L282" s="272"/>
      <c r="M282" s="272"/>
      <c r="N282" s="272"/>
      <c r="O282" s="272"/>
      <c r="P282" s="272"/>
      <c r="Q282" s="272"/>
    </row>
    <row r="283" spans="12:17" s="1523" customFormat="1">
      <c r="L283" s="272"/>
      <c r="M283" s="272"/>
      <c r="N283" s="272"/>
      <c r="O283" s="272"/>
      <c r="P283" s="272"/>
      <c r="Q283" s="272"/>
    </row>
    <row r="284" spans="12:17" s="1523" customFormat="1">
      <c r="L284" s="272"/>
      <c r="M284" s="272"/>
      <c r="N284" s="272"/>
      <c r="O284" s="272"/>
      <c r="P284" s="272"/>
      <c r="Q284" s="272"/>
    </row>
    <row r="285" spans="12:17" s="1523" customFormat="1">
      <c r="L285" s="272"/>
      <c r="M285" s="272"/>
      <c r="N285" s="272"/>
      <c r="O285" s="272"/>
      <c r="P285" s="272"/>
      <c r="Q285" s="272"/>
    </row>
    <row r="286" spans="12:17" s="1523" customFormat="1">
      <c r="L286" s="272"/>
      <c r="M286" s="272"/>
      <c r="N286" s="272"/>
      <c r="O286" s="272"/>
      <c r="P286" s="272"/>
      <c r="Q286" s="272"/>
    </row>
    <row r="287" spans="12:17" s="1523" customFormat="1">
      <c r="L287" s="272"/>
      <c r="M287" s="272"/>
      <c r="N287" s="272"/>
      <c r="O287" s="272"/>
      <c r="P287" s="272"/>
      <c r="Q287" s="272"/>
    </row>
    <row r="288" spans="12:17" s="1523" customFormat="1">
      <c r="L288" s="272"/>
      <c r="M288" s="272"/>
      <c r="N288" s="272"/>
      <c r="O288" s="272"/>
      <c r="P288" s="272"/>
      <c r="Q288" s="272"/>
    </row>
    <row r="289" spans="12:17" s="1523" customFormat="1">
      <c r="L289" s="272"/>
      <c r="M289" s="272"/>
      <c r="N289" s="272"/>
      <c r="O289" s="272"/>
      <c r="P289" s="272"/>
      <c r="Q289" s="272"/>
    </row>
    <row r="290" spans="12:17" s="1523" customFormat="1">
      <c r="L290" s="272"/>
      <c r="M290" s="272"/>
      <c r="N290" s="272"/>
      <c r="O290" s="272"/>
      <c r="P290" s="272"/>
      <c r="Q290" s="272"/>
    </row>
    <row r="291" spans="12:17" s="1523" customFormat="1">
      <c r="L291" s="272"/>
      <c r="M291" s="272"/>
      <c r="N291" s="272"/>
      <c r="O291" s="272"/>
      <c r="P291" s="272"/>
      <c r="Q291" s="272"/>
    </row>
    <row r="292" spans="12:17" s="1523" customFormat="1">
      <c r="L292" s="272"/>
      <c r="M292" s="272"/>
      <c r="N292" s="272"/>
      <c r="O292" s="272"/>
      <c r="P292" s="272"/>
      <c r="Q292" s="272"/>
    </row>
    <row r="293" spans="12:17" s="1523" customFormat="1">
      <c r="L293" s="272"/>
      <c r="M293" s="272"/>
      <c r="N293" s="272"/>
      <c r="O293" s="272"/>
      <c r="P293" s="272"/>
      <c r="Q293" s="272"/>
    </row>
    <row r="294" spans="12:17" s="1523" customFormat="1">
      <c r="L294" s="272"/>
      <c r="M294" s="272"/>
      <c r="N294" s="272"/>
      <c r="O294" s="272"/>
      <c r="P294" s="272"/>
      <c r="Q294" s="272"/>
    </row>
    <row r="295" spans="12:17" s="1523" customFormat="1">
      <c r="L295" s="272"/>
      <c r="M295" s="272"/>
      <c r="N295" s="272"/>
      <c r="O295" s="272"/>
      <c r="P295" s="272"/>
      <c r="Q295" s="272"/>
    </row>
    <row r="296" spans="12:17" s="1523" customFormat="1">
      <c r="L296" s="272"/>
      <c r="M296" s="272"/>
      <c r="N296" s="272"/>
      <c r="O296" s="272"/>
      <c r="P296" s="272"/>
      <c r="Q296" s="272"/>
    </row>
    <row r="297" spans="12:17" s="1523" customFormat="1">
      <c r="L297" s="272"/>
      <c r="M297" s="272"/>
      <c r="N297" s="272"/>
      <c r="O297" s="272"/>
      <c r="P297" s="272"/>
      <c r="Q297" s="272"/>
    </row>
    <row r="298" spans="12:17" s="1523" customFormat="1">
      <c r="L298" s="272"/>
      <c r="M298" s="272"/>
      <c r="N298" s="272"/>
      <c r="O298" s="272"/>
      <c r="P298" s="272"/>
      <c r="Q298" s="272"/>
    </row>
    <row r="299" spans="12:17" s="1523" customFormat="1">
      <c r="L299" s="272"/>
      <c r="M299" s="272"/>
      <c r="N299" s="272"/>
      <c r="O299" s="272"/>
      <c r="P299" s="272"/>
      <c r="Q299" s="272"/>
    </row>
    <row r="300" spans="12:17" s="1523" customFormat="1">
      <c r="L300" s="272"/>
      <c r="M300" s="272"/>
      <c r="N300" s="272"/>
      <c r="O300" s="272"/>
      <c r="P300" s="272"/>
      <c r="Q300" s="272"/>
    </row>
    <row r="301" spans="12:17" s="1523" customFormat="1">
      <c r="L301" s="272"/>
      <c r="M301" s="272"/>
      <c r="N301" s="272"/>
      <c r="O301" s="272"/>
      <c r="P301" s="272"/>
      <c r="Q301" s="272"/>
    </row>
    <row r="302" spans="12:17" s="1523" customFormat="1">
      <c r="L302" s="272"/>
      <c r="M302" s="272"/>
      <c r="N302" s="272"/>
      <c r="O302" s="272"/>
      <c r="P302" s="272"/>
      <c r="Q302" s="272"/>
    </row>
    <row r="303" spans="12:17" s="1523" customFormat="1">
      <c r="L303" s="272"/>
      <c r="M303" s="272"/>
      <c r="N303" s="272"/>
      <c r="O303" s="272"/>
      <c r="P303" s="272"/>
      <c r="Q303" s="272"/>
    </row>
    <row r="304" spans="12:17" s="1523" customFormat="1">
      <c r="L304" s="272"/>
      <c r="M304" s="272"/>
      <c r="N304" s="272"/>
      <c r="O304" s="272"/>
      <c r="P304" s="272"/>
      <c r="Q304" s="272"/>
    </row>
    <row r="305" spans="12:17" s="1523" customFormat="1">
      <c r="L305" s="272"/>
      <c r="M305" s="272"/>
      <c r="N305" s="272"/>
      <c r="O305" s="272"/>
      <c r="P305" s="272"/>
      <c r="Q305" s="272"/>
    </row>
    <row r="306" spans="12:17" s="1523" customFormat="1">
      <c r="L306" s="272"/>
      <c r="M306" s="272"/>
      <c r="N306" s="272"/>
      <c r="O306" s="272"/>
      <c r="P306" s="272"/>
      <c r="Q306" s="272"/>
    </row>
    <row r="307" spans="12:17" s="1523" customFormat="1">
      <c r="L307" s="272"/>
      <c r="M307" s="272"/>
      <c r="N307" s="272"/>
      <c r="O307" s="272"/>
      <c r="P307" s="272"/>
      <c r="Q307" s="272"/>
    </row>
    <row r="308" spans="12:17" s="1523" customFormat="1">
      <c r="L308" s="272"/>
      <c r="M308" s="272"/>
      <c r="N308" s="272"/>
      <c r="O308" s="272"/>
      <c r="P308" s="272"/>
      <c r="Q308" s="272"/>
    </row>
    <row r="309" spans="12:17" s="1523" customFormat="1">
      <c r="L309" s="272"/>
      <c r="M309" s="272"/>
      <c r="N309" s="272"/>
      <c r="O309" s="272"/>
      <c r="P309" s="272"/>
      <c r="Q309" s="272"/>
    </row>
    <row r="310" spans="12:17" s="1523" customFormat="1">
      <c r="L310" s="272"/>
      <c r="M310" s="272"/>
      <c r="N310" s="272"/>
      <c r="O310" s="272"/>
      <c r="P310" s="272"/>
      <c r="Q310" s="272"/>
    </row>
    <row r="311" spans="12:17" s="1523" customFormat="1">
      <c r="L311" s="272"/>
      <c r="M311" s="272"/>
      <c r="N311" s="272"/>
      <c r="O311" s="272"/>
      <c r="P311" s="272"/>
      <c r="Q311" s="272"/>
    </row>
    <row r="312" spans="12:17" s="1523" customFormat="1">
      <c r="L312" s="272"/>
      <c r="M312" s="272"/>
      <c r="N312" s="272"/>
      <c r="O312" s="272"/>
      <c r="P312" s="272"/>
      <c r="Q312" s="272"/>
    </row>
    <row r="313" spans="12:17" s="1523" customFormat="1">
      <c r="L313" s="272"/>
      <c r="M313" s="272"/>
      <c r="N313" s="272"/>
      <c r="O313" s="272"/>
      <c r="P313" s="272"/>
      <c r="Q313" s="272"/>
    </row>
    <row r="314" spans="12:17" s="1523" customFormat="1">
      <c r="L314" s="272"/>
      <c r="M314" s="272"/>
      <c r="N314" s="272"/>
      <c r="O314" s="272"/>
      <c r="P314" s="272"/>
      <c r="Q314" s="272"/>
    </row>
    <row r="315" spans="12:17" s="1523" customFormat="1">
      <c r="L315" s="272"/>
      <c r="M315" s="272"/>
      <c r="N315" s="272"/>
      <c r="O315" s="272"/>
      <c r="P315" s="272"/>
      <c r="Q315" s="272"/>
    </row>
    <row r="316" spans="12:17" s="1523" customFormat="1">
      <c r="L316" s="272"/>
      <c r="M316" s="272"/>
      <c r="N316" s="272"/>
      <c r="O316" s="272"/>
      <c r="P316" s="272"/>
      <c r="Q316" s="272"/>
    </row>
    <row r="317" spans="12:17" s="1523" customFormat="1">
      <c r="L317" s="272"/>
      <c r="M317" s="272"/>
      <c r="N317" s="272"/>
      <c r="O317" s="272"/>
      <c r="P317" s="272"/>
      <c r="Q317" s="272"/>
    </row>
    <row r="318" spans="12:17" s="1523" customFormat="1">
      <c r="L318" s="272"/>
      <c r="M318" s="272"/>
      <c r="N318" s="272"/>
      <c r="O318" s="272"/>
      <c r="P318" s="272"/>
      <c r="Q318" s="272"/>
    </row>
    <row r="319" spans="12:17" s="1523" customFormat="1">
      <c r="L319" s="272"/>
      <c r="M319" s="272"/>
      <c r="N319" s="272"/>
      <c r="O319" s="272"/>
      <c r="P319" s="272"/>
      <c r="Q319" s="272"/>
    </row>
    <row r="320" spans="12:17" s="1523" customFormat="1">
      <c r="L320" s="272"/>
      <c r="M320" s="272"/>
      <c r="N320" s="272"/>
      <c r="O320" s="272"/>
      <c r="P320" s="272"/>
      <c r="Q320" s="272"/>
    </row>
    <row r="321" spans="12:17" s="1523" customFormat="1">
      <c r="L321" s="272"/>
      <c r="M321" s="272"/>
      <c r="N321" s="272"/>
      <c r="O321" s="272"/>
      <c r="P321" s="272"/>
      <c r="Q321" s="272"/>
    </row>
    <row r="322" spans="12:17" s="1523" customFormat="1">
      <c r="L322" s="272"/>
      <c r="M322" s="272"/>
      <c r="N322" s="272"/>
      <c r="O322" s="272"/>
      <c r="P322" s="272"/>
      <c r="Q322" s="272"/>
    </row>
    <row r="323" spans="12:17" s="1523" customFormat="1">
      <c r="L323" s="272"/>
      <c r="M323" s="272"/>
      <c r="N323" s="272"/>
      <c r="O323" s="272"/>
      <c r="P323" s="272"/>
      <c r="Q323" s="272"/>
    </row>
    <row r="324" spans="12:17" s="1523" customFormat="1">
      <c r="L324" s="272"/>
      <c r="M324" s="272"/>
      <c r="N324" s="272"/>
      <c r="O324" s="272"/>
      <c r="P324" s="272"/>
      <c r="Q324" s="272"/>
    </row>
    <row r="325" spans="12:17" s="1523" customFormat="1">
      <c r="L325" s="272"/>
      <c r="M325" s="272"/>
      <c r="N325" s="272"/>
      <c r="O325" s="272"/>
      <c r="P325" s="272"/>
      <c r="Q325" s="272"/>
    </row>
    <row r="326" spans="12:17" s="1523" customFormat="1">
      <c r="L326" s="272"/>
      <c r="M326" s="272"/>
      <c r="N326" s="272"/>
      <c r="O326" s="272"/>
      <c r="P326" s="272"/>
      <c r="Q326" s="272"/>
    </row>
    <row r="327" spans="12:17" s="1523" customFormat="1">
      <c r="L327" s="272"/>
      <c r="M327" s="272"/>
      <c r="N327" s="272"/>
      <c r="O327" s="272"/>
      <c r="P327" s="272"/>
      <c r="Q327" s="272"/>
    </row>
    <row r="328" spans="12:17" s="1523" customFormat="1">
      <c r="L328" s="272"/>
      <c r="M328" s="272"/>
      <c r="N328" s="272"/>
      <c r="O328" s="272"/>
      <c r="P328" s="272"/>
      <c r="Q328" s="272"/>
    </row>
    <row r="329" spans="12:17" s="1523" customFormat="1">
      <c r="L329" s="272"/>
      <c r="M329" s="272"/>
      <c r="N329" s="272"/>
      <c r="O329" s="272"/>
      <c r="P329" s="272"/>
      <c r="Q329" s="272"/>
    </row>
    <row r="330" spans="12:17" s="1523" customFormat="1">
      <c r="L330" s="272"/>
      <c r="M330" s="272"/>
      <c r="N330" s="272"/>
      <c r="O330" s="272"/>
      <c r="P330" s="272"/>
      <c r="Q330" s="272"/>
    </row>
    <row r="331" spans="12:17" s="1523" customFormat="1">
      <c r="L331" s="272"/>
      <c r="M331" s="272"/>
      <c r="N331" s="272"/>
      <c r="O331" s="272"/>
      <c r="P331" s="272"/>
      <c r="Q331" s="272"/>
    </row>
    <row r="332" spans="12:17" s="1523" customFormat="1">
      <c r="L332" s="272"/>
      <c r="M332" s="272"/>
      <c r="N332" s="272"/>
      <c r="O332" s="272"/>
      <c r="P332" s="272"/>
      <c r="Q332" s="272"/>
    </row>
    <row r="333" spans="12:17" s="1523" customFormat="1">
      <c r="L333" s="272"/>
      <c r="M333" s="272"/>
      <c r="N333" s="272"/>
      <c r="O333" s="272"/>
      <c r="P333" s="272"/>
      <c r="Q333" s="272"/>
    </row>
    <row r="334" spans="12:17" s="1523" customFormat="1">
      <c r="L334" s="272"/>
      <c r="M334" s="272"/>
      <c r="N334" s="272"/>
      <c r="O334" s="272"/>
      <c r="P334" s="272"/>
      <c r="Q334" s="272"/>
    </row>
    <row r="335" spans="12:17" s="1523" customFormat="1">
      <c r="L335" s="272"/>
      <c r="M335" s="272"/>
      <c r="N335" s="272"/>
      <c r="O335" s="272"/>
      <c r="P335" s="272"/>
      <c r="Q335" s="272"/>
    </row>
    <row r="336" spans="12:17" s="1523" customFormat="1">
      <c r="L336" s="272"/>
      <c r="M336" s="272"/>
      <c r="N336" s="272"/>
      <c r="O336" s="272"/>
      <c r="P336" s="272"/>
      <c r="Q336" s="272"/>
    </row>
    <row r="337" spans="12:17" s="1523" customFormat="1">
      <c r="L337" s="272"/>
      <c r="M337" s="272"/>
      <c r="N337" s="272"/>
      <c r="O337" s="272"/>
      <c r="P337" s="272"/>
      <c r="Q337" s="272"/>
    </row>
    <row r="338" spans="12:17" s="1523" customFormat="1">
      <c r="L338" s="272"/>
      <c r="M338" s="272"/>
      <c r="N338" s="272"/>
      <c r="O338" s="272"/>
      <c r="P338" s="272"/>
      <c r="Q338" s="272"/>
    </row>
    <row r="339" spans="12:17" s="1523" customFormat="1">
      <c r="L339" s="272"/>
      <c r="M339" s="272"/>
      <c r="N339" s="272"/>
      <c r="O339" s="272"/>
      <c r="P339" s="272"/>
      <c r="Q339" s="272"/>
    </row>
    <row r="340" spans="12:17" s="1523" customFormat="1">
      <c r="L340" s="272"/>
      <c r="M340" s="272"/>
      <c r="N340" s="272"/>
      <c r="O340" s="272"/>
      <c r="P340" s="272"/>
      <c r="Q340" s="272"/>
    </row>
    <row r="341" spans="12:17" s="1523" customFormat="1">
      <c r="L341" s="272"/>
      <c r="M341" s="272"/>
      <c r="N341" s="272"/>
      <c r="O341" s="272"/>
      <c r="P341" s="272"/>
      <c r="Q341" s="272"/>
    </row>
    <row r="342" spans="12:17" s="1523" customFormat="1">
      <c r="L342" s="272"/>
      <c r="M342" s="272"/>
      <c r="N342" s="272"/>
      <c r="O342" s="272"/>
      <c r="P342" s="272"/>
      <c r="Q342" s="272"/>
    </row>
    <row r="343" spans="12:17" s="1523" customFormat="1">
      <c r="L343" s="272"/>
      <c r="M343" s="272"/>
      <c r="N343" s="272"/>
      <c r="O343" s="272"/>
      <c r="P343" s="272"/>
      <c r="Q343" s="272"/>
    </row>
    <row r="344" spans="12:17" s="1523" customFormat="1">
      <c r="L344" s="272"/>
      <c r="M344" s="272"/>
      <c r="N344" s="272"/>
      <c r="O344" s="272"/>
      <c r="P344" s="272"/>
      <c r="Q344" s="272"/>
    </row>
    <row r="345" spans="12:17" s="1523" customFormat="1">
      <c r="L345" s="272"/>
      <c r="M345" s="272"/>
      <c r="N345" s="272"/>
      <c r="O345" s="272"/>
      <c r="P345" s="272"/>
      <c r="Q345" s="272"/>
    </row>
    <row r="346" spans="12:17" s="1523" customFormat="1">
      <c r="L346" s="272"/>
      <c r="M346" s="272"/>
      <c r="N346" s="272"/>
      <c r="O346" s="272"/>
      <c r="P346" s="272"/>
      <c r="Q346" s="272"/>
    </row>
    <row r="347" spans="12:17" s="1523" customFormat="1">
      <c r="L347" s="272"/>
      <c r="M347" s="272"/>
      <c r="N347" s="272"/>
      <c r="O347" s="272"/>
      <c r="P347" s="272"/>
      <c r="Q347" s="272"/>
    </row>
    <row r="348" spans="12:17" s="1523" customFormat="1">
      <c r="L348" s="272"/>
      <c r="M348" s="272"/>
      <c r="N348" s="272"/>
      <c r="O348" s="272"/>
      <c r="P348" s="272"/>
      <c r="Q348" s="272"/>
    </row>
    <row r="349" spans="12:17" s="1523" customFormat="1">
      <c r="L349" s="272"/>
      <c r="M349" s="272"/>
      <c r="N349" s="272"/>
      <c r="O349" s="272"/>
      <c r="P349" s="272"/>
      <c r="Q349" s="272"/>
    </row>
    <row r="350" spans="12:17" s="1523" customFormat="1">
      <c r="L350" s="272"/>
      <c r="M350" s="272"/>
      <c r="N350" s="272"/>
      <c r="O350" s="272"/>
      <c r="P350" s="272"/>
      <c r="Q350" s="272"/>
    </row>
    <row r="351" spans="12:17" s="1523" customFormat="1">
      <c r="L351" s="272"/>
      <c r="M351" s="272"/>
      <c r="N351" s="272"/>
      <c r="O351" s="272"/>
      <c r="P351" s="272"/>
      <c r="Q351" s="272"/>
    </row>
    <row r="352" spans="12:17" s="1523" customFormat="1">
      <c r="L352" s="272"/>
      <c r="M352" s="272"/>
      <c r="N352" s="272"/>
      <c r="O352" s="272"/>
      <c r="P352" s="272"/>
      <c r="Q352" s="272"/>
    </row>
    <row r="353" spans="12:17" s="1523" customFormat="1">
      <c r="L353" s="272"/>
      <c r="M353" s="272"/>
      <c r="N353" s="272"/>
      <c r="O353" s="272"/>
      <c r="P353" s="272"/>
      <c r="Q353" s="272"/>
    </row>
    <row r="354" spans="12:17" s="1523" customFormat="1">
      <c r="L354" s="272"/>
      <c r="M354" s="272"/>
      <c r="N354" s="272"/>
      <c r="O354" s="272"/>
      <c r="P354" s="272"/>
      <c r="Q354" s="272"/>
    </row>
    <row r="355" spans="12:17" s="1523" customFormat="1">
      <c r="L355" s="272"/>
      <c r="M355" s="272"/>
      <c r="N355" s="272"/>
      <c r="O355" s="272"/>
      <c r="P355" s="272"/>
      <c r="Q355" s="272"/>
    </row>
    <row r="356" spans="12:17" s="1523" customFormat="1">
      <c r="L356" s="272"/>
      <c r="M356" s="272"/>
      <c r="N356" s="272"/>
      <c r="O356" s="272"/>
      <c r="P356" s="272"/>
      <c r="Q356" s="272"/>
    </row>
    <row r="357" spans="12:17" s="1523" customFormat="1">
      <c r="L357" s="272"/>
      <c r="M357" s="272"/>
      <c r="N357" s="272"/>
      <c r="O357" s="272"/>
      <c r="P357" s="272"/>
      <c r="Q357" s="272"/>
    </row>
    <row r="358" spans="12:17" s="1523" customFormat="1">
      <c r="L358" s="272"/>
      <c r="M358" s="272"/>
      <c r="N358" s="272"/>
      <c r="O358" s="272"/>
      <c r="P358" s="272"/>
      <c r="Q358" s="272"/>
    </row>
    <row r="359" spans="12:17" s="1523" customFormat="1">
      <c r="L359" s="272"/>
      <c r="M359" s="272"/>
      <c r="N359" s="272"/>
      <c r="O359" s="272"/>
      <c r="P359" s="272"/>
      <c r="Q359" s="272"/>
    </row>
    <row r="360" spans="12:17" s="1523" customFormat="1">
      <c r="L360" s="272"/>
      <c r="M360" s="272"/>
      <c r="N360" s="272"/>
      <c r="O360" s="272"/>
      <c r="P360" s="272"/>
      <c r="Q360" s="272"/>
    </row>
    <row r="361" spans="12:17" s="1523" customFormat="1">
      <c r="L361" s="272"/>
      <c r="M361" s="272"/>
      <c r="N361" s="272"/>
      <c r="O361" s="272"/>
      <c r="P361" s="272"/>
      <c r="Q361" s="272"/>
    </row>
    <row r="362" spans="12:17" s="1523" customFormat="1">
      <c r="L362" s="272"/>
      <c r="M362" s="272"/>
      <c r="N362" s="272"/>
      <c r="O362" s="272"/>
      <c r="P362" s="272"/>
      <c r="Q362" s="272"/>
    </row>
    <row r="363" spans="12:17" s="1523" customFormat="1">
      <c r="L363" s="272"/>
      <c r="M363" s="272"/>
      <c r="N363" s="272"/>
      <c r="O363" s="272"/>
      <c r="P363" s="272"/>
      <c r="Q363" s="272"/>
    </row>
    <row r="364" spans="12:17" s="1523" customFormat="1">
      <c r="L364" s="272"/>
      <c r="M364" s="272"/>
      <c r="N364" s="272"/>
      <c r="O364" s="272"/>
      <c r="P364" s="272"/>
      <c r="Q364" s="272"/>
    </row>
    <row r="365" spans="12:17" s="1523" customFormat="1">
      <c r="L365" s="272"/>
      <c r="M365" s="272"/>
      <c r="N365" s="272"/>
      <c r="O365" s="272"/>
      <c r="P365" s="272"/>
      <c r="Q365" s="272"/>
    </row>
    <row r="366" spans="12:17" s="1523" customFormat="1">
      <c r="L366" s="272"/>
      <c r="M366" s="272"/>
      <c r="N366" s="272"/>
      <c r="O366" s="272"/>
      <c r="P366" s="272"/>
      <c r="Q366" s="272"/>
    </row>
    <row r="367" spans="12:17" s="1523" customFormat="1">
      <c r="L367" s="272"/>
      <c r="M367" s="272"/>
      <c r="N367" s="272"/>
      <c r="O367" s="272"/>
      <c r="P367" s="272"/>
      <c r="Q367" s="272"/>
    </row>
    <row r="368" spans="12:17" s="1523" customFormat="1">
      <c r="L368" s="272"/>
      <c r="M368" s="272"/>
      <c r="N368" s="272"/>
      <c r="O368" s="272"/>
      <c r="P368" s="272"/>
      <c r="Q368" s="272"/>
    </row>
    <row r="369" spans="12:17" s="1523" customFormat="1">
      <c r="L369" s="272"/>
      <c r="M369" s="272"/>
      <c r="N369" s="272"/>
      <c r="O369" s="272"/>
      <c r="P369" s="272"/>
      <c r="Q369" s="272"/>
    </row>
    <row r="370" spans="12:17" s="1523" customFormat="1">
      <c r="L370" s="272"/>
      <c r="M370" s="272"/>
      <c r="N370" s="272"/>
      <c r="O370" s="272"/>
      <c r="P370" s="272"/>
      <c r="Q370" s="272"/>
    </row>
    <row r="371" spans="12:17" s="1523" customFormat="1">
      <c r="L371" s="272"/>
      <c r="M371" s="272"/>
      <c r="N371" s="272"/>
      <c r="O371" s="272"/>
      <c r="P371" s="272"/>
      <c r="Q371" s="272"/>
    </row>
    <row r="372" spans="12:17" s="1523" customFormat="1">
      <c r="L372" s="272"/>
      <c r="M372" s="272"/>
      <c r="N372" s="272"/>
      <c r="O372" s="272"/>
      <c r="P372" s="272"/>
      <c r="Q372" s="272"/>
    </row>
    <row r="373" spans="12:17" s="1523" customFormat="1">
      <c r="L373" s="272"/>
      <c r="M373" s="272"/>
      <c r="N373" s="272"/>
      <c r="O373" s="272"/>
      <c r="P373" s="272"/>
      <c r="Q373" s="272"/>
    </row>
    <row r="374" spans="12:17" s="1523" customFormat="1">
      <c r="L374" s="272"/>
      <c r="M374" s="272"/>
      <c r="N374" s="272"/>
      <c r="O374" s="272"/>
      <c r="P374" s="272"/>
      <c r="Q374" s="272"/>
    </row>
    <row r="375" spans="12:17" s="1523" customFormat="1">
      <c r="L375" s="272"/>
      <c r="M375" s="272"/>
      <c r="N375" s="272"/>
      <c r="O375" s="272"/>
      <c r="P375" s="272"/>
      <c r="Q375" s="272"/>
    </row>
    <row r="376" spans="12:17" s="1523" customFormat="1">
      <c r="L376" s="272"/>
      <c r="M376" s="272"/>
      <c r="N376" s="272"/>
      <c r="O376" s="272"/>
      <c r="P376" s="272"/>
      <c r="Q376" s="272"/>
    </row>
    <row r="377" spans="12:17" s="1523" customFormat="1">
      <c r="L377" s="272"/>
      <c r="M377" s="272"/>
      <c r="N377" s="272"/>
      <c r="O377" s="272"/>
      <c r="P377" s="272"/>
      <c r="Q377" s="272"/>
    </row>
    <row r="378" spans="12:17" s="1523" customFormat="1">
      <c r="L378" s="272"/>
      <c r="M378" s="272"/>
      <c r="N378" s="272"/>
      <c r="O378" s="272"/>
      <c r="P378" s="272"/>
      <c r="Q378" s="272"/>
    </row>
    <row r="379" spans="12:17" s="1523" customFormat="1">
      <c r="L379" s="272"/>
      <c r="M379" s="272"/>
      <c r="N379" s="272"/>
      <c r="O379" s="272"/>
      <c r="P379" s="272"/>
      <c r="Q379" s="272"/>
    </row>
    <row r="380" spans="12:17" s="1523" customFormat="1">
      <c r="L380" s="272"/>
      <c r="M380" s="272"/>
      <c r="N380" s="272"/>
      <c r="O380" s="272"/>
      <c r="P380" s="272"/>
      <c r="Q380" s="272"/>
    </row>
    <row r="381" spans="12:17" s="1523" customFormat="1">
      <c r="L381" s="272"/>
      <c r="M381" s="272"/>
      <c r="N381" s="272"/>
      <c r="O381" s="272"/>
      <c r="P381" s="272"/>
      <c r="Q381" s="272"/>
    </row>
    <row r="382" spans="12:17" s="1523" customFormat="1">
      <c r="L382" s="272"/>
      <c r="M382" s="272"/>
      <c r="N382" s="272"/>
      <c r="O382" s="272"/>
      <c r="P382" s="272"/>
      <c r="Q382" s="272"/>
    </row>
    <row r="383" spans="12:17" s="1523" customFormat="1">
      <c r="L383" s="272"/>
      <c r="M383" s="272"/>
      <c r="N383" s="272"/>
      <c r="O383" s="272"/>
      <c r="P383" s="272"/>
      <c r="Q383" s="272"/>
    </row>
    <row r="384" spans="12:17" s="1523" customFormat="1">
      <c r="L384" s="272"/>
      <c r="M384" s="272"/>
      <c r="N384" s="272"/>
      <c r="O384" s="272"/>
      <c r="P384" s="272"/>
      <c r="Q384" s="272"/>
    </row>
    <row r="385" spans="12:17" s="1523" customFormat="1">
      <c r="L385" s="272"/>
      <c r="M385" s="272"/>
      <c r="N385" s="272"/>
      <c r="O385" s="272"/>
      <c r="P385" s="272"/>
      <c r="Q385" s="272"/>
    </row>
    <row r="386" spans="12:17" s="1523" customFormat="1">
      <c r="L386" s="272"/>
      <c r="M386" s="272"/>
      <c r="N386" s="272"/>
      <c r="O386" s="272"/>
      <c r="P386" s="272"/>
      <c r="Q386" s="272"/>
    </row>
    <row r="387" spans="12:17" s="1523" customFormat="1">
      <c r="L387" s="272"/>
      <c r="M387" s="272"/>
      <c r="N387" s="272"/>
      <c r="O387" s="272"/>
      <c r="P387" s="272"/>
      <c r="Q387" s="272"/>
    </row>
    <row r="388" spans="12:17" s="1523" customFormat="1">
      <c r="L388" s="272"/>
      <c r="M388" s="272"/>
      <c r="N388" s="272"/>
      <c r="O388" s="272"/>
      <c r="P388" s="272"/>
      <c r="Q388" s="272"/>
    </row>
    <row r="389" spans="12:17" s="1523" customFormat="1">
      <c r="L389" s="272"/>
      <c r="M389" s="272"/>
      <c r="N389" s="272"/>
      <c r="O389" s="272"/>
      <c r="P389" s="272"/>
      <c r="Q389" s="272"/>
    </row>
    <row r="390" spans="12:17" s="1523" customFormat="1">
      <c r="L390" s="272"/>
      <c r="M390" s="272"/>
      <c r="N390" s="272"/>
      <c r="O390" s="272"/>
      <c r="P390" s="272"/>
      <c r="Q390" s="272"/>
    </row>
    <row r="391" spans="12:17" s="1523" customFormat="1">
      <c r="L391" s="272"/>
      <c r="M391" s="272"/>
      <c r="N391" s="272"/>
      <c r="O391" s="272"/>
      <c r="P391" s="272"/>
      <c r="Q391" s="272"/>
    </row>
    <row r="392" spans="12:17" s="1523" customFormat="1">
      <c r="L392" s="272"/>
      <c r="M392" s="272"/>
      <c r="N392" s="272"/>
      <c r="O392" s="272"/>
      <c r="P392" s="272"/>
      <c r="Q392" s="272"/>
    </row>
    <row r="393" spans="12:17" s="1523" customFormat="1">
      <c r="L393" s="272"/>
      <c r="M393" s="272"/>
      <c r="N393" s="272"/>
      <c r="O393" s="272"/>
      <c r="P393" s="272"/>
      <c r="Q393" s="272"/>
    </row>
    <row r="394" spans="12:17" s="1523" customFormat="1">
      <c r="L394" s="272"/>
      <c r="M394" s="272"/>
      <c r="N394" s="272"/>
      <c r="O394" s="272"/>
      <c r="P394" s="272"/>
      <c r="Q394" s="272"/>
    </row>
    <row r="395" spans="12:17" s="1523" customFormat="1">
      <c r="L395" s="272"/>
      <c r="M395" s="272"/>
      <c r="N395" s="272"/>
      <c r="O395" s="272"/>
      <c r="P395" s="272"/>
      <c r="Q395" s="272"/>
    </row>
    <row r="396" spans="12:17" s="1523" customFormat="1">
      <c r="L396" s="272"/>
      <c r="M396" s="272"/>
      <c r="N396" s="272"/>
      <c r="O396" s="272"/>
      <c r="P396" s="272"/>
      <c r="Q396" s="272"/>
    </row>
    <row r="397" spans="12:17" s="1523" customFormat="1">
      <c r="L397" s="272"/>
      <c r="M397" s="272"/>
      <c r="N397" s="272"/>
      <c r="O397" s="272"/>
      <c r="P397" s="272"/>
      <c r="Q397" s="272"/>
    </row>
    <row r="398" spans="12:17" s="1523" customFormat="1">
      <c r="L398" s="272"/>
      <c r="M398" s="272"/>
      <c r="N398" s="272"/>
      <c r="O398" s="272"/>
      <c r="P398" s="272"/>
      <c r="Q398" s="272"/>
    </row>
    <row r="399" spans="12:17" s="1523" customFormat="1">
      <c r="L399" s="272"/>
      <c r="M399" s="272"/>
      <c r="N399" s="272"/>
      <c r="O399" s="272"/>
      <c r="P399" s="272"/>
      <c r="Q399" s="272"/>
    </row>
    <row r="400" spans="12:17" s="1523" customFormat="1">
      <c r="L400" s="272"/>
      <c r="M400" s="272"/>
      <c r="N400" s="272"/>
      <c r="O400" s="272"/>
      <c r="P400" s="272"/>
      <c r="Q400" s="272"/>
    </row>
    <row r="401" spans="12:17" s="1523" customFormat="1">
      <c r="L401" s="272"/>
      <c r="M401" s="272"/>
      <c r="N401" s="272"/>
      <c r="O401" s="272"/>
      <c r="P401" s="272"/>
      <c r="Q401" s="272"/>
    </row>
    <row r="402" spans="12:17" s="1523" customFormat="1">
      <c r="L402" s="272"/>
      <c r="M402" s="272"/>
      <c r="N402" s="272"/>
      <c r="O402" s="272"/>
      <c r="P402" s="272"/>
      <c r="Q402" s="272"/>
    </row>
    <row r="403" spans="12:17" s="1523" customFormat="1">
      <c r="L403" s="272"/>
      <c r="M403" s="272"/>
      <c r="N403" s="272"/>
      <c r="O403" s="272"/>
      <c r="P403" s="272"/>
      <c r="Q403" s="272"/>
    </row>
    <row r="404" spans="12:17" s="1523" customFormat="1">
      <c r="L404" s="272"/>
      <c r="M404" s="272"/>
      <c r="N404" s="272"/>
      <c r="O404" s="272"/>
      <c r="P404" s="272"/>
      <c r="Q404" s="272"/>
    </row>
    <row r="405" spans="12:17" s="1523" customFormat="1">
      <c r="L405" s="272"/>
      <c r="M405" s="272"/>
      <c r="N405" s="272"/>
      <c r="O405" s="272"/>
      <c r="P405" s="272"/>
      <c r="Q405" s="272"/>
    </row>
    <row r="406" spans="12:17" s="1523" customFormat="1">
      <c r="L406" s="272"/>
      <c r="M406" s="272"/>
      <c r="N406" s="272"/>
      <c r="O406" s="272"/>
      <c r="P406" s="272"/>
      <c r="Q406" s="272"/>
    </row>
    <row r="407" spans="12:17" s="1523" customFormat="1">
      <c r="L407" s="272"/>
      <c r="M407" s="272"/>
      <c r="N407" s="272"/>
      <c r="O407" s="272"/>
      <c r="P407" s="272"/>
      <c r="Q407" s="272"/>
    </row>
    <row r="408" spans="12:17" s="1523" customFormat="1">
      <c r="L408" s="272"/>
      <c r="M408" s="272"/>
      <c r="N408" s="272"/>
      <c r="O408" s="272"/>
      <c r="P408" s="272"/>
      <c r="Q408" s="272"/>
    </row>
    <row r="409" spans="12:17" s="1523" customFormat="1">
      <c r="L409" s="272"/>
      <c r="M409" s="272"/>
      <c r="N409" s="272"/>
      <c r="O409" s="272"/>
      <c r="P409" s="272"/>
      <c r="Q409" s="272"/>
    </row>
    <row r="410" spans="12:17" s="1523" customFormat="1">
      <c r="L410" s="272"/>
      <c r="M410" s="272"/>
      <c r="N410" s="272"/>
      <c r="O410" s="272"/>
      <c r="P410" s="272"/>
      <c r="Q410" s="272"/>
    </row>
    <row r="411" spans="12:17" s="1523" customFormat="1">
      <c r="L411" s="272"/>
      <c r="M411" s="272"/>
      <c r="N411" s="272"/>
      <c r="O411" s="272"/>
      <c r="P411" s="272"/>
      <c r="Q411" s="272"/>
    </row>
    <row r="412" spans="12:17" s="1523" customFormat="1">
      <c r="L412" s="272"/>
      <c r="M412" s="272"/>
      <c r="N412" s="272"/>
      <c r="O412" s="272"/>
      <c r="P412" s="272"/>
      <c r="Q412" s="272"/>
    </row>
    <row r="413" spans="12:17" s="1523" customFormat="1">
      <c r="L413" s="272"/>
      <c r="M413" s="272"/>
      <c r="N413" s="272"/>
      <c r="O413" s="272"/>
      <c r="P413" s="272"/>
      <c r="Q413" s="272"/>
    </row>
    <row r="414" spans="12:17" s="1523" customFormat="1">
      <c r="L414" s="272"/>
      <c r="M414" s="272"/>
      <c r="N414" s="272"/>
      <c r="O414" s="272"/>
      <c r="P414" s="272"/>
      <c r="Q414" s="272"/>
    </row>
    <row r="415" spans="12:17" s="1523" customFormat="1">
      <c r="L415" s="272"/>
      <c r="M415" s="272"/>
      <c r="N415" s="272"/>
      <c r="O415" s="272"/>
      <c r="P415" s="272"/>
      <c r="Q415" s="272"/>
    </row>
    <row r="416" spans="12:17" s="1523" customFormat="1">
      <c r="L416" s="272"/>
      <c r="M416" s="272"/>
      <c r="N416" s="272"/>
      <c r="O416" s="272"/>
      <c r="P416" s="272"/>
      <c r="Q416" s="272"/>
    </row>
    <row r="417" spans="12:17" s="1523" customFormat="1">
      <c r="L417" s="272"/>
      <c r="M417" s="272"/>
      <c r="N417" s="272"/>
      <c r="O417" s="272"/>
      <c r="P417" s="272"/>
      <c r="Q417" s="272"/>
    </row>
    <row r="418" spans="12:17" s="1523" customFormat="1">
      <c r="L418" s="272"/>
      <c r="M418" s="272"/>
      <c r="N418" s="272"/>
      <c r="O418" s="272"/>
      <c r="P418" s="272"/>
      <c r="Q418" s="272"/>
    </row>
    <row r="419" spans="12:17" s="1523" customFormat="1">
      <c r="L419" s="272"/>
      <c r="M419" s="272"/>
      <c r="N419" s="272"/>
      <c r="O419" s="272"/>
      <c r="P419" s="272"/>
      <c r="Q419" s="272"/>
    </row>
    <row r="420" spans="12:17" s="1523" customFormat="1">
      <c r="L420" s="272"/>
      <c r="M420" s="272"/>
      <c r="N420" s="272"/>
      <c r="O420" s="272"/>
      <c r="P420" s="272"/>
      <c r="Q420" s="272"/>
    </row>
    <row r="421" spans="12:17" s="1523" customFormat="1">
      <c r="L421" s="272"/>
      <c r="M421" s="272"/>
      <c r="N421" s="272"/>
      <c r="O421" s="272"/>
      <c r="P421" s="272"/>
      <c r="Q421" s="272"/>
    </row>
    <row r="422" spans="12:17" s="1523" customFormat="1">
      <c r="L422" s="272"/>
      <c r="M422" s="272"/>
      <c r="N422" s="272"/>
      <c r="O422" s="272"/>
      <c r="P422" s="272"/>
      <c r="Q422" s="272"/>
    </row>
    <row r="423" spans="12:17" s="1523" customFormat="1">
      <c r="L423" s="272"/>
      <c r="M423" s="272"/>
      <c r="N423" s="272"/>
      <c r="O423" s="272"/>
      <c r="P423" s="272"/>
      <c r="Q423" s="272"/>
    </row>
    <row r="424" spans="12:17" s="1523" customFormat="1">
      <c r="L424" s="272"/>
      <c r="M424" s="272"/>
      <c r="N424" s="272"/>
      <c r="O424" s="272"/>
      <c r="P424" s="272"/>
      <c r="Q424" s="272"/>
    </row>
    <row r="425" spans="12:17" s="1523" customFormat="1">
      <c r="L425" s="272"/>
      <c r="M425" s="272"/>
      <c r="N425" s="272"/>
      <c r="O425" s="272"/>
      <c r="P425" s="272"/>
      <c r="Q425" s="272"/>
    </row>
    <row r="426" spans="12:17" s="1523" customFormat="1">
      <c r="L426" s="272"/>
      <c r="M426" s="272"/>
      <c r="N426" s="272"/>
      <c r="O426" s="272"/>
      <c r="P426" s="272"/>
      <c r="Q426" s="272"/>
    </row>
    <row r="427" spans="12:17" s="1523" customFormat="1">
      <c r="L427" s="272"/>
      <c r="M427" s="272"/>
      <c r="N427" s="272"/>
      <c r="O427" s="272"/>
      <c r="P427" s="272"/>
      <c r="Q427" s="272"/>
    </row>
    <row r="428" spans="12:17" s="1523" customFormat="1">
      <c r="L428" s="272"/>
      <c r="M428" s="272"/>
      <c r="N428" s="272"/>
      <c r="O428" s="272"/>
      <c r="P428" s="272"/>
      <c r="Q428" s="272"/>
    </row>
    <row r="429" spans="12:17" s="1523" customFormat="1">
      <c r="L429" s="272"/>
      <c r="M429" s="272"/>
      <c r="N429" s="272"/>
      <c r="O429" s="272"/>
      <c r="P429" s="272"/>
      <c r="Q429" s="272"/>
    </row>
    <row r="430" spans="12:17" s="1523" customFormat="1">
      <c r="L430" s="272"/>
      <c r="M430" s="272"/>
      <c r="N430" s="272"/>
      <c r="O430" s="272"/>
      <c r="P430" s="272"/>
      <c r="Q430" s="272"/>
    </row>
    <row r="431" spans="12:17" s="1523" customFormat="1">
      <c r="L431" s="272"/>
      <c r="M431" s="272"/>
      <c r="N431" s="272"/>
      <c r="O431" s="272"/>
      <c r="P431" s="272"/>
      <c r="Q431" s="272"/>
    </row>
    <row r="432" spans="12:17" s="1523" customFormat="1">
      <c r="L432" s="272"/>
      <c r="M432" s="272"/>
      <c r="N432" s="272"/>
      <c r="O432" s="272"/>
      <c r="P432" s="272"/>
      <c r="Q432" s="272"/>
    </row>
    <row r="433" spans="12:17" s="1523" customFormat="1">
      <c r="L433" s="272"/>
      <c r="M433" s="272"/>
      <c r="N433" s="272"/>
      <c r="O433" s="272"/>
      <c r="P433" s="272"/>
      <c r="Q433" s="272"/>
    </row>
    <row r="434" spans="12:17" s="1523" customFormat="1">
      <c r="L434" s="272"/>
      <c r="M434" s="272"/>
      <c r="N434" s="272"/>
      <c r="O434" s="272"/>
      <c r="P434" s="272"/>
      <c r="Q434" s="272"/>
    </row>
    <row r="435" spans="12:17" s="1523" customFormat="1">
      <c r="L435" s="272"/>
      <c r="M435" s="272"/>
      <c r="N435" s="272"/>
      <c r="O435" s="272"/>
      <c r="P435" s="272"/>
      <c r="Q435" s="272"/>
    </row>
    <row r="436" spans="12:17" s="1523" customFormat="1">
      <c r="L436" s="272"/>
      <c r="M436" s="272"/>
      <c r="N436" s="272"/>
      <c r="O436" s="272"/>
      <c r="P436" s="272"/>
      <c r="Q436" s="272"/>
    </row>
    <row r="437" spans="12:17" s="1523" customFormat="1">
      <c r="L437" s="272"/>
      <c r="M437" s="272"/>
      <c r="N437" s="272"/>
      <c r="O437" s="272"/>
      <c r="P437" s="272"/>
      <c r="Q437" s="272"/>
    </row>
    <row r="438" spans="12:17" s="1523" customFormat="1">
      <c r="L438" s="272"/>
      <c r="M438" s="272"/>
      <c r="N438" s="272"/>
      <c r="O438" s="272"/>
      <c r="P438" s="272"/>
      <c r="Q438" s="272"/>
    </row>
    <row r="439" spans="12:17" s="1523" customFormat="1">
      <c r="L439" s="272"/>
      <c r="M439" s="272"/>
      <c r="N439" s="272"/>
      <c r="O439" s="272"/>
      <c r="P439" s="272"/>
      <c r="Q439" s="272"/>
    </row>
    <row r="440" spans="12:17" s="1523" customFormat="1">
      <c r="L440" s="272"/>
      <c r="M440" s="272"/>
      <c r="N440" s="272"/>
      <c r="O440" s="272"/>
      <c r="P440" s="272"/>
      <c r="Q440" s="272"/>
    </row>
    <row r="441" spans="12:17" s="1523" customFormat="1">
      <c r="L441" s="272"/>
      <c r="M441" s="272"/>
      <c r="N441" s="272"/>
      <c r="O441" s="272"/>
      <c r="P441" s="272"/>
      <c r="Q441" s="272"/>
    </row>
    <row r="442" spans="12:17" s="1523" customFormat="1">
      <c r="L442" s="272"/>
      <c r="M442" s="272"/>
      <c r="N442" s="272"/>
      <c r="O442" s="272"/>
      <c r="P442" s="272"/>
      <c r="Q442" s="272"/>
    </row>
    <row r="443" spans="12:17" s="1523" customFormat="1">
      <c r="L443" s="272"/>
      <c r="M443" s="272"/>
      <c r="N443" s="272"/>
      <c r="O443" s="272"/>
      <c r="P443" s="272"/>
      <c r="Q443" s="272"/>
    </row>
    <row r="444" spans="12:17" s="1523" customFormat="1">
      <c r="L444" s="272"/>
      <c r="M444" s="272"/>
      <c r="N444" s="272"/>
      <c r="O444" s="272"/>
      <c r="P444" s="272"/>
      <c r="Q444" s="272"/>
    </row>
    <row r="445" spans="12:17" s="1523" customFormat="1">
      <c r="L445" s="272"/>
      <c r="M445" s="272"/>
      <c r="N445" s="272"/>
      <c r="O445" s="272"/>
      <c r="P445" s="272"/>
      <c r="Q445" s="272"/>
    </row>
    <row r="446" spans="12:17" s="1523" customFormat="1">
      <c r="L446" s="272"/>
      <c r="M446" s="272"/>
      <c r="N446" s="272"/>
      <c r="O446" s="272"/>
      <c r="P446" s="272"/>
      <c r="Q446" s="272"/>
    </row>
    <row r="447" spans="12:17" s="1523" customFormat="1">
      <c r="L447" s="272"/>
      <c r="M447" s="272"/>
      <c r="N447" s="272"/>
      <c r="O447" s="272"/>
      <c r="P447" s="272"/>
      <c r="Q447" s="272"/>
    </row>
    <row r="448" spans="12:17" s="1523" customFormat="1">
      <c r="L448" s="272"/>
      <c r="M448" s="272"/>
      <c r="N448" s="272"/>
      <c r="O448" s="272"/>
      <c r="P448" s="272"/>
      <c r="Q448" s="272"/>
    </row>
    <row r="449" spans="12:17" s="1523" customFormat="1">
      <c r="L449" s="272"/>
      <c r="M449" s="272"/>
      <c r="N449" s="272"/>
      <c r="O449" s="272"/>
      <c r="P449" s="272"/>
      <c r="Q449" s="272"/>
    </row>
    <row r="450" spans="12:17" s="1523" customFormat="1">
      <c r="L450" s="272"/>
      <c r="M450" s="272"/>
      <c r="N450" s="272"/>
      <c r="O450" s="272"/>
      <c r="P450" s="272"/>
      <c r="Q450" s="272"/>
    </row>
    <row r="451" spans="12:17" s="1523" customFormat="1">
      <c r="L451" s="272"/>
      <c r="M451" s="272"/>
      <c r="N451" s="272"/>
      <c r="O451" s="272"/>
      <c r="P451" s="272"/>
      <c r="Q451" s="272"/>
    </row>
    <row r="452" spans="12:17" s="1523" customFormat="1">
      <c r="L452" s="272"/>
      <c r="M452" s="272"/>
      <c r="N452" s="272"/>
      <c r="O452" s="272"/>
      <c r="P452" s="272"/>
      <c r="Q452" s="272"/>
    </row>
    <row r="453" spans="12:17" s="1523" customFormat="1">
      <c r="L453" s="272"/>
      <c r="M453" s="272"/>
      <c r="N453" s="272"/>
      <c r="O453" s="272"/>
      <c r="P453" s="272"/>
      <c r="Q453" s="272"/>
    </row>
    <row r="454" spans="12:17" s="1523" customFormat="1">
      <c r="L454" s="272"/>
      <c r="M454" s="272"/>
      <c r="N454" s="272"/>
      <c r="O454" s="272"/>
      <c r="P454" s="272"/>
      <c r="Q454" s="272"/>
    </row>
    <row r="455" spans="12:17" s="1523" customFormat="1">
      <c r="L455" s="272"/>
      <c r="M455" s="272"/>
      <c r="N455" s="272"/>
      <c r="O455" s="272"/>
      <c r="P455" s="272"/>
      <c r="Q455" s="272"/>
    </row>
    <row r="456" spans="12:17" s="1523" customFormat="1">
      <c r="L456" s="272"/>
      <c r="M456" s="272"/>
      <c r="N456" s="272"/>
      <c r="O456" s="272"/>
      <c r="P456" s="272"/>
      <c r="Q456" s="272"/>
    </row>
    <row r="457" spans="12:17" s="1523" customFormat="1">
      <c r="L457" s="272"/>
      <c r="M457" s="272"/>
      <c r="N457" s="272"/>
      <c r="O457" s="272"/>
      <c r="P457" s="272"/>
      <c r="Q457" s="272"/>
    </row>
    <row r="458" spans="12:17" s="1523" customFormat="1">
      <c r="L458" s="272"/>
      <c r="M458" s="272"/>
      <c r="N458" s="272"/>
      <c r="O458" s="272"/>
      <c r="P458" s="272"/>
      <c r="Q458" s="272"/>
    </row>
    <row r="459" spans="12:17" s="1523" customFormat="1">
      <c r="L459" s="272"/>
      <c r="M459" s="272"/>
      <c r="N459" s="272"/>
      <c r="O459" s="272"/>
      <c r="P459" s="272"/>
      <c r="Q459" s="272"/>
    </row>
    <row r="460" spans="12:17" s="1523" customFormat="1">
      <c r="L460" s="272"/>
      <c r="M460" s="272"/>
      <c r="N460" s="272"/>
      <c r="O460" s="272"/>
      <c r="P460" s="272"/>
      <c r="Q460" s="272"/>
    </row>
    <row r="461" spans="12:17" s="1523" customFormat="1">
      <c r="L461" s="272"/>
      <c r="M461" s="272"/>
      <c r="N461" s="272"/>
      <c r="O461" s="272"/>
      <c r="P461" s="272"/>
      <c r="Q461" s="272"/>
    </row>
    <row r="462" spans="12:17" s="1523" customFormat="1">
      <c r="L462" s="272"/>
      <c r="M462" s="272"/>
      <c r="N462" s="272"/>
      <c r="O462" s="272"/>
      <c r="P462" s="272"/>
      <c r="Q462" s="272"/>
    </row>
    <row r="463" spans="12:17" s="1523" customFormat="1">
      <c r="L463" s="272"/>
      <c r="M463" s="272"/>
      <c r="N463" s="272"/>
      <c r="O463" s="272"/>
      <c r="P463" s="272"/>
      <c r="Q463" s="272"/>
    </row>
    <row r="464" spans="12:17" s="1523" customFormat="1">
      <c r="L464" s="272"/>
      <c r="M464" s="272"/>
      <c r="N464" s="272"/>
      <c r="O464" s="272"/>
      <c r="P464" s="272"/>
      <c r="Q464" s="272"/>
    </row>
    <row r="465" spans="12:17" s="1523" customFormat="1">
      <c r="L465" s="272"/>
      <c r="M465" s="272"/>
      <c r="N465" s="272"/>
      <c r="O465" s="272"/>
      <c r="P465" s="272"/>
      <c r="Q465" s="272"/>
    </row>
    <row r="466" spans="12:17" s="1523" customFormat="1">
      <c r="L466" s="272"/>
      <c r="M466" s="272"/>
      <c r="N466" s="272"/>
      <c r="O466" s="272"/>
      <c r="P466" s="272"/>
      <c r="Q466" s="272"/>
    </row>
    <row r="467" spans="12:17" s="1523" customFormat="1">
      <c r="L467" s="272"/>
      <c r="M467" s="272"/>
      <c r="N467" s="272"/>
      <c r="O467" s="272"/>
      <c r="P467" s="272"/>
      <c r="Q467" s="272"/>
    </row>
    <row r="468" spans="12:17" s="1523" customFormat="1">
      <c r="L468" s="272"/>
      <c r="M468" s="272"/>
      <c r="N468" s="272"/>
      <c r="O468" s="272"/>
      <c r="P468" s="272"/>
      <c r="Q468" s="272"/>
    </row>
    <row r="469" spans="12:17" s="1523" customFormat="1">
      <c r="L469" s="272"/>
      <c r="M469" s="272"/>
      <c r="N469" s="272"/>
      <c r="O469" s="272"/>
      <c r="P469" s="272"/>
      <c r="Q469" s="272"/>
    </row>
    <row r="470" spans="12:17" s="1523" customFormat="1">
      <c r="L470" s="272"/>
      <c r="M470" s="272"/>
      <c r="N470" s="272"/>
      <c r="O470" s="272"/>
      <c r="P470" s="272"/>
      <c r="Q470" s="272"/>
    </row>
    <row r="471" spans="12:17" s="1523" customFormat="1">
      <c r="L471" s="272"/>
      <c r="M471" s="272"/>
      <c r="N471" s="272"/>
      <c r="O471" s="272"/>
      <c r="P471" s="272"/>
      <c r="Q471" s="272"/>
    </row>
    <row r="472" spans="12:17" s="1523" customFormat="1">
      <c r="L472" s="272"/>
      <c r="M472" s="272"/>
      <c r="N472" s="272"/>
      <c r="O472" s="272"/>
      <c r="P472" s="272"/>
      <c r="Q472" s="272"/>
    </row>
    <row r="473" spans="12:17" s="1523" customFormat="1">
      <c r="L473" s="272"/>
      <c r="M473" s="272"/>
      <c r="N473" s="272"/>
      <c r="O473" s="272"/>
      <c r="P473" s="272"/>
      <c r="Q473" s="272"/>
    </row>
    <row r="474" spans="12:17" s="1523" customFormat="1">
      <c r="L474" s="272"/>
      <c r="M474" s="272"/>
      <c r="N474" s="272"/>
      <c r="O474" s="272"/>
      <c r="P474" s="272"/>
      <c r="Q474" s="272"/>
    </row>
    <row r="475" spans="12:17" s="1523" customFormat="1">
      <c r="L475" s="272"/>
      <c r="M475" s="272"/>
      <c r="N475" s="272"/>
      <c r="O475" s="272"/>
      <c r="P475" s="272"/>
      <c r="Q475" s="272"/>
    </row>
    <row r="476" spans="12:17" s="1523" customFormat="1">
      <c r="L476" s="272"/>
      <c r="M476" s="272"/>
      <c r="N476" s="272"/>
      <c r="O476" s="272"/>
      <c r="P476" s="272"/>
      <c r="Q476" s="272"/>
    </row>
    <row r="477" spans="12:17" s="1523" customFormat="1">
      <c r="L477" s="272"/>
      <c r="M477" s="272"/>
      <c r="N477" s="272"/>
      <c r="O477" s="272"/>
      <c r="P477" s="272"/>
      <c r="Q477" s="272"/>
    </row>
    <row r="478" spans="12:17" s="1523" customFormat="1">
      <c r="L478" s="272"/>
      <c r="M478" s="272"/>
      <c r="N478" s="272"/>
      <c r="O478" s="272"/>
      <c r="P478" s="272"/>
      <c r="Q478" s="272"/>
    </row>
    <row r="479" spans="12:17" s="1523" customFormat="1">
      <c r="L479" s="272"/>
      <c r="M479" s="272"/>
      <c r="N479" s="272"/>
      <c r="O479" s="272"/>
      <c r="P479" s="272"/>
      <c r="Q479" s="272"/>
    </row>
    <row r="480" spans="12:17" s="1523" customFormat="1">
      <c r="L480" s="272"/>
      <c r="M480" s="272"/>
      <c r="N480" s="272"/>
      <c r="O480" s="272"/>
      <c r="P480" s="272"/>
      <c r="Q480" s="272"/>
    </row>
    <row r="481" spans="12:17" s="1523" customFormat="1">
      <c r="L481" s="272"/>
      <c r="M481" s="272"/>
      <c r="N481" s="272"/>
      <c r="O481" s="272"/>
      <c r="P481" s="272"/>
      <c r="Q481" s="272"/>
    </row>
    <row r="482" spans="12:17" s="1523" customFormat="1">
      <c r="L482" s="272"/>
      <c r="M482" s="272"/>
      <c r="N482" s="272"/>
      <c r="O482" s="272"/>
      <c r="P482" s="272"/>
      <c r="Q482" s="272"/>
    </row>
    <row r="483" spans="12:17" s="1523" customFormat="1">
      <c r="L483" s="272"/>
      <c r="M483" s="272"/>
      <c r="N483" s="272"/>
      <c r="O483" s="272"/>
      <c r="P483" s="272"/>
      <c r="Q483" s="272"/>
    </row>
    <row r="484" spans="12:17" s="1523" customFormat="1">
      <c r="L484" s="272"/>
      <c r="M484" s="272"/>
      <c r="N484" s="272"/>
      <c r="O484" s="272"/>
      <c r="P484" s="272"/>
      <c r="Q484" s="272"/>
    </row>
    <row r="485" spans="12:17" s="1523" customFormat="1">
      <c r="L485" s="272"/>
      <c r="M485" s="272"/>
      <c r="N485" s="272"/>
      <c r="O485" s="272"/>
      <c r="P485" s="272"/>
      <c r="Q485" s="272"/>
    </row>
    <row r="486" spans="12:17" s="1523" customFormat="1">
      <c r="L486" s="272"/>
      <c r="M486" s="272"/>
      <c r="N486" s="272"/>
      <c r="O486" s="272"/>
      <c r="P486" s="272"/>
      <c r="Q486" s="272"/>
    </row>
    <row r="487" spans="12:17" s="1523" customFormat="1">
      <c r="L487" s="272"/>
      <c r="M487" s="272"/>
      <c r="N487" s="272"/>
      <c r="O487" s="272"/>
      <c r="P487" s="272"/>
      <c r="Q487" s="272"/>
    </row>
    <row r="488" spans="12:17" s="1523" customFormat="1">
      <c r="L488" s="272"/>
      <c r="M488" s="272"/>
      <c r="N488" s="272"/>
      <c r="O488" s="272"/>
      <c r="P488" s="272"/>
      <c r="Q488" s="272"/>
    </row>
    <row r="489" spans="12:17" s="1523" customFormat="1">
      <c r="L489" s="272"/>
      <c r="M489" s="272"/>
      <c r="N489" s="272"/>
      <c r="O489" s="272"/>
      <c r="P489" s="272"/>
      <c r="Q489" s="272"/>
    </row>
    <row r="490" spans="12:17" s="1523" customFormat="1">
      <c r="L490" s="272"/>
      <c r="M490" s="272"/>
      <c r="N490" s="272"/>
      <c r="O490" s="272"/>
      <c r="P490" s="272"/>
      <c r="Q490" s="272"/>
    </row>
    <row r="491" spans="12:17" s="1523" customFormat="1">
      <c r="L491" s="272"/>
      <c r="M491" s="272"/>
      <c r="N491" s="272"/>
      <c r="O491" s="272"/>
      <c r="P491" s="272"/>
      <c r="Q491" s="272"/>
    </row>
    <row r="492" spans="12:17" s="1523" customFormat="1">
      <c r="L492" s="272"/>
      <c r="M492" s="272"/>
      <c r="N492" s="272"/>
      <c r="O492" s="272"/>
      <c r="P492" s="272"/>
      <c r="Q492" s="272"/>
    </row>
    <row r="493" spans="12:17" s="1523" customFormat="1">
      <c r="L493" s="272"/>
      <c r="M493" s="272"/>
      <c r="N493" s="272"/>
      <c r="O493" s="272"/>
      <c r="P493" s="272"/>
      <c r="Q493" s="272"/>
    </row>
    <row r="494" spans="12:17" s="1523" customFormat="1">
      <c r="L494" s="272"/>
      <c r="M494" s="272"/>
      <c r="N494" s="272"/>
      <c r="O494" s="272"/>
      <c r="P494" s="272"/>
      <c r="Q494" s="272"/>
    </row>
    <row r="495" spans="12:17" s="1523" customFormat="1">
      <c r="L495" s="272"/>
      <c r="M495" s="272"/>
      <c r="N495" s="272"/>
      <c r="O495" s="272"/>
      <c r="P495" s="272"/>
      <c r="Q495" s="272"/>
    </row>
    <row r="496" spans="12:17" s="1523" customFormat="1">
      <c r="L496" s="272"/>
      <c r="M496" s="272"/>
      <c r="N496" s="272"/>
      <c r="O496" s="272"/>
      <c r="P496" s="272"/>
      <c r="Q496" s="272"/>
    </row>
    <row r="497" spans="12:17" s="1523" customFormat="1">
      <c r="L497" s="272"/>
      <c r="M497" s="272"/>
      <c r="N497" s="272"/>
      <c r="O497" s="272"/>
      <c r="P497" s="272"/>
      <c r="Q497" s="272"/>
    </row>
    <row r="498" spans="12:17" s="1523" customFormat="1">
      <c r="L498" s="272"/>
      <c r="M498" s="272"/>
      <c r="N498" s="272"/>
      <c r="O498" s="272"/>
      <c r="P498" s="272"/>
      <c r="Q498" s="272"/>
    </row>
    <row r="499" spans="12:17" s="1523" customFormat="1">
      <c r="L499" s="272"/>
      <c r="M499" s="272"/>
      <c r="N499" s="272"/>
      <c r="O499" s="272"/>
      <c r="P499" s="272"/>
      <c r="Q499" s="272"/>
    </row>
    <row r="500" spans="12:17" s="1523" customFormat="1">
      <c r="L500" s="272"/>
      <c r="M500" s="272"/>
      <c r="N500" s="272"/>
      <c r="O500" s="272"/>
      <c r="P500" s="272"/>
      <c r="Q500" s="272"/>
    </row>
    <row r="501" spans="12:17" s="1523" customFormat="1">
      <c r="L501" s="272"/>
      <c r="M501" s="272"/>
      <c r="N501" s="272"/>
      <c r="O501" s="272"/>
      <c r="P501" s="272"/>
      <c r="Q501" s="272"/>
    </row>
    <row r="502" spans="12:17" s="1523" customFormat="1">
      <c r="L502" s="272"/>
      <c r="M502" s="272"/>
      <c r="N502" s="272"/>
      <c r="O502" s="272"/>
      <c r="P502" s="272"/>
      <c r="Q502" s="272"/>
    </row>
    <row r="503" spans="12:17" s="1523" customFormat="1">
      <c r="L503" s="272"/>
      <c r="M503" s="272"/>
      <c r="N503" s="272"/>
      <c r="O503" s="272"/>
      <c r="P503" s="272"/>
      <c r="Q503" s="272"/>
    </row>
    <row r="504" spans="12:17" s="1523" customFormat="1">
      <c r="L504" s="272"/>
      <c r="M504" s="272"/>
      <c r="N504" s="272"/>
      <c r="O504" s="272"/>
      <c r="P504" s="272"/>
      <c r="Q504" s="272"/>
    </row>
    <row r="505" spans="12:17" s="1523" customFormat="1">
      <c r="L505" s="272"/>
      <c r="M505" s="272"/>
      <c r="N505" s="272"/>
      <c r="O505" s="272"/>
      <c r="P505" s="272"/>
      <c r="Q505" s="272"/>
    </row>
    <row r="506" spans="12:17" s="1523" customFormat="1">
      <c r="L506" s="272"/>
      <c r="M506" s="272"/>
      <c r="N506" s="272"/>
      <c r="O506" s="272"/>
      <c r="P506" s="272"/>
      <c r="Q506" s="272"/>
    </row>
    <row r="507" spans="12:17" s="1523" customFormat="1">
      <c r="L507" s="272"/>
      <c r="M507" s="272"/>
      <c r="N507" s="272"/>
      <c r="O507" s="272"/>
      <c r="P507" s="272"/>
      <c r="Q507" s="272"/>
    </row>
    <row r="508" spans="12:17" s="1523" customFormat="1">
      <c r="L508" s="272"/>
      <c r="M508" s="272"/>
      <c r="N508" s="272"/>
      <c r="O508" s="272"/>
      <c r="P508" s="272"/>
      <c r="Q508" s="272"/>
    </row>
    <row r="509" spans="12:17" s="1523" customFormat="1">
      <c r="L509" s="272"/>
      <c r="M509" s="272"/>
      <c r="N509" s="272"/>
      <c r="O509" s="272"/>
      <c r="P509" s="272"/>
      <c r="Q509" s="272"/>
    </row>
    <row r="510" spans="12:17" s="1523" customFormat="1">
      <c r="L510" s="272"/>
      <c r="M510" s="272"/>
      <c r="N510" s="272"/>
      <c r="O510" s="272"/>
      <c r="P510" s="272"/>
      <c r="Q510" s="272"/>
    </row>
    <row r="511" spans="12:17" s="1523" customFormat="1">
      <c r="L511" s="272"/>
      <c r="M511" s="272"/>
      <c r="N511" s="272"/>
      <c r="O511" s="272"/>
      <c r="P511" s="272"/>
      <c r="Q511" s="272"/>
    </row>
    <row r="512" spans="12:17" s="1523" customFormat="1">
      <c r="L512" s="272"/>
      <c r="M512" s="272"/>
      <c r="N512" s="272"/>
      <c r="O512" s="272"/>
      <c r="P512" s="272"/>
      <c r="Q512" s="272"/>
    </row>
    <row r="513" spans="12:17" s="1523" customFormat="1">
      <c r="L513" s="272"/>
      <c r="M513" s="272"/>
      <c r="N513" s="272"/>
      <c r="O513" s="272"/>
      <c r="P513" s="272"/>
      <c r="Q513" s="272"/>
    </row>
    <row r="514" spans="12:17" s="1523" customFormat="1">
      <c r="L514" s="272"/>
      <c r="M514" s="272"/>
      <c r="N514" s="272"/>
      <c r="O514" s="272"/>
      <c r="P514" s="272"/>
      <c r="Q514" s="272"/>
    </row>
    <row r="515" spans="12:17" s="1523" customFormat="1">
      <c r="L515" s="272"/>
      <c r="M515" s="272"/>
      <c r="N515" s="272"/>
      <c r="O515" s="272"/>
      <c r="P515" s="272"/>
      <c r="Q515" s="272"/>
    </row>
    <row r="516" spans="12:17" s="1523" customFormat="1">
      <c r="L516" s="272"/>
      <c r="M516" s="272"/>
      <c r="N516" s="272"/>
      <c r="O516" s="272"/>
      <c r="P516" s="272"/>
      <c r="Q516" s="272"/>
    </row>
    <row r="517" spans="12:17" s="1523" customFormat="1">
      <c r="L517" s="272"/>
      <c r="M517" s="272"/>
      <c r="N517" s="272"/>
      <c r="O517" s="272"/>
      <c r="P517" s="272"/>
      <c r="Q517" s="272"/>
    </row>
    <row r="518" spans="12:17" s="1523" customFormat="1">
      <c r="L518" s="272"/>
      <c r="M518" s="272"/>
      <c r="N518" s="272"/>
      <c r="O518" s="272"/>
      <c r="P518" s="272"/>
      <c r="Q518" s="272"/>
    </row>
    <row r="519" spans="12:17" s="1523" customFormat="1">
      <c r="L519" s="272"/>
      <c r="M519" s="272"/>
      <c r="N519" s="272"/>
      <c r="O519" s="272"/>
      <c r="P519" s="272"/>
      <c r="Q519" s="272"/>
    </row>
    <row r="520" spans="12:17" s="1523" customFormat="1">
      <c r="L520" s="272"/>
      <c r="M520" s="272"/>
      <c r="N520" s="272"/>
      <c r="O520" s="272"/>
      <c r="P520" s="272"/>
      <c r="Q520" s="272"/>
    </row>
    <row r="521" spans="12:17" s="1523" customFormat="1">
      <c r="L521" s="272"/>
      <c r="M521" s="272"/>
      <c r="N521" s="272"/>
      <c r="O521" s="272"/>
      <c r="P521" s="272"/>
      <c r="Q521" s="272"/>
    </row>
    <row r="522" spans="12:17" s="1523" customFormat="1">
      <c r="L522" s="272"/>
      <c r="M522" s="272"/>
      <c r="N522" s="272"/>
      <c r="O522" s="272"/>
      <c r="P522" s="272"/>
      <c r="Q522" s="272"/>
    </row>
    <row r="523" spans="12:17" s="1523" customFormat="1">
      <c r="L523" s="272"/>
      <c r="M523" s="272"/>
      <c r="N523" s="272"/>
      <c r="O523" s="272"/>
      <c r="P523" s="272"/>
      <c r="Q523" s="272"/>
    </row>
    <row r="524" spans="12:17" s="1523" customFormat="1">
      <c r="L524" s="272"/>
      <c r="M524" s="272"/>
      <c r="N524" s="272"/>
      <c r="O524" s="272"/>
      <c r="P524" s="272"/>
      <c r="Q524" s="272"/>
    </row>
    <row r="525" spans="12:17" s="1523" customFormat="1">
      <c r="L525" s="272"/>
      <c r="M525" s="272"/>
      <c r="N525" s="272"/>
      <c r="O525" s="272"/>
      <c r="P525" s="272"/>
      <c r="Q525" s="272"/>
    </row>
    <row r="526" spans="12:17" s="1523" customFormat="1">
      <c r="L526" s="272"/>
      <c r="M526" s="272"/>
      <c r="N526" s="272"/>
      <c r="O526" s="272"/>
      <c r="P526" s="272"/>
      <c r="Q526" s="272"/>
    </row>
    <row r="527" spans="12:17" s="1523" customFormat="1">
      <c r="L527" s="272"/>
      <c r="M527" s="272"/>
      <c r="N527" s="272"/>
      <c r="O527" s="272"/>
      <c r="P527" s="272"/>
      <c r="Q527" s="272"/>
    </row>
    <row r="528" spans="12:17" s="1523" customFormat="1">
      <c r="L528" s="272"/>
      <c r="M528" s="272"/>
      <c r="N528" s="272"/>
      <c r="O528" s="272"/>
      <c r="P528" s="272"/>
      <c r="Q528" s="272"/>
    </row>
    <row r="529" spans="12:17" s="1523" customFormat="1">
      <c r="L529" s="272"/>
      <c r="M529" s="272"/>
      <c r="N529" s="272"/>
      <c r="O529" s="272"/>
      <c r="P529" s="272"/>
      <c r="Q529" s="272"/>
    </row>
    <row r="530" spans="12:17" s="1523" customFormat="1">
      <c r="L530" s="272"/>
      <c r="M530" s="272"/>
      <c r="N530" s="272"/>
      <c r="O530" s="272"/>
      <c r="P530" s="272"/>
      <c r="Q530" s="272"/>
    </row>
    <row r="531" spans="12:17" s="1523" customFormat="1">
      <c r="L531" s="272"/>
      <c r="M531" s="272"/>
      <c r="N531" s="272"/>
      <c r="O531" s="272"/>
      <c r="P531" s="272"/>
      <c r="Q531" s="272"/>
    </row>
    <row r="532" spans="12:17" s="1523" customFormat="1">
      <c r="L532" s="272"/>
      <c r="M532" s="272"/>
      <c r="N532" s="272"/>
      <c r="O532" s="272"/>
      <c r="P532" s="272"/>
      <c r="Q532" s="272"/>
    </row>
    <row r="533" spans="12:17" s="1523" customFormat="1">
      <c r="L533" s="272"/>
      <c r="M533" s="272"/>
      <c r="N533" s="272"/>
      <c r="O533" s="272"/>
      <c r="P533" s="272"/>
      <c r="Q533" s="272"/>
    </row>
    <row r="534" spans="12:17" s="1523" customFormat="1">
      <c r="L534" s="272"/>
      <c r="M534" s="272"/>
      <c r="N534" s="272"/>
      <c r="O534" s="272"/>
      <c r="P534" s="272"/>
      <c r="Q534" s="272"/>
    </row>
    <row r="535" spans="12:17" s="1523" customFormat="1">
      <c r="L535" s="272"/>
      <c r="M535" s="272"/>
      <c r="N535" s="272"/>
      <c r="O535" s="272"/>
      <c r="P535" s="272"/>
      <c r="Q535" s="272"/>
    </row>
    <row r="536" spans="12:17" s="1523" customFormat="1">
      <c r="L536" s="272"/>
      <c r="M536" s="272"/>
      <c r="N536" s="272"/>
      <c r="O536" s="272"/>
      <c r="P536" s="272"/>
      <c r="Q536" s="272"/>
    </row>
    <row r="537" spans="12:17" s="1523" customFormat="1">
      <c r="L537" s="272"/>
      <c r="M537" s="272"/>
      <c r="N537" s="272"/>
      <c r="O537" s="272"/>
      <c r="P537" s="272"/>
      <c r="Q537" s="272"/>
    </row>
    <row r="538" spans="12:17" s="1523" customFormat="1">
      <c r="L538" s="272"/>
      <c r="M538" s="272"/>
      <c r="N538" s="272"/>
      <c r="O538" s="272"/>
      <c r="P538" s="272"/>
      <c r="Q538" s="272"/>
    </row>
    <row r="539" spans="12:17" s="1523" customFormat="1">
      <c r="L539" s="272"/>
      <c r="M539" s="272"/>
      <c r="N539" s="272"/>
      <c r="O539" s="272"/>
      <c r="P539" s="272"/>
      <c r="Q539" s="272"/>
    </row>
    <row r="540" spans="12:17" s="1523" customFormat="1">
      <c r="L540" s="272"/>
      <c r="M540" s="272"/>
      <c r="N540" s="272"/>
      <c r="O540" s="272"/>
      <c r="P540" s="272"/>
      <c r="Q540" s="272"/>
    </row>
    <row r="541" spans="12:17" s="1523" customFormat="1">
      <c r="L541" s="272"/>
      <c r="M541" s="272"/>
      <c r="N541" s="272"/>
      <c r="O541" s="272"/>
      <c r="P541" s="272"/>
      <c r="Q541" s="272"/>
    </row>
    <row r="542" spans="12:17" s="1523" customFormat="1">
      <c r="L542" s="272"/>
      <c r="M542" s="272"/>
      <c r="N542" s="272"/>
      <c r="O542" s="272"/>
      <c r="P542" s="272"/>
      <c r="Q542" s="272"/>
    </row>
    <row r="543" spans="12:17" s="1523" customFormat="1">
      <c r="L543" s="272"/>
      <c r="M543" s="272"/>
      <c r="N543" s="272"/>
      <c r="O543" s="272"/>
      <c r="P543" s="272"/>
      <c r="Q543" s="272"/>
    </row>
    <row r="544" spans="12:17" s="1523" customFormat="1">
      <c r="L544" s="272"/>
      <c r="M544" s="272"/>
      <c r="N544" s="272"/>
      <c r="O544" s="272"/>
      <c r="P544" s="272"/>
      <c r="Q544" s="272"/>
    </row>
    <row r="545" spans="12:17" s="1523" customFormat="1">
      <c r="L545" s="272"/>
      <c r="M545" s="272"/>
      <c r="N545" s="272"/>
      <c r="O545" s="272"/>
      <c r="P545" s="272"/>
      <c r="Q545" s="272"/>
    </row>
    <row r="546" spans="12:17" s="1523" customFormat="1">
      <c r="L546" s="272"/>
      <c r="M546" s="272"/>
      <c r="N546" s="272"/>
      <c r="O546" s="272"/>
      <c r="P546" s="272"/>
      <c r="Q546" s="272"/>
    </row>
    <row r="547" spans="12:17" s="1523" customFormat="1">
      <c r="L547" s="272"/>
      <c r="M547" s="272"/>
      <c r="N547" s="272"/>
      <c r="O547" s="272"/>
      <c r="P547" s="272"/>
      <c r="Q547" s="272"/>
    </row>
    <row r="548" spans="12:17" s="1523" customFormat="1">
      <c r="L548" s="272"/>
      <c r="M548" s="272"/>
      <c r="N548" s="272"/>
      <c r="O548" s="272"/>
      <c r="P548" s="272"/>
      <c r="Q548" s="272"/>
    </row>
    <row r="549" spans="12:17" s="1523" customFormat="1">
      <c r="L549" s="272"/>
      <c r="M549" s="272"/>
      <c r="N549" s="272"/>
      <c r="O549" s="272"/>
      <c r="P549" s="272"/>
      <c r="Q549" s="272"/>
    </row>
    <row r="550" spans="12:17" s="1523" customFormat="1">
      <c r="L550" s="272"/>
      <c r="M550" s="272"/>
      <c r="N550" s="272"/>
      <c r="O550" s="272"/>
      <c r="P550" s="272"/>
      <c r="Q550" s="272"/>
    </row>
    <row r="551" spans="12:17" s="1523" customFormat="1">
      <c r="L551" s="272"/>
      <c r="M551" s="272"/>
      <c r="N551" s="272"/>
      <c r="O551" s="272"/>
      <c r="P551" s="272"/>
      <c r="Q551" s="272"/>
    </row>
    <row r="552" spans="12:17" s="1523" customFormat="1">
      <c r="L552" s="272"/>
      <c r="M552" s="272"/>
      <c r="N552" s="272"/>
      <c r="O552" s="272"/>
      <c r="P552" s="272"/>
      <c r="Q552" s="272"/>
    </row>
    <row r="553" spans="12:17" s="1523" customFormat="1">
      <c r="L553" s="272"/>
      <c r="M553" s="272"/>
      <c r="N553" s="272"/>
      <c r="O553" s="272"/>
      <c r="P553" s="272"/>
      <c r="Q553" s="272"/>
    </row>
    <row r="554" spans="12:17" s="1523" customFormat="1">
      <c r="L554" s="272"/>
      <c r="M554" s="272"/>
      <c r="N554" s="272"/>
      <c r="O554" s="272"/>
      <c r="P554" s="272"/>
      <c r="Q554" s="272"/>
    </row>
    <row r="555" spans="12:17" s="1523" customFormat="1">
      <c r="L555" s="272"/>
      <c r="M555" s="272"/>
      <c r="N555" s="272"/>
      <c r="O555" s="272"/>
      <c r="P555" s="272"/>
      <c r="Q555" s="272"/>
    </row>
    <row r="556" spans="12:17" s="1523" customFormat="1">
      <c r="L556" s="272"/>
      <c r="M556" s="272"/>
      <c r="N556" s="272"/>
      <c r="O556" s="272"/>
      <c r="P556" s="272"/>
      <c r="Q556" s="272"/>
    </row>
    <row r="557" spans="12:17" s="1523" customFormat="1">
      <c r="L557" s="272"/>
      <c r="M557" s="272"/>
      <c r="N557" s="272"/>
      <c r="O557" s="272"/>
      <c r="P557" s="272"/>
      <c r="Q557" s="272"/>
    </row>
    <row r="558" spans="12:17" s="1523" customFormat="1">
      <c r="L558" s="272"/>
      <c r="M558" s="272"/>
      <c r="N558" s="272"/>
      <c r="O558" s="272"/>
      <c r="P558" s="272"/>
      <c r="Q558" s="272"/>
    </row>
    <row r="559" spans="12:17" s="1523" customFormat="1">
      <c r="L559" s="272"/>
      <c r="M559" s="272"/>
      <c r="N559" s="272"/>
      <c r="O559" s="272"/>
      <c r="P559" s="272"/>
      <c r="Q559" s="272"/>
    </row>
    <row r="560" spans="12:17" s="1523" customFormat="1">
      <c r="L560" s="272"/>
      <c r="M560" s="272"/>
      <c r="N560" s="272"/>
      <c r="O560" s="272"/>
      <c r="P560" s="272"/>
      <c r="Q560" s="272"/>
    </row>
    <row r="561" spans="12:17" s="1523" customFormat="1">
      <c r="L561" s="272"/>
      <c r="M561" s="272"/>
      <c r="N561" s="272"/>
      <c r="O561" s="272"/>
      <c r="P561" s="272"/>
      <c r="Q561" s="272"/>
    </row>
    <row r="562" spans="12:17" s="1523" customFormat="1">
      <c r="L562" s="272"/>
      <c r="M562" s="272"/>
      <c r="N562" s="272"/>
      <c r="O562" s="272"/>
      <c r="P562" s="272"/>
      <c r="Q562" s="272"/>
    </row>
    <row r="563" spans="12:17" s="1523" customFormat="1">
      <c r="L563" s="272"/>
      <c r="M563" s="272"/>
      <c r="N563" s="272"/>
      <c r="O563" s="272"/>
      <c r="P563" s="272"/>
      <c r="Q563" s="272"/>
    </row>
    <row r="564" spans="12:17" s="1523" customFormat="1">
      <c r="L564" s="272"/>
      <c r="M564" s="272"/>
      <c r="N564" s="272"/>
      <c r="O564" s="272"/>
      <c r="P564" s="272"/>
      <c r="Q564" s="272"/>
    </row>
    <row r="565" spans="12:17" s="1523" customFormat="1">
      <c r="L565" s="272"/>
      <c r="M565" s="272"/>
      <c r="N565" s="272"/>
      <c r="O565" s="272"/>
      <c r="P565" s="272"/>
      <c r="Q565" s="272"/>
    </row>
    <row r="566" spans="12:17" s="1523" customFormat="1">
      <c r="L566" s="272"/>
      <c r="M566" s="272"/>
      <c r="N566" s="272"/>
      <c r="O566" s="272"/>
      <c r="P566" s="272"/>
      <c r="Q566" s="272"/>
    </row>
    <row r="567" spans="12:17" s="1523" customFormat="1">
      <c r="L567" s="272"/>
      <c r="M567" s="272"/>
      <c r="N567" s="272"/>
      <c r="O567" s="272"/>
      <c r="P567" s="272"/>
      <c r="Q567" s="272"/>
    </row>
    <row r="568" spans="12:17" s="1523" customFormat="1">
      <c r="L568" s="272"/>
      <c r="M568" s="272"/>
      <c r="N568" s="272"/>
      <c r="O568" s="272"/>
      <c r="P568" s="272"/>
      <c r="Q568" s="272"/>
    </row>
    <row r="569" spans="12:17" s="1523" customFormat="1">
      <c r="L569" s="272"/>
      <c r="M569" s="272"/>
      <c r="N569" s="272"/>
      <c r="O569" s="272"/>
      <c r="P569" s="272"/>
      <c r="Q569" s="272"/>
    </row>
    <row r="570" spans="12:17" s="1523" customFormat="1">
      <c r="L570" s="272"/>
      <c r="M570" s="272"/>
      <c r="N570" s="272"/>
      <c r="O570" s="272"/>
      <c r="P570" s="272"/>
      <c r="Q570" s="272"/>
    </row>
    <row r="571" spans="12:17" s="1523" customFormat="1">
      <c r="L571" s="272"/>
      <c r="M571" s="272"/>
      <c r="N571" s="272"/>
      <c r="O571" s="272"/>
      <c r="P571" s="272"/>
      <c r="Q571" s="272"/>
    </row>
    <row r="572" spans="12:17" s="1523" customFormat="1">
      <c r="L572" s="272"/>
      <c r="M572" s="272"/>
      <c r="N572" s="272"/>
      <c r="O572" s="272"/>
      <c r="P572" s="272"/>
      <c r="Q572" s="272"/>
    </row>
    <row r="573" spans="12:17" s="1523" customFormat="1">
      <c r="L573" s="272"/>
      <c r="M573" s="272"/>
      <c r="N573" s="272"/>
      <c r="O573" s="272"/>
      <c r="P573" s="272"/>
      <c r="Q573" s="272"/>
    </row>
    <row r="574" spans="12:17" s="1523" customFormat="1">
      <c r="L574" s="272"/>
      <c r="M574" s="272"/>
      <c r="N574" s="272"/>
      <c r="O574" s="272"/>
      <c r="P574" s="272"/>
      <c r="Q574" s="272"/>
    </row>
    <row r="575" spans="12:17" s="1523" customFormat="1">
      <c r="L575" s="272"/>
      <c r="M575" s="272"/>
      <c r="N575" s="272"/>
      <c r="O575" s="272"/>
      <c r="P575" s="272"/>
      <c r="Q575" s="272"/>
    </row>
    <row r="576" spans="12:17" s="1523" customFormat="1">
      <c r="L576" s="272"/>
      <c r="M576" s="272"/>
      <c r="N576" s="272"/>
      <c r="O576" s="272"/>
      <c r="P576" s="272"/>
      <c r="Q576" s="272"/>
    </row>
    <row r="577" spans="12:17" s="1523" customFormat="1">
      <c r="L577" s="272"/>
      <c r="M577" s="272"/>
      <c r="N577" s="272"/>
      <c r="O577" s="272"/>
      <c r="P577" s="272"/>
      <c r="Q577" s="272"/>
    </row>
    <row r="578" spans="12:17" s="1523" customFormat="1">
      <c r="L578" s="272"/>
      <c r="M578" s="272"/>
      <c r="N578" s="272"/>
      <c r="O578" s="272"/>
      <c r="P578" s="272"/>
      <c r="Q578" s="272"/>
    </row>
    <row r="579" spans="12:17" s="1523" customFormat="1">
      <c r="L579" s="272"/>
      <c r="M579" s="272"/>
      <c r="N579" s="272"/>
      <c r="O579" s="272"/>
      <c r="P579" s="272"/>
      <c r="Q579" s="272"/>
    </row>
    <row r="580" spans="12:17" s="1523" customFormat="1">
      <c r="L580" s="272"/>
      <c r="M580" s="272"/>
      <c r="N580" s="272"/>
      <c r="O580" s="272"/>
      <c r="P580" s="272"/>
      <c r="Q580" s="272"/>
    </row>
    <row r="581" spans="12:17" s="1523" customFormat="1">
      <c r="L581" s="272"/>
      <c r="M581" s="272"/>
      <c r="N581" s="272"/>
      <c r="O581" s="272"/>
      <c r="P581" s="272"/>
      <c r="Q581" s="272"/>
    </row>
    <row r="582" spans="12:17" s="1523" customFormat="1">
      <c r="L582" s="272"/>
      <c r="M582" s="272"/>
      <c r="N582" s="272"/>
      <c r="O582" s="272"/>
      <c r="P582" s="272"/>
      <c r="Q582" s="272"/>
    </row>
    <row r="583" spans="12:17" s="1523" customFormat="1">
      <c r="L583" s="272"/>
      <c r="M583" s="272"/>
      <c r="N583" s="272"/>
      <c r="O583" s="272"/>
      <c r="P583" s="272"/>
      <c r="Q583" s="272"/>
    </row>
    <row r="584" spans="12:17" s="1523" customFormat="1">
      <c r="L584" s="272"/>
      <c r="M584" s="272"/>
      <c r="N584" s="272"/>
      <c r="O584" s="272"/>
      <c r="P584" s="272"/>
      <c r="Q584" s="272"/>
    </row>
    <row r="585" spans="12:17" s="1523" customFormat="1">
      <c r="L585" s="272"/>
      <c r="M585" s="272"/>
      <c r="N585" s="272"/>
      <c r="O585" s="272"/>
      <c r="P585" s="272"/>
      <c r="Q585" s="272"/>
    </row>
    <row r="586" spans="12:17" s="1523" customFormat="1">
      <c r="L586" s="272"/>
      <c r="M586" s="272"/>
      <c r="N586" s="272"/>
      <c r="O586" s="272"/>
      <c r="P586" s="272"/>
      <c r="Q586" s="272"/>
    </row>
    <row r="587" spans="12:17" s="1523" customFormat="1">
      <c r="L587" s="272"/>
      <c r="M587" s="272"/>
      <c r="N587" s="272"/>
      <c r="O587" s="272"/>
      <c r="P587" s="272"/>
      <c r="Q587" s="272"/>
    </row>
    <row r="588" spans="12:17" s="1523" customFormat="1">
      <c r="L588" s="272"/>
      <c r="M588" s="272"/>
      <c r="N588" s="272"/>
      <c r="O588" s="272"/>
      <c r="P588" s="272"/>
      <c r="Q588" s="272"/>
    </row>
    <row r="589" spans="12:17" s="1523" customFormat="1">
      <c r="L589" s="272"/>
      <c r="M589" s="272"/>
      <c r="N589" s="272"/>
      <c r="O589" s="272"/>
      <c r="P589" s="272"/>
      <c r="Q589" s="272"/>
    </row>
    <row r="590" spans="12:17" s="1523" customFormat="1">
      <c r="L590" s="272"/>
      <c r="M590" s="272"/>
      <c r="N590" s="272"/>
      <c r="O590" s="272"/>
      <c r="P590" s="272"/>
      <c r="Q590" s="272"/>
    </row>
    <row r="591" spans="12:17" s="1523" customFormat="1">
      <c r="L591" s="272"/>
      <c r="M591" s="272"/>
      <c r="N591" s="272"/>
      <c r="O591" s="272"/>
      <c r="P591" s="272"/>
      <c r="Q591" s="272"/>
    </row>
    <row r="592" spans="12:17" s="1523" customFormat="1">
      <c r="L592" s="272"/>
      <c r="M592" s="272"/>
      <c r="N592" s="272"/>
      <c r="O592" s="272"/>
      <c r="P592" s="272"/>
      <c r="Q592" s="272"/>
    </row>
    <row r="593" spans="12:17" s="1523" customFormat="1">
      <c r="L593" s="272"/>
      <c r="M593" s="272"/>
      <c r="N593" s="272"/>
      <c r="O593" s="272"/>
      <c r="P593" s="272"/>
      <c r="Q593" s="272"/>
    </row>
    <row r="594" spans="12:17" s="1523" customFormat="1">
      <c r="L594" s="272"/>
      <c r="M594" s="272"/>
      <c r="N594" s="272"/>
      <c r="O594" s="272"/>
      <c r="P594" s="272"/>
      <c r="Q594" s="272"/>
    </row>
    <row r="595" spans="12:17" s="1523" customFormat="1">
      <c r="L595" s="272"/>
      <c r="M595" s="272"/>
      <c r="N595" s="272"/>
      <c r="O595" s="272"/>
      <c r="P595" s="272"/>
      <c r="Q595" s="272"/>
    </row>
    <row r="596" spans="12:17" s="1523" customFormat="1">
      <c r="L596" s="272"/>
      <c r="M596" s="272"/>
      <c r="N596" s="272"/>
      <c r="O596" s="272"/>
      <c r="P596" s="272"/>
      <c r="Q596" s="272"/>
    </row>
    <row r="597" spans="12:17" s="1523" customFormat="1">
      <c r="L597" s="272"/>
      <c r="M597" s="272"/>
      <c r="N597" s="272"/>
      <c r="O597" s="272"/>
      <c r="P597" s="272"/>
      <c r="Q597" s="272"/>
    </row>
    <row r="598" spans="12:17" s="1523" customFormat="1">
      <c r="L598" s="272"/>
      <c r="M598" s="272"/>
      <c r="N598" s="272"/>
      <c r="O598" s="272"/>
      <c r="P598" s="272"/>
      <c r="Q598" s="272"/>
    </row>
    <row r="599" spans="12:17" s="1523" customFormat="1">
      <c r="L599" s="272"/>
      <c r="M599" s="272"/>
      <c r="N599" s="272"/>
      <c r="O599" s="272"/>
      <c r="P599" s="272"/>
      <c r="Q599" s="272"/>
    </row>
    <row r="600" spans="12:17" s="1523" customFormat="1">
      <c r="L600" s="272"/>
      <c r="M600" s="272"/>
      <c r="N600" s="272"/>
      <c r="O600" s="272"/>
      <c r="P600" s="272"/>
      <c r="Q600" s="272"/>
    </row>
    <row r="601" spans="12:17" s="1523" customFormat="1">
      <c r="L601" s="272"/>
      <c r="M601" s="272"/>
      <c r="N601" s="272"/>
      <c r="O601" s="272"/>
      <c r="P601" s="272"/>
      <c r="Q601" s="272"/>
    </row>
    <row r="602" spans="12:17" s="1523" customFormat="1">
      <c r="L602" s="272"/>
      <c r="M602" s="272"/>
      <c r="N602" s="272"/>
      <c r="O602" s="272"/>
      <c r="P602" s="272"/>
      <c r="Q602" s="272"/>
    </row>
    <row r="603" spans="12:17" s="1523" customFormat="1">
      <c r="L603" s="272"/>
      <c r="M603" s="272"/>
      <c r="N603" s="272"/>
      <c r="O603" s="272"/>
      <c r="P603" s="272"/>
      <c r="Q603" s="272"/>
    </row>
    <row r="604" spans="12:17" s="1523" customFormat="1">
      <c r="L604" s="272"/>
      <c r="M604" s="272"/>
      <c r="N604" s="272"/>
      <c r="O604" s="272"/>
      <c r="P604" s="272"/>
      <c r="Q604" s="272"/>
    </row>
    <row r="605" spans="12:17" s="1523" customFormat="1">
      <c r="L605" s="272"/>
      <c r="M605" s="272"/>
      <c r="N605" s="272"/>
      <c r="O605" s="272"/>
      <c r="P605" s="272"/>
      <c r="Q605" s="272"/>
    </row>
    <row r="606" spans="12:17" s="1523" customFormat="1">
      <c r="L606" s="272"/>
      <c r="M606" s="272"/>
      <c r="N606" s="272"/>
      <c r="O606" s="272"/>
      <c r="P606" s="272"/>
      <c r="Q606" s="272"/>
    </row>
    <row r="607" spans="12:17" s="1523" customFormat="1">
      <c r="L607" s="272"/>
      <c r="M607" s="272"/>
      <c r="N607" s="272"/>
      <c r="O607" s="272"/>
      <c r="P607" s="272"/>
      <c r="Q607" s="272"/>
    </row>
    <row r="608" spans="12:17" s="1523" customFormat="1">
      <c r="L608" s="272"/>
      <c r="M608" s="272"/>
      <c r="N608" s="272"/>
      <c r="O608" s="272"/>
      <c r="P608" s="272"/>
      <c r="Q608" s="272"/>
    </row>
    <row r="609" spans="12:17" s="1523" customFormat="1">
      <c r="L609" s="272"/>
      <c r="M609" s="272"/>
      <c r="N609" s="272"/>
      <c r="O609" s="272"/>
      <c r="P609" s="272"/>
      <c r="Q609" s="272"/>
    </row>
    <row r="610" spans="12:17" s="1523" customFormat="1">
      <c r="L610" s="272"/>
      <c r="M610" s="272"/>
      <c r="N610" s="272"/>
      <c r="O610" s="272"/>
      <c r="P610" s="272"/>
      <c r="Q610" s="272"/>
    </row>
    <row r="611" spans="12:17" s="1523" customFormat="1">
      <c r="L611" s="272"/>
      <c r="M611" s="272"/>
      <c r="N611" s="272"/>
      <c r="O611" s="272"/>
      <c r="P611" s="272"/>
      <c r="Q611" s="272"/>
    </row>
    <row r="612" spans="12:17" s="1523" customFormat="1">
      <c r="L612" s="272"/>
      <c r="M612" s="272"/>
      <c r="N612" s="272"/>
      <c r="O612" s="272"/>
      <c r="P612" s="272"/>
      <c r="Q612" s="272"/>
    </row>
    <row r="613" spans="12:17" s="1523" customFormat="1">
      <c r="L613" s="272"/>
      <c r="M613" s="272"/>
      <c r="N613" s="272"/>
      <c r="O613" s="272"/>
      <c r="P613" s="272"/>
      <c r="Q613" s="272"/>
    </row>
    <row r="614" spans="12:17" s="1523" customFormat="1">
      <c r="L614" s="272"/>
      <c r="M614" s="272"/>
      <c r="N614" s="272"/>
      <c r="O614" s="272"/>
      <c r="P614" s="272"/>
      <c r="Q614" s="272"/>
    </row>
    <row r="615" spans="12:17" s="1523" customFormat="1">
      <c r="L615" s="272"/>
      <c r="M615" s="272"/>
      <c r="N615" s="272"/>
      <c r="O615" s="272"/>
      <c r="P615" s="272"/>
      <c r="Q615" s="272"/>
    </row>
    <row r="616" spans="12:17" s="1523" customFormat="1">
      <c r="L616" s="272"/>
      <c r="M616" s="272"/>
      <c r="N616" s="272"/>
      <c r="O616" s="272"/>
      <c r="P616" s="272"/>
      <c r="Q616" s="272"/>
    </row>
    <row r="617" spans="12:17" s="1523" customFormat="1">
      <c r="L617" s="272"/>
      <c r="M617" s="272"/>
      <c r="N617" s="272"/>
      <c r="O617" s="272"/>
      <c r="P617" s="272"/>
      <c r="Q617" s="272"/>
    </row>
    <row r="618" spans="12:17" s="1523" customFormat="1">
      <c r="L618" s="272"/>
      <c r="M618" s="272"/>
      <c r="N618" s="272"/>
      <c r="O618" s="272"/>
      <c r="P618" s="272"/>
      <c r="Q618" s="272"/>
    </row>
    <row r="619" spans="12:17" s="1523" customFormat="1">
      <c r="L619" s="272"/>
      <c r="M619" s="272"/>
      <c r="N619" s="272"/>
      <c r="O619" s="272"/>
      <c r="P619" s="272"/>
      <c r="Q619" s="272"/>
    </row>
    <row r="620" spans="12:17" s="1523" customFormat="1">
      <c r="L620" s="272"/>
      <c r="M620" s="272"/>
      <c r="N620" s="272"/>
      <c r="O620" s="272"/>
      <c r="P620" s="272"/>
      <c r="Q620" s="272"/>
    </row>
    <row r="621" spans="12:17" s="1523" customFormat="1">
      <c r="L621" s="272"/>
      <c r="M621" s="272"/>
      <c r="N621" s="272"/>
      <c r="O621" s="272"/>
      <c r="P621" s="272"/>
      <c r="Q621" s="272"/>
    </row>
    <row r="622" spans="12:17" s="1523" customFormat="1">
      <c r="L622" s="272"/>
      <c r="M622" s="272"/>
      <c r="N622" s="272"/>
      <c r="O622" s="272"/>
      <c r="P622" s="272"/>
      <c r="Q622" s="272"/>
    </row>
    <row r="623" spans="12:17" s="1523" customFormat="1">
      <c r="L623" s="272"/>
      <c r="M623" s="272"/>
      <c r="N623" s="272"/>
      <c r="O623" s="272"/>
      <c r="P623" s="272"/>
      <c r="Q623" s="272"/>
    </row>
    <row r="624" spans="12:17" s="1523" customFormat="1">
      <c r="L624" s="272"/>
      <c r="M624" s="272"/>
      <c r="N624" s="272"/>
      <c r="O624" s="272"/>
      <c r="P624" s="272"/>
      <c r="Q624" s="272"/>
    </row>
    <row r="625" spans="12:17" s="1523" customFormat="1">
      <c r="L625" s="272"/>
      <c r="M625" s="272"/>
      <c r="N625" s="272"/>
      <c r="O625" s="272"/>
      <c r="P625" s="272"/>
      <c r="Q625" s="272"/>
    </row>
    <row r="626" spans="12:17" s="1523" customFormat="1">
      <c r="L626" s="272"/>
      <c r="M626" s="272"/>
      <c r="N626" s="272"/>
      <c r="O626" s="272"/>
      <c r="P626" s="272"/>
      <c r="Q626" s="272"/>
    </row>
    <row r="627" spans="12:17" s="1523" customFormat="1">
      <c r="L627" s="272"/>
      <c r="M627" s="272"/>
      <c r="N627" s="272"/>
      <c r="O627" s="272"/>
      <c r="P627" s="272"/>
      <c r="Q627" s="272"/>
    </row>
    <row r="628" spans="12:17" s="1523" customFormat="1">
      <c r="L628" s="272"/>
      <c r="M628" s="272"/>
      <c r="N628" s="272"/>
      <c r="O628" s="272"/>
      <c r="P628" s="272"/>
      <c r="Q628" s="272"/>
    </row>
    <row r="629" spans="12:17" s="1523" customFormat="1">
      <c r="L629" s="272"/>
      <c r="M629" s="272"/>
      <c r="N629" s="272"/>
      <c r="O629" s="272"/>
      <c r="P629" s="272"/>
      <c r="Q629" s="272"/>
    </row>
    <row r="630" spans="12:17" s="1523" customFormat="1">
      <c r="L630" s="272"/>
      <c r="M630" s="272"/>
      <c r="N630" s="272"/>
      <c r="O630" s="272"/>
      <c r="P630" s="272"/>
      <c r="Q630" s="272"/>
    </row>
    <row r="631" spans="12:17" s="1523" customFormat="1">
      <c r="L631" s="272"/>
      <c r="M631" s="272"/>
      <c r="N631" s="272"/>
      <c r="O631" s="272"/>
      <c r="P631" s="272"/>
      <c r="Q631" s="272"/>
    </row>
    <row r="632" spans="12:17" s="1523" customFormat="1">
      <c r="L632" s="272"/>
      <c r="M632" s="272"/>
      <c r="N632" s="272"/>
      <c r="O632" s="272"/>
      <c r="P632" s="272"/>
      <c r="Q632" s="272"/>
    </row>
    <row r="633" spans="12:17" s="1523" customFormat="1">
      <c r="L633" s="272"/>
      <c r="M633" s="272"/>
      <c r="N633" s="272"/>
      <c r="O633" s="272"/>
      <c r="P633" s="272"/>
      <c r="Q633" s="272"/>
    </row>
    <row r="634" spans="12:17" s="1523" customFormat="1">
      <c r="L634" s="272"/>
      <c r="M634" s="272"/>
      <c r="N634" s="272"/>
      <c r="O634" s="272"/>
      <c r="P634" s="272"/>
      <c r="Q634" s="272"/>
    </row>
    <row r="635" spans="12:17" s="1523" customFormat="1">
      <c r="L635" s="272"/>
      <c r="M635" s="272"/>
      <c r="N635" s="272"/>
      <c r="O635" s="272"/>
      <c r="P635" s="272"/>
      <c r="Q635" s="272"/>
    </row>
    <row r="636" spans="12:17" s="1523" customFormat="1">
      <c r="L636" s="272"/>
      <c r="M636" s="272"/>
      <c r="N636" s="272"/>
      <c r="O636" s="272"/>
      <c r="P636" s="272"/>
      <c r="Q636" s="272"/>
    </row>
    <row r="637" spans="12:17" s="1523" customFormat="1">
      <c r="L637" s="272"/>
      <c r="M637" s="272"/>
      <c r="N637" s="272"/>
      <c r="O637" s="272"/>
      <c r="P637" s="272"/>
      <c r="Q637" s="272"/>
    </row>
    <row r="638" spans="12:17" s="1523" customFormat="1">
      <c r="L638" s="272"/>
      <c r="M638" s="272"/>
      <c r="N638" s="272"/>
      <c r="O638" s="272"/>
      <c r="P638" s="272"/>
      <c r="Q638" s="272"/>
    </row>
    <row r="639" spans="12:17" s="1523" customFormat="1">
      <c r="L639" s="272"/>
      <c r="M639" s="272"/>
      <c r="N639" s="272"/>
      <c r="O639" s="272"/>
      <c r="P639" s="272"/>
      <c r="Q639" s="272"/>
    </row>
    <row r="640" spans="12:17" s="1523" customFormat="1">
      <c r="L640" s="272"/>
      <c r="M640" s="272"/>
      <c r="N640" s="272"/>
      <c r="O640" s="272"/>
      <c r="P640" s="272"/>
      <c r="Q640" s="272"/>
    </row>
    <row r="641" spans="12:17" s="1523" customFormat="1">
      <c r="L641" s="272"/>
      <c r="M641" s="272"/>
      <c r="N641" s="272"/>
      <c r="O641" s="272"/>
      <c r="P641" s="272"/>
      <c r="Q641" s="272"/>
    </row>
    <row r="642" spans="12:17" s="1523" customFormat="1">
      <c r="L642" s="272"/>
      <c r="M642" s="272"/>
      <c r="N642" s="272"/>
      <c r="O642" s="272"/>
      <c r="P642" s="272"/>
      <c r="Q642" s="272"/>
    </row>
    <row r="643" spans="12:17" s="1523" customFormat="1">
      <c r="L643" s="272"/>
      <c r="M643" s="272"/>
      <c r="N643" s="272"/>
      <c r="O643" s="272"/>
      <c r="P643" s="272"/>
      <c r="Q643" s="272"/>
    </row>
    <row r="644" spans="12:17" s="1523" customFormat="1">
      <c r="L644" s="272"/>
      <c r="M644" s="272"/>
      <c r="N644" s="272"/>
      <c r="O644" s="272"/>
      <c r="P644" s="272"/>
      <c r="Q644" s="272"/>
    </row>
    <row r="645" spans="12:17" s="1523" customFormat="1">
      <c r="L645" s="272"/>
      <c r="M645" s="272"/>
      <c r="N645" s="272"/>
      <c r="O645" s="272"/>
      <c r="P645" s="272"/>
      <c r="Q645" s="272"/>
    </row>
    <row r="646" spans="12:17" s="1523" customFormat="1">
      <c r="L646" s="272"/>
      <c r="M646" s="272"/>
      <c r="N646" s="272"/>
      <c r="O646" s="272"/>
      <c r="P646" s="272"/>
      <c r="Q646" s="272"/>
    </row>
    <row r="647" spans="12:17" s="1523" customFormat="1">
      <c r="L647" s="272"/>
      <c r="M647" s="272"/>
      <c r="N647" s="272"/>
      <c r="O647" s="272"/>
      <c r="P647" s="272"/>
      <c r="Q647" s="272"/>
    </row>
    <row r="648" spans="12:17" s="1523" customFormat="1">
      <c r="L648" s="272"/>
      <c r="M648" s="272"/>
      <c r="N648" s="272"/>
      <c r="O648" s="272"/>
      <c r="P648" s="272"/>
      <c r="Q648" s="272"/>
    </row>
    <row r="649" spans="12:17" s="1523" customFormat="1">
      <c r="L649" s="272"/>
      <c r="M649" s="272"/>
      <c r="N649" s="272"/>
      <c r="O649" s="272"/>
      <c r="P649" s="272"/>
      <c r="Q649" s="272"/>
    </row>
    <row r="650" spans="12:17" s="1523" customFormat="1">
      <c r="L650" s="272"/>
      <c r="M650" s="272"/>
      <c r="N650" s="272"/>
      <c r="O650" s="272"/>
      <c r="P650" s="272"/>
      <c r="Q650" s="272"/>
    </row>
    <row r="651" spans="12:17" s="1523" customFormat="1">
      <c r="L651" s="272"/>
      <c r="M651" s="272"/>
      <c r="N651" s="272"/>
      <c r="O651" s="272"/>
      <c r="P651" s="272"/>
      <c r="Q651" s="272"/>
    </row>
    <row r="652" spans="12:17" s="1523" customFormat="1">
      <c r="L652" s="272"/>
      <c r="M652" s="272"/>
      <c r="N652" s="272"/>
      <c r="O652" s="272"/>
      <c r="P652" s="272"/>
      <c r="Q652" s="272"/>
    </row>
    <row r="653" spans="12:17" s="1523" customFormat="1">
      <c r="L653" s="272"/>
      <c r="M653" s="272"/>
      <c r="N653" s="272"/>
      <c r="O653" s="272"/>
      <c r="P653" s="272"/>
      <c r="Q653" s="272"/>
    </row>
    <row r="654" spans="12:17" s="1523" customFormat="1">
      <c r="L654" s="272"/>
      <c r="M654" s="272"/>
      <c r="N654" s="272"/>
      <c r="O654" s="272"/>
      <c r="P654" s="272"/>
      <c r="Q654" s="272"/>
    </row>
    <row r="655" spans="12:17" s="1523" customFormat="1">
      <c r="L655" s="272"/>
      <c r="M655" s="272"/>
      <c r="N655" s="272"/>
      <c r="O655" s="272"/>
      <c r="P655" s="272"/>
      <c r="Q655" s="272"/>
    </row>
    <row r="656" spans="12:17" s="1523" customFormat="1">
      <c r="L656" s="272"/>
      <c r="M656" s="272"/>
      <c r="N656" s="272"/>
      <c r="O656" s="272"/>
      <c r="P656" s="272"/>
      <c r="Q656" s="272"/>
    </row>
    <row r="657" spans="12:17" s="1523" customFormat="1">
      <c r="L657" s="272"/>
      <c r="M657" s="272"/>
      <c r="N657" s="272"/>
      <c r="O657" s="272"/>
      <c r="P657" s="272"/>
      <c r="Q657" s="272"/>
    </row>
    <row r="658" spans="12:17" s="1523" customFormat="1">
      <c r="L658" s="272"/>
      <c r="M658" s="272"/>
      <c r="N658" s="272"/>
      <c r="O658" s="272"/>
      <c r="P658" s="272"/>
      <c r="Q658" s="272"/>
    </row>
    <row r="659" spans="12:17" s="1523" customFormat="1">
      <c r="L659" s="272"/>
      <c r="M659" s="272"/>
      <c r="N659" s="272"/>
      <c r="O659" s="272"/>
      <c r="P659" s="272"/>
      <c r="Q659" s="272"/>
    </row>
    <row r="660" spans="12:17" s="1523" customFormat="1">
      <c r="L660" s="272"/>
      <c r="M660" s="272"/>
      <c r="N660" s="272"/>
      <c r="O660" s="272"/>
      <c r="P660" s="272"/>
      <c r="Q660" s="272"/>
    </row>
    <row r="661" spans="12:17" s="1523" customFormat="1">
      <c r="L661" s="272"/>
      <c r="M661" s="272"/>
      <c r="N661" s="272"/>
      <c r="O661" s="272"/>
      <c r="P661" s="272"/>
      <c r="Q661" s="272"/>
    </row>
    <row r="662" spans="12:17" s="1523" customFormat="1">
      <c r="L662" s="272"/>
      <c r="M662" s="272"/>
      <c r="N662" s="272"/>
      <c r="O662" s="272"/>
      <c r="P662" s="272"/>
      <c r="Q662" s="272"/>
    </row>
    <row r="663" spans="12:17" s="1523" customFormat="1">
      <c r="L663" s="272"/>
      <c r="M663" s="272"/>
      <c r="N663" s="272"/>
      <c r="O663" s="272"/>
      <c r="P663" s="272"/>
      <c r="Q663" s="272"/>
    </row>
    <row r="664" spans="12:17" s="1523" customFormat="1">
      <c r="L664" s="272"/>
      <c r="M664" s="272"/>
      <c r="N664" s="272"/>
      <c r="O664" s="272"/>
      <c r="P664" s="272"/>
      <c r="Q664" s="272"/>
    </row>
    <row r="665" spans="12:17" s="1523" customFormat="1">
      <c r="L665" s="272"/>
      <c r="M665" s="272"/>
      <c r="N665" s="272"/>
      <c r="O665" s="272"/>
      <c r="P665" s="272"/>
      <c r="Q665" s="272"/>
    </row>
    <row r="666" spans="12:17" s="1523" customFormat="1">
      <c r="L666" s="272"/>
      <c r="M666" s="272"/>
      <c r="N666" s="272"/>
      <c r="O666" s="272"/>
      <c r="P666" s="272"/>
      <c r="Q666" s="272"/>
    </row>
    <row r="667" spans="12:17" s="1523" customFormat="1">
      <c r="L667" s="272"/>
      <c r="M667" s="272"/>
      <c r="N667" s="272"/>
      <c r="O667" s="272"/>
      <c r="P667" s="272"/>
      <c r="Q667" s="272"/>
    </row>
    <row r="668" spans="12:17" s="1523" customFormat="1">
      <c r="L668" s="272"/>
      <c r="M668" s="272"/>
      <c r="N668" s="272"/>
      <c r="O668" s="272"/>
      <c r="P668" s="272"/>
      <c r="Q668" s="272"/>
    </row>
    <row r="669" spans="12:17" s="1523" customFormat="1">
      <c r="L669" s="272"/>
      <c r="M669" s="272"/>
      <c r="N669" s="272"/>
      <c r="O669" s="272"/>
      <c r="P669" s="272"/>
      <c r="Q669" s="272"/>
    </row>
    <row r="670" spans="12:17" s="1523" customFormat="1">
      <c r="L670" s="272"/>
      <c r="M670" s="272"/>
      <c r="N670" s="272"/>
      <c r="O670" s="272"/>
      <c r="P670" s="272"/>
      <c r="Q670" s="272"/>
    </row>
    <row r="671" spans="12:17" s="1523" customFormat="1">
      <c r="L671" s="272"/>
      <c r="M671" s="272"/>
      <c r="N671" s="272"/>
      <c r="O671" s="272"/>
      <c r="P671" s="272"/>
      <c r="Q671" s="272"/>
    </row>
    <row r="672" spans="12:17" s="1523" customFormat="1">
      <c r="L672" s="272"/>
      <c r="M672" s="272"/>
      <c r="N672" s="272"/>
      <c r="O672" s="272"/>
      <c r="P672" s="272"/>
      <c r="Q672" s="272"/>
    </row>
    <row r="673" spans="12:17" s="1523" customFormat="1">
      <c r="L673" s="272"/>
      <c r="M673" s="272"/>
      <c r="N673" s="272"/>
      <c r="O673" s="272"/>
      <c r="P673" s="272"/>
      <c r="Q673" s="272"/>
    </row>
    <row r="674" spans="12:17" s="1523" customFormat="1">
      <c r="L674" s="272"/>
      <c r="M674" s="272"/>
      <c r="N674" s="272"/>
      <c r="O674" s="272"/>
      <c r="P674" s="272"/>
      <c r="Q674" s="272"/>
    </row>
    <row r="675" spans="12:17" s="1523" customFormat="1">
      <c r="L675" s="272"/>
      <c r="M675" s="272"/>
      <c r="N675" s="272"/>
      <c r="O675" s="272"/>
      <c r="P675" s="272"/>
      <c r="Q675" s="272"/>
    </row>
    <row r="676" spans="12:17" s="1523" customFormat="1">
      <c r="L676" s="272"/>
      <c r="M676" s="272"/>
      <c r="N676" s="272"/>
      <c r="O676" s="272"/>
      <c r="P676" s="272"/>
      <c r="Q676" s="272"/>
    </row>
    <row r="677" spans="12:17" s="1523" customFormat="1">
      <c r="L677" s="272"/>
      <c r="M677" s="272"/>
      <c r="N677" s="272"/>
      <c r="O677" s="272"/>
      <c r="P677" s="272"/>
      <c r="Q677" s="272"/>
    </row>
    <row r="678" spans="12:17" s="1523" customFormat="1">
      <c r="L678" s="272"/>
      <c r="M678" s="272"/>
      <c r="N678" s="272"/>
      <c r="O678" s="272"/>
      <c r="P678" s="272"/>
      <c r="Q678" s="272"/>
    </row>
    <row r="679" spans="12:17" s="1523" customFormat="1">
      <c r="L679" s="272"/>
      <c r="M679" s="272"/>
      <c r="N679" s="272"/>
      <c r="O679" s="272"/>
      <c r="P679" s="272"/>
      <c r="Q679" s="272"/>
    </row>
    <row r="680" spans="12:17" s="1523" customFormat="1">
      <c r="L680" s="272"/>
      <c r="M680" s="272"/>
      <c r="N680" s="272"/>
      <c r="O680" s="272"/>
      <c r="P680" s="272"/>
      <c r="Q680" s="272"/>
    </row>
    <row r="681" spans="12:17" s="1523" customFormat="1">
      <c r="L681" s="272"/>
      <c r="M681" s="272"/>
      <c r="N681" s="272"/>
      <c r="O681" s="272"/>
      <c r="P681" s="272"/>
      <c r="Q681" s="272"/>
    </row>
    <row r="682" spans="12:17" s="1523" customFormat="1">
      <c r="L682" s="272"/>
      <c r="M682" s="272"/>
      <c r="N682" s="272"/>
      <c r="O682" s="272"/>
      <c r="P682" s="272"/>
      <c r="Q682" s="272"/>
    </row>
    <row r="683" spans="12:17" s="1523" customFormat="1">
      <c r="L683" s="272"/>
      <c r="M683" s="272"/>
      <c r="N683" s="272"/>
      <c r="O683" s="272"/>
      <c r="P683" s="272"/>
      <c r="Q683" s="272"/>
    </row>
    <row r="684" spans="12:17" s="1523" customFormat="1">
      <c r="L684" s="272"/>
      <c r="M684" s="272"/>
      <c r="N684" s="272"/>
      <c r="O684" s="272"/>
      <c r="P684" s="272"/>
      <c r="Q684" s="272"/>
    </row>
    <row r="685" spans="12:17" s="1523" customFormat="1">
      <c r="L685" s="272"/>
      <c r="M685" s="272"/>
      <c r="N685" s="272"/>
      <c r="O685" s="272"/>
      <c r="P685" s="272"/>
      <c r="Q685" s="272"/>
    </row>
    <row r="686" spans="12:17" s="1523" customFormat="1">
      <c r="L686" s="272"/>
      <c r="M686" s="272"/>
      <c r="N686" s="272"/>
      <c r="O686" s="272"/>
      <c r="P686" s="272"/>
      <c r="Q686" s="272"/>
    </row>
    <row r="687" spans="12:17" s="1523" customFormat="1">
      <c r="L687" s="272"/>
      <c r="M687" s="272"/>
      <c r="N687" s="272"/>
      <c r="O687" s="272"/>
      <c r="P687" s="272"/>
      <c r="Q687" s="272"/>
    </row>
    <row r="688" spans="12:17" s="1523" customFormat="1">
      <c r="L688" s="272"/>
      <c r="M688" s="272"/>
      <c r="N688" s="272"/>
      <c r="O688" s="272"/>
      <c r="P688" s="272"/>
      <c r="Q688" s="272"/>
    </row>
    <row r="689" spans="12:17" s="1523" customFormat="1">
      <c r="L689" s="272"/>
      <c r="M689" s="272"/>
      <c r="N689" s="272"/>
      <c r="O689" s="272"/>
      <c r="P689" s="272"/>
      <c r="Q689" s="272"/>
    </row>
    <row r="690" spans="12:17" s="1523" customFormat="1">
      <c r="L690" s="272"/>
      <c r="M690" s="272"/>
      <c r="N690" s="272"/>
      <c r="O690" s="272"/>
      <c r="P690" s="272"/>
      <c r="Q690" s="272"/>
    </row>
    <row r="691" spans="12:17" s="1523" customFormat="1">
      <c r="L691" s="272"/>
      <c r="M691" s="272"/>
      <c r="N691" s="272"/>
      <c r="O691" s="272"/>
      <c r="P691" s="272"/>
      <c r="Q691" s="272"/>
    </row>
    <row r="692" spans="12:17" s="1523" customFormat="1">
      <c r="L692" s="272"/>
      <c r="M692" s="272"/>
      <c r="N692" s="272"/>
      <c r="O692" s="272"/>
      <c r="P692" s="272"/>
      <c r="Q692" s="272"/>
    </row>
    <row r="693" spans="12:17" s="1523" customFormat="1">
      <c r="L693" s="272"/>
      <c r="M693" s="272"/>
      <c r="N693" s="272"/>
      <c r="O693" s="272"/>
      <c r="P693" s="272"/>
      <c r="Q693" s="272"/>
    </row>
    <row r="694" spans="12:17" s="1523" customFormat="1">
      <c r="L694" s="272"/>
      <c r="M694" s="272"/>
      <c r="N694" s="272"/>
      <c r="O694" s="272"/>
      <c r="P694" s="272"/>
      <c r="Q694" s="272"/>
    </row>
    <row r="695" spans="12:17" s="1523" customFormat="1">
      <c r="L695" s="272"/>
      <c r="M695" s="272"/>
      <c r="N695" s="272"/>
      <c r="O695" s="272"/>
      <c r="P695" s="272"/>
      <c r="Q695" s="272"/>
    </row>
    <row r="696" spans="12:17" s="1523" customFormat="1">
      <c r="L696" s="272"/>
      <c r="M696" s="272"/>
      <c r="N696" s="272"/>
      <c r="O696" s="272"/>
      <c r="P696" s="272"/>
      <c r="Q696" s="272"/>
    </row>
    <row r="697" spans="12:17" s="1523" customFormat="1">
      <c r="L697" s="272"/>
      <c r="M697" s="272"/>
      <c r="N697" s="272"/>
      <c r="O697" s="272"/>
      <c r="P697" s="272"/>
      <c r="Q697" s="272"/>
    </row>
    <row r="698" spans="12:17" s="1523" customFormat="1">
      <c r="L698" s="272"/>
      <c r="M698" s="272"/>
      <c r="N698" s="272"/>
      <c r="O698" s="272"/>
      <c r="P698" s="272"/>
      <c r="Q698" s="272"/>
    </row>
    <row r="699" spans="12:17" s="1523" customFormat="1">
      <c r="L699" s="272"/>
      <c r="M699" s="272"/>
      <c r="N699" s="272"/>
      <c r="O699" s="272"/>
      <c r="P699" s="272"/>
      <c r="Q699" s="272"/>
    </row>
    <row r="700" spans="12:17" s="1523" customFormat="1">
      <c r="L700" s="272"/>
      <c r="M700" s="272"/>
      <c r="N700" s="272"/>
      <c r="O700" s="272"/>
      <c r="P700" s="272"/>
      <c r="Q700" s="272"/>
    </row>
    <row r="701" spans="12:17" s="1523" customFormat="1">
      <c r="L701" s="272"/>
      <c r="M701" s="272"/>
      <c r="N701" s="272"/>
      <c r="O701" s="272"/>
      <c r="P701" s="272"/>
      <c r="Q701" s="272"/>
    </row>
    <row r="702" spans="12:17" s="1523" customFormat="1">
      <c r="L702" s="272"/>
      <c r="M702" s="272"/>
      <c r="N702" s="272"/>
      <c r="O702" s="272"/>
      <c r="P702" s="272"/>
      <c r="Q702" s="272"/>
    </row>
    <row r="703" spans="12:17" s="1523" customFormat="1">
      <c r="L703" s="272"/>
      <c r="M703" s="272"/>
      <c r="N703" s="272"/>
      <c r="O703" s="272"/>
      <c r="P703" s="272"/>
      <c r="Q703" s="272"/>
    </row>
    <row r="704" spans="12:17" s="1523" customFormat="1">
      <c r="L704" s="272"/>
      <c r="M704" s="272"/>
      <c r="N704" s="272"/>
      <c r="O704" s="272"/>
      <c r="P704" s="272"/>
      <c r="Q704" s="272"/>
    </row>
    <row r="705" spans="12:17" s="1523" customFormat="1">
      <c r="L705" s="272"/>
      <c r="M705" s="272"/>
      <c r="N705" s="272"/>
      <c r="O705" s="272"/>
      <c r="P705" s="272"/>
      <c r="Q705" s="272"/>
    </row>
    <row r="706" spans="12:17" s="1523" customFormat="1">
      <c r="L706" s="272"/>
      <c r="M706" s="272"/>
      <c r="N706" s="272"/>
      <c r="O706" s="272"/>
      <c r="P706" s="272"/>
      <c r="Q706" s="272"/>
    </row>
    <row r="707" spans="12:17" s="1523" customFormat="1">
      <c r="L707" s="272"/>
      <c r="M707" s="272"/>
      <c r="N707" s="272"/>
      <c r="O707" s="272"/>
      <c r="P707" s="272"/>
      <c r="Q707" s="272"/>
    </row>
    <row r="708" spans="12:17" s="1523" customFormat="1">
      <c r="L708" s="272"/>
      <c r="M708" s="272"/>
      <c r="N708" s="272"/>
      <c r="O708" s="272"/>
      <c r="P708" s="272"/>
      <c r="Q708" s="272"/>
    </row>
    <row r="709" spans="12:17" s="1523" customFormat="1">
      <c r="L709" s="272"/>
      <c r="M709" s="272"/>
      <c r="N709" s="272"/>
      <c r="O709" s="272"/>
      <c r="P709" s="272"/>
      <c r="Q709" s="272"/>
    </row>
    <row r="710" spans="12:17" s="1523" customFormat="1">
      <c r="L710" s="272"/>
      <c r="M710" s="272"/>
      <c r="N710" s="272"/>
      <c r="O710" s="272"/>
      <c r="P710" s="272"/>
      <c r="Q710" s="272"/>
    </row>
    <row r="711" spans="12:17" s="1523" customFormat="1">
      <c r="L711" s="272"/>
      <c r="M711" s="272"/>
      <c r="N711" s="272"/>
      <c r="O711" s="272"/>
      <c r="P711" s="272"/>
      <c r="Q711" s="272"/>
    </row>
    <row r="712" spans="12:17" s="1523" customFormat="1">
      <c r="L712" s="272"/>
      <c r="M712" s="272"/>
      <c r="N712" s="272"/>
      <c r="O712" s="272"/>
      <c r="P712" s="272"/>
      <c r="Q712" s="272"/>
    </row>
    <row r="713" spans="12:17" s="1523" customFormat="1">
      <c r="L713" s="272"/>
      <c r="M713" s="272"/>
      <c r="N713" s="272"/>
      <c r="O713" s="272"/>
      <c r="P713" s="272"/>
      <c r="Q713" s="272"/>
    </row>
    <row r="714" spans="12:17" s="1523" customFormat="1">
      <c r="L714" s="272"/>
      <c r="M714" s="272"/>
      <c r="N714" s="272"/>
      <c r="O714" s="272"/>
      <c r="P714" s="272"/>
      <c r="Q714" s="272"/>
    </row>
    <row r="715" spans="12:17" s="1523" customFormat="1">
      <c r="L715" s="272"/>
      <c r="M715" s="272"/>
      <c r="N715" s="272"/>
      <c r="O715" s="272"/>
      <c r="P715" s="272"/>
      <c r="Q715" s="272"/>
    </row>
    <row r="716" spans="12:17" s="1523" customFormat="1">
      <c r="L716" s="272"/>
      <c r="M716" s="272"/>
      <c r="N716" s="272"/>
      <c r="O716" s="272"/>
      <c r="P716" s="272"/>
      <c r="Q716" s="272"/>
    </row>
    <row r="717" spans="12:17" s="1523" customFormat="1">
      <c r="L717" s="272"/>
      <c r="M717" s="272"/>
      <c r="N717" s="272"/>
      <c r="O717" s="272"/>
      <c r="P717" s="272"/>
      <c r="Q717" s="272"/>
    </row>
    <row r="718" spans="12:17" s="1523" customFormat="1">
      <c r="L718" s="272"/>
      <c r="M718" s="272"/>
      <c r="N718" s="272"/>
      <c r="O718" s="272"/>
      <c r="P718" s="272"/>
      <c r="Q718" s="272"/>
    </row>
    <row r="719" spans="12:17" s="1523" customFormat="1">
      <c r="L719" s="272"/>
      <c r="M719" s="272"/>
      <c r="N719" s="272"/>
      <c r="O719" s="272"/>
      <c r="P719" s="272"/>
      <c r="Q719" s="272"/>
    </row>
    <row r="720" spans="12:17" s="1523" customFormat="1">
      <c r="L720" s="272"/>
      <c r="M720" s="272"/>
      <c r="N720" s="272"/>
      <c r="O720" s="272"/>
      <c r="P720" s="272"/>
      <c r="Q720" s="272"/>
    </row>
    <row r="721" spans="12:17" s="1523" customFormat="1">
      <c r="L721" s="272"/>
      <c r="M721" s="272"/>
      <c r="N721" s="272"/>
      <c r="O721" s="272"/>
      <c r="P721" s="272"/>
      <c r="Q721" s="272"/>
    </row>
    <row r="722" spans="12:17" s="1523" customFormat="1">
      <c r="L722" s="272"/>
      <c r="M722" s="272"/>
      <c r="N722" s="272"/>
      <c r="O722" s="272"/>
      <c r="P722" s="272"/>
      <c r="Q722" s="272"/>
    </row>
    <row r="723" spans="12:17" s="1523" customFormat="1">
      <c r="L723" s="272"/>
      <c r="M723" s="272"/>
      <c r="N723" s="272"/>
      <c r="O723" s="272"/>
      <c r="P723" s="272"/>
      <c r="Q723" s="272"/>
    </row>
    <row r="724" spans="12:17" s="1523" customFormat="1">
      <c r="L724" s="272"/>
      <c r="M724" s="272"/>
      <c r="N724" s="272"/>
      <c r="O724" s="272"/>
      <c r="P724" s="272"/>
      <c r="Q724" s="272"/>
    </row>
    <row r="725" spans="12:17" s="1523" customFormat="1">
      <c r="L725" s="272"/>
      <c r="M725" s="272"/>
      <c r="N725" s="272"/>
      <c r="O725" s="272"/>
      <c r="P725" s="272"/>
      <c r="Q725" s="272"/>
    </row>
    <row r="726" spans="12:17" s="1523" customFormat="1">
      <c r="L726" s="272"/>
      <c r="M726" s="272"/>
      <c r="N726" s="272"/>
      <c r="O726" s="272"/>
      <c r="P726" s="272"/>
      <c r="Q726" s="272"/>
    </row>
    <row r="727" spans="12:17" s="1523" customFormat="1">
      <c r="L727" s="272"/>
      <c r="M727" s="272"/>
      <c r="N727" s="272"/>
      <c r="O727" s="272"/>
      <c r="P727" s="272"/>
      <c r="Q727" s="272"/>
    </row>
    <row r="728" spans="12:17" s="1523" customFormat="1">
      <c r="L728" s="272"/>
      <c r="M728" s="272"/>
      <c r="N728" s="272"/>
      <c r="O728" s="272"/>
      <c r="P728" s="272"/>
      <c r="Q728" s="272"/>
    </row>
    <row r="729" spans="12:17" s="1523" customFormat="1">
      <c r="L729" s="272"/>
      <c r="M729" s="272"/>
      <c r="N729" s="272"/>
      <c r="O729" s="272"/>
      <c r="P729" s="272"/>
      <c r="Q729" s="272"/>
    </row>
    <row r="730" spans="12:17" s="1523" customFormat="1">
      <c r="L730" s="272"/>
      <c r="M730" s="272"/>
      <c r="N730" s="272"/>
      <c r="O730" s="272"/>
      <c r="P730" s="272"/>
      <c r="Q730" s="272"/>
    </row>
    <row r="731" spans="12:17" s="1523" customFormat="1">
      <c r="L731" s="272"/>
      <c r="M731" s="272"/>
      <c r="N731" s="272"/>
      <c r="O731" s="272"/>
      <c r="P731" s="272"/>
      <c r="Q731" s="272"/>
    </row>
    <row r="732" spans="12:17" s="1523" customFormat="1">
      <c r="L732" s="272"/>
      <c r="M732" s="272"/>
      <c r="N732" s="272"/>
      <c r="O732" s="272"/>
      <c r="P732" s="272"/>
      <c r="Q732" s="272"/>
    </row>
    <row r="733" spans="12:17" s="1523" customFormat="1">
      <c r="L733" s="272"/>
      <c r="M733" s="272"/>
      <c r="N733" s="272"/>
      <c r="O733" s="272"/>
      <c r="P733" s="272"/>
      <c r="Q733" s="272"/>
    </row>
    <row r="734" spans="12:17" s="1523" customFormat="1">
      <c r="L734" s="272"/>
      <c r="M734" s="272"/>
      <c r="N734" s="272"/>
      <c r="O734" s="272"/>
      <c r="P734" s="272"/>
      <c r="Q734" s="272"/>
    </row>
    <row r="735" spans="12:17" s="1523" customFormat="1">
      <c r="L735" s="272"/>
      <c r="M735" s="272"/>
      <c r="N735" s="272"/>
      <c r="O735" s="272"/>
      <c r="P735" s="272"/>
      <c r="Q735" s="272"/>
    </row>
    <row r="736" spans="12:17" s="1523" customFormat="1">
      <c r="L736" s="272"/>
      <c r="M736" s="272"/>
      <c r="N736" s="272"/>
      <c r="O736" s="272"/>
      <c r="P736" s="272"/>
      <c r="Q736" s="272"/>
    </row>
    <row r="737" spans="12:17" s="1523" customFormat="1">
      <c r="L737" s="272"/>
      <c r="M737" s="272"/>
      <c r="N737" s="272"/>
      <c r="O737" s="272"/>
      <c r="P737" s="272"/>
      <c r="Q737" s="272"/>
    </row>
    <row r="738" spans="12:17" s="1523" customFormat="1">
      <c r="L738" s="272"/>
      <c r="M738" s="272"/>
      <c r="N738" s="272"/>
      <c r="O738" s="272"/>
      <c r="P738" s="272"/>
      <c r="Q738" s="272"/>
    </row>
    <row r="739" spans="12:17" s="1523" customFormat="1">
      <c r="L739" s="272"/>
      <c r="M739" s="272"/>
      <c r="N739" s="272"/>
      <c r="O739" s="272"/>
      <c r="P739" s="272"/>
      <c r="Q739" s="272"/>
    </row>
    <row r="740" spans="12:17" s="1523" customFormat="1">
      <c r="L740" s="272"/>
      <c r="M740" s="272"/>
      <c r="N740" s="272"/>
      <c r="O740" s="272"/>
      <c r="P740" s="272"/>
      <c r="Q740" s="272"/>
    </row>
    <row r="741" spans="12:17" s="1523" customFormat="1">
      <c r="L741" s="272"/>
      <c r="M741" s="272"/>
      <c r="N741" s="272"/>
      <c r="O741" s="272"/>
      <c r="P741" s="272"/>
      <c r="Q741" s="272"/>
    </row>
    <row r="742" spans="12:17" s="1523" customFormat="1">
      <c r="L742" s="272"/>
      <c r="M742" s="272"/>
      <c r="N742" s="272"/>
      <c r="O742" s="272"/>
      <c r="P742" s="272"/>
      <c r="Q742" s="272"/>
    </row>
    <row r="743" spans="12:17" s="1523" customFormat="1">
      <c r="L743" s="272"/>
      <c r="M743" s="272"/>
      <c r="N743" s="272"/>
      <c r="O743" s="272"/>
      <c r="P743" s="272"/>
      <c r="Q743" s="272"/>
    </row>
    <row r="744" spans="12:17" s="1523" customFormat="1">
      <c r="L744" s="272"/>
      <c r="M744" s="272"/>
      <c r="N744" s="272"/>
      <c r="O744" s="272"/>
      <c r="P744" s="272"/>
      <c r="Q744" s="272"/>
    </row>
    <row r="745" spans="12:17" s="1523" customFormat="1">
      <c r="L745" s="272"/>
      <c r="M745" s="272"/>
      <c r="N745" s="272"/>
      <c r="O745" s="272"/>
      <c r="P745" s="272"/>
      <c r="Q745" s="272"/>
    </row>
    <row r="746" spans="12:17" s="1523" customFormat="1">
      <c r="L746" s="272"/>
      <c r="M746" s="272"/>
      <c r="N746" s="272"/>
      <c r="O746" s="272"/>
      <c r="P746" s="272"/>
      <c r="Q746" s="272"/>
    </row>
    <row r="747" spans="12:17" s="1523" customFormat="1">
      <c r="L747" s="272"/>
      <c r="M747" s="272"/>
      <c r="N747" s="272"/>
      <c r="O747" s="272"/>
      <c r="P747" s="272"/>
      <c r="Q747" s="272"/>
    </row>
    <row r="748" spans="12:17" s="1523" customFormat="1">
      <c r="L748" s="272"/>
      <c r="M748" s="272"/>
      <c r="N748" s="272"/>
      <c r="O748" s="272"/>
      <c r="P748" s="272"/>
      <c r="Q748" s="272"/>
    </row>
    <row r="749" spans="12:17" s="1523" customFormat="1">
      <c r="L749" s="272"/>
      <c r="M749" s="272"/>
      <c r="N749" s="272"/>
      <c r="O749" s="272"/>
      <c r="P749" s="272"/>
      <c r="Q749" s="272"/>
    </row>
    <row r="750" spans="12:17" s="1523" customFormat="1">
      <c r="L750" s="272"/>
      <c r="M750" s="272"/>
      <c r="N750" s="272"/>
      <c r="O750" s="272"/>
      <c r="P750" s="272"/>
      <c r="Q750" s="272"/>
    </row>
    <row r="751" spans="12:17" s="1523" customFormat="1">
      <c r="L751" s="272"/>
      <c r="M751" s="272"/>
      <c r="N751" s="272"/>
      <c r="O751" s="272"/>
      <c r="P751" s="272"/>
      <c r="Q751" s="272"/>
    </row>
    <row r="752" spans="12:17" s="1523" customFormat="1">
      <c r="L752" s="272"/>
      <c r="M752" s="272"/>
      <c r="N752" s="272"/>
      <c r="O752" s="272"/>
      <c r="P752" s="272"/>
      <c r="Q752" s="272"/>
    </row>
    <row r="753" spans="12:17" s="1523" customFormat="1">
      <c r="L753" s="272"/>
      <c r="M753" s="272"/>
      <c r="N753" s="272"/>
      <c r="O753" s="272"/>
      <c r="P753" s="272"/>
      <c r="Q753" s="272"/>
    </row>
    <row r="754" spans="12:17" s="1523" customFormat="1">
      <c r="L754" s="272"/>
      <c r="M754" s="272"/>
      <c r="N754" s="272"/>
      <c r="O754" s="272"/>
      <c r="P754" s="272"/>
      <c r="Q754" s="272"/>
    </row>
    <row r="755" spans="12:17" s="1523" customFormat="1">
      <c r="L755" s="272"/>
      <c r="M755" s="272"/>
      <c r="N755" s="272"/>
      <c r="O755" s="272"/>
      <c r="P755" s="272"/>
      <c r="Q755" s="272"/>
    </row>
    <row r="756" spans="12:17" s="1523" customFormat="1">
      <c r="L756" s="272"/>
      <c r="M756" s="272"/>
      <c r="N756" s="272"/>
      <c r="O756" s="272"/>
      <c r="P756" s="272"/>
      <c r="Q756" s="272"/>
    </row>
    <row r="757" spans="12:17" s="1523" customFormat="1">
      <c r="L757" s="272"/>
      <c r="M757" s="272"/>
      <c r="N757" s="272"/>
      <c r="O757" s="272"/>
      <c r="P757" s="272"/>
      <c r="Q757" s="272"/>
    </row>
    <row r="758" spans="12:17" s="1523" customFormat="1">
      <c r="L758" s="272"/>
      <c r="M758" s="272"/>
      <c r="N758" s="272"/>
      <c r="O758" s="272"/>
      <c r="P758" s="272"/>
      <c r="Q758" s="272"/>
    </row>
    <row r="759" spans="12:17" s="1523" customFormat="1">
      <c r="L759" s="272"/>
      <c r="M759" s="272"/>
      <c r="N759" s="272"/>
      <c r="O759" s="272"/>
      <c r="P759" s="272"/>
      <c r="Q759" s="272"/>
    </row>
    <row r="760" spans="12:17" s="1523" customFormat="1">
      <c r="L760" s="272"/>
      <c r="M760" s="272"/>
      <c r="N760" s="272"/>
      <c r="O760" s="272"/>
      <c r="P760" s="272"/>
      <c r="Q760" s="272"/>
    </row>
    <row r="761" spans="12:17" s="1523" customFormat="1">
      <c r="L761" s="272"/>
      <c r="M761" s="272"/>
      <c r="N761" s="272"/>
      <c r="O761" s="272"/>
      <c r="P761" s="272"/>
      <c r="Q761" s="272"/>
    </row>
    <row r="762" spans="12:17" s="1523" customFormat="1">
      <c r="L762" s="272"/>
      <c r="M762" s="272"/>
      <c r="N762" s="272"/>
      <c r="O762" s="272"/>
      <c r="P762" s="272"/>
      <c r="Q762" s="272"/>
    </row>
    <row r="763" spans="12:17" s="1523" customFormat="1">
      <c r="L763" s="272"/>
      <c r="M763" s="272"/>
      <c r="N763" s="272"/>
      <c r="O763" s="272"/>
      <c r="P763" s="272"/>
      <c r="Q763" s="272"/>
    </row>
    <row r="764" spans="12:17" s="1523" customFormat="1">
      <c r="L764" s="272"/>
      <c r="M764" s="272"/>
      <c r="N764" s="272"/>
      <c r="O764" s="272"/>
      <c r="P764" s="272"/>
      <c r="Q764" s="272"/>
    </row>
    <row r="765" spans="12:17" s="1523" customFormat="1">
      <c r="L765" s="272"/>
      <c r="M765" s="272"/>
      <c r="N765" s="272"/>
      <c r="O765" s="272"/>
      <c r="P765" s="272"/>
      <c r="Q765" s="272"/>
    </row>
    <row r="766" spans="12:17" s="1523" customFormat="1">
      <c r="L766" s="272"/>
      <c r="M766" s="272"/>
      <c r="N766" s="272"/>
      <c r="O766" s="272"/>
      <c r="P766" s="272"/>
      <c r="Q766" s="272"/>
    </row>
    <row r="767" spans="12:17" s="1523" customFormat="1">
      <c r="L767" s="272"/>
      <c r="M767" s="272"/>
      <c r="N767" s="272"/>
      <c r="O767" s="272"/>
      <c r="P767" s="272"/>
      <c r="Q767" s="272"/>
    </row>
    <row r="768" spans="12:17" s="1523" customFormat="1">
      <c r="L768" s="272"/>
      <c r="M768" s="272"/>
      <c r="N768" s="272"/>
      <c r="O768" s="272"/>
      <c r="P768" s="272"/>
      <c r="Q768" s="272"/>
    </row>
    <row r="769" spans="12:17" s="1523" customFormat="1">
      <c r="L769" s="272"/>
      <c r="M769" s="272"/>
      <c r="N769" s="272"/>
      <c r="O769" s="272"/>
      <c r="P769" s="272"/>
      <c r="Q769" s="272"/>
    </row>
    <row r="770" spans="12:17" s="1523" customFormat="1">
      <c r="L770" s="272"/>
      <c r="M770" s="272"/>
      <c r="N770" s="272"/>
      <c r="O770" s="272"/>
      <c r="P770" s="272"/>
      <c r="Q770" s="272"/>
    </row>
    <row r="771" spans="12:17" s="1523" customFormat="1">
      <c r="L771" s="272"/>
      <c r="M771" s="272"/>
      <c r="N771" s="272"/>
      <c r="O771" s="272"/>
      <c r="P771" s="272"/>
      <c r="Q771" s="272"/>
    </row>
    <row r="772" spans="12:17" s="1523" customFormat="1">
      <c r="L772" s="272"/>
      <c r="M772" s="272"/>
      <c r="N772" s="272"/>
      <c r="O772" s="272"/>
      <c r="P772" s="272"/>
      <c r="Q772" s="272"/>
    </row>
    <row r="773" spans="12:17" s="1523" customFormat="1">
      <c r="L773" s="272"/>
      <c r="M773" s="272"/>
      <c r="N773" s="272"/>
      <c r="O773" s="272"/>
      <c r="P773" s="272"/>
      <c r="Q773" s="272"/>
    </row>
    <row r="774" spans="12:17" s="1523" customFormat="1">
      <c r="L774" s="272"/>
      <c r="M774" s="272"/>
      <c r="N774" s="272"/>
      <c r="O774" s="272"/>
      <c r="P774" s="272"/>
      <c r="Q774" s="272"/>
    </row>
    <row r="775" spans="12:17" s="1523" customFormat="1">
      <c r="L775" s="272"/>
      <c r="M775" s="272"/>
      <c r="N775" s="272"/>
      <c r="O775" s="272"/>
      <c r="P775" s="272"/>
      <c r="Q775" s="272"/>
    </row>
    <row r="776" spans="12:17" s="1523" customFormat="1">
      <c r="L776" s="272"/>
      <c r="M776" s="272"/>
      <c r="N776" s="272"/>
      <c r="O776" s="272"/>
      <c r="P776" s="272"/>
      <c r="Q776" s="272"/>
    </row>
    <row r="777" spans="12:17" s="1523" customFormat="1">
      <c r="L777" s="272"/>
      <c r="M777" s="272"/>
      <c r="N777" s="272"/>
      <c r="O777" s="272"/>
      <c r="P777" s="272"/>
      <c r="Q777" s="272"/>
    </row>
    <row r="778" spans="12:17" s="1523" customFormat="1">
      <c r="L778" s="272"/>
      <c r="M778" s="272"/>
      <c r="N778" s="272"/>
      <c r="O778" s="272"/>
      <c r="P778" s="272"/>
      <c r="Q778" s="272"/>
    </row>
    <row r="779" spans="12:17" s="1523" customFormat="1">
      <c r="L779" s="272"/>
      <c r="M779" s="272"/>
      <c r="N779" s="272"/>
      <c r="O779" s="272"/>
      <c r="P779" s="272"/>
      <c r="Q779" s="272"/>
    </row>
    <row r="780" spans="12:17" s="1523" customFormat="1">
      <c r="L780" s="272"/>
      <c r="M780" s="272"/>
      <c r="N780" s="272"/>
      <c r="O780" s="272"/>
      <c r="P780" s="272"/>
      <c r="Q780" s="272"/>
    </row>
    <row r="781" spans="12:17" s="1523" customFormat="1">
      <c r="L781" s="272"/>
      <c r="M781" s="272"/>
      <c r="N781" s="272"/>
      <c r="O781" s="272"/>
      <c r="P781" s="272"/>
      <c r="Q781" s="272"/>
    </row>
    <row r="782" spans="12:17" s="1523" customFormat="1">
      <c r="L782" s="272"/>
      <c r="M782" s="272"/>
      <c r="N782" s="272"/>
      <c r="O782" s="272"/>
      <c r="P782" s="272"/>
      <c r="Q782" s="272"/>
    </row>
    <row r="783" spans="12:17" s="1523" customFormat="1">
      <c r="L783" s="272"/>
      <c r="M783" s="272"/>
      <c r="N783" s="272"/>
      <c r="O783" s="272"/>
      <c r="P783" s="272"/>
      <c r="Q783" s="272"/>
    </row>
    <row r="784" spans="12:17" s="1523" customFormat="1">
      <c r="L784" s="272"/>
      <c r="M784" s="272"/>
      <c r="N784" s="272"/>
      <c r="O784" s="272"/>
      <c r="P784" s="272"/>
      <c r="Q784" s="272"/>
    </row>
    <row r="785" spans="12:17" s="1523" customFormat="1">
      <c r="L785" s="272"/>
      <c r="M785" s="272"/>
      <c r="N785" s="272"/>
      <c r="O785" s="272"/>
      <c r="P785" s="272"/>
      <c r="Q785" s="272"/>
    </row>
    <row r="786" spans="12:17" s="1523" customFormat="1">
      <c r="L786" s="272"/>
      <c r="M786" s="272"/>
      <c r="N786" s="272"/>
      <c r="O786" s="272"/>
      <c r="P786" s="272"/>
      <c r="Q786" s="272"/>
    </row>
    <row r="787" spans="12:17" s="1523" customFormat="1">
      <c r="L787" s="272"/>
      <c r="M787" s="272"/>
      <c r="N787" s="272"/>
      <c r="O787" s="272"/>
      <c r="P787" s="272"/>
      <c r="Q787" s="272"/>
    </row>
    <row r="788" spans="12:17" s="1523" customFormat="1">
      <c r="L788" s="272"/>
      <c r="M788" s="272"/>
      <c r="N788" s="272"/>
      <c r="O788" s="272"/>
      <c r="P788" s="272"/>
      <c r="Q788" s="272"/>
    </row>
    <row r="789" spans="12:17" s="1523" customFormat="1">
      <c r="L789" s="272"/>
      <c r="M789" s="272"/>
      <c r="N789" s="272"/>
      <c r="O789" s="272"/>
      <c r="P789" s="272"/>
      <c r="Q789" s="272"/>
    </row>
    <row r="790" spans="12:17" s="1523" customFormat="1">
      <c r="L790" s="272"/>
      <c r="M790" s="272"/>
      <c r="N790" s="272"/>
      <c r="O790" s="272"/>
      <c r="P790" s="272"/>
      <c r="Q790" s="272"/>
    </row>
    <row r="791" spans="12:17" s="1523" customFormat="1">
      <c r="L791" s="272"/>
      <c r="M791" s="272"/>
      <c r="N791" s="272"/>
      <c r="O791" s="272"/>
      <c r="P791" s="272"/>
      <c r="Q791" s="272"/>
    </row>
    <row r="792" spans="12:17" s="1523" customFormat="1">
      <c r="L792" s="272"/>
      <c r="M792" s="272"/>
      <c r="N792" s="272"/>
      <c r="O792" s="272"/>
      <c r="P792" s="272"/>
      <c r="Q792" s="272"/>
    </row>
    <row r="793" spans="12:17" s="1523" customFormat="1">
      <c r="L793" s="272"/>
      <c r="M793" s="272"/>
      <c r="N793" s="272"/>
      <c r="O793" s="272"/>
      <c r="P793" s="272"/>
      <c r="Q793" s="272"/>
    </row>
    <row r="794" spans="12:17" s="1523" customFormat="1">
      <c r="L794" s="272"/>
      <c r="M794" s="272"/>
      <c r="N794" s="272"/>
      <c r="O794" s="272"/>
      <c r="P794" s="272"/>
      <c r="Q794" s="272"/>
    </row>
    <row r="795" spans="12:17" s="1523" customFormat="1">
      <c r="L795" s="272"/>
      <c r="M795" s="272"/>
      <c r="N795" s="272"/>
      <c r="O795" s="272"/>
      <c r="P795" s="272"/>
      <c r="Q795" s="272"/>
    </row>
    <row r="796" spans="12:17" s="1523" customFormat="1">
      <c r="L796" s="272"/>
      <c r="M796" s="272"/>
      <c r="N796" s="272"/>
      <c r="O796" s="272"/>
      <c r="P796" s="272"/>
      <c r="Q796" s="272"/>
    </row>
    <row r="797" spans="12:17" s="1523" customFormat="1">
      <c r="L797" s="272"/>
      <c r="M797" s="272"/>
      <c r="N797" s="272"/>
      <c r="O797" s="272"/>
      <c r="P797" s="272"/>
      <c r="Q797" s="272"/>
    </row>
    <row r="798" spans="12:17" s="1523" customFormat="1">
      <c r="L798" s="272"/>
      <c r="M798" s="272"/>
      <c r="N798" s="272"/>
      <c r="O798" s="272"/>
      <c r="P798" s="272"/>
      <c r="Q798" s="272"/>
    </row>
    <row r="799" spans="12:17" s="1523" customFormat="1">
      <c r="L799" s="272"/>
      <c r="M799" s="272"/>
      <c r="N799" s="272"/>
      <c r="O799" s="272"/>
      <c r="P799" s="272"/>
      <c r="Q799" s="272"/>
    </row>
    <row r="800" spans="12:17" s="1523" customFormat="1">
      <c r="L800" s="272"/>
      <c r="M800" s="272"/>
      <c r="N800" s="272"/>
      <c r="O800" s="272"/>
      <c r="P800" s="272"/>
      <c r="Q800" s="272"/>
    </row>
    <row r="801" spans="12:17" s="1523" customFormat="1">
      <c r="L801" s="272"/>
      <c r="M801" s="272"/>
      <c r="N801" s="272"/>
      <c r="O801" s="272"/>
      <c r="P801" s="272"/>
      <c r="Q801" s="272"/>
    </row>
    <row r="802" spans="12:17" s="1523" customFormat="1">
      <c r="L802" s="272"/>
      <c r="M802" s="272"/>
      <c r="N802" s="272"/>
      <c r="O802" s="272"/>
      <c r="P802" s="272"/>
      <c r="Q802" s="272"/>
    </row>
    <row r="803" spans="12:17" s="1523" customFormat="1">
      <c r="L803" s="272"/>
      <c r="M803" s="272"/>
      <c r="N803" s="272"/>
      <c r="O803" s="272"/>
      <c r="P803" s="272"/>
      <c r="Q803" s="272"/>
    </row>
    <row r="804" spans="12:17" s="1523" customFormat="1">
      <c r="L804" s="272"/>
      <c r="M804" s="272"/>
      <c r="N804" s="272"/>
      <c r="O804" s="272"/>
      <c r="P804" s="272"/>
      <c r="Q804" s="272"/>
    </row>
    <row r="805" spans="12:17" s="1523" customFormat="1">
      <c r="L805" s="272"/>
      <c r="M805" s="272"/>
      <c r="N805" s="272"/>
      <c r="O805" s="272"/>
      <c r="P805" s="272"/>
      <c r="Q805" s="272"/>
    </row>
    <row r="806" spans="12:17" s="1523" customFormat="1">
      <c r="L806" s="272"/>
      <c r="M806" s="272"/>
      <c r="N806" s="272"/>
      <c r="O806" s="272"/>
      <c r="P806" s="272"/>
      <c r="Q806" s="272"/>
    </row>
    <row r="807" spans="12:17" s="1523" customFormat="1">
      <c r="L807" s="272"/>
      <c r="M807" s="272"/>
      <c r="N807" s="272"/>
      <c r="O807" s="272"/>
      <c r="P807" s="272"/>
      <c r="Q807" s="272"/>
    </row>
    <row r="808" spans="12:17" s="1523" customFormat="1">
      <c r="L808" s="272"/>
      <c r="M808" s="272"/>
      <c r="N808" s="272"/>
      <c r="O808" s="272"/>
      <c r="P808" s="272"/>
      <c r="Q808" s="272"/>
    </row>
    <row r="809" spans="12:17" s="1523" customFormat="1">
      <c r="L809" s="272"/>
      <c r="M809" s="272"/>
      <c r="N809" s="272"/>
      <c r="O809" s="272"/>
      <c r="P809" s="272"/>
      <c r="Q809" s="272"/>
    </row>
    <row r="810" spans="12:17" s="1523" customFormat="1">
      <c r="L810" s="272"/>
      <c r="M810" s="272"/>
      <c r="N810" s="272"/>
      <c r="O810" s="272"/>
      <c r="P810" s="272"/>
      <c r="Q810" s="272"/>
    </row>
    <row r="811" spans="12:17" s="1523" customFormat="1">
      <c r="L811" s="272"/>
      <c r="M811" s="272"/>
      <c r="N811" s="272"/>
      <c r="O811" s="272"/>
      <c r="P811" s="272"/>
      <c r="Q811" s="272"/>
    </row>
    <row r="812" spans="12:17" s="1523" customFormat="1">
      <c r="L812" s="272"/>
      <c r="M812" s="272"/>
      <c r="N812" s="272"/>
      <c r="O812" s="272"/>
      <c r="P812" s="272"/>
      <c r="Q812" s="272"/>
    </row>
    <row r="813" spans="12:17" s="1523" customFormat="1">
      <c r="L813" s="272"/>
      <c r="M813" s="272"/>
      <c r="N813" s="272"/>
      <c r="O813" s="272"/>
      <c r="P813" s="272"/>
      <c r="Q813" s="272"/>
    </row>
    <row r="814" spans="12:17" s="1523" customFormat="1">
      <c r="L814" s="272"/>
      <c r="M814" s="272"/>
      <c r="N814" s="272"/>
      <c r="O814" s="272"/>
      <c r="P814" s="272"/>
      <c r="Q814" s="272"/>
    </row>
    <row r="815" spans="12:17" s="1523" customFormat="1">
      <c r="L815" s="272"/>
      <c r="M815" s="272"/>
      <c r="N815" s="272"/>
      <c r="O815" s="272"/>
      <c r="P815" s="272"/>
      <c r="Q815" s="272"/>
    </row>
    <row r="816" spans="12:17" s="1523" customFormat="1">
      <c r="L816" s="272"/>
      <c r="M816" s="272"/>
      <c r="N816" s="272"/>
      <c r="O816" s="272"/>
      <c r="P816" s="272"/>
      <c r="Q816" s="272"/>
    </row>
    <row r="817" spans="12:17" s="1523" customFormat="1">
      <c r="L817" s="272"/>
      <c r="M817" s="272"/>
      <c r="N817" s="272"/>
      <c r="O817" s="272"/>
      <c r="P817" s="272"/>
      <c r="Q817" s="272"/>
    </row>
    <row r="818" spans="12:17" s="1523" customFormat="1">
      <c r="L818" s="272"/>
      <c r="M818" s="272"/>
      <c r="N818" s="272"/>
      <c r="O818" s="272"/>
      <c r="P818" s="272"/>
      <c r="Q818" s="272"/>
    </row>
    <row r="819" spans="12:17" s="1523" customFormat="1">
      <c r="L819" s="272"/>
      <c r="M819" s="272"/>
      <c r="N819" s="272"/>
      <c r="O819" s="272"/>
      <c r="P819" s="272"/>
      <c r="Q819" s="272"/>
    </row>
    <row r="820" spans="12:17" s="1523" customFormat="1">
      <c r="L820" s="272"/>
      <c r="M820" s="272"/>
      <c r="N820" s="272"/>
      <c r="O820" s="272"/>
      <c r="P820" s="272"/>
      <c r="Q820" s="272"/>
    </row>
    <row r="821" spans="12:17" s="1523" customFormat="1">
      <c r="L821" s="272"/>
      <c r="M821" s="272"/>
      <c r="N821" s="272"/>
      <c r="O821" s="272"/>
      <c r="P821" s="272"/>
      <c r="Q821" s="272"/>
    </row>
    <row r="822" spans="12:17" s="1523" customFormat="1">
      <c r="L822" s="272"/>
      <c r="M822" s="272"/>
      <c r="N822" s="272"/>
      <c r="O822" s="272"/>
      <c r="P822" s="272"/>
      <c r="Q822" s="272"/>
    </row>
    <row r="823" spans="12:17" s="1523" customFormat="1">
      <c r="L823" s="272"/>
      <c r="M823" s="272"/>
      <c r="N823" s="272"/>
      <c r="O823" s="272"/>
      <c r="P823" s="272"/>
      <c r="Q823" s="272"/>
    </row>
    <row r="824" spans="12:17" s="1523" customFormat="1">
      <c r="L824" s="272"/>
      <c r="M824" s="272"/>
      <c r="N824" s="272"/>
      <c r="O824" s="272"/>
      <c r="P824" s="272"/>
      <c r="Q824" s="272"/>
    </row>
    <row r="825" spans="12:17" s="1523" customFormat="1">
      <c r="L825" s="272"/>
      <c r="M825" s="272"/>
      <c r="N825" s="272"/>
      <c r="O825" s="272"/>
      <c r="P825" s="272"/>
      <c r="Q825" s="272"/>
    </row>
    <row r="826" spans="12:17" s="1523" customFormat="1">
      <c r="L826" s="272"/>
      <c r="M826" s="272"/>
      <c r="N826" s="272"/>
      <c r="O826" s="272"/>
      <c r="P826" s="272"/>
      <c r="Q826" s="272"/>
    </row>
    <row r="827" spans="12:17" s="1523" customFormat="1">
      <c r="L827" s="272"/>
      <c r="M827" s="272"/>
      <c r="N827" s="272"/>
      <c r="O827" s="272"/>
      <c r="P827" s="272"/>
      <c r="Q827" s="272"/>
    </row>
    <row r="828" spans="12:17" s="1523" customFormat="1">
      <c r="L828" s="272"/>
      <c r="M828" s="272"/>
      <c r="N828" s="272"/>
      <c r="O828" s="272"/>
      <c r="P828" s="272"/>
      <c r="Q828" s="272"/>
    </row>
    <row r="829" spans="12:17" s="1523" customFormat="1">
      <c r="L829" s="272"/>
      <c r="M829" s="272"/>
      <c r="N829" s="272"/>
      <c r="O829" s="272"/>
      <c r="P829" s="272"/>
      <c r="Q829" s="272"/>
    </row>
    <row r="830" spans="12:17" s="1523" customFormat="1">
      <c r="L830" s="272"/>
      <c r="M830" s="272"/>
      <c r="N830" s="272"/>
      <c r="O830" s="272"/>
      <c r="P830" s="272"/>
      <c r="Q830" s="272"/>
    </row>
    <row r="831" spans="12:17" s="1523" customFormat="1">
      <c r="L831" s="272"/>
      <c r="M831" s="272"/>
      <c r="N831" s="272"/>
      <c r="O831" s="272"/>
      <c r="P831" s="272"/>
      <c r="Q831" s="272"/>
    </row>
    <row r="832" spans="12:17" s="1523" customFormat="1">
      <c r="L832" s="272"/>
      <c r="M832" s="272"/>
      <c r="N832" s="272"/>
      <c r="O832" s="272"/>
      <c r="P832" s="272"/>
      <c r="Q832" s="272"/>
    </row>
    <row r="833" spans="12:17" s="1523" customFormat="1">
      <c r="L833" s="272"/>
      <c r="M833" s="272"/>
      <c r="N833" s="272"/>
      <c r="O833" s="272"/>
      <c r="P833" s="272"/>
      <c r="Q833" s="272"/>
    </row>
    <row r="834" spans="12:17" s="1523" customFormat="1">
      <c r="L834" s="272"/>
      <c r="M834" s="272"/>
      <c r="N834" s="272"/>
      <c r="O834" s="272"/>
      <c r="P834" s="272"/>
      <c r="Q834" s="272"/>
    </row>
    <row r="835" spans="12:17" s="1523" customFormat="1">
      <c r="L835" s="272"/>
      <c r="M835" s="272"/>
      <c r="N835" s="272"/>
      <c r="O835" s="272"/>
      <c r="P835" s="272"/>
      <c r="Q835" s="272"/>
    </row>
    <row r="836" spans="12:17" s="1523" customFormat="1">
      <c r="L836" s="272"/>
      <c r="M836" s="272"/>
      <c r="N836" s="272"/>
      <c r="O836" s="272"/>
      <c r="P836" s="272"/>
      <c r="Q836" s="272"/>
    </row>
    <row r="837" spans="12:17" s="1523" customFormat="1">
      <c r="L837" s="272"/>
      <c r="M837" s="272"/>
      <c r="N837" s="272"/>
      <c r="O837" s="272"/>
      <c r="P837" s="272"/>
      <c r="Q837" s="272"/>
    </row>
    <row r="838" spans="12:17" s="1523" customFormat="1">
      <c r="L838" s="272"/>
      <c r="M838" s="272"/>
      <c r="N838" s="272"/>
      <c r="O838" s="272"/>
      <c r="P838" s="272"/>
      <c r="Q838" s="272"/>
    </row>
    <row r="839" spans="12:17" s="1523" customFormat="1">
      <c r="L839" s="272"/>
      <c r="M839" s="272"/>
      <c r="N839" s="272"/>
      <c r="O839" s="272"/>
      <c r="P839" s="272"/>
      <c r="Q839" s="272"/>
    </row>
    <row r="840" spans="12:17" s="1523" customFormat="1">
      <c r="L840" s="272"/>
      <c r="M840" s="272"/>
      <c r="N840" s="272"/>
      <c r="O840" s="272"/>
      <c r="P840" s="272"/>
      <c r="Q840" s="272"/>
    </row>
    <row r="841" spans="12:17" s="1523" customFormat="1">
      <c r="L841" s="272"/>
      <c r="M841" s="272"/>
      <c r="N841" s="272"/>
      <c r="O841" s="272"/>
      <c r="P841" s="272"/>
      <c r="Q841" s="272"/>
    </row>
    <row r="842" spans="12:17" s="1523" customFormat="1">
      <c r="L842" s="272"/>
      <c r="M842" s="272"/>
      <c r="N842" s="272"/>
      <c r="O842" s="272"/>
      <c r="P842" s="272"/>
      <c r="Q842" s="272"/>
    </row>
    <row r="843" spans="12:17" s="1523" customFormat="1">
      <c r="L843" s="272"/>
      <c r="M843" s="272"/>
      <c r="N843" s="272"/>
      <c r="O843" s="272"/>
      <c r="P843" s="272"/>
      <c r="Q843" s="272"/>
    </row>
    <row r="844" spans="12:17" s="1523" customFormat="1">
      <c r="L844" s="272"/>
      <c r="M844" s="272"/>
      <c r="N844" s="272"/>
      <c r="O844" s="272"/>
      <c r="P844" s="272"/>
      <c r="Q844" s="272"/>
    </row>
    <row r="845" spans="12:17" s="1523" customFormat="1">
      <c r="L845" s="272"/>
      <c r="M845" s="272"/>
      <c r="N845" s="272"/>
      <c r="O845" s="272"/>
      <c r="P845" s="272"/>
      <c r="Q845" s="272"/>
    </row>
    <row r="846" spans="12:17" s="1523" customFormat="1">
      <c r="L846" s="272"/>
      <c r="M846" s="272"/>
      <c r="N846" s="272"/>
      <c r="O846" s="272"/>
      <c r="P846" s="272"/>
      <c r="Q846" s="272"/>
    </row>
    <row r="847" spans="12:17" s="1523" customFormat="1">
      <c r="L847" s="272"/>
      <c r="M847" s="272"/>
      <c r="N847" s="272"/>
      <c r="O847" s="272"/>
      <c r="P847" s="272"/>
      <c r="Q847" s="272"/>
    </row>
    <row r="848" spans="12:17" s="1523" customFormat="1">
      <c r="L848" s="272"/>
      <c r="M848" s="272"/>
      <c r="N848" s="272"/>
      <c r="O848" s="272"/>
      <c r="P848" s="272"/>
      <c r="Q848" s="272"/>
    </row>
    <row r="849" spans="12:17" s="1523" customFormat="1">
      <c r="L849" s="272"/>
      <c r="M849" s="272"/>
      <c r="N849" s="272"/>
      <c r="O849" s="272"/>
      <c r="P849" s="272"/>
      <c r="Q849" s="272"/>
    </row>
    <row r="850" spans="12:17" s="1523" customFormat="1">
      <c r="L850" s="272"/>
      <c r="M850" s="272"/>
      <c r="N850" s="272"/>
      <c r="O850" s="272"/>
      <c r="P850" s="272"/>
      <c r="Q850" s="272"/>
    </row>
    <row r="851" spans="12:17" s="1523" customFormat="1">
      <c r="L851" s="272"/>
      <c r="M851" s="272"/>
      <c r="N851" s="272"/>
      <c r="O851" s="272"/>
      <c r="P851" s="272"/>
      <c r="Q851" s="272"/>
    </row>
    <row r="852" spans="12:17" s="1523" customFormat="1">
      <c r="L852" s="272"/>
      <c r="M852" s="272"/>
      <c r="N852" s="272"/>
      <c r="O852" s="272"/>
      <c r="P852" s="272"/>
      <c r="Q852" s="272"/>
    </row>
    <row r="853" spans="12:17" s="1523" customFormat="1">
      <c r="L853" s="272"/>
      <c r="M853" s="272"/>
      <c r="N853" s="272"/>
      <c r="O853" s="272"/>
      <c r="P853" s="272"/>
      <c r="Q853" s="272"/>
    </row>
    <row r="854" spans="12:17" s="1523" customFormat="1">
      <c r="L854" s="272"/>
      <c r="M854" s="272"/>
      <c r="N854" s="272"/>
      <c r="O854" s="272"/>
      <c r="P854" s="272"/>
      <c r="Q854" s="272"/>
    </row>
    <row r="855" spans="12:17" s="1523" customFormat="1">
      <c r="L855" s="272"/>
      <c r="M855" s="272"/>
      <c r="N855" s="272"/>
      <c r="O855" s="272"/>
      <c r="P855" s="272"/>
      <c r="Q855" s="272"/>
    </row>
    <row r="856" spans="12:17" s="1523" customFormat="1">
      <c r="L856" s="272"/>
      <c r="M856" s="272"/>
      <c r="N856" s="272"/>
      <c r="O856" s="272"/>
      <c r="P856" s="272"/>
      <c r="Q856" s="272"/>
    </row>
    <row r="857" spans="12:17" s="1523" customFormat="1">
      <c r="L857" s="272"/>
      <c r="M857" s="272"/>
      <c r="N857" s="272"/>
      <c r="O857" s="272"/>
      <c r="P857" s="272"/>
      <c r="Q857" s="272"/>
    </row>
    <row r="858" spans="12:17" s="1523" customFormat="1">
      <c r="L858" s="272"/>
      <c r="M858" s="272"/>
      <c r="N858" s="272"/>
      <c r="O858" s="272"/>
      <c r="P858" s="272"/>
      <c r="Q858" s="272"/>
    </row>
    <row r="859" spans="12:17" s="1523" customFormat="1">
      <c r="L859" s="272"/>
      <c r="M859" s="272"/>
      <c r="N859" s="272"/>
      <c r="O859" s="272"/>
      <c r="P859" s="272"/>
      <c r="Q859" s="272"/>
    </row>
    <row r="860" spans="12:17" s="1523" customFormat="1">
      <c r="L860" s="272"/>
      <c r="M860" s="272"/>
      <c r="N860" s="272"/>
      <c r="O860" s="272"/>
      <c r="P860" s="272"/>
      <c r="Q860" s="272"/>
    </row>
    <row r="861" spans="12:17" s="1523" customFormat="1">
      <c r="L861" s="272"/>
      <c r="M861" s="272"/>
      <c r="N861" s="272"/>
      <c r="O861" s="272"/>
      <c r="P861" s="272"/>
      <c r="Q861" s="272"/>
    </row>
    <row r="862" spans="12:17" s="1523" customFormat="1">
      <c r="L862" s="272"/>
      <c r="M862" s="272"/>
      <c r="N862" s="272"/>
      <c r="O862" s="272"/>
      <c r="P862" s="272"/>
      <c r="Q862" s="272"/>
    </row>
    <row r="863" spans="12:17" s="1523" customFormat="1">
      <c r="L863" s="272"/>
      <c r="M863" s="272"/>
      <c r="N863" s="272"/>
      <c r="O863" s="272"/>
      <c r="P863" s="272"/>
      <c r="Q863" s="272"/>
    </row>
    <row r="864" spans="12:17" s="1523" customFormat="1">
      <c r="L864" s="272"/>
      <c r="M864" s="272"/>
      <c r="N864" s="272"/>
      <c r="O864" s="272"/>
      <c r="P864" s="272"/>
      <c r="Q864" s="272"/>
    </row>
    <row r="865" spans="12:17" s="1523" customFormat="1">
      <c r="L865" s="272"/>
      <c r="M865" s="272"/>
      <c r="N865" s="272"/>
      <c r="O865" s="272"/>
      <c r="P865" s="272"/>
      <c r="Q865" s="272"/>
    </row>
    <row r="866" spans="12:17" s="1523" customFormat="1">
      <c r="L866" s="272"/>
      <c r="M866" s="272"/>
      <c r="N866" s="272"/>
      <c r="O866" s="272"/>
      <c r="P866" s="272"/>
      <c r="Q866" s="272"/>
    </row>
    <row r="867" spans="12:17" s="1523" customFormat="1">
      <c r="L867" s="272"/>
      <c r="M867" s="272"/>
      <c r="N867" s="272"/>
      <c r="O867" s="272"/>
      <c r="P867" s="272"/>
      <c r="Q867" s="272"/>
    </row>
    <row r="868" spans="12:17" s="1523" customFormat="1">
      <c r="L868" s="272"/>
      <c r="M868" s="272"/>
      <c r="N868" s="272"/>
      <c r="O868" s="272"/>
      <c r="P868" s="272"/>
      <c r="Q868" s="272"/>
    </row>
    <row r="869" spans="12:17" s="1523" customFormat="1">
      <c r="L869" s="272"/>
      <c r="M869" s="272"/>
      <c r="N869" s="272"/>
      <c r="O869" s="272"/>
      <c r="P869" s="272"/>
      <c r="Q869" s="272"/>
    </row>
    <row r="870" spans="12:17" s="1523" customFormat="1">
      <c r="L870" s="272"/>
      <c r="M870" s="272"/>
      <c r="N870" s="272"/>
      <c r="O870" s="272"/>
      <c r="P870" s="272"/>
      <c r="Q870" s="272"/>
    </row>
    <row r="871" spans="12:17" s="1523" customFormat="1">
      <c r="L871" s="272"/>
      <c r="M871" s="272"/>
      <c r="N871" s="272"/>
      <c r="O871" s="272"/>
      <c r="P871" s="272"/>
      <c r="Q871" s="272"/>
    </row>
    <row r="872" spans="12:17" s="1523" customFormat="1">
      <c r="L872" s="272"/>
      <c r="M872" s="272"/>
      <c r="N872" s="272"/>
      <c r="O872" s="272"/>
      <c r="P872" s="272"/>
      <c r="Q872" s="272"/>
    </row>
    <row r="873" spans="12:17" s="1523" customFormat="1">
      <c r="L873" s="272"/>
      <c r="M873" s="272"/>
      <c r="N873" s="272"/>
      <c r="O873" s="272"/>
      <c r="P873" s="272"/>
      <c r="Q873" s="272"/>
    </row>
    <row r="874" spans="12:17" s="1523" customFormat="1">
      <c r="L874" s="272"/>
      <c r="M874" s="272"/>
      <c r="N874" s="272"/>
      <c r="O874" s="272"/>
      <c r="P874" s="272"/>
      <c r="Q874" s="272"/>
    </row>
    <row r="875" spans="12:17" s="1523" customFormat="1">
      <c r="L875" s="272"/>
      <c r="M875" s="272"/>
      <c r="N875" s="272"/>
      <c r="O875" s="272"/>
      <c r="P875" s="272"/>
      <c r="Q875" s="272"/>
    </row>
    <row r="876" spans="12:17" s="1523" customFormat="1">
      <c r="L876" s="272"/>
      <c r="M876" s="272"/>
      <c r="N876" s="272"/>
      <c r="O876" s="272"/>
      <c r="P876" s="272"/>
      <c r="Q876" s="272"/>
    </row>
    <row r="877" spans="12:17" s="1523" customFormat="1">
      <c r="L877" s="272"/>
      <c r="M877" s="272"/>
      <c r="N877" s="272"/>
      <c r="O877" s="272"/>
      <c r="P877" s="272"/>
      <c r="Q877" s="272"/>
    </row>
    <row r="878" spans="12:17" s="1523" customFormat="1">
      <c r="L878" s="272"/>
      <c r="M878" s="272"/>
      <c r="N878" s="272"/>
      <c r="O878" s="272"/>
      <c r="P878" s="272"/>
      <c r="Q878" s="272"/>
    </row>
    <row r="879" spans="12:17" s="1523" customFormat="1">
      <c r="L879" s="272"/>
      <c r="M879" s="272"/>
      <c r="N879" s="272"/>
      <c r="O879" s="272"/>
      <c r="P879" s="272"/>
      <c r="Q879" s="272"/>
    </row>
    <row r="880" spans="12:17" s="1523" customFormat="1">
      <c r="L880" s="272"/>
      <c r="M880" s="272"/>
      <c r="N880" s="272"/>
      <c r="O880" s="272"/>
      <c r="P880" s="272"/>
      <c r="Q880" s="272"/>
    </row>
    <row r="881" spans="12:17" s="1523" customFormat="1">
      <c r="L881" s="272"/>
      <c r="M881" s="272"/>
      <c r="N881" s="272"/>
      <c r="O881" s="272"/>
      <c r="P881" s="272"/>
      <c r="Q881" s="272"/>
    </row>
    <row r="882" spans="12:17" s="1523" customFormat="1">
      <c r="L882" s="272"/>
      <c r="M882" s="272"/>
      <c r="N882" s="272"/>
      <c r="O882" s="272"/>
      <c r="P882" s="272"/>
      <c r="Q882" s="272"/>
    </row>
    <row r="883" spans="12:17" s="1523" customFormat="1">
      <c r="L883" s="272"/>
      <c r="M883" s="272"/>
      <c r="N883" s="272"/>
      <c r="O883" s="272"/>
      <c r="P883" s="272"/>
      <c r="Q883" s="272"/>
    </row>
    <row r="884" spans="12:17" s="1523" customFormat="1">
      <c r="L884" s="272"/>
      <c r="M884" s="272"/>
      <c r="N884" s="272"/>
      <c r="O884" s="272"/>
      <c r="P884" s="272"/>
      <c r="Q884" s="272"/>
    </row>
    <row r="885" spans="12:17" s="1523" customFormat="1">
      <c r="L885" s="272"/>
      <c r="M885" s="272"/>
      <c r="N885" s="272"/>
      <c r="O885" s="272"/>
      <c r="P885" s="272"/>
      <c r="Q885" s="272"/>
    </row>
    <row r="886" spans="12:17" s="1523" customFormat="1">
      <c r="L886" s="272"/>
      <c r="M886" s="272"/>
      <c r="N886" s="272"/>
      <c r="O886" s="272"/>
      <c r="P886" s="272"/>
      <c r="Q886" s="272"/>
    </row>
    <row r="887" spans="12:17" s="1523" customFormat="1">
      <c r="L887" s="272"/>
      <c r="M887" s="272"/>
      <c r="N887" s="272"/>
      <c r="O887" s="272"/>
      <c r="P887" s="272"/>
      <c r="Q887" s="272"/>
    </row>
    <row r="888" spans="12:17" s="1523" customFormat="1">
      <c r="L888" s="272"/>
      <c r="M888" s="272"/>
      <c r="N888" s="272"/>
      <c r="O888" s="272"/>
      <c r="P888" s="272"/>
      <c r="Q888" s="272"/>
    </row>
    <row r="889" spans="12:17" s="1523" customFormat="1">
      <c r="L889" s="272"/>
      <c r="M889" s="272"/>
      <c r="N889" s="272"/>
      <c r="O889" s="272"/>
      <c r="P889" s="272"/>
      <c r="Q889" s="272"/>
    </row>
    <row r="890" spans="12:17" s="1523" customFormat="1">
      <c r="L890" s="272"/>
      <c r="M890" s="272"/>
      <c r="N890" s="272"/>
      <c r="O890" s="272"/>
      <c r="P890" s="272"/>
      <c r="Q890" s="272"/>
    </row>
    <row r="891" spans="12:17" s="1523" customFormat="1">
      <c r="L891" s="272"/>
      <c r="M891" s="272"/>
      <c r="N891" s="272"/>
      <c r="O891" s="272"/>
      <c r="P891" s="272"/>
      <c r="Q891" s="272"/>
    </row>
    <row r="892" spans="12:17" s="1523" customFormat="1">
      <c r="L892" s="272"/>
      <c r="M892" s="272"/>
      <c r="N892" s="272"/>
      <c r="O892" s="272"/>
      <c r="P892" s="272"/>
      <c r="Q892" s="272"/>
    </row>
    <row r="893" spans="12:17" s="1523" customFormat="1">
      <c r="L893" s="272"/>
      <c r="M893" s="272"/>
      <c r="N893" s="272"/>
      <c r="O893" s="272"/>
      <c r="P893" s="272"/>
      <c r="Q893" s="272"/>
    </row>
    <row r="894" spans="12:17" s="1523" customFormat="1">
      <c r="L894" s="272"/>
      <c r="M894" s="272"/>
      <c r="N894" s="272"/>
      <c r="O894" s="272"/>
      <c r="P894" s="272"/>
      <c r="Q894" s="272"/>
    </row>
    <row r="895" spans="12:17" s="1523" customFormat="1">
      <c r="L895" s="272"/>
      <c r="M895" s="272"/>
      <c r="N895" s="272"/>
      <c r="O895" s="272"/>
      <c r="P895" s="272"/>
      <c r="Q895" s="272"/>
    </row>
    <row r="896" spans="12:17" s="1523" customFormat="1">
      <c r="L896" s="272"/>
      <c r="M896" s="272"/>
      <c r="N896" s="272"/>
      <c r="O896" s="272"/>
      <c r="P896" s="272"/>
      <c r="Q896" s="272"/>
    </row>
    <row r="897" spans="12:17" s="1523" customFormat="1">
      <c r="L897" s="272"/>
      <c r="M897" s="272"/>
      <c r="N897" s="272"/>
      <c r="O897" s="272"/>
      <c r="P897" s="272"/>
      <c r="Q897" s="272"/>
    </row>
    <row r="898" spans="12:17" s="1523" customFormat="1">
      <c r="L898" s="272"/>
      <c r="M898" s="272"/>
      <c r="N898" s="272"/>
      <c r="O898" s="272"/>
      <c r="P898" s="272"/>
      <c r="Q898" s="272"/>
    </row>
    <row r="899" spans="12:17" s="1523" customFormat="1">
      <c r="L899" s="272"/>
      <c r="M899" s="272"/>
      <c r="N899" s="272"/>
      <c r="O899" s="272"/>
      <c r="P899" s="272"/>
      <c r="Q899" s="272"/>
    </row>
    <row r="900" spans="12:17" s="1523" customFormat="1">
      <c r="L900" s="272"/>
      <c r="M900" s="272"/>
      <c r="N900" s="272"/>
      <c r="O900" s="272"/>
      <c r="P900" s="272"/>
      <c r="Q900" s="272"/>
    </row>
    <row r="901" spans="12:17" s="1523" customFormat="1">
      <c r="L901" s="272"/>
      <c r="M901" s="272"/>
      <c r="N901" s="272"/>
      <c r="O901" s="272"/>
      <c r="P901" s="272"/>
      <c r="Q901" s="272"/>
    </row>
    <row r="902" spans="12:17" s="1523" customFormat="1">
      <c r="L902" s="272"/>
      <c r="M902" s="272"/>
      <c r="N902" s="272"/>
      <c r="O902" s="272"/>
      <c r="P902" s="272"/>
      <c r="Q902" s="272"/>
    </row>
    <row r="903" spans="12:17" s="1523" customFormat="1">
      <c r="L903" s="272"/>
      <c r="M903" s="272"/>
      <c r="N903" s="272"/>
      <c r="O903" s="272"/>
      <c r="P903" s="272"/>
      <c r="Q903" s="272"/>
    </row>
    <row r="904" spans="12:17" s="1523" customFormat="1">
      <c r="L904" s="272"/>
      <c r="M904" s="272"/>
      <c r="N904" s="272"/>
      <c r="O904" s="272"/>
      <c r="P904" s="272"/>
      <c r="Q904" s="272"/>
    </row>
    <row r="905" spans="12:17" s="1523" customFormat="1">
      <c r="L905" s="272"/>
      <c r="M905" s="272"/>
      <c r="N905" s="272"/>
      <c r="O905" s="272"/>
      <c r="P905" s="272"/>
      <c r="Q905" s="272"/>
    </row>
    <row r="906" spans="12:17" s="1523" customFormat="1">
      <c r="L906" s="272"/>
      <c r="M906" s="272"/>
      <c r="N906" s="272"/>
      <c r="O906" s="272"/>
      <c r="P906" s="272"/>
      <c r="Q906" s="272"/>
    </row>
    <row r="907" spans="12:17" s="1523" customFormat="1">
      <c r="L907" s="272"/>
      <c r="M907" s="272"/>
      <c r="N907" s="272"/>
      <c r="O907" s="272"/>
      <c r="P907" s="272"/>
      <c r="Q907" s="272"/>
    </row>
    <row r="908" spans="12:17" s="1523" customFormat="1">
      <c r="L908" s="272"/>
      <c r="M908" s="272"/>
      <c r="N908" s="272"/>
      <c r="O908" s="272"/>
      <c r="P908" s="272"/>
      <c r="Q908" s="272"/>
    </row>
    <row r="909" spans="12:17" s="1523" customFormat="1">
      <c r="L909" s="272"/>
      <c r="M909" s="272"/>
      <c r="N909" s="272"/>
      <c r="O909" s="272"/>
      <c r="P909" s="272"/>
      <c r="Q909" s="272"/>
    </row>
    <row r="910" spans="12:17" s="1523" customFormat="1">
      <c r="L910" s="272"/>
      <c r="M910" s="272"/>
      <c r="N910" s="272"/>
      <c r="O910" s="272"/>
      <c r="P910" s="272"/>
      <c r="Q910" s="272"/>
    </row>
    <row r="911" spans="12:17" s="1523" customFormat="1">
      <c r="L911" s="272"/>
      <c r="M911" s="272"/>
      <c r="N911" s="272"/>
      <c r="O911" s="272"/>
      <c r="P911" s="272"/>
      <c r="Q911" s="272"/>
    </row>
    <row r="912" spans="12:17" s="1523" customFormat="1">
      <c r="L912" s="272"/>
      <c r="M912" s="272"/>
      <c r="N912" s="272"/>
      <c r="O912" s="272"/>
      <c r="P912" s="272"/>
      <c r="Q912" s="272"/>
    </row>
    <row r="913" spans="12:17" s="1523" customFormat="1">
      <c r="L913" s="272"/>
      <c r="M913" s="272"/>
      <c r="N913" s="272"/>
      <c r="O913" s="272"/>
      <c r="P913" s="272"/>
      <c r="Q913" s="272"/>
    </row>
    <row r="914" spans="12:17" s="1523" customFormat="1">
      <c r="L914" s="272"/>
      <c r="M914" s="272"/>
      <c r="N914" s="272"/>
      <c r="O914" s="272"/>
      <c r="P914" s="272"/>
      <c r="Q914" s="272"/>
    </row>
    <row r="915" spans="12:17" s="1523" customFormat="1">
      <c r="L915" s="272"/>
      <c r="M915" s="272"/>
      <c r="N915" s="272"/>
      <c r="O915" s="272"/>
      <c r="P915" s="272"/>
      <c r="Q915" s="272"/>
    </row>
    <row r="916" spans="12:17" s="1523" customFormat="1">
      <c r="L916" s="272"/>
      <c r="M916" s="272"/>
      <c r="N916" s="272"/>
      <c r="O916" s="272"/>
      <c r="P916" s="272"/>
      <c r="Q916" s="272"/>
    </row>
    <row r="917" spans="12:17" s="1523" customFormat="1">
      <c r="L917" s="272"/>
      <c r="M917" s="272"/>
      <c r="N917" s="272"/>
      <c r="O917" s="272"/>
      <c r="P917" s="272"/>
      <c r="Q917" s="272"/>
    </row>
    <row r="918" spans="12:17" s="1523" customFormat="1">
      <c r="L918" s="272"/>
      <c r="M918" s="272"/>
      <c r="N918" s="272"/>
      <c r="O918" s="272"/>
      <c r="P918" s="272"/>
      <c r="Q918" s="272"/>
    </row>
    <row r="919" spans="12:17" s="1523" customFormat="1">
      <c r="L919" s="272"/>
      <c r="M919" s="272"/>
      <c r="N919" s="272"/>
      <c r="O919" s="272"/>
      <c r="P919" s="272"/>
      <c r="Q919" s="272"/>
    </row>
    <row r="920" spans="12:17" s="1523" customFormat="1">
      <c r="L920" s="272"/>
      <c r="M920" s="272"/>
      <c r="N920" s="272"/>
      <c r="O920" s="272"/>
      <c r="P920" s="272"/>
      <c r="Q920" s="272"/>
    </row>
    <row r="921" spans="12:17" s="1523" customFormat="1">
      <c r="L921" s="272"/>
      <c r="M921" s="272"/>
      <c r="N921" s="272"/>
      <c r="O921" s="272"/>
      <c r="P921" s="272"/>
      <c r="Q921" s="272"/>
    </row>
    <row r="922" spans="12:17" s="1523" customFormat="1">
      <c r="L922" s="272"/>
      <c r="M922" s="272"/>
      <c r="N922" s="272"/>
      <c r="O922" s="272"/>
      <c r="P922" s="272"/>
      <c r="Q922" s="272"/>
    </row>
    <row r="923" spans="12:17" s="1523" customFormat="1">
      <c r="L923" s="272"/>
      <c r="M923" s="272"/>
      <c r="N923" s="272"/>
      <c r="O923" s="272"/>
      <c r="P923" s="272"/>
      <c r="Q923" s="272"/>
    </row>
    <row r="924" spans="12:17" s="1523" customFormat="1">
      <c r="L924" s="272"/>
      <c r="M924" s="272"/>
      <c r="N924" s="272"/>
      <c r="O924" s="272"/>
      <c r="P924" s="272"/>
      <c r="Q924" s="272"/>
    </row>
    <row r="925" spans="12:17" s="1523" customFormat="1">
      <c r="L925" s="272"/>
      <c r="M925" s="272"/>
      <c r="N925" s="272"/>
      <c r="O925" s="272"/>
      <c r="P925" s="272"/>
      <c r="Q925" s="272"/>
    </row>
    <row r="926" spans="12:17" s="1523" customFormat="1">
      <c r="L926" s="272"/>
      <c r="M926" s="272"/>
      <c r="N926" s="272"/>
      <c r="O926" s="272"/>
      <c r="P926" s="272"/>
      <c r="Q926" s="272"/>
    </row>
    <row r="927" spans="12:17" s="1523" customFormat="1">
      <c r="L927" s="272"/>
      <c r="M927" s="272"/>
      <c r="N927" s="272"/>
      <c r="O927" s="272"/>
      <c r="P927" s="272"/>
      <c r="Q927" s="272"/>
    </row>
    <row r="928" spans="12:17" s="1523" customFormat="1">
      <c r="L928" s="272"/>
      <c r="M928" s="272"/>
      <c r="N928" s="272"/>
      <c r="O928" s="272"/>
      <c r="P928" s="272"/>
      <c r="Q928" s="272"/>
    </row>
    <row r="929" spans="12:17" s="1523" customFormat="1">
      <c r="L929" s="272"/>
      <c r="M929" s="272"/>
      <c r="N929" s="272"/>
      <c r="O929" s="272"/>
      <c r="P929" s="272"/>
      <c r="Q929" s="272"/>
    </row>
    <row r="930" spans="12:17" s="1523" customFormat="1">
      <c r="L930" s="272"/>
      <c r="M930" s="272"/>
      <c r="N930" s="272"/>
      <c r="O930" s="272"/>
      <c r="P930" s="272"/>
      <c r="Q930" s="272"/>
    </row>
    <row r="931" spans="12:17" s="1523" customFormat="1">
      <c r="L931" s="272"/>
      <c r="M931" s="272"/>
      <c r="N931" s="272"/>
      <c r="O931" s="272"/>
      <c r="P931" s="272"/>
      <c r="Q931" s="272"/>
    </row>
    <row r="932" spans="12:17" s="1523" customFormat="1">
      <c r="L932" s="272"/>
      <c r="M932" s="272"/>
      <c r="N932" s="272"/>
      <c r="O932" s="272"/>
      <c r="P932" s="272"/>
      <c r="Q932" s="272"/>
    </row>
    <row r="933" spans="12:17" s="1523" customFormat="1">
      <c r="L933" s="272"/>
      <c r="M933" s="272"/>
      <c r="N933" s="272"/>
      <c r="O933" s="272"/>
      <c r="P933" s="272"/>
      <c r="Q933" s="272"/>
    </row>
    <row r="934" spans="12:17" s="1523" customFormat="1">
      <c r="L934" s="272"/>
      <c r="M934" s="272"/>
      <c r="N934" s="272"/>
      <c r="O934" s="272"/>
      <c r="P934" s="272"/>
      <c r="Q934" s="272"/>
    </row>
    <row r="935" spans="12:17" s="1523" customFormat="1">
      <c r="L935" s="272"/>
      <c r="M935" s="272"/>
      <c r="N935" s="272"/>
      <c r="O935" s="272"/>
      <c r="P935" s="272"/>
      <c r="Q935" s="272"/>
    </row>
    <row r="936" spans="12:17" s="1523" customFormat="1">
      <c r="L936" s="272"/>
      <c r="M936" s="272"/>
      <c r="N936" s="272"/>
      <c r="O936" s="272"/>
      <c r="P936" s="272"/>
      <c r="Q936" s="272"/>
    </row>
    <row r="937" spans="12:17" s="1523" customFormat="1">
      <c r="L937" s="272"/>
      <c r="M937" s="272"/>
      <c r="N937" s="272"/>
      <c r="O937" s="272"/>
      <c r="P937" s="272"/>
      <c r="Q937" s="272"/>
    </row>
    <row r="938" spans="12:17" s="1523" customFormat="1">
      <c r="L938" s="272"/>
      <c r="M938" s="272"/>
      <c r="N938" s="272"/>
      <c r="O938" s="272"/>
      <c r="P938" s="272"/>
      <c r="Q938" s="272"/>
    </row>
    <row r="939" spans="12:17" s="1523" customFormat="1">
      <c r="L939" s="272"/>
      <c r="M939" s="272"/>
      <c r="N939" s="272"/>
      <c r="O939" s="272"/>
      <c r="P939" s="272"/>
      <c r="Q939" s="272"/>
    </row>
    <row r="940" spans="12:17" s="1523" customFormat="1">
      <c r="L940" s="272"/>
      <c r="M940" s="272"/>
      <c r="N940" s="272"/>
      <c r="O940" s="272"/>
      <c r="P940" s="272"/>
      <c r="Q940" s="272"/>
    </row>
    <row r="941" spans="12:17" s="1523" customFormat="1">
      <c r="L941" s="272"/>
      <c r="M941" s="272"/>
      <c r="N941" s="272"/>
      <c r="O941" s="272"/>
      <c r="P941" s="272"/>
      <c r="Q941" s="272"/>
    </row>
    <row r="942" spans="12:17" s="1523" customFormat="1">
      <c r="L942" s="272"/>
      <c r="M942" s="272"/>
      <c r="N942" s="272"/>
      <c r="O942" s="272"/>
      <c r="P942" s="272"/>
      <c r="Q942" s="272"/>
    </row>
    <row r="943" spans="12:17" s="1523" customFormat="1">
      <c r="L943" s="272"/>
      <c r="M943" s="272"/>
      <c r="N943" s="272"/>
      <c r="O943" s="272"/>
      <c r="P943" s="272"/>
      <c r="Q943" s="272"/>
    </row>
    <row r="944" spans="12:17" s="1523" customFormat="1">
      <c r="L944" s="272"/>
      <c r="M944" s="272"/>
      <c r="N944" s="272"/>
      <c r="O944" s="272"/>
      <c r="P944" s="272"/>
      <c r="Q944" s="272"/>
    </row>
    <row r="945" spans="12:17" s="1523" customFormat="1">
      <c r="L945" s="272"/>
      <c r="M945" s="272"/>
      <c r="N945" s="272"/>
      <c r="O945" s="272"/>
      <c r="P945" s="272"/>
      <c r="Q945" s="272"/>
    </row>
    <row r="946" spans="12:17" s="1523" customFormat="1">
      <c r="L946" s="272"/>
      <c r="M946" s="272"/>
      <c r="N946" s="272"/>
      <c r="O946" s="272"/>
      <c r="P946" s="272"/>
      <c r="Q946" s="272"/>
    </row>
    <row r="947" spans="12:17" s="1523" customFormat="1">
      <c r="L947" s="272"/>
      <c r="M947" s="272"/>
      <c r="N947" s="272"/>
      <c r="O947" s="272"/>
      <c r="P947" s="272"/>
      <c r="Q947" s="272"/>
    </row>
    <row r="948" spans="12:17" s="1523" customFormat="1">
      <c r="L948" s="272"/>
      <c r="M948" s="272"/>
      <c r="N948" s="272"/>
      <c r="O948" s="272"/>
      <c r="P948" s="272"/>
      <c r="Q948" s="272"/>
    </row>
    <row r="949" spans="12:17" s="1523" customFormat="1">
      <c r="L949" s="272"/>
      <c r="M949" s="272"/>
      <c r="N949" s="272"/>
      <c r="O949" s="272"/>
      <c r="P949" s="272"/>
      <c r="Q949" s="272"/>
    </row>
    <row r="950" spans="12:17" s="1523" customFormat="1">
      <c r="L950" s="272"/>
      <c r="M950" s="272"/>
      <c r="N950" s="272"/>
      <c r="O950" s="272"/>
      <c r="P950" s="272"/>
      <c r="Q950" s="272"/>
    </row>
    <row r="951" spans="12:17" s="1523" customFormat="1">
      <c r="L951" s="272"/>
      <c r="M951" s="272"/>
      <c r="N951" s="272"/>
      <c r="O951" s="272"/>
      <c r="P951" s="272"/>
      <c r="Q951" s="272"/>
    </row>
    <row r="952" spans="12:17" s="1523" customFormat="1">
      <c r="L952" s="272"/>
      <c r="M952" s="272"/>
      <c r="N952" s="272"/>
      <c r="O952" s="272"/>
      <c r="P952" s="272"/>
      <c r="Q952" s="272"/>
    </row>
    <row r="953" spans="12:17" s="1523" customFormat="1">
      <c r="L953" s="272"/>
      <c r="M953" s="272"/>
      <c r="N953" s="272"/>
      <c r="O953" s="272"/>
      <c r="P953" s="272"/>
      <c r="Q953" s="272"/>
    </row>
    <row r="954" spans="12:17" s="1523" customFormat="1">
      <c r="L954" s="272"/>
      <c r="M954" s="272"/>
      <c r="N954" s="272"/>
      <c r="O954" s="272"/>
      <c r="P954" s="272"/>
      <c r="Q954" s="272"/>
    </row>
    <row r="955" spans="12:17" s="1523" customFormat="1">
      <c r="L955" s="272"/>
      <c r="M955" s="272"/>
      <c r="N955" s="272"/>
      <c r="O955" s="272"/>
      <c r="P955" s="272"/>
      <c r="Q955" s="272"/>
    </row>
    <row r="956" spans="12:17" s="1523" customFormat="1">
      <c r="L956" s="272"/>
      <c r="M956" s="272"/>
      <c r="N956" s="272"/>
      <c r="O956" s="272"/>
      <c r="P956" s="272"/>
      <c r="Q956" s="272"/>
    </row>
    <row r="957" spans="12:17" s="1523" customFormat="1">
      <c r="L957" s="272"/>
      <c r="M957" s="272"/>
      <c r="N957" s="272"/>
      <c r="O957" s="272"/>
      <c r="P957" s="272"/>
      <c r="Q957" s="272"/>
    </row>
    <row r="958" spans="12:17" s="1523" customFormat="1">
      <c r="L958" s="272"/>
      <c r="M958" s="272"/>
      <c r="N958" s="272"/>
      <c r="O958" s="272"/>
      <c r="P958" s="272"/>
      <c r="Q958" s="272"/>
    </row>
    <row r="959" spans="12:17" s="1523" customFormat="1">
      <c r="L959" s="272"/>
      <c r="M959" s="272"/>
      <c r="N959" s="272"/>
      <c r="O959" s="272"/>
      <c r="P959" s="272"/>
      <c r="Q959" s="272"/>
    </row>
    <row r="960" spans="12:17" s="1523" customFormat="1">
      <c r="L960" s="272"/>
      <c r="M960" s="272"/>
      <c r="N960" s="272"/>
      <c r="O960" s="272"/>
      <c r="P960" s="272"/>
      <c r="Q960" s="272"/>
    </row>
    <row r="961" spans="12:17" s="1523" customFormat="1">
      <c r="L961" s="272"/>
      <c r="M961" s="272"/>
      <c r="N961" s="272"/>
      <c r="O961" s="272"/>
      <c r="P961" s="272"/>
      <c r="Q961" s="272"/>
    </row>
    <row r="962" spans="12:17" s="1523" customFormat="1">
      <c r="L962" s="272"/>
      <c r="M962" s="272"/>
      <c r="N962" s="272"/>
      <c r="O962" s="272"/>
      <c r="P962" s="272"/>
      <c r="Q962" s="272"/>
    </row>
    <row r="963" spans="12:17" s="1523" customFormat="1">
      <c r="L963" s="272"/>
      <c r="M963" s="272"/>
      <c r="N963" s="272"/>
      <c r="O963" s="272"/>
      <c r="P963" s="272"/>
      <c r="Q963" s="272"/>
    </row>
    <row r="964" spans="12:17" s="1523" customFormat="1">
      <c r="L964" s="272"/>
      <c r="M964" s="272"/>
      <c r="N964" s="272"/>
      <c r="O964" s="272"/>
      <c r="P964" s="272"/>
      <c r="Q964" s="272"/>
    </row>
    <row r="965" spans="12:17" s="1523" customFormat="1">
      <c r="L965" s="272"/>
      <c r="M965" s="272"/>
      <c r="N965" s="272"/>
      <c r="O965" s="272"/>
      <c r="P965" s="272"/>
      <c r="Q965" s="272"/>
    </row>
    <row r="966" spans="12:17" s="1523" customFormat="1">
      <c r="L966" s="272"/>
      <c r="M966" s="272"/>
      <c r="N966" s="272"/>
      <c r="O966" s="272"/>
      <c r="P966" s="272"/>
      <c r="Q966" s="272"/>
    </row>
    <row r="967" spans="12:17" s="1523" customFormat="1">
      <c r="L967" s="272"/>
      <c r="M967" s="272"/>
      <c r="N967" s="272"/>
      <c r="O967" s="272"/>
      <c r="P967" s="272"/>
      <c r="Q967" s="272"/>
    </row>
    <row r="968" spans="12:17" s="1523" customFormat="1">
      <c r="L968" s="272"/>
      <c r="M968" s="272"/>
      <c r="N968" s="272"/>
      <c r="O968" s="272"/>
      <c r="P968" s="272"/>
      <c r="Q968" s="272"/>
    </row>
    <row r="969" spans="12:17" s="1523" customFormat="1">
      <c r="L969" s="272"/>
      <c r="M969" s="272"/>
      <c r="N969" s="272"/>
      <c r="O969" s="272"/>
      <c r="P969" s="272"/>
      <c r="Q969" s="272"/>
    </row>
    <row r="970" spans="12:17" s="1523" customFormat="1">
      <c r="L970" s="272"/>
      <c r="M970" s="272"/>
      <c r="N970" s="272"/>
      <c r="O970" s="272"/>
      <c r="P970" s="272"/>
      <c r="Q970" s="272"/>
    </row>
    <row r="971" spans="12:17" s="1523" customFormat="1">
      <c r="L971" s="272"/>
      <c r="M971" s="272"/>
      <c r="N971" s="272"/>
      <c r="O971" s="272"/>
      <c r="P971" s="272"/>
      <c r="Q971" s="272"/>
    </row>
    <row r="972" spans="12:17" s="1523" customFormat="1">
      <c r="L972" s="272"/>
      <c r="M972" s="272"/>
      <c r="N972" s="272"/>
      <c r="O972" s="272"/>
      <c r="P972" s="272"/>
      <c r="Q972" s="272"/>
    </row>
    <row r="973" spans="12:17" s="1523" customFormat="1">
      <c r="L973" s="272"/>
      <c r="M973" s="272"/>
      <c r="N973" s="272"/>
      <c r="O973" s="272"/>
      <c r="P973" s="272"/>
      <c r="Q973" s="272"/>
    </row>
    <row r="974" spans="12:17" s="1523" customFormat="1">
      <c r="L974" s="272"/>
      <c r="M974" s="272"/>
      <c r="N974" s="272"/>
      <c r="O974" s="272"/>
      <c r="P974" s="272"/>
      <c r="Q974" s="272"/>
    </row>
    <row r="975" spans="12:17" s="1523" customFormat="1">
      <c r="L975" s="272"/>
      <c r="M975" s="272"/>
      <c r="N975" s="272"/>
      <c r="O975" s="272"/>
      <c r="P975" s="272"/>
      <c r="Q975" s="272"/>
    </row>
    <row r="976" spans="12:17" s="1523" customFormat="1">
      <c r="L976" s="272"/>
      <c r="M976" s="272"/>
      <c r="N976" s="272"/>
      <c r="O976" s="272"/>
      <c r="P976" s="272"/>
      <c r="Q976" s="272"/>
    </row>
    <row r="977" spans="12:17" s="1523" customFormat="1">
      <c r="L977" s="272"/>
      <c r="M977" s="272"/>
      <c r="N977" s="272"/>
      <c r="O977" s="272"/>
      <c r="P977" s="272"/>
      <c r="Q977" s="272"/>
    </row>
    <row r="978" spans="12:17" s="1523" customFormat="1">
      <c r="L978" s="272"/>
      <c r="M978" s="272"/>
      <c r="N978" s="272"/>
      <c r="O978" s="272"/>
      <c r="P978" s="272"/>
      <c r="Q978" s="272"/>
    </row>
    <row r="979" spans="12:17" s="1523" customFormat="1">
      <c r="L979" s="272"/>
      <c r="M979" s="272"/>
      <c r="N979" s="272"/>
      <c r="O979" s="272"/>
      <c r="P979" s="272"/>
      <c r="Q979" s="272"/>
    </row>
    <row r="980" spans="12:17" s="1523" customFormat="1">
      <c r="L980" s="272"/>
      <c r="M980" s="272"/>
      <c r="N980" s="272"/>
      <c r="O980" s="272"/>
      <c r="P980" s="272"/>
      <c r="Q980" s="272"/>
    </row>
    <row r="981" spans="12:17" s="1523" customFormat="1">
      <c r="L981" s="272"/>
      <c r="M981" s="272"/>
      <c r="N981" s="272"/>
      <c r="O981" s="272"/>
      <c r="P981" s="272"/>
      <c r="Q981" s="272"/>
    </row>
    <row r="982" spans="12:17" s="1523" customFormat="1">
      <c r="L982" s="272"/>
      <c r="M982" s="272"/>
      <c r="N982" s="272"/>
      <c r="O982" s="272"/>
      <c r="P982" s="272"/>
      <c r="Q982" s="272"/>
    </row>
    <row r="983" spans="12:17" s="1523" customFormat="1">
      <c r="L983" s="272"/>
      <c r="M983" s="272"/>
      <c r="N983" s="272"/>
      <c r="O983" s="272"/>
      <c r="P983" s="272"/>
      <c r="Q983" s="272"/>
    </row>
    <row r="984" spans="12:17" s="1523" customFormat="1">
      <c r="L984" s="272"/>
      <c r="M984" s="272"/>
      <c r="N984" s="272"/>
      <c r="O984" s="272"/>
      <c r="P984" s="272"/>
      <c r="Q984" s="272"/>
    </row>
    <row r="985" spans="12:17" s="1523" customFormat="1">
      <c r="L985" s="272"/>
      <c r="M985" s="272"/>
      <c r="N985" s="272"/>
      <c r="O985" s="272"/>
      <c r="P985" s="272"/>
      <c r="Q985" s="272"/>
    </row>
    <row r="986" spans="12:17" s="1523" customFormat="1">
      <c r="L986" s="272"/>
      <c r="M986" s="272"/>
      <c r="N986" s="272"/>
      <c r="O986" s="272"/>
      <c r="P986" s="272"/>
      <c r="Q986" s="272"/>
    </row>
    <row r="987" spans="12:17" s="1523" customFormat="1">
      <c r="L987" s="272"/>
      <c r="M987" s="272"/>
      <c r="N987" s="272"/>
      <c r="O987" s="272"/>
      <c r="P987" s="272"/>
      <c r="Q987" s="272"/>
    </row>
    <row r="988" spans="12:17" s="1523" customFormat="1">
      <c r="L988" s="272"/>
      <c r="M988" s="272"/>
      <c r="N988" s="272"/>
      <c r="O988" s="272"/>
      <c r="P988" s="272"/>
      <c r="Q988" s="272"/>
    </row>
    <row r="989" spans="12:17" s="1523" customFormat="1">
      <c r="L989" s="272"/>
      <c r="M989" s="272"/>
      <c r="N989" s="272"/>
      <c r="O989" s="272"/>
      <c r="P989" s="272"/>
      <c r="Q989" s="272"/>
    </row>
    <row r="990" spans="12:17" s="1523" customFormat="1">
      <c r="L990" s="272"/>
      <c r="M990" s="272"/>
      <c r="N990" s="272"/>
      <c r="O990" s="272"/>
      <c r="P990" s="272"/>
      <c r="Q990" s="272"/>
    </row>
    <row r="991" spans="12:17" s="1523" customFormat="1">
      <c r="L991" s="272"/>
      <c r="M991" s="272"/>
      <c r="N991" s="272"/>
      <c r="O991" s="272"/>
      <c r="P991" s="272"/>
      <c r="Q991" s="272"/>
    </row>
    <row r="992" spans="12:17" s="1523" customFormat="1">
      <c r="L992" s="272"/>
      <c r="M992" s="272"/>
      <c r="N992" s="272"/>
      <c r="O992" s="272"/>
      <c r="P992" s="272"/>
      <c r="Q992" s="272"/>
    </row>
    <row r="993" spans="12:17" s="1523" customFormat="1">
      <c r="L993" s="272"/>
      <c r="M993" s="272"/>
      <c r="N993" s="272"/>
      <c r="O993" s="272"/>
      <c r="P993" s="272"/>
      <c r="Q993" s="272"/>
    </row>
    <row r="994" spans="12:17" s="1523" customFormat="1">
      <c r="L994" s="272"/>
      <c r="M994" s="272"/>
      <c r="N994" s="272"/>
      <c r="O994" s="272"/>
      <c r="P994" s="272"/>
      <c r="Q994" s="272"/>
    </row>
    <row r="995" spans="12:17" s="1523" customFormat="1">
      <c r="L995" s="272"/>
      <c r="M995" s="272"/>
      <c r="N995" s="272"/>
      <c r="O995" s="272"/>
      <c r="P995" s="272"/>
      <c r="Q995" s="272"/>
    </row>
    <row r="996" spans="12:17" s="1523" customFormat="1">
      <c r="L996" s="272"/>
      <c r="M996" s="272"/>
      <c r="N996" s="272"/>
      <c r="O996" s="272"/>
      <c r="P996" s="272"/>
      <c r="Q996" s="272"/>
    </row>
    <row r="997" spans="12:17" s="1523" customFormat="1">
      <c r="L997" s="272"/>
      <c r="M997" s="272"/>
      <c r="N997" s="272"/>
      <c r="O997" s="272"/>
      <c r="P997" s="272"/>
      <c r="Q997" s="272"/>
    </row>
    <row r="998" spans="12:17" s="1523" customFormat="1">
      <c r="L998" s="272"/>
      <c r="M998" s="272"/>
      <c r="N998" s="272"/>
      <c r="O998" s="272"/>
      <c r="P998" s="272"/>
      <c r="Q998" s="272"/>
    </row>
    <row r="999" spans="12:17" s="1523" customFormat="1">
      <c r="L999" s="272"/>
      <c r="M999" s="272"/>
      <c r="N999" s="272"/>
      <c r="O999" s="272"/>
      <c r="P999" s="272"/>
      <c r="Q999" s="272"/>
    </row>
    <row r="1000" spans="12:17" s="1523" customFormat="1">
      <c r="L1000" s="272"/>
      <c r="M1000" s="272"/>
      <c r="N1000" s="272"/>
      <c r="O1000" s="272"/>
      <c r="P1000" s="272"/>
      <c r="Q1000" s="272"/>
    </row>
    <row r="1001" spans="12:17" s="1523" customFormat="1">
      <c r="L1001" s="272"/>
      <c r="M1001" s="272"/>
      <c r="N1001" s="272"/>
      <c r="O1001" s="272"/>
      <c r="P1001" s="272"/>
      <c r="Q1001" s="272"/>
    </row>
    <row r="1002" spans="12:17" s="1523" customFormat="1">
      <c r="L1002" s="272"/>
      <c r="M1002" s="272"/>
      <c r="N1002" s="272"/>
      <c r="O1002" s="272"/>
      <c r="P1002" s="272"/>
      <c r="Q1002" s="272"/>
    </row>
    <row r="1003" spans="12:17" s="1523" customFormat="1">
      <c r="L1003" s="272"/>
      <c r="M1003" s="272"/>
      <c r="N1003" s="272"/>
      <c r="O1003" s="272"/>
      <c r="P1003" s="272"/>
      <c r="Q1003" s="272"/>
    </row>
    <row r="1004" spans="12:17" s="1523" customFormat="1">
      <c r="L1004" s="272"/>
      <c r="M1004" s="272"/>
      <c r="N1004" s="272"/>
      <c r="O1004" s="272"/>
      <c r="P1004" s="272"/>
      <c r="Q1004" s="272"/>
    </row>
    <row r="1005" spans="12:17" s="1523" customFormat="1">
      <c r="L1005" s="272"/>
      <c r="M1005" s="272"/>
      <c r="N1005" s="272"/>
      <c r="O1005" s="272"/>
      <c r="P1005" s="272"/>
      <c r="Q1005" s="272"/>
    </row>
    <row r="1006" spans="12:17" s="1523" customFormat="1">
      <c r="L1006" s="272"/>
      <c r="M1006" s="272"/>
      <c r="N1006" s="272"/>
      <c r="O1006" s="272"/>
      <c r="P1006" s="272"/>
      <c r="Q1006" s="272"/>
    </row>
    <row r="1007" spans="12:17" s="1523" customFormat="1">
      <c r="L1007" s="272"/>
      <c r="M1007" s="272"/>
      <c r="N1007" s="272"/>
      <c r="O1007" s="272"/>
      <c r="P1007" s="272"/>
      <c r="Q1007" s="272"/>
    </row>
    <row r="1008" spans="12:17" s="1523" customFormat="1">
      <c r="L1008" s="272"/>
      <c r="M1008" s="272"/>
      <c r="N1008" s="272"/>
      <c r="O1008" s="272"/>
      <c r="P1008" s="272"/>
      <c r="Q1008" s="272"/>
    </row>
    <row r="1009" spans="12:17" s="1523" customFormat="1">
      <c r="L1009" s="272"/>
      <c r="M1009" s="272"/>
      <c r="N1009" s="272"/>
      <c r="O1009" s="272"/>
      <c r="P1009" s="272"/>
      <c r="Q1009" s="272"/>
    </row>
    <row r="1010" spans="12:17" s="1523" customFormat="1">
      <c r="L1010" s="272"/>
      <c r="M1010" s="272"/>
      <c r="N1010" s="272"/>
      <c r="O1010" s="272"/>
      <c r="P1010" s="272"/>
      <c r="Q1010" s="272"/>
    </row>
    <row r="1011" spans="12:17" s="1523" customFormat="1">
      <c r="L1011" s="272"/>
      <c r="M1011" s="272"/>
      <c r="N1011" s="272"/>
      <c r="O1011" s="272"/>
      <c r="P1011" s="272"/>
      <c r="Q1011" s="272"/>
    </row>
    <row r="1012" spans="12:17" s="1523" customFormat="1">
      <c r="L1012" s="272"/>
      <c r="M1012" s="272"/>
      <c r="N1012" s="272"/>
      <c r="O1012" s="272"/>
      <c r="P1012" s="272"/>
      <c r="Q1012" s="272"/>
    </row>
    <row r="1013" spans="12:17" s="1523" customFormat="1">
      <c r="L1013" s="272"/>
      <c r="M1013" s="272"/>
      <c r="N1013" s="272"/>
      <c r="O1013" s="272"/>
      <c r="P1013" s="272"/>
      <c r="Q1013" s="272"/>
    </row>
    <row r="1014" spans="12:17" s="1523" customFormat="1">
      <c r="L1014" s="272"/>
      <c r="M1014" s="272"/>
      <c r="N1014" s="272"/>
      <c r="O1014" s="272"/>
      <c r="P1014" s="272"/>
      <c r="Q1014" s="272"/>
    </row>
    <row r="1015" spans="12:17" s="1523" customFormat="1">
      <c r="L1015" s="272"/>
      <c r="M1015" s="272"/>
      <c r="N1015" s="272"/>
      <c r="O1015" s="272"/>
      <c r="P1015" s="272"/>
      <c r="Q1015" s="272"/>
    </row>
    <row r="1016" spans="12:17" s="1523" customFormat="1">
      <c r="L1016" s="272"/>
      <c r="M1016" s="272"/>
      <c r="N1016" s="272"/>
      <c r="O1016" s="272"/>
      <c r="P1016" s="272"/>
      <c r="Q1016" s="272"/>
    </row>
    <row r="1017" spans="12:17" s="1523" customFormat="1">
      <c r="L1017" s="272"/>
      <c r="M1017" s="272"/>
      <c r="N1017" s="272"/>
      <c r="O1017" s="272"/>
      <c r="P1017" s="272"/>
      <c r="Q1017" s="272"/>
    </row>
    <row r="1018" spans="12:17" s="1523" customFormat="1">
      <c r="L1018" s="272"/>
      <c r="M1018" s="272"/>
      <c r="N1018" s="272"/>
      <c r="O1018" s="272"/>
      <c r="P1018" s="272"/>
      <c r="Q1018" s="272"/>
    </row>
    <row r="1019" spans="12:17" s="1523" customFormat="1">
      <c r="L1019" s="272"/>
      <c r="M1019" s="272"/>
      <c r="N1019" s="272"/>
      <c r="O1019" s="272"/>
      <c r="P1019" s="272"/>
      <c r="Q1019" s="272"/>
    </row>
    <row r="1020" spans="12:17" s="1523" customFormat="1">
      <c r="L1020" s="272"/>
      <c r="M1020" s="272"/>
      <c r="N1020" s="272"/>
      <c r="O1020" s="272"/>
      <c r="P1020" s="272"/>
      <c r="Q1020" s="272"/>
    </row>
    <row r="1021" spans="12:17" s="1523" customFormat="1">
      <c r="L1021" s="272"/>
      <c r="M1021" s="272"/>
      <c r="N1021" s="272"/>
      <c r="O1021" s="272"/>
      <c r="P1021" s="272"/>
      <c r="Q1021" s="272"/>
    </row>
    <row r="1022" spans="12:17" s="1523" customFormat="1">
      <c r="L1022" s="272"/>
      <c r="M1022" s="272"/>
      <c r="N1022" s="272"/>
      <c r="O1022" s="272"/>
      <c r="P1022" s="272"/>
      <c r="Q1022" s="272"/>
    </row>
    <row r="1023" spans="12:17" s="1523" customFormat="1">
      <c r="L1023" s="272"/>
      <c r="M1023" s="272"/>
      <c r="N1023" s="272"/>
      <c r="O1023" s="272"/>
      <c r="P1023" s="272"/>
      <c r="Q1023" s="272"/>
    </row>
    <row r="1024" spans="12:17" s="1523" customFormat="1">
      <c r="L1024" s="272"/>
      <c r="M1024" s="272"/>
      <c r="N1024" s="272"/>
      <c r="O1024" s="272"/>
      <c r="P1024" s="272"/>
      <c r="Q1024" s="272"/>
    </row>
    <row r="1025" spans="12:17" s="1523" customFormat="1">
      <c r="L1025" s="272"/>
      <c r="M1025" s="272"/>
      <c r="N1025" s="272"/>
      <c r="O1025" s="272"/>
      <c r="P1025" s="272"/>
      <c r="Q1025" s="272"/>
    </row>
    <row r="1026" spans="12:17" s="1523" customFormat="1">
      <c r="L1026" s="272"/>
      <c r="M1026" s="272"/>
      <c r="N1026" s="272"/>
      <c r="O1026" s="272"/>
      <c r="P1026" s="272"/>
      <c r="Q1026" s="272"/>
    </row>
    <row r="1027" spans="12:17" s="1523" customFormat="1">
      <c r="L1027" s="272"/>
      <c r="M1027" s="272"/>
      <c r="N1027" s="272"/>
      <c r="O1027" s="272"/>
      <c r="P1027" s="272"/>
      <c r="Q1027" s="272"/>
    </row>
    <row r="1028" spans="12:17" s="1523" customFormat="1">
      <c r="L1028" s="272"/>
      <c r="M1028" s="272"/>
      <c r="N1028" s="272"/>
      <c r="O1028" s="272"/>
      <c r="P1028" s="272"/>
      <c r="Q1028" s="272"/>
    </row>
    <row r="1029" spans="12:17" s="1523" customFormat="1">
      <c r="L1029" s="272"/>
      <c r="M1029" s="272"/>
      <c r="N1029" s="272"/>
      <c r="O1029" s="272"/>
      <c r="P1029" s="272"/>
      <c r="Q1029" s="272"/>
    </row>
    <row r="1030" spans="12:17" s="1523" customFormat="1">
      <c r="L1030" s="272"/>
      <c r="M1030" s="272"/>
      <c r="N1030" s="272"/>
      <c r="O1030" s="272"/>
      <c r="P1030" s="272"/>
      <c r="Q1030" s="272"/>
    </row>
    <row r="1031" spans="12:17" s="1523" customFormat="1">
      <c r="L1031" s="272"/>
      <c r="M1031" s="272"/>
      <c r="N1031" s="272"/>
      <c r="O1031" s="272"/>
      <c r="P1031" s="272"/>
      <c r="Q1031" s="272"/>
    </row>
    <row r="1032" spans="12:17" s="1523" customFormat="1">
      <c r="L1032" s="272"/>
      <c r="M1032" s="272"/>
      <c r="N1032" s="272"/>
      <c r="O1032" s="272"/>
      <c r="P1032" s="272"/>
      <c r="Q1032" s="272"/>
    </row>
    <row r="1033" spans="12:17" s="1523" customFormat="1">
      <c r="L1033" s="272"/>
      <c r="M1033" s="272"/>
      <c r="N1033" s="272"/>
      <c r="O1033" s="272"/>
      <c r="P1033" s="272"/>
      <c r="Q1033" s="272"/>
    </row>
    <row r="1034" spans="12:17" s="1523" customFormat="1">
      <c r="L1034" s="272"/>
      <c r="M1034" s="272"/>
      <c r="N1034" s="272"/>
      <c r="O1034" s="272"/>
      <c r="P1034" s="272"/>
      <c r="Q1034" s="272"/>
    </row>
    <row r="1035" spans="12:17" s="1523" customFormat="1">
      <c r="L1035" s="272"/>
      <c r="M1035" s="272"/>
      <c r="N1035" s="272"/>
      <c r="O1035" s="272"/>
      <c r="P1035" s="272"/>
      <c r="Q1035" s="272"/>
    </row>
    <row r="1036" spans="12:17" s="1523" customFormat="1">
      <c r="L1036" s="272"/>
      <c r="M1036" s="272"/>
      <c r="N1036" s="272"/>
      <c r="O1036" s="272"/>
      <c r="P1036" s="272"/>
      <c r="Q1036" s="272"/>
    </row>
    <row r="1037" spans="12:17" s="1523" customFormat="1">
      <c r="L1037" s="272"/>
      <c r="M1037" s="272"/>
      <c r="N1037" s="272"/>
      <c r="O1037" s="272"/>
      <c r="P1037" s="272"/>
      <c r="Q1037" s="272"/>
    </row>
    <row r="1038" spans="12:17" s="1523" customFormat="1">
      <c r="L1038" s="272"/>
      <c r="M1038" s="272"/>
      <c r="N1038" s="272"/>
      <c r="O1038" s="272"/>
      <c r="P1038" s="272"/>
      <c r="Q1038" s="272"/>
    </row>
    <row r="1039" spans="12:17" s="1523" customFormat="1">
      <c r="L1039" s="272"/>
      <c r="M1039" s="272"/>
      <c r="N1039" s="272"/>
      <c r="O1039" s="272"/>
      <c r="P1039" s="272"/>
      <c r="Q1039" s="272"/>
    </row>
    <row r="1040" spans="12:17" s="1523" customFormat="1">
      <c r="L1040" s="272"/>
      <c r="M1040" s="272"/>
      <c r="N1040" s="272"/>
      <c r="O1040" s="272"/>
      <c r="P1040" s="272"/>
      <c r="Q1040" s="272"/>
    </row>
    <row r="1041" spans="12:17" s="1523" customFormat="1">
      <c r="L1041" s="272"/>
      <c r="M1041" s="272"/>
      <c r="N1041" s="272"/>
      <c r="O1041" s="272"/>
      <c r="P1041" s="272"/>
      <c r="Q1041" s="272"/>
    </row>
    <row r="1042" spans="12:17" s="1523" customFormat="1">
      <c r="L1042" s="272"/>
      <c r="M1042" s="272"/>
      <c r="N1042" s="272"/>
      <c r="O1042" s="272"/>
      <c r="P1042" s="272"/>
      <c r="Q1042" s="272"/>
    </row>
    <row r="1043" spans="12:17" s="1523" customFormat="1">
      <c r="L1043" s="272"/>
      <c r="M1043" s="272"/>
      <c r="N1043" s="272"/>
      <c r="O1043" s="272"/>
      <c r="P1043" s="272"/>
      <c r="Q1043" s="272"/>
    </row>
    <row r="1044" spans="12:17" s="1523" customFormat="1">
      <c r="L1044" s="272"/>
      <c r="M1044" s="272"/>
      <c r="N1044" s="272"/>
      <c r="O1044" s="272"/>
      <c r="P1044" s="272"/>
      <c r="Q1044" s="272"/>
    </row>
    <row r="1045" spans="12:17" s="1523" customFormat="1">
      <c r="L1045" s="272"/>
      <c r="M1045" s="272"/>
      <c r="N1045" s="272"/>
      <c r="O1045" s="272"/>
      <c r="P1045" s="272"/>
      <c r="Q1045" s="272"/>
    </row>
    <row r="1046" spans="12:17" s="1523" customFormat="1">
      <c r="L1046" s="272"/>
      <c r="M1046" s="272"/>
      <c r="N1046" s="272"/>
      <c r="O1046" s="272"/>
      <c r="P1046" s="272"/>
      <c r="Q1046" s="272"/>
    </row>
    <row r="1047" spans="12:17" s="1523" customFormat="1">
      <c r="L1047" s="272"/>
      <c r="M1047" s="272"/>
      <c r="N1047" s="272"/>
      <c r="O1047" s="272"/>
      <c r="P1047" s="272"/>
      <c r="Q1047" s="272"/>
    </row>
    <row r="1048" spans="12:17" s="1523" customFormat="1">
      <c r="L1048" s="272"/>
      <c r="M1048" s="272"/>
      <c r="N1048" s="272"/>
      <c r="O1048" s="272"/>
      <c r="P1048" s="272"/>
      <c r="Q1048" s="272"/>
    </row>
    <row r="1049" spans="12:17" s="1523" customFormat="1">
      <c r="L1049" s="272"/>
      <c r="M1049" s="272"/>
      <c r="N1049" s="272"/>
      <c r="O1049" s="272"/>
      <c r="P1049" s="272"/>
      <c r="Q1049" s="272"/>
    </row>
    <row r="1050" spans="12:17" s="1523" customFormat="1">
      <c r="L1050" s="272"/>
      <c r="M1050" s="272"/>
      <c r="N1050" s="272"/>
      <c r="O1050" s="272"/>
      <c r="P1050" s="272"/>
      <c r="Q1050" s="272"/>
    </row>
    <row r="1051" spans="12:17" s="1523" customFormat="1">
      <c r="L1051" s="272"/>
      <c r="M1051" s="272"/>
      <c r="N1051" s="272"/>
      <c r="O1051" s="272"/>
      <c r="P1051" s="272"/>
      <c r="Q1051" s="272"/>
    </row>
    <row r="1052" spans="12:17" s="1523" customFormat="1">
      <c r="L1052" s="272"/>
      <c r="M1052" s="272"/>
      <c r="N1052" s="272"/>
      <c r="O1052" s="272"/>
      <c r="P1052" s="272"/>
      <c r="Q1052" s="272"/>
    </row>
    <row r="1053" spans="12:17" s="1523" customFormat="1">
      <c r="L1053" s="272"/>
      <c r="M1053" s="272"/>
      <c r="N1053" s="272"/>
      <c r="O1053" s="272"/>
      <c r="P1053" s="272"/>
      <c r="Q1053" s="272"/>
    </row>
    <row r="1054" spans="12:17" s="1523" customFormat="1">
      <c r="L1054" s="272"/>
      <c r="M1054" s="272"/>
      <c r="N1054" s="272"/>
      <c r="O1054" s="272"/>
      <c r="P1054" s="272"/>
      <c r="Q1054" s="272"/>
    </row>
    <row r="1055" spans="12:17" s="1523" customFormat="1">
      <c r="L1055" s="272"/>
      <c r="M1055" s="272"/>
      <c r="N1055" s="272"/>
      <c r="O1055" s="272"/>
      <c r="P1055" s="272"/>
      <c r="Q1055" s="272"/>
    </row>
    <row r="1056" spans="12:17" s="1523" customFormat="1">
      <c r="L1056" s="272"/>
      <c r="M1056" s="272"/>
      <c r="N1056" s="272"/>
      <c r="O1056" s="272"/>
      <c r="P1056" s="272"/>
      <c r="Q1056" s="272"/>
    </row>
    <row r="1057" spans="12:17" s="1523" customFormat="1">
      <c r="L1057" s="272"/>
      <c r="M1057" s="272"/>
      <c r="N1057" s="272"/>
      <c r="O1057" s="272"/>
      <c r="P1057" s="272"/>
      <c r="Q1057" s="272"/>
    </row>
    <row r="1058" spans="12:17" s="1523" customFormat="1">
      <c r="L1058" s="272"/>
      <c r="M1058" s="272"/>
      <c r="N1058" s="272"/>
      <c r="O1058" s="272"/>
      <c r="P1058" s="272"/>
      <c r="Q1058" s="272"/>
    </row>
    <row r="1059" spans="12:17" s="1523" customFormat="1">
      <c r="L1059" s="272"/>
      <c r="M1059" s="272"/>
      <c r="N1059" s="272"/>
      <c r="O1059" s="272"/>
      <c r="P1059" s="272"/>
      <c r="Q1059" s="272"/>
    </row>
    <row r="1060" spans="12:17" s="1523" customFormat="1">
      <c r="L1060" s="272"/>
      <c r="M1060" s="272"/>
      <c r="N1060" s="272"/>
      <c r="O1060" s="272"/>
      <c r="P1060" s="272"/>
      <c r="Q1060" s="272"/>
    </row>
    <row r="1061" spans="12:17" s="1523" customFormat="1">
      <c r="L1061" s="272"/>
      <c r="M1061" s="272"/>
      <c r="N1061" s="272"/>
      <c r="O1061" s="272"/>
      <c r="P1061" s="272"/>
      <c r="Q1061" s="272"/>
    </row>
    <row r="1062" spans="12:17" s="1523" customFormat="1">
      <c r="L1062" s="272"/>
      <c r="M1062" s="272"/>
      <c r="N1062" s="272"/>
      <c r="O1062" s="272"/>
      <c r="P1062" s="272"/>
      <c r="Q1062" s="272"/>
    </row>
    <row r="1063" spans="12:17" s="1523" customFormat="1">
      <c r="L1063" s="272"/>
      <c r="M1063" s="272"/>
      <c r="N1063" s="272"/>
      <c r="O1063" s="272"/>
      <c r="P1063" s="272"/>
      <c r="Q1063" s="272"/>
    </row>
    <row r="1064" spans="12:17" s="1523" customFormat="1">
      <c r="L1064" s="272"/>
      <c r="M1064" s="272"/>
      <c r="N1064" s="272"/>
      <c r="O1064" s="272"/>
      <c r="P1064" s="272"/>
      <c r="Q1064" s="272"/>
    </row>
    <row r="1065" spans="12:17" s="1523" customFormat="1">
      <c r="L1065" s="272"/>
      <c r="M1065" s="272"/>
      <c r="N1065" s="272"/>
      <c r="O1065" s="272"/>
      <c r="P1065" s="272"/>
      <c r="Q1065" s="272"/>
    </row>
    <row r="1066" spans="12:17" s="1523" customFormat="1">
      <c r="L1066" s="272"/>
      <c r="M1066" s="272"/>
      <c r="N1066" s="272"/>
      <c r="O1066" s="272"/>
      <c r="P1066" s="272"/>
      <c r="Q1066" s="272"/>
    </row>
    <row r="1067" spans="12:17" s="1523" customFormat="1">
      <c r="L1067" s="272"/>
      <c r="M1067" s="272"/>
      <c r="N1067" s="272"/>
      <c r="O1067" s="272"/>
      <c r="P1067" s="272"/>
      <c r="Q1067" s="272"/>
    </row>
    <row r="1068" spans="12:17" s="1523" customFormat="1">
      <c r="L1068" s="272"/>
      <c r="M1068" s="272"/>
      <c r="N1068" s="272"/>
      <c r="O1068" s="272"/>
      <c r="P1068" s="272"/>
      <c r="Q1068" s="272"/>
    </row>
    <row r="1069" spans="12:17" s="1523" customFormat="1">
      <c r="L1069" s="272"/>
      <c r="M1069" s="272"/>
      <c r="N1069" s="272"/>
      <c r="O1069" s="272"/>
      <c r="P1069" s="272"/>
      <c r="Q1069" s="272"/>
    </row>
    <row r="1070" spans="12:17" s="1523" customFormat="1">
      <c r="L1070" s="272"/>
      <c r="M1070" s="272"/>
      <c r="N1070" s="272"/>
      <c r="O1070" s="272"/>
      <c r="P1070" s="272"/>
      <c r="Q1070" s="272"/>
    </row>
    <row r="1071" spans="12:17" s="1523" customFormat="1">
      <c r="L1071" s="272"/>
      <c r="M1071" s="272"/>
      <c r="N1071" s="272"/>
      <c r="O1071" s="272"/>
      <c r="P1071" s="272"/>
      <c r="Q1071" s="272"/>
    </row>
    <row r="1072" spans="12:17" s="1523" customFormat="1">
      <c r="L1072" s="272"/>
      <c r="M1072" s="272"/>
      <c r="N1072" s="272"/>
      <c r="O1072" s="272"/>
      <c r="P1072" s="272"/>
      <c r="Q1072" s="272"/>
    </row>
    <row r="1073" spans="12:17" s="1523" customFormat="1">
      <c r="L1073" s="272"/>
      <c r="M1073" s="272"/>
      <c r="N1073" s="272"/>
      <c r="O1073" s="272"/>
      <c r="P1073" s="272"/>
      <c r="Q1073" s="272"/>
    </row>
    <row r="1074" spans="12:17" s="1523" customFormat="1">
      <c r="L1074" s="272"/>
      <c r="M1074" s="272"/>
      <c r="N1074" s="272"/>
      <c r="O1074" s="272"/>
      <c r="P1074" s="272"/>
      <c r="Q1074" s="272"/>
    </row>
    <row r="1075" spans="12:17" s="1523" customFormat="1">
      <c r="L1075" s="272"/>
      <c r="M1075" s="272"/>
      <c r="N1075" s="272"/>
      <c r="O1075" s="272"/>
      <c r="P1075" s="272"/>
      <c r="Q1075" s="272"/>
    </row>
    <row r="1076" spans="12:17" s="1523" customFormat="1">
      <c r="L1076" s="272"/>
      <c r="M1076" s="272"/>
      <c r="N1076" s="272"/>
      <c r="O1076" s="272"/>
      <c r="P1076" s="272"/>
      <c r="Q1076" s="272"/>
    </row>
    <row r="1077" spans="12:17" s="1523" customFormat="1">
      <c r="L1077" s="272"/>
      <c r="M1077" s="272"/>
      <c r="N1077" s="272"/>
      <c r="O1077" s="272"/>
      <c r="P1077" s="272"/>
      <c r="Q1077" s="272"/>
    </row>
    <row r="1078" spans="12:17" s="1523" customFormat="1">
      <c r="L1078" s="272"/>
      <c r="M1078" s="272"/>
      <c r="N1078" s="272"/>
      <c r="O1078" s="272"/>
      <c r="P1078" s="272"/>
      <c r="Q1078" s="272"/>
    </row>
    <row r="1079" spans="12:17" s="1523" customFormat="1">
      <c r="L1079" s="272"/>
      <c r="M1079" s="272"/>
      <c r="N1079" s="272"/>
      <c r="O1079" s="272"/>
      <c r="P1079" s="272"/>
      <c r="Q1079" s="272"/>
    </row>
    <row r="1080" spans="12:17" s="1523" customFormat="1">
      <c r="L1080" s="272"/>
      <c r="M1080" s="272"/>
      <c r="N1080" s="272"/>
      <c r="O1080" s="272"/>
      <c r="P1080" s="272"/>
      <c r="Q1080" s="272"/>
    </row>
    <row r="1081" spans="12:17" s="1523" customFormat="1">
      <c r="L1081" s="272"/>
      <c r="M1081" s="272"/>
      <c r="N1081" s="272"/>
      <c r="O1081" s="272"/>
      <c r="P1081" s="272"/>
      <c r="Q1081" s="272"/>
    </row>
    <row r="1082" spans="12:17" s="1523" customFormat="1">
      <c r="L1082" s="272"/>
      <c r="M1082" s="272"/>
      <c r="N1082" s="272"/>
      <c r="O1082" s="272"/>
      <c r="P1082" s="272"/>
      <c r="Q1082" s="272"/>
    </row>
    <row r="1083" spans="12:17" s="1523" customFormat="1">
      <c r="L1083" s="272"/>
      <c r="M1083" s="272"/>
      <c r="N1083" s="272"/>
      <c r="O1083" s="272"/>
      <c r="P1083" s="272"/>
      <c r="Q1083" s="272"/>
    </row>
    <row r="1084" spans="12:17" s="1523" customFormat="1">
      <c r="L1084" s="272"/>
      <c r="M1084" s="272"/>
      <c r="N1084" s="272"/>
      <c r="O1084" s="272"/>
      <c r="P1084" s="272"/>
      <c r="Q1084" s="272"/>
    </row>
    <row r="1085" spans="12:17" s="1523" customFormat="1">
      <c r="L1085" s="272"/>
      <c r="M1085" s="272"/>
      <c r="N1085" s="272"/>
      <c r="O1085" s="272"/>
      <c r="P1085" s="272"/>
      <c r="Q1085" s="272"/>
    </row>
    <row r="1086" spans="12:17" s="1523" customFormat="1">
      <c r="L1086" s="272"/>
      <c r="M1086" s="272"/>
      <c r="N1086" s="272"/>
      <c r="O1086" s="272"/>
      <c r="P1086" s="272"/>
      <c r="Q1086" s="272"/>
    </row>
    <row r="1087" spans="12:17" s="1523" customFormat="1">
      <c r="L1087" s="272"/>
      <c r="M1087" s="272"/>
      <c r="N1087" s="272"/>
      <c r="O1087" s="272"/>
      <c r="P1087" s="272"/>
      <c r="Q1087" s="272"/>
    </row>
    <row r="1088" spans="12:17" s="1523" customFormat="1">
      <c r="L1088" s="272"/>
      <c r="M1088" s="272"/>
      <c r="N1088" s="272"/>
      <c r="O1088" s="272"/>
      <c r="P1088" s="272"/>
      <c r="Q1088" s="272"/>
    </row>
    <row r="1089" spans="12:17" s="1523" customFormat="1">
      <c r="L1089" s="272"/>
      <c r="M1089" s="272"/>
      <c r="N1089" s="272"/>
      <c r="O1089" s="272"/>
      <c r="P1089" s="272"/>
      <c r="Q1089" s="272"/>
    </row>
    <row r="1090" spans="12:17" s="1523" customFormat="1">
      <c r="L1090" s="272"/>
      <c r="M1090" s="272"/>
      <c r="N1090" s="272"/>
      <c r="O1090" s="272"/>
      <c r="P1090" s="272"/>
      <c r="Q1090" s="272"/>
    </row>
    <row r="1091" spans="12:17" s="1523" customFormat="1">
      <c r="L1091" s="272"/>
      <c r="M1091" s="272"/>
      <c r="N1091" s="272"/>
      <c r="O1091" s="272"/>
      <c r="P1091" s="272"/>
      <c r="Q1091" s="272"/>
    </row>
    <row r="1092" spans="12:17" s="1523" customFormat="1">
      <c r="L1092" s="272"/>
      <c r="M1092" s="272"/>
      <c r="N1092" s="272"/>
      <c r="O1092" s="272"/>
      <c r="P1092" s="272"/>
      <c r="Q1092" s="272"/>
    </row>
    <row r="1093" spans="12:17" s="1523" customFormat="1">
      <c r="L1093" s="272"/>
      <c r="M1093" s="272"/>
      <c r="N1093" s="272"/>
      <c r="O1093" s="272"/>
      <c r="P1093" s="272"/>
      <c r="Q1093" s="272"/>
    </row>
    <row r="1094" spans="12:17" s="1523" customFormat="1">
      <c r="L1094" s="272"/>
      <c r="M1094" s="272"/>
      <c r="N1094" s="272"/>
      <c r="O1094" s="272"/>
      <c r="P1094" s="272"/>
      <c r="Q1094" s="272"/>
    </row>
    <row r="1095" spans="12:17" s="1523" customFormat="1">
      <c r="L1095" s="272"/>
      <c r="M1095" s="272"/>
      <c r="N1095" s="272"/>
      <c r="O1095" s="272"/>
      <c r="P1095" s="272"/>
      <c r="Q1095" s="272"/>
    </row>
    <row r="1096" spans="12:17" s="1523" customFormat="1">
      <c r="L1096" s="272"/>
      <c r="M1096" s="272"/>
      <c r="N1096" s="272"/>
      <c r="O1096" s="272"/>
      <c r="P1096" s="272"/>
      <c r="Q1096" s="272"/>
    </row>
    <row r="1097" spans="12:17" s="1523" customFormat="1">
      <c r="L1097" s="272"/>
      <c r="M1097" s="272"/>
      <c r="N1097" s="272"/>
      <c r="O1097" s="272"/>
      <c r="P1097" s="272"/>
      <c r="Q1097" s="272"/>
    </row>
    <row r="1098" spans="12:17" s="1523" customFormat="1">
      <c r="L1098" s="272"/>
      <c r="M1098" s="272"/>
      <c r="N1098" s="272"/>
      <c r="O1098" s="272"/>
      <c r="P1098" s="272"/>
      <c r="Q1098" s="272"/>
    </row>
    <row r="1099" spans="12:17" s="1523" customFormat="1">
      <c r="L1099" s="272"/>
      <c r="M1099" s="272"/>
      <c r="N1099" s="272"/>
      <c r="O1099" s="272"/>
      <c r="P1099" s="272"/>
      <c r="Q1099" s="272"/>
    </row>
    <row r="1100" spans="12:17" s="1523" customFormat="1">
      <c r="L1100" s="272"/>
      <c r="M1100" s="272"/>
      <c r="N1100" s="272"/>
      <c r="O1100" s="272"/>
      <c r="P1100" s="272"/>
      <c r="Q1100" s="272"/>
    </row>
    <row r="1101" spans="12:17" s="1523" customFormat="1">
      <c r="L1101" s="272"/>
      <c r="M1101" s="272"/>
      <c r="N1101" s="272"/>
      <c r="O1101" s="272"/>
      <c r="P1101" s="272"/>
      <c r="Q1101" s="272"/>
    </row>
    <row r="1102" spans="12:17" s="1523" customFormat="1">
      <c r="L1102" s="272"/>
      <c r="M1102" s="272"/>
      <c r="N1102" s="272"/>
      <c r="O1102" s="272"/>
      <c r="P1102" s="272"/>
      <c r="Q1102" s="272"/>
    </row>
    <row r="1103" spans="12:17" s="1523" customFormat="1">
      <c r="L1103" s="272"/>
      <c r="M1103" s="272"/>
      <c r="N1103" s="272"/>
      <c r="O1103" s="272"/>
      <c r="P1103" s="272"/>
      <c r="Q1103" s="272"/>
    </row>
    <row r="1104" spans="12:17" s="1523" customFormat="1">
      <c r="L1104" s="272"/>
      <c r="M1104" s="272"/>
      <c r="N1104" s="272"/>
      <c r="O1104" s="272"/>
      <c r="P1104" s="272"/>
      <c r="Q1104" s="272"/>
    </row>
    <row r="1105" spans="12:17" s="1523" customFormat="1">
      <c r="L1105" s="272"/>
      <c r="M1105" s="272"/>
      <c r="N1105" s="272"/>
      <c r="O1105" s="272"/>
      <c r="P1105" s="272"/>
      <c r="Q1105" s="272"/>
    </row>
    <row r="1106" spans="12:17" s="1523" customFormat="1">
      <c r="L1106" s="272"/>
      <c r="M1106" s="272"/>
      <c r="N1106" s="272"/>
      <c r="O1106" s="272"/>
      <c r="P1106" s="272"/>
      <c r="Q1106" s="272"/>
    </row>
    <row r="1107" spans="12:17" s="1523" customFormat="1">
      <c r="L1107" s="272"/>
      <c r="M1107" s="272"/>
      <c r="N1107" s="272"/>
      <c r="O1107" s="272"/>
      <c r="P1107" s="272"/>
      <c r="Q1107" s="272"/>
    </row>
    <row r="1108" spans="12:17" s="1523" customFormat="1">
      <c r="L1108" s="272"/>
      <c r="M1108" s="272"/>
      <c r="N1108" s="272"/>
      <c r="O1108" s="272"/>
      <c r="P1108" s="272"/>
      <c r="Q1108" s="272"/>
    </row>
    <row r="1109" spans="12:17" s="1523" customFormat="1">
      <c r="L1109" s="272"/>
      <c r="M1109" s="272"/>
      <c r="N1109" s="272"/>
      <c r="O1109" s="272"/>
      <c r="P1109" s="272"/>
      <c r="Q1109" s="272"/>
    </row>
    <row r="1110" spans="12:17" s="1523" customFormat="1">
      <c r="L1110" s="272"/>
      <c r="M1110" s="272"/>
      <c r="N1110" s="272"/>
      <c r="O1110" s="272"/>
      <c r="P1110" s="272"/>
      <c r="Q1110" s="272"/>
    </row>
    <row r="1111" spans="12:17" s="1523" customFormat="1">
      <c r="L1111" s="272"/>
      <c r="M1111" s="272"/>
      <c r="N1111" s="272"/>
      <c r="O1111" s="272"/>
      <c r="P1111" s="272"/>
      <c r="Q1111" s="272"/>
    </row>
    <row r="1112" spans="12:17" s="1523" customFormat="1">
      <c r="L1112" s="272"/>
      <c r="M1112" s="272"/>
      <c r="N1112" s="272"/>
      <c r="O1112" s="272"/>
      <c r="P1112" s="272"/>
      <c r="Q1112" s="272"/>
    </row>
    <row r="1113" spans="12:17" s="1523" customFormat="1">
      <c r="L1113" s="272"/>
      <c r="M1113" s="272"/>
      <c r="N1113" s="272"/>
      <c r="O1113" s="272"/>
      <c r="P1113" s="272"/>
      <c r="Q1113" s="272"/>
    </row>
    <row r="1114" spans="12:17" s="1523" customFormat="1">
      <c r="L1114" s="272"/>
      <c r="M1114" s="272"/>
      <c r="N1114" s="272"/>
      <c r="O1114" s="272"/>
      <c r="P1114" s="272"/>
      <c r="Q1114" s="272"/>
    </row>
    <row r="1115" spans="12:17" s="1523" customFormat="1">
      <c r="L1115" s="272"/>
      <c r="M1115" s="272"/>
      <c r="N1115" s="272"/>
      <c r="O1115" s="272"/>
      <c r="P1115" s="272"/>
      <c r="Q1115" s="272"/>
    </row>
    <row r="1116" spans="12:17" s="1523" customFormat="1">
      <c r="L1116" s="272"/>
      <c r="M1116" s="272"/>
      <c r="N1116" s="272"/>
      <c r="O1116" s="272"/>
      <c r="P1116" s="272"/>
      <c r="Q1116" s="272"/>
    </row>
    <row r="1117" spans="12:17" s="1523" customFormat="1">
      <c r="L1117" s="272"/>
      <c r="M1117" s="272"/>
      <c r="N1117" s="272"/>
      <c r="O1117" s="272"/>
      <c r="P1117" s="272"/>
      <c r="Q1117" s="272"/>
    </row>
    <row r="1118" spans="12:17" s="1523" customFormat="1">
      <c r="L1118" s="272"/>
      <c r="M1118" s="272"/>
      <c r="N1118" s="272"/>
      <c r="O1118" s="272"/>
      <c r="P1118" s="272"/>
      <c r="Q1118" s="272"/>
    </row>
    <row r="1119" spans="12:17" s="1523" customFormat="1">
      <c r="L1119" s="272"/>
      <c r="M1119" s="272"/>
      <c r="N1119" s="272"/>
      <c r="O1119" s="272"/>
      <c r="P1119" s="272"/>
      <c r="Q1119" s="272"/>
    </row>
    <row r="1120" spans="12:17" s="1523" customFormat="1">
      <c r="L1120" s="272"/>
      <c r="M1120" s="272"/>
      <c r="N1120" s="272"/>
      <c r="O1120" s="272"/>
      <c r="P1120" s="272"/>
      <c r="Q1120" s="272"/>
    </row>
    <row r="1121" spans="12:17" s="1523" customFormat="1">
      <c r="L1121" s="272"/>
      <c r="M1121" s="272"/>
      <c r="N1121" s="272"/>
      <c r="O1121" s="272"/>
      <c r="P1121" s="272"/>
      <c r="Q1121" s="272"/>
    </row>
    <row r="1122" spans="12:17" s="1523" customFormat="1">
      <c r="L1122" s="272"/>
      <c r="M1122" s="272"/>
      <c r="N1122" s="272"/>
      <c r="O1122" s="272"/>
      <c r="P1122" s="272"/>
      <c r="Q1122" s="272"/>
    </row>
    <row r="1123" spans="12:17" s="1523" customFormat="1">
      <c r="L1123" s="272"/>
      <c r="M1123" s="272"/>
      <c r="N1123" s="272"/>
      <c r="O1123" s="272"/>
      <c r="P1123" s="272"/>
      <c r="Q1123" s="272"/>
    </row>
    <row r="1124" spans="12:17" s="1523" customFormat="1">
      <c r="L1124" s="272"/>
      <c r="M1124" s="272"/>
      <c r="N1124" s="272"/>
      <c r="O1124" s="272"/>
      <c r="P1124" s="272"/>
      <c r="Q1124" s="272"/>
    </row>
    <row r="1125" spans="12:17" s="1523" customFormat="1">
      <c r="L1125" s="272"/>
      <c r="M1125" s="272"/>
      <c r="N1125" s="272"/>
      <c r="O1125" s="272"/>
      <c r="P1125" s="272"/>
      <c r="Q1125" s="272"/>
    </row>
    <row r="1126" spans="12:17" s="1523" customFormat="1">
      <c r="L1126" s="272"/>
      <c r="M1126" s="272"/>
      <c r="N1126" s="272"/>
      <c r="O1126" s="272"/>
      <c r="P1126" s="272"/>
      <c r="Q1126" s="272"/>
    </row>
    <row r="1127" spans="12:17" s="1523" customFormat="1">
      <c r="L1127" s="272"/>
      <c r="M1127" s="272"/>
      <c r="N1127" s="272"/>
      <c r="O1127" s="272"/>
      <c r="P1127" s="272"/>
      <c r="Q1127" s="272"/>
    </row>
    <row r="1128" spans="12:17" s="1523" customFormat="1">
      <c r="L1128" s="272"/>
      <c r="M1128" s="272"/>
      <c r="N1128" s="272"/>
      <c r="O1128" s="272"/>
      <c r="P1128" s="272"/>
      <c r="Q1128" s="272"/>
    </row>
    <row r="1129" spans="12:17" s="1523" customFormat="1">
      <c r="L1129" s="272"/>
      <c r="M1129" s="272"/>
      <c r="N1129" s="272"/>
      <c r="O1129" s="272"/>
      <c r="P1129" s="272"/>
      <c r="Q1129" s="272"/>
    </row>
    <row r="1130" spans="12:17" s="1523" customFormat="1">
      <c r="L1130" s="272"/>
      <c r="M1130" s="272"/>
      <c r="N1130" s="272"/>
      <c r="O1130" s="272"/>
      <c r="P1130" s="272"/>
      <c r="Q1130" s="272"/>
    </row>
    <row r="1131" spans="12:17" s="1523" customFormat="1">
      <c r="L1131" s="272"/>
      <c r="M1131" s="272"/>
      <c r="N1131" s="272"/>
      <c r="O1131" s="272"/>
      <c r="P1131" s="272"/>
      <c r="Q1131" s="272"/>
    </row>
    <row r="1132" spans="12:17" s="1523" customFormat="1">
      <c r="L1132" s="272"/>
      <c r="M1132" s="272"/>
      <c r="N1132" s="272"/>
      <c r="O1132" s="272"/>
      <c r="P1132" s="272"/>
      <c r="Q1132" s="272"/>
    </row>
    <row r="1133" spans="12:17" s="1523" customFormat="1">
      <c r="L1133" s="272"/>
      <c r="M1133" s="272"/>
      <c r="N1133" s="272"/>
      <c r="O1133" s="272"/>
      <c r="P1133" s="272"/>
      <c r="Q1133" s="272"/>
    </row>
    <row r="1134" spans="12:17" s="1523" customFormat="1">
      <c r="L1134" s="272"/>
      <c r="M1134" s="272"/>
      <c r="N1134" s="272"/>
      <c r="O1134" s="272"/>
      <c r="P1134" s="272"/>
      <c r="Q1134" s="272"/>
    </row>
    <row r="1135" spans="12:17" s="1523" customFormat="1">
      <c r="L1135" s="272"/>
      <c r="M1135" s="272"/>
      <c r="N1135" s="272"/>
      <c r="O1135" s="272"/>
      <c r="P1135" s="272"/>
      <c r="Q1135" s="272"/>
    </row>
    <row r="1136" spans="12:17" s="1523" customFormat="1">
      <c r="L1136" s="272"/>
      <c r="M1136" s="272"/>
      <c r="N1136" s="272"/>
      <c r="O1136" s="272"/>
      <c r="P1136" s="272"/>
      <c r="Q1136" s="272"/>
    </row>
    <row r="1137" spans="12:17" s="1523" customFormat="1">
      <c r="L1137" s="272"/>
      <c r="M1137" s="272"/>
      <c r="N1137" s="272"/>
      <c r="O1137" s="272"/>
      <c r="P1137" s="272"/>
      <c r="Q1137" s="272"/>
    </row>
    <row r="1138" spans="12:17" s="1523" customFormat="1">
      <c r="L1138" s="272"/>
      <c r="M1138" s="272"/>
      <c r="N1138" s="272"/>
      <c r="O1138" s="272"/>
      <c r="P1138" s="272"/>
      <c r="Q1138" s="272"/>
    </row>
    <row r="1139" spans="12:17" s="1523" customFormat="1">
      <c r="L1139" s="272"/>
      <c r="M1139" s="272"/>
      <c r="N1139" s="272"/>
      <c r="O1139" s="272"/>
      <c r="P1139" s="272"/>
      <c r="Q1139" s="272"/>
    </row>
    <row r="1140" spans="12:17" s="1523" customFormat="1">
      <c r="L1140" s="272"/>
      <c r="M1140" s="272"/>
      <c r="N1140" s="272"/>
      <c r="O1140" s="272"/>
      <c r="P1140" s="272"/>
      <c r="Q1140" s="272"/>
    </row>
    <row r="1141" spans="12:17" s="1523" customFormat="1">
      <c r="L1141" s="272"/>
      <c r="M1141" s="272"/>
      <c r="N1141" s="272"/>
      <c r="O1141" s="272"/>
      <c r="P1141" s="272"/>
      <c r="Q1141" s="272"/>
    </row>
    <row r="1142" spans="12:17" s="1523" customFormat="1">
      <c r="L1142" s="272"/>
      <c r="M1142" s="272"/>
      <c r="N1142" s="272"/>
      <c r="O1142" s="272"/>
      <c r="P1142" s="272"/>
      <c r="Q1142" s="272"/>
    </row>
    <row r="1143" spans="12:17" s="1523" customFormat="1">
      <c r="L1143" s="272"/>
      <c r="M1143" s="272"/>
      <c r="N1143" s="272"/>
      <c r="O1143" s="272"/>
      <c r="P1143" s="272"/>
      <c r="Q1143" s="272"/>
    </row>
    <row r="1144" spans="12:17" s="1523" customFormat="1">
      <c r="L1144" s="272"/>
      <c r="M1144" s="272"/>
      <c r="N1144" s="272"/>
      <c r="O1144" s="272"/>
      <c r="P1144" s="272"/>
      <c r="Q1144" s="272"/>
    </row>
    <row r="1145" spans="12:17" s="1523" customFormat="1">
      <c r="L1145" s="272"/>
      <c r="M1145" s="272"/>
      <c r="N1145" s="272"/>
      <c r="O1145" s="272"/>
      <c r="P1145" s="272"/>
      <c r="Q1145" s="272"/>
    </row>
    <row r="1146" spans="12:17" s="1523" customFormat="1">
      <c r="L1146" s="272"/>
      <c r="M1146" s="272"/>
      <c r="N1146" s="272"/>
      <c r="O1146" s="272"/>
      <c r="P1146" s="272"/>
      <c r="Q1146" s="272"/>
    </row>
    <row r="1147" spans="12:17" s="1523" customFormat="1">
      <c r="L1147" s="272"/>
      <c r="M1147" s="272"/>
      <c r="N1147" s="272"/>
      <c r="O1147" s="272"/>
      <c r="P1147" s="272"/>
      <c r="Q1147" s="272"/>
    </row>
    <row r="1148" spans="12:17" s="1523" customFormat="1">
      <c r="L1148" s="272"/>
      <c r="M1148" s="272"/>
      <c r="N1148" s="272"/>
      <c r="O1148" s="272"/>
      <c r="P1148" s="272"/>
      <c r="Q1148" s="272"/>
    </row>
    <row r="1149" spans="12:17" s="1523" customFormat="1">
      <c r="L1149" s="272"/>
      <c r="M1149" s="272"/>
      <c r="N1149" s="272"/>
      <c r="O1149" s="272"/>
      <c r="P1149" s="272"/>
      <c r="Q1149" s="272"/>
    </row>
    <row r="1150" spans="12:17" s="1523" customFormat="1">
      <c r="L1150" s="272"/>
      <c r="M1150" s="272"/>
      <c r="N1150" s="272"/>
      <c r="O1150" s="272"/>
      <c r="P1150" s="272"/>
      <c r="Q1150" s="272"/>
    </row>
    <row r="1151" spans="12:17" s="1523" customFormat="1">
      <c r="L1151" s="272"/>
      <c r="M1151" s="272"/>
      <c r="N1151" s="272"/>
      <c r="O1151" s="272"/>
      <c r="P1151" s="272"/>
      <c r="Q1151" s="272"/>
    </row>
    <row r="1152" spans="12:17" s="1523" customFormat="1">
      <c r="L1152" s="272"/>
      <c r="M1152" s="272"/>
      <c r="N1152" s="272"/>
      <c r="O1152" s="272"/>
      <c r="P1152" s="272"/>
      <c r="Q1152" s="272"/>
    </row>
    <row r="1153" spans="12:17" s="1523" customFormat="1">
      <c r="L1153" s="272"/>
      <c r="M1153" s="272"/>
      <c r="N1153" s="272"/>
      <c r="O1153" s="272"/>
      <c r="P1153" s="272"/>
      <c r="Q1153" s="272"/>
    </row>
    <row r="1154" spans="12:17" s="1523" customFormat="1">
      <c r="L1154" s="272"/>
      <c r="M1154" s="272"/>
      <c r="N1154" s="272"/>
      <c r="O1154" s="272"/>
      <c r="P1154" s="272"/>
      <c r="Q1154" s="272"/>
    </row>
    <row r="1155" spans="12:17" s="1523" customFormat="1">
      <c r="L1155" s="272"/>
      <c r="M1155" s="272"/>
      <c r="N1155" s="272"/>
      <c r="O1155" s="272"/>
      <c r="P1155" s="272"/>
      <c r="Q1155" s="272"/>
    </row>
    <row r="1156" spans="12:17" s="1523" customFormat="1">
      <c r="L1156" s="272"/>
      <c r="M1156" s="272"/>
      <c r="N1156" s="272"/>
      <c r="O1156" s="272"/>
      <c r="P1156" s="272"/>
      <c r="Q1156" s="272"/>
    </row>
    <row r="1157" spans="12:17" s="1523" customFormat="1">
      <c r="L1157" s="272"/>
      <c r="M1157" s="272"/>
      <c r="N1157" s="272"/>
      <c r="O1157" s="272"/>
      <c r="P1157" s="272"/>
      <c r="Q1157" s="272"/>
    </row>
    <row r="1158" spans="12:17" s="1523" customFormat="1">
      <c r="L1158" s="272"/>
      <c r="M1158" s="272"/>
      <c r="N1158" s="272"/>
      <c r="O1158" s="272"/>
      <c r="P1158" s="272"/>
      <c r="Q1158" s="272"/>
    </row>
    <row r="1159" spans="12:17" s="1523" customFormat="1">
      <c r="L1159" s="272"/>
      <c r="M1159" s="272"/>
      <c r="N1159" s="272"/>
      <c r="O1159" s="272"/>
      <c r="P1159" s="272"/>
      <c r="Q1159" s="272"/>
    </row>
    <row r="1160" spans="12:17" s="1523" customFormat="1">
      <c r="L1160" s="272"/>
      <c r="M1160" s="272"/>
      <c r="N1160" s="272"/>
      <c r="O1160" s="272"/>
      <c r="P1160" s="272"/>
      <c r="Q1160" s="272"/>
    </row>
    <row r="1161" spans="12:17" s="1523" customFormat="1">
      <c r="L1161" s="272"/>
      <c r="M1161" s="272"/>
      <c r="N1161" s="272"/>
      <c r="O1161" s="272"/>
      <c r="P1161" s="272"/>
      <c r="Q1161" s="272"/>
    </row>
    <row r="1162" spans="12:17" s="1523" customFormat="1">
      <c r="L1162" s="272"/>
      <c r="M1162" s="272"/>
      <c r="N1162" s="272"/>
      <c r="O1162" s="272"/>
      <c r="P1162" s="272"/>
      <c r="Q1162" s="272"/>
    </row>
    <row r="1163" spans="12:17" s="1523" customFormat="1">
      <c r="L1163" s="272"/>
      <c r="M1163" s="272"/>
      <c r="N1163" s="272"/>
      <c r="O1163" s="272"/>
      <c r="P1163" s="272"/>
      <c r="Q1163" s="272"/>
    </row>
    <row r="1164" spans="12:17" s="1523" customFormat="1">
      <c r="L1164" s="272"/>
      <c r="M1164" s="272"/>
      <c r="N1164" s="272"/>
      <c r="O1164" s="272"/>
      <c r="P1164" s="272"/>
      <c r="Q1164" s="272"/>
    </row>
    <row r="1165" spans="12:17" s="1523" customFormat="1">
      <c r="L1165" s="272"/>
      <c r="M1165" s="272"/>
      <c r="N1165" s="272"/>
      <c r="O1165" s="272"/>
      <c r="P1165" s="272"/>
      <c r="Q1165" s="272"/>
    </row>
    <row r="1166" spans="12:17" s="1523" customFormat="1">
      <c r="L1166" s="272"/>
      <c r="M1166" s="272"/>
      <c r="N1166" s="272"/>
      <c r="O1166" s="272"/>
      <c r="P1166" s="272"/>
      <c r="Q1166" s="272"/>
    </row>
    <row r="1167" spans="12:17" s="1523" customFormat="1">
      <c r="L1167" s="272"/>
      <c r="M1167" s="272"/>
      <c r="N1167" s="272"/>
      <c r="O1167" s="272"/>
      <c r="P1167" s="272"/>
      <c r="Q1167" s="272"/>
    </row>
    <row r="1168" spans="12:17" s="1523" customFormat="1">
      <c r="L1168" s="272"/>
      <c r="M1168" s="272"/>
      <c r="N1168" s="272"/>
      <c r="O1168" s="272"/>
      <c r="P1168" s="272"/>
      <c r="Q1168" s="272"/>
    </row>
    <row r="1169" spans="12:17" s="1523" customFormat="1">
      <c r="L1169" s="272"/>
      <c r="M1169" s="272"/>
      <c r="N1169" s="272"/>
      <c r="O1169" s="272"/>
      <c r="P1169" s="272"/>
      <c r="Q1169" s="272"/>
    </row>
    <row r="1170" spans="12:17" s="1523" customFormat="1">
      <c r="L1170" s="272"/>
      <c r="M1170" s="272"/>
      <c r="N1170" s="272"/>
      <c r="O1170" s="272"/>
      <c r="P1170" s="272"/>
      <c r="Q1170" s="272"/>
    </row>
    <row r="1171" spans="12:17" s="1523" customFormat="1">
      <c r="L1171" s="272"/>
      <c r="M1171" s="272"/>
      <c r="N1171" s="272"/>
      <c r="O1171" s="272"/>
      <c r="P1171" s="272"/>
      <c r="Q1171" s="272"/>
    </row>
    <row r="1172" spans="12:17" s="1523" customFormat="1">
      <c r="L1172" s="272"/>
      <c r="M1172" s="272"/>
      <c r="N1172" s="272"/>
      <c r="O1172" s="272"/>
      <c r="P1172" s="272"/>
      <c r="Q1172" s="272"/>
    </row>
    <row r="1173" spans="12:17" s="1523" customFormat="1">
      <c r="L1173" s="272"/>
      <c r="M1173" s="272"/>
      <c r="N1173" s="272"/>
      <c r="O1173" s="272"/>
      <c r="P1173" s="272"/>
      <c r="Q1173" s="272"/>
    </row>
    <row r="1174" spans="12:17" s="1523" customFormat="1">
      <c r="L1174" s="272"/>
      <c r="M1174" s="272"/>
      <c r="N1174" s="272"/>
      <c r="O1174" s="272"/>
      <c r="P1174" s="272"/>
      <c r="Q1174" s="272"/>
    </row>
    <row r="1175" spans="12:17" s="1523" customFormat="1">
      <c r="L1175" s="272"/>
      <c r="M1175" s="272"/>
      <c r="N1175" s="272"/>
      <c r="O1175" s="272"/>
      <c r="P1175" s="272"/>
      <c r="Q1175" s="272"/>
    </row>
    <row r="1176" spans="12:17" s="1523" customFormat="1">
      <c r="L1176" s="272"/>
      <c r="M1176" s="272"/>
      <c r="N1176" s="272"/>
      <c r="O1176" s="272"/>
      <c r="P1176" s="272"/>
      <c r="Q1176" s="272"/>
    </row>
    <row r="1177" spans="12:17" s="1523" customFormat="1">
      <c r="L1177" s="272"/>
      <c r="M1177" s="272"/>
      <c r="N1177" s="272"/>
      <c r="O1177" s="272"/>
      <c r="P1177" s="272"/>
      <c r="Q1177" s="272"/>
    </row>
    <row r="1178" spans="12:17" s="1523" customFormat="1">
      <c r="L1178" s="272"/>
      <c r="M1178" s="272"/>
      <c r="N1178" s="272"/>
      <c r="O1178" s="272"/>
      <c r="P1178" s="272"/>
      <c r="Q1178" s="272"/>
    </row>
    <row r="1179" spans="12:17" s="1523" customFormat="1">
      <c r="L1179" s="272"/>
      <c r="M1179" s="272"/>
      <c r="N1179" s="272"/>
      <c r="O1179" s="272"/>
      <c r="P1179" s="272"/>
      <c r="Q1179" s="272"/>
    </row>
    <row r="1180" spans="12:17" s="1523" customFormat="1">
      <c r="L1180" s="272"/>
      <c r="M1180" s="272"/>
      <c r="N1180" s="272"/>
      <c r="O1180" s="272"/>
      <c r="P1180" s="272"/>
      <c r="Q1180" s="272"/>
    </row>
    <row r="1181" spans="12:17" s="1523" customFormat="1">
      <c r="L1181" s="272"/>
      <c r="M1181" s="272"/>
      <c r="N1181" s="272"/>
      <c r="O1181" s="272"/>
      <c r="P1181" s="272"/>
      <c r="Q1181" s="272"/>
    </row>
    <row r="1182" spans="12:17" s="1523" customFormat="1">
      <c r="L1182" s="272"/>
      <c r="M1182" s="272"/>
      <c r="N1182" s="272"/>
      <c r="O1182" s="272"/>
      <c r="P1182" s="272"/>
      <c r="Q1182" s="272"/>
    </row>
    <row r="1183" spans="12:17" s="1523" customFormat="1">
      <c r="L1183" s="272"/>
      <c r="M1183" s="272"/>
      <c r="N1183" s="272"/>
      <c r="O1183" s="272"/>
      <c r="P1183" s="272"/>
      <c r="Q1183" s="272"/>
    </row>
    <row r="1184" spans="12:17" s="1523" customFormat="1">
      <c r="L1184" s="272"/>
      <c r="M1184" s="272"/>
      <c r="N1184" s="272"/>
      <c r="O1184" s="272"/>
      <c r="P1184" s="272"/>
      <c r="Q1184" s="272"/>
    </row>
    <row r="1185" spans="12:17" s="1523" customFormat="1">
      <c r="L1185" s="272"/>
      <c r="M1185" s="272"/>
      <c r="N1185" s="272"/>
      <c r="O1185" s="272"/>
      <c r="P1185" s="272"/>
      <c r="Q1185" s="272"/>
    </row>
    <row r="1186" spans="12:17" s="1523" customFormat="1">
      <c r="L1186" s="272"/>
      <c r="M1186" s="272"/>
      <c r="N1186" s="272"/>
      <c r="O1186" s="272"/>
      <c r="P1186" s="272"/>
      <c r="Q1186" s="272"/>
    </row>
    <row r="1187" spans="12:17" s="1523" customFormat="1">
      <c r="L1187" s="272"/>
      <c r="M1187" s="272"/>
      <c r="N1187" s="272"/>
      <c r="O1187" s="272"/>
      <c r="P1187" s="272"/>
      <c r="Q1187" s="272"/>
    </row>
    <row r="1188" spans="12:17" s="1523" customFormat="1">
      <c r="L1188" s="272"/>
      <c r="M1188" s="272"/>
      <c r="N1188" s="272"/>
      <c r="O1188" s="272"/>
      <c r="P1188" s="272"/>
      <c r="Q1188" s="272"/>
    </row>
    <row r="1189" spans="12:17" s="1523" customFormat="1">
      <c r="L1189" s="272"/>
      <c r="M1189" s="272"/>
      <c r="N1189" s="272"/>
      <c r="O1189" s="272"/>
      <c r="P1189" s="272"/>
      <c r="Q1189" s="272"/>
    </row>
    <row r="1190" spans="12:17" s="1523" customFormat="1">
      <c r="L1190" s="272"/>
      <c r="M1190" s="272"/>
      <c r="N1190" s="272"/>
      <c r="O1190" s="272"/>
      <c r="P1190" s="272"/>
      <c r="Q1190" s="272"/>
    </row>
    <row r="1191" spans="12:17" s="1523" customFormat="1">
      <c r="L1191" s="272"/>
      <c r="M1191" s="272"/>
      <c r="N1191" s="272"/>
      <c r="O1191" s="272"/>
      <c r="P1191" s="272"/>
      <c r="Q1191" s="272"/>
    </row>
    <row r="1192" spans="12:17" s="1523" customFormat="1">
      <c r="L1192" s="272"/>
      <c r="M1192" s="272"/>
      <c r="N1192" s="272"/>
      <c r="O1192" s="272"/>
      <c r="P1192" s="272"/>
      <c r="Q1192" s="272"/>
    </row>
    <row r="1193" spans="12:17" s="1523" customFormat="1">
      <c r="L1193" s="272"/>
      <c r="M1193" s="272"/>
      <c r="N1193" s="272"/>
      <c r="O1193" s="272"/>
      <c r="P1193" s="272"/>
      <c r="Q1193" s="272"/>
    </row>
    <row r="1194" spans="12:17" s="1523" customFormat="1">
      <c r="L1194" s="272"/>
      <c r="M1194" s="272"/>
      <c r="N1194" s="272"/>
      <c r="O1194" s="272"/>
      <c r="P1194" s="272"/>
      <c r="Q1194" s="272"/>
    </row>
    <row r="1195" spans="12:17" s="1523" customFormat="1">
      <c r="L1195" s="272"/>
      <c r="M1195" s="272"/>
      <c r="N1195" s="272"/>
      <c r="O1195" s="272"/>
      <c r="P1195" s="272"/>
      <c r="Q1195" s="272"/>
    </row>
    <row r="1196" spans="12:17" s="1523" customFormat="1">
      <c r="L1196" s="272"/>
      <c r="M1196" s="272"/>
      <c r="N1196" s="272"/>
      <c r="O1196" s="272"/>
      <c r="P1196" s="272"/>
      <c r="Q1196" s="272"/>
    </row>
    <row r="1197" spans="12:17" s="1523" customFormat="1">
      <c r="L1197" s="272"/>
      <c r="M1197" s="272"/>
      <c r="N1197" s="272"/>
      <c r="O1197" s="272"/>
      <c r="P1197" s="272"/>
      <c r="Q1197" s="272"/>
    </row>
    <row r="1198" spans="12:17" s="1523" customFormat="1">
      <c r="L1198" s="272"/>
      <c r="M1198" s="272"/>
      <c r="N1198" s="272"/>
      <c r="O1198" s="272"/>
      <c r="P1198" s="272"/>
      <c r="Q1198" s="272"/>
    </row>
    <row r="1199" spans="12:17" s="1523" customFormat="1">
      <c r="L1199" s="272"/>
      <c r="M1199" s="272"/>
      <c r="N1199" s="272"/>
      <c r="O1199" s="272"/>
      <c r="P1199" s="272"/>
      <c r="Q1199" s="272"/>
    </row>
    <row r="1200" spans="12:17" s="1523" customFormat="1">
      <c r="L1200" s="272"/>
      <c r="M1200" s="272"/>
      <c r="N1200" s="272"/>
      <c r="O1200" s="272"/>
      <c r="P1200" s="272"/>
      <c r="Q1200" s="272"/>
    </row>
    <row r="1201" spans="12:17" s="1523" customFormat="1">
      <c r="L1201" s="272"/>
      <c r="M1201" s="272"/>
      <c r="N1201" s="272"/>
      <c r="O1201" s="272"/>
      <c r="P1201" s="272"/>
      <c r="Q1201" s="272"/>
    </row>
    <row r="1202" spans="12:17" s="1523" customFormat="1">
      <c r="L1202" s="272"/>
      <c r="M1202" s="272"/>
      <c r="N1202" s="272"/>
      <c r="O1202" s="272"/>
      <c r="P1202" s="272"/>
      <c r="Q1202" s="272"/>
    </row>
    <row r="1203" spans="12:17" s="1523" customFormat="1">
      <c r="L1203" s="272"/>
      <c r="M1203" s="272"/>
      <c r="N1203" s="272"/>
      <c r="O1203" s="272"/>
      <c r="P1203" s="272"/>
      <c r="Q1203" s="272"/>
    </row>
    <row r="1204" spans="12:17" s="1523" customFormat="1">
      <c r="L1204" s="272"/>
      <c r="M1204" s="272"/>
      <c r="N1204" s="272"/>
      <c r="O1204" s="272"/>
      <c r="P1204" s="272"/>
      <c r="Q1204" s="272"/>
    </row>
    <row r="1205" spans="12:17" s="1523" customFormat="1">
      <c r="L1205" s="272"/>
      <c r="M1205" s="272"/>
      <c r="N1205" s="272"/>
      <c r="O1205" s="272"/>
      <c r="P1205" s="272"/>
      <c r="Q1205" s="272"/>
    </row>
    <row r="1206" spans="12:17" s="1523" customFormat="1">
      <c r="L1206" s="272"/>
      <c r="M1206" s="272"/>
      <c r="N1206" s="272"/>
      <c r="O1206" s="272"/>
      <c r="P1206" s="272"/>
      <c r="Q1206" s="272"/>
    </row>
    <row r="1207" spans="12:17" s="1523" customFormat="1">
      <c r="L1207" s="272"/>
      <c r="M1207" s="272"/>
      <c r="N1207" s="272"/>
      <c r="O1207" s="272"/>
      <c r="P1207" s="272"/>
      <c r="Q1207" s="272"/>
    </row>
    <row r="1208" spans="12:17" s="1523" customFormat="1">
      <c r="L1208" s="272"/>
      <c r="M1208" s="272"/>
      <c r="N1208" s="272"/>
      <c r="O1208" s="272"/>
      <c r="P1208" s="272"/>
      <c r="Q1208" s="272"/>
    </row>
    <row r="1209" spans="12:17" s="1523" customFormat="1">
      <c r="L1209" s="272"/>
      <c r="M1209" s="272"/>
      <c r="N1209" s="272"/>
      <c r="O1209" s="272"/>
      <c r="P1209" s="272"/>
      <c r="Q1209" s="272"/>
    </row>
    <row r="1210" spans="12:17" s="1523" customFormat="1">
      <c r="L1210" s="272"/>
      <c r="M1210" s="272"/>
      <c r="N1210" s="272"/>
      <c r="O1210" s="272"/>
      <c r="P1210" s="272"/>
      <c r="Q1210" s="272"/>
    </row>
    <row r="1211" spans="12:17" s="1523" customFormat="1">
      <c r="L1211" s="272"/>
      <c r="M1211" s="272"/>
      <c r="N1211" s="272"/>
      <c r="O1211" s="272"/>
      <c r="P1211" s="272"/>
      <c r="Q1211" s="272"/>
    </row>
    <row r="1212" spans="12:17" s="1523" customFormat="1">
      <c r="L1212" s="272"/>
      <c r="M1212" s="272"/>
      <c r="N1212" s="272"/>
      <c r="O1212" s="272"/>
      <c r="P1212" s="272"/>
      <c r="Q1212" s="272"/>
    </row>
    <row r="1213" spans="12:17" s="1523" customFormat="1">
      <c r="L1213" s="272"/>
      <c r="M1213" s="272"/>
      <c r="N1213" s="272"/>
      <c r="O1213" s="272"/>
      <c r="P1213" s="272"/>
      <c r="Q1213" s="272"/>
    </row>
    <row r="1214" spans="12:17" s="1523" customFormat="1">
      <c r="L1214" s="272"/>
      <c r="M1214" s="272"/>
      <c r="N1214" s="272"/>
      <c r="O1214" s="272"/>
      <c r="P1214" s="272"/>
      <c r="Q1214" s="272"/>
    </row>
    <row r="1215" spans="12:17" s="1523" customFormat="1">
      <c r="L1215" s="272"/>
      <c r="M1215" s="272"/>
      <c r="N1215" s="272"/>
      <c r="O1215" s="272"/>
      <c r="P1215" s="272"/>
      <c r="Q1215" s="272"/>
    </row>
    <row r="1216" spans="12:17" s="1523" customFormat="1">
      <c r="L1216" s="272"/>
      <c r="M1216" s="272"/>
      <c r="N1216" s="272"/>
      <c r="O1216" s="272"/>
      <c r="P1216" s="272"/>
      <c r="Q1216" s="272"/>
    </row>
    <row r="1217" spans="12:17" s="1523" customFormat="1">
      <c r="L1217" s="272"/>
      <c r="M1217" s="272"/>
      <c r="N1217" s="272"/>
      <c r="O1217" s="272"/>
      <c r="P1217" s="272"/>
      <c r="Q1217" s="272"/>
    </row>
    <row r="1218" spans="12:17" s="1523" customFormat="1">
      <c r="L1218" s="272"/>
      <c r="M1218" s="272"/>
      <c r="N1218" s="272"/>
      <c r="O1218" s="272"/>
      <c r="P1218" s="272"/>
      <c r="Q1218" s="272"/>
    </row>
    <row r="1219" spans="12:17" s="1523" customFormat="1">
      <c r="L1219" s="272"/>
      <c r="M1219" s="272"/>
      <c r="N1219" s="272"/>
      <c r="O1219" s="272"/>
      <c r="P1219" s="272"/>
      <c r="Q1219" s="272"/>
    </row>
    <row r="1220" spans="12:17" s="1523" customFormat="1">
      <c r="L1220" s="272"/>
      <c r="M1220" s="272"/>
      <c r="N1220" s="272"/>
      <c r="O1220" s="272"/>
      <c r="P1220" s="272"/>
      <c r="Q1220" s="272"/>
    </row>
    <row r="1221" spans="12:17" s="1523" customFormat="1">
      <c r="L1221" s="272"/>
      <c r="M1221" s="272"/>
      <c r="N1221" s="272"/>
      <c r="O1221" s="272"/>
      <c r="P1221" s="272"/>
      <c r="Q1221" s="272"/>
    </row>
    <row r="1222" spans="12:17" s="1523" customFormat="1">
      <c r="L1222" s="272"/>
      <c r="M1222" s="272"/>
      <c r="N1222" s="272"/>
      <c r="O1222" s="272"/>
      <c r="P1222" s="272"/>
      <c r="Q1222" s="272"/>
    </row>
    <row r="1223" spans="12:17" s="1523" customFormat="1">
      <c r="L1223" s="272"/>
      <c r="M1223" s="272"/>
      <c r="N1223" s="272"/>
      <c r="O1223" s="272"/>
      <c r="P1223" s="272"/>
      <c r="Q1223" s="272"/>
    </row>
    <row r="1224" spans="12:17" s="1523" customFormat="1">
      <c r="L1224" s="272"/>
      <c r="M1224" s="272"/>
      <c r="N1224" s="272"/>
      <c r="O1224" s="272"/>
      <c r="P1224" s="272"/>
      <c r="Q1224" s="272"/>
    </row>
    <row r="1225" spans="12:17" s="1523" customFormat="1">
      <c r="L1225" s="272"/>
      <c r="M1225" s="272"/>
      <c r="N1225" s="272"/>
      <c r="O1225" s="272"/>
      <c r="P1225" s="272"/>
      <c r="Q1225" s="272"/>
    </row>
    <row r="1226" spans="12:17" s="1523" customFormat="1">
      <c r="L1226" s="272"/>
      <c r="M1226" s="272"/>
      <c r="N1226" s="272"/>
      <c r="O1226" s="272"/>
      <c r="P1226" s="272"/>
      <c r="Q1226" s="272"/>
    </row>
    <row r="1227" spans="12:17" s="1523" customFormat="1">
      <c r="L1227" s="272"/>
      <c r="M1227" s="272"/>
      <c r="N1227" s="272"/>
      <c r="O1227" s="272"/>
      <c r="P1227" s="272"/>
      <c r="Q1227" s="272"/>
    </row>
    <row r="1228" spans="12:17" s="1523" customFormat="1">
      <c r="L1228" s="272"/>
      <c r="M1228" s="272"/>
      <c r="N1228" s="272"/>
      <c r="O1228" s="272"/>
      <c r="P1228" s="272"/>
      <c r="Q1228" s="272"/>
    </row>
    <row r="1229" spans="12:17" s="1523" customFormat="1">
      <c r="L1229" s="272"/>
      <c r="M1229" s="272"/>
      <c r="N1229" s="272"/>
      <c r="O1229" s="272"/>
      <c r="P1229" s="272"/>
      <c r="Q1229" s="272"/>
    </row>
    <row r="1230" spans="12:17" s="1523" customFormat="1">
      <c r="L1230" s="272"/>
      <c r="M1230" s="272"/>
      <c r="N1230" s="272"/>
      <c r="O1230" s="272"/>
      <c r="P1230" s="272"/>
      <c r="Q1230" s="272"/>
    </row>
    <row r="1231" spans="12:17" s="1523" customFormat="1">
      <c r="L1231" s="272"/>
      <c r="M1231" s="272"/>
      <c r="N1231" s="272"/>
      <c r="O1231" s="272"/>
      <c r="P1231" s="272"/>
      <c r="Q1231" s="272"/>
    </row>
    <row r="1232" spans="12:17" s="1523" customFormat="1">
      <c r="L1232" s="272"/>
      <c r="M1232" s="272"/>
      <c r="N1232" s="272"/>
      <c r="O1232" s="272"/>
      <c r="P1232" s="272"/>
      <c r="Q1232" s="272"/>
    </row>
    <row r="1233" spans="12:17" s="1523" customFormat="1">
      <c r="L1233" s="272"/>
      <c r="M1233" s="272"/>
      <c r="N1233" s="272"/>
      <c r="O1233" s="272"/>
      <c r="P1233" s="272"/>
      <c r="Q1233" s="272"/>
    </row>
    <row r="1234" spans="12:17" s="1523" customFormat="1">
      <c r="L1234" s="272"/>
      <c r="M1234" s="272"/>
      <c r="N1234" s="272"/>
      <c r="O1234" s="272"/>
      <c r="P1234" s="272"/>
      <c r="Q1234" s="272"/>
    </row>
    <row r="1235" spans="12:17" s="1523" customFormat="1">
      <c r="L1235" s="272"/>
      <c r="M1235" s="272"/>
      <c r="N1235" s="272"/>
      <c r="O1235" s="272"/>
      <c r="P1235" s="272"/>
      <c r="Q1235" s="272"/>
    </row>
    <row r="1236" spans="12:17" s="1523" customFormat="1">
      <c r="L1236" s="272"/>
      <c r="M1236" s="272"/>
      <c r="N1236" s="272"/>
      <c r="O1236" s="272"/>
      <c r="P1236" s="272"/>
      <c r="Q1236" s="272"/>
    </row>
    <row r="1237" spans="12:17" s="1523" customFormat="1">
      <c r="L1237" s="272"/>
      <c r="M1237" s="272"/>
      <c r="N1237" s="272"/>
      <c r="O1237" s="272"/>
      <c r="P1237" s="272"/>
      <c r="Q1237" s="272"/>
    </row>
    <row r="1238" spans="12:17" s="1523" customFormat="1">
      <c r="L1238" s="272"/>
      <c r="M1238" s="272"/>
      <c r="N1238" s="272"/>
      <c r="O1238" s="272"/>
      <c r="P1238" s="272"/>
      <c r="Q1238" s="272"/>
    </row>
    <row r="1239" spans="12:17" s="1523" customFormat="1">
      <c r="L1239" s="272"/>
      <c r="M1239" s="272"/>
      <c r="N1239" s="272"/>
      <c r="O1239" s="272"/>
      <c r="P1239" s="272"/>
      <c r="Q1239" s="272"/>
    </row>
    <row r="1240" spans="12:17" s="1523" customFormat="1">
      <c r="L1240" s="272"/>
      <c r="M1240" s="272"/>
      <c r="N1240" s="272"/>
      <c r="O1240" s="272"/>
      <c r="P1240" s="272"/>
      <c r="Q1240" s="272"/>
    </row>
    <row r="1241" spans="12:17" s="1523" customFormat="1">
      <c r="L1241" s="272"/>
      <c r="M1241" s="272"/>
      <c r="N1241" s="272"/>
      <c r="O1241" s="272"/>
      <c r="P1241" s="272"/>
      <c r="Q1241" s="272"/>
    </row>
    <row r="1242" spans="12:17" s="1523" customFormat="1">
      <c r="L1242" s="272"/>
      <c r="M1242" s="272"/>
      <c r="N1242" s="272"/>
      <c r="O1242" s="272"/>
      <c r="P1242" s="272"/>
      <c r="Q1242" s="272"/>
    </row>
    <row r="1243" spans="12:17" s="1523" customFormat="1">
      <c r="L1243" s="272"/>
      <c r="M1243" s="272"/>
      <c r="N1243" s="272"/>
      <c r="O1243" s="272"/>
      <c r="P1243" s="272"/>
      <c r="Q1243" s="272"/>
    </row>
    <row r="1244" spans="12:17" s="1523" customFormat="1">
      <c r="L1244" s="272"/>
      <c r="M1244" s="272"/>
      <c r="N1244" s="272"/>
      <c r="O1244" s="272"/>
      <c r="P1244" s="272"/>
      <c r="Q1244" s="272"/>
    </row>
    <row r="1245" spans="12:17" s="1523" customFormat="1">
      <c r="L1245" s="272"/>
      <c r="M1245" s="272"/>
      <c r="N1245" s="272"/>
      <c r="O1245" s="272"/>
      <c r="P1245" s="272"/>
      <c r="Q1245" s="272"/>
    </row>
    <row r="1246" spans="12:17" s="1523" customFormat="1">
      <c r="L1246" s="272"/>
      <c r="M1246" s="272"/>
      <c r="N1246" s="272"/>
      <c r="O1246" s="272"/>
      <c r="P1246" s="272"/>
      <c r="Q1246" s="272"/>
    </row>
    <row r="1247" spans="12:17" s="1523" customFormat="1">
      <c r="L1247" s="272"/>
      <c r="M1247" s="272"/>
      <c r="N1247" s="272"/>
      <c r="O1247" s="272"/>
      <c r="P1247" s="272"/>
      <c r="Q1247" s="272"/>
    </row>
    <row r="1248" spans="12:17" s="1523" customFormat="1">
      <c r="L1248" s="272"/>
      <c r="M1248" s="272"/>
      <c r="N1248" s="272"/>
      <c r="O1248" s="272"/>
      <c r="P1248" s="272"/>
      <c r="Q1248" s="272"/>
    </row>
    <row r="1249" spans="12:17" s="1523" customFormat="1">
      <c r="L1249" s="272"/>
      <c r="M1249" s="272"/>
      <c r="N1249" s="272"/>
      <c r="O1249" s="272"/>
      <c r="P1249" s="272"/>
      <c r="Q1249" s="272"/>
    </row>
    <row r="1250" spans="12:17" s="1523" customFormat="1">
      <c r="L1250" s="272"/>
      <c r="M1250" s="272"/>
      <c r="N1250" s="272"/>
      <c r="O1250" s="272"/>
      <c r="P1250" s="272"/>
      <c r="Q1250" s="272"/>
    </row>
    <row r="1251" spans="12:17" s="1523" customFormat="1">
      <c r="L1251" s="272"/>
      <c r="M1251" s="272"/>
      <c r="N1251" s="272"/>
      <c r="O1251" s="272"/>
      <c r="P1251" s="272"/>
      <c r="Q1251" s="272"/>
    </row>
    <row r="1252" spans="12:17" s="1523" customFormat="1">
      <c r="L1252" s="272"/>
      <c r="M1252" s="272"/>
      <c r="N1252" s="272"/>
      <c r="O1252" s="272"/>
      <c r="P1252" s="272"/>
      <c r="Q1252" s="272"/>
    </row>
    <row r="1253" spans="12:17" s="1523" customFormat="1">
      <c r="L1253" s="272"/>
      <c r="M1253" s="272"/>
      <c r="N1253" s="272"/>
      <c r="O1253" s="272"/>
      <c r="P1253" s="272"/>
      <c r="Q1253" s="272"/>
    </row>
    <row r="1254" spans="12:17" s="1523" customFormat="1">
      <c r="L1254" s="272"/>
      <c r="M1254" s="272"/>
      <c r="N1254" s="272"/>
      <c r="O1254" s="272"/>
      <c r="P1254" s="272"/>
      <c r="Q1254" s="272"/>
    </row>
    <row r="1255" spans="12:17" s="1523" customFormat="1">
      <c r="L1255" s="272"/>
      <c r="M1255" s="272"/>
      <c r="N1255" s="272"/>
      <c r="O1255" s="272"/>
      <c r="P1255" s="272"/>
      <c r="Q1255" s="272"/>
    </row>
    <row r="1256" spans="12:17" s="1523" customFormat="1">
      <c r="L1256" s="272"/>
      <c r="M1256" s="272"/>
      <c r="N1256" s="272"/>
      <c r="O1256" s="272"/>
      <c r="P1256" s="272"/>
      <c r="Q1256" s="272"/>
    </row>
    <row r="1257" spans="12:17" s="1523" customFormat="1">
      <c r="L1257" s="272"/>
      <c r="M1257" s="272"/>
      <c r="N1257" s="272"/>
      <c r="O1257" s="272"/>
      <c r="P1257" s="272"/>
      <c r="Q1257" s="272"/>
    </row>
    <row r="1258" spans="12:17" s="1523" customFormat="1">
      <c r="L1258" s="272"/>
      <c r="M1258" s="272"/>
      <c r="N1258" s="272"/>
      <c r="O1258" s="272"/>
      <c r="P1258" s="272"/>
      <c r="Q1258" s="272"/>
    </row>
    <row r="1259" spans="12:17" s="1523" customFormat="1">
      <c r="L1259" s="272"/>
      <c r="M1259" s="272"/>
      <c r="N1259" s="272"/>
      <c r="O1259" s="272"/>
      <c r="P1259" s="272"/>
      <c r="Q1259" s="272"/>
    </row>
    <row r="1260" spans="12:17" s="1523" customFormat="1">
      <c r="L1260" s="272"/>
      <c r="M1260" s="272"/>
      <c r="N1260" s="272"/>
      <c r="O1260" s="272"/>
      <c r="P1260" s="272"/>
      <c r="Q1260" s="272"/>
    </row>
    <row r="1261" spans="12:17" s="1523" customFormat="1">
      <c r="L1261" s="272"/>
      <c r="M1261" s="272"/>
      <c r="N1261" s="272"/>
      <c r="O1261" s="272"/>
      <c r="P1261" s="272"/>
      <c r="Q1261" s="272"/>
    </row>
    <row r="1262" spans="12:17" s="1523" customFormat="1">
      <c r="L1262" s="272"/>
      <c r="M1262" s="272"/>
      <c r="N1262" s="272"/>
      <c r="O1262" s="272"/>
      <c r="P1262" s="272"/>
      <c r="Q1262" s="272"/>
    </row>
    <row r="1263" spans="12:17" s="1523" customFormat="1">
      <c r="L1263" s="272"/>
      <c r="M1263" s="272"/>
      <c r="N1263" s="272"/>
      <c r="O1263" s="272"/>
      <c r="P1263" s="272"/>
      <c r="Q1263" s="272"/>
    </row>
    <row r="1264" spans="12:17" s="1523" customFormat="1">
      <c r="L1264" s="272"/>
      <c r="M1264" s="272"/>
      <c r="N1264" s="272"/>
      <c r="O1264" s="272"/>
      <c r="P1264" s="272"/>
      <c r="Q1264" s="272"/>
    </row>
    <row r="1265" spans="12:17" s="1523" customFormat="1">
      <c r="L1265" s="272"/>
      <c r="M1265" s="272"/>
      <c r="N1265" s="272"/>
      <c r="O1265" s="272"/>
      <c r="P1265" s="272"/>
      <c r="Q1265" s="272"/>
    </row>
    <row r="1266" spans="12:17" s="1523" customFormat="1">
      <c r="L1266" s="272"/>
      <c r="M1266" s="272"/>
      <c r="N1266" s="272"/>
      <c r="O1266" s="272"/>
      <c r="P1266" s="272"/>
      <c r="Q1266" s="272"/>
    </row>
    <row r="1267" spans="12:17" s="1523" customFormat="1">
      <c r="L1267" s="272"/>
      <c r="M1267" s="272"/>
      <c r="N1267" s="272"/>
      <c r="O1267" s="272"/>
      <c r="P1267" s="272"/>
      <c r="Q1267" s="272"/>
    </row>
    <row r="1268" spans="12:17" s="1523" customFormat="1">
      <c r="L1268" s="272"/>
      <c r="M1268" s="272"/>
      <c r="N1268" s="272"/>
      <c r="O1268" s="272"/>
      <c r="P1268" s="272"/>
      <c r="Q1268" s="272"/>
    </row>
    <row r="1269" spans="12:17" s="1523" customFormat="1">
      <c r="L1269" s="272"/>
      <c r="M1269" s="272"/>
      <c r="N1269" s="272"/>
      <c r="O1269" s="272"/>
      <c r="P1269" s="272"/>
      <c r="Q1269" s="272"/>
    </row>
    <row r="1270" spans="12:17" s="1523" customFormat="1">
      <c r="L1270" s="272"/>
      <c r="M1270" s="272"/>
      <c r="N1270" s="272"/>
      <c r="O1270" s="272"/>
      <c r="P1270" s="272"/>
      <c r="Q1270" s="272"/>
    </row>
    <row r="1271" spans="12:17" s="1523" customFormat="1">
      <c r="L1271" s="272"/>
      <c r="M1271" s="272"/>
      <c r="N1271" s="272"/>
      <c r="O1271" s="272"/>
      <c r="P1271" s="272"/>
      <c r="Q1271" s="272"/>
    </row>
    <row r="1272" spans="12:17" s="1523" customFormat="1">
      <c r="L1272" s="272"/>
      <c r="M1272" s="272"/>
      <c r="N1272" s="272"/>
      <c r="O1272" s="272"/>
      <c r="P1272" s="272"/>
      <c r="Q1272" s="272"/>
    </row>
    <row r="1273" spans="12:17" s="1523" customFormat="1">
      <c r="L1273" s="272"/>
      <c r="M1273" s="272"/>
      <c r="N1273" s="272"/>
      <c r="O1273" s="272"/>
      <c r="P1273" s="272"/>
      <c r="Q1273" s="272"/>
    </row>
    <row r="1274" spans="12:17" s="1523" customFormat="1">
      <c r="L1274" s="272"/>
      <c r="M1274" s="272"/>
      <c r="N1274" s="272"/>
      <c r="O1274" s="272"/>
      <c r="P1274" s="272"/>
      <c r="Q1274" s="272"/>
    </row>
    <row r="1275" spans="12:17" s="1523" customFormat="1">
      <c r="L1275" s="272"/>
      <c r="M1275" s="272"/>
      <c r="N1275" s="272"/>
      <c r="O1275" s="272"/>
      <c r="P1275" s="272"/>
      <c r="Q1275" s="272"/>
    </row>
    <row r="1276" spans="12:17" s="1523" customFormat="1">
      <c r="L1276" s="272"/>
      <c r="M1276" s="272"/>
      <c r="N1276" s="272"/>
      <c r="O1276" s="272"/>
      <c r="P1276" s="272"/>
      <c r="Q1276" s="272"/>
    </row>
    <row r="1277" spans="12:17" s="1523" customFormat="1">
      <c r="L1277" s="272"/>
      <c r="M1277" s="272"/>
      <c r="N1277" s="272"/>
      <c r="O1277" s="272"/>
      <c r="P1277" s="272"/>
      <c r="Q1277" s="272"/>
    </row>
    <row r="1278" spans="12:17" s="1523" customFormat="1">
      <c r="L1278" s="272"/>
      <c r="M1278" s="272"/>
      <c r="N1278" s="272"/>
      <c r="O1278" s="272"/>
      <c r="P1278" s="272"/>
      <c r="Q1278" s="272"/>
    </row>
    <row r="1279" spans="12:17" s="1523" customFormat="1">
      <c r="L1279" s="272"/>
      <c r="M1279" s="272"/>
      <c r="N1279" s="272"/>
      <c r="O1279" s="272"/>
      <c r="P1279" s="272"/>
      <c r="Q1279" s="272"/>
    </row>
    <row r="1280" spans="12:17" s="1523" customFormat="1">
      <c r="L1280" s="272"/>
      <c r="M1280" s="272"/>
      <c r="N1280" s="272"/>
      <c r="O1280" s="272"/>
      <c r="P1280" s="272"/>
      <c r="Q1280" s="272"/>
    </row>
    <row r="1281" spans="12:17" s="1523" customFormat="1">
      <c r="L1281" s="272"/>
      <c r="M1281" s="272"/>
      <c r="N1281" s="272"/>
      <c r="O1281" s="272"/>
      <c r="P1281" s="272"/>
      <c r="Q1281" s="272"/>
    </row>
    <row r="1282" spans="12:17" s="1523" customFormat="1">
      <c r="L1282" s="272"/>
      <c r="M1282" s="272"/>
      <c r="N1282" s="272"/>
      <c r="O1282" s="272"/>
      <c r="P1282" s="272"/>
      <c r="Q1282" s="272"/>
    </row>
    <row r="1283" spans="12:17" s="1523" customFormat="1">
      <c r="L1283" s="272"/>
      <c r="M1283" s="272"/>
      <c r="N1283" s="272"/>
      <c r="O1283" s="272"/>
      <c r="P1283" s="272"/>
      <c r="Q1283" s="272"/>
    </row>
    <row r="1284" spans="12:17" s="1523" customFormat="1">
      <c r="L1284" s="272"/>
      <c r="M1284" s="272"/>
      <c r="N1284" s="272"/>
      <c r="O1284" s="272"/>
      <c r="P1284" s="272"/>
      <c r="Q1284" s="272"/>
    </row>
    <row r="1285" spans="12:17" s="1523" customFormat="1">
      <c r="L1285" s="272"/>
      <c r="M1285" s="272"/>
      <c r="N1285" s="272"/>
      <c r="O1285" s="272"/>
      <c r="P1285" s="272"/>
      <c r="Q1285" s="272"/>
    </row>
    <row r="1286" spans="12:17" s="1523" customFormat="1">
      <c r="L1286" s="272"/>
      <c r="M1286" s="272"/>
      <c r="N1286" s="272"/>
      <c r="O1286" s="272"/>
      <c r="P1286" s="272"/>
      <c r="Q1286" s="272"/>
    </row>
    <row r="1287" spans="12:17" s="1523" customFormat="1">
      <c r="L1287" s="272"/>
      <c r="M1287" s="272"/>
      <c r="N1287" s="272"/>
      <c r="O1287" s="272"/>
      <c r="P1287" s="272"/>
      <c r="Q1287" s="272"/>
    </row>
    <row r="1288" spans="12:17" s="1523" customFormat="1">
      <c r="L1288" s="272"/>
      <c r="M1288" s="272"/>
      <c r="N1288" s="272"/>
      <c r="O1288" s="272"/>
      <c r="P1288" s="272"/>
      <c r="Q1288" s="272"/>
    </row>
    <row r="1289" spans="12:17" s="1523" customFormat="1">
      <c r="L1289" s="272"/>
      <c r="M1289" s="272"/>
      <c r="N1289" s="272"/>
      <c r="O1289" s="272"/>
      <c r="P1289" s="272"/>
      <c r="Q1289" s="272"/>
    </row>
    <row r="1290" spans="12:17" s="1523" customFormat="1">
      <c r="L1290" s="272"/>
      <c r="M1290" s="272"/>
      <c r="N1290" s="272"/>
      <c r="O1290" s="272"/>
      <c r="P1290" s="272"/>
      <c r="Q1290" s="272"/>
    </row>
    <row r="1291" spans="12:17" s="1523" customFormat="1">
      <c r="L1291" s="272"/>
      <c r="M1291" s="272"/>
      <c r="N1291" s="272"/>
      <c r="O1291" s="272"/>
      <c r="P1291" s="272"/>
      <c r="Q1291" s="272"/>
    </row>
    <row r="1292" spans="12:17" s="1523" customFormat="1">
      <c r="L1292" s="272"/>
      <c r="M1292" s="272"/>
      <c r="N1292" s="272"/>
      <c r="O1292" s="272"/>
      <c r="P1292" s="272"/>
      <c r="Q1292" s="272"/>
    </row>
    <row r="1293" spans="12:17" s="1523" customFormat="1">
      <c r="L1293" s="272"/>
      <c r="M1293" s="272"/>
      <c r="N1293" s="272"/>
      <c r="O1293" s="272"/>
      <c r="P1293" s="272"/>
      <c r="Q1293" s="272"/>
    </row>
    <row r="1294" spans="12:17" s="1523" customFormat="1">
      <c r="L1294" s="272"/>
      <c r="M1294" s="272"/>
      <c r="N1294" s="272"/>
      <c r="O1294" s="272"/>
      <c r="P1294" s="272"/>
      <c r="Q1294" s="272"/>
    </row>
    <row r="1295" spans="12:17" s="1523" customFormat="1">
      <c r="L1295" s="272"/>
      <c r="M1295" s="272"/>
      <c r="N1295" s="272"/>
      <c r="O1295" s="272"/>
      <c r="P1295" s="272"/>
      <c r="Q1295" s="272"/>
    </row>
    <row r="1296" spans="12:17" s="1523" customFormat="1">
      <c r="L1296" s="272"/>
      <c r="M1296" s="272"/>
      <c r="N1296" s="272"/>
      <c r="O1296" s="272"/>
      <c r="P1296" s="272"/>
      <c r="Q1296" s="272"/>
    </row>
    <row r="1297" spans="12:17" s="1523" customFormat="1">
      <c r="L1297" s="272"/>
      <c r="M1297" s="272"/>
      <c r="N1297" s="272"/>
      <c r="O1297" s="272"/>
      <c r="P1297" s="272"/>
      <c r="Q1297" s="272"/>
    </row>
    <row r="1298" spans="12:17" s="1523" customFormat="1">
      <c r="L1298" s="272"/>
      <c r="M1298" s="272"/>
      <c r="N1298" s="272"/>
      <c r="O1298" s="272"/>
      <c r="P1298" s="272"/>
      <c r="Q1298" s="272"/>
    </row>
    <row r="1299" spans="12:17" s="1523" customFormat="1">
      <c r="L1299" s="272"/>
      <c r="M1299" s="272"/>
      <c r="N1299" s="272"/>
      <c r="O1299" s="272"/>
      <c r="P1299" s="272"/>
      <c r="Q1299" s="272"/>
    </row>
    <row r="1300" spans="12:17" s="1523" customFormat="1">
      <c r="L1300" s="272"/>
      <c r="M1300" s="272"/>
      <c r="N1300" s="272"/>
      <c r="O1300" s="272"/>
      <c r="P1300" s="272"/>
      <c r="Q1300" s="272"/>
    </row>
    <row r="1301" spans="12:17" s="1523" customFormat="1">
      <c r="L1301" s="272"/>
      <c r="M1301" s="272"/>
      <c r="N1301" s="272"/>
      <c r="O1301" s="272"/>
      <c r="P1301" s="272"/>
      <c r="Q1301" s="272"/>
    </row>
    <row r="1302" spans="12:17" s="1523" customFormat="1">
      <c r="L1302" s="272"/>
      <c r="M1302" s="272"/>
      <c r="N1302" s="272"/>
      <c r="O1302" s="272"/>
      <c r="P1302" s="272"/>
      <c r="Q1302" s="272"/>
    </row>
    <row r="1303" spans="12:17" s="1523" customFormat="1">
      <c r="L1303" s="272"/>
      <c r="M1303" s="272"/>
      <c r="N1303" s="272"/>
      <c r="O1303" s="272"/>
      <c r="P1303" s="272"/>
      <c r="Q1303" s="272"/>
    </row>
    <row r="1304" spans="12:17" s="1523" customFormat="1">
      <c r="L1304" s="272"/>
      <c r="M1304" s="272"/>
      <c r="N1304" s="272"/>
      <c r="O1304" s="272"/>
      <c r="P1304" s="272"/>
      <c r="Q1304" s="272"/>
    </row>
    <row r="1305" spans="12:17" s="1523" customFormat="1">
      <c r="L1305" s="272"/>
      <c r="M1305" s="272"/>
      <c r="N1305" s="272"/>
      <c r="O1305" s="272"/>
      <c r="P1305" s="272"/>
      <c r="Q1305" s="272"/>
    </row>
    <row r="1306" spans="12:17" s="1523" customFormat="1">
      <c r="L1306" s="272"/>
      <c r="M1306" s="272"/>
      <c r="N1306" s="272"/>
      <c r="O1306" s="272"/>
      <c r="P1306" s="272"/>
      <c r="Q1306" s="272"/>
    </row>
    <row r="1307" spans="12:17" s="1523" customFormat="1">
      <c r="L1307" s="272"/>
      <c r="M1307" s="272"/>
      <c r="N1307" s="272"/>
      <c r="O1307" s="272"/>
      <c r="P1307" s="272"/>
      <c r="Q1307" s="272"/>
    </row>
    <row r="1308" spans="12:17" s="1523" customFormat="1">
      <c r="L1308" s="272"/>
      <c r="M1308" s="272"/>
      <c r="N1308" s="272"/>
      <c r="O1308" s="272"/>
      <c r="P1308" s="272"/>
      <c r="Q1308" s="272"/>
    </row>
    <row r="1309" spans="12:17" s="1523" customFormat="1">
      <c r="L1309" s="272"/>
      <c r="M1309" s="272"/>
      <c r="N1309" s="272"/>
      <c r="O1309" s="272"/>
      <c r="P1309" s="272"/>
      <c r="Q1309" s="272"/>
    </row>
    <row r="1310" spans="12:17" s="1523" customFormat="1">
      <c r="L1310" s="272"/>
      <c r="M1310" s="272"/>
      <c r="N1310" s="272"/>
      <c r="O1310" s="272"/>
      <c r="P1310" s="272"/>
      <c r="Q1310" s="272"/>
    </row>
    <row r="1311" spans="12:17" s="1523" customFormat="1">
      <c r="L1311" s="272"/>
      <c r="M1311" s="272"/>
      <c r="N1311" s="272"/>
      <c r="O1311" s="272"/>
      <c r="P1311" s="272"/>
      <c r="Q1311" s="272"/>
    </row>
    <row r="1312" spans="12:17" s="1523" customFormat="1">
      <c r="L1312" s="272"/>
      <c r="M1312" s="272"/>
      <c r="N1312" s="272"/>
      <c r="O1312" s="272"/>
      <c r="P1312" s="272"/>
      <c r="Q1312" s="272"/>
    </row>
    <row r="1313" spans="12:17" s="1523" customFormat="1">
      <c r="L1313" s="272"/>
      <c r="M1313" s="272"/>
      <c r="N1313" s="272"/>
      <c r="O1313" s="272"/>
      <c r="P1313" s="272"/>
      <c r="Q1313" s="272"/>
    </row>
    <row r="1314" spans="12:17" s="1523" customFormat="1">
      <c r="L1314" s="272"/>
      <c r="M1314" s="272"/>
      <c r="N1314" s="272"/>
      <c r="O1314" s="272"/>
      <c r="P1314" s="272"/>
      <c r="Q1314" s="272"/>
    </row>
    <row r="1315" spans="12:17" s="1523" customFormat="1">
      <c r="L1315" s="272"/>
      <c r="M1315" s="272"/>
      <c r="N1315" s="272"/>
      <c r="O1315" s="272"/>
      <c r="P1315" s="272"/>
      <c r="Q1315" s="272"/>
    </row>
    <row r="1316" spans="12:17" s="1523" customFormat="1">
      <c r="L1316" s="272"/>
      <c r="M1316" s="272"/>
      <c r="N1316" s="272"/>
      <c r="O1316" s="272"/>
      <c r="P1316" s="272"/>
      <c r="Q1316" s="272"/>
    </row>
    <row r="1317" spans="12:17" s="1523" customFormat="1">
      <c r="L1317" s="272"/>
      <c r="M1317" s="272"/>
      <c r="N1317" s="272"/>
      <c r="O1317" s="272"/>
      <c r="P1317" s="272"/>
      <c r="Q1317" s="272"/>
    </row>
    <row r="1318" spans="12:17" s="1523" customFormat="1">
      <c r="L1318" s="272"/>
      <c r="M1318" s="272"/>
      <c r="N1318" s="272"/>
      <c r="O1318" s="272"/>
      <c r="P1318" s="272"/>
      <c r="Q1318" s="272"/>
    </row>
    <row r="1319" spans="12:17" s="1523" customFormat="1">
      <c r="L1319" s="272"/>
      <c r="M1319" s="272"/>
      <c r="N1319" s="272"/>
      <c r="O1319" s="272"/>
      <c r="P1319" s="272"/>
      <c r="Q1319" s="272"/>
    </row>
    <row r="1320" spans="12:17" s="1523" customFormat="1">
      <c r="L1320" s="272"/>
      <c r="M1320" s="272"/>
      <c r="N1320" s="272"/>
      <c r="O1320" s="272"/>
      <c r="P1320" s="272"/>
      <c r="Q1320" s="272"/>
    </row>
    <row r="1321" spans="12:17" s="1523" customFormat="1">
      <c r="L1321" s="272"/>
      <c r="M1321" s="272"/>
      <c r="N1321" s="272"/>
      <c r="O1321" s="272"/>
      <c r="P1321" s="272"/>
      <c r="Q1321" s="272"/>
    </row>
    <row r="1322" spans="12:17" s="1523" customFormat="1">
      <c r="L1322" s="272"/>
      <c r="M1322" s="272"/>
      <c r="N1322" s="272"/>
      <c r="O1322" s="272"/>
      <c r="P1322" s="272"/>
      <c r="Q1322" s="272"/>
    </row>
    <row r="1323" spans="12:17" s="1523" customFormat="1">
      <c r="L1323" s="272"/>
      <c r="M1323" s="272"/>
      <c r="N1323" s="272"/>
      <c r="O1323" s="272"/>
      <c r="P1323" s="272"/>
      <c r="Q1323" s="272"/>
    </row>
    <row r="1324" spans="12:17" s="1523" customFormat="1">
      <c r="L1324" s="272"/>
      <c r="M1324" s="272"/>
      <c r="N1324" s="272"/>
      <c r="O1324" s="272"/>
      <c r="P1324" s="272"/>
      <c r="Q1324" s="272"/>
    </row>
    <row r="1325" spans="12:17" s="1523" customFormat="1">
      <c r="L1325" s="272"/>
      <c r="M1325" s="272"/>
      <c r="N1325" s="272"/>
      <c r="O1325" s="272"/>
      <c r="P1325" s="272"/>
      <c r="Q1325" s="272"/>
    </row>
    <row r="1326" spans="12:17" s="1523" customFormat="1">
      <c r="L1326" s="272"/>
      <c r="M1326" s="272"/>
      <c r="N1326" s="272"/>
      <c r="O1326" s="272"/>
      <c r="P1326" s="272"/>
      <c r="Q1326" s="272"/>
    </row>
    <row r="1327" spans="12:17" s="1523" customFormat="1">
      <c r="L1327" s="272"/>
      <c r="M1327" s="272"/>
      <c r="N1327" s="272"/>
      <c r="O1327" s="272"/>
      <c r="P1327" s="272"/>
      <c r="Q1327" s="272"/>
    </row>
    <row r="1328" spans="12:17" s="1523" customFormat="1">
      <c r="L1328" s="272"/>
      <c r="M1328" s="272"/>
      <c r="N1328" s="272"/>
      <c r="O1328" s="272"/>
      <c r="P1328" s="272"/>
      <c r="Q1328" s="272"/>
    </row>
    <row r="1329" spans="12:17" s="1523" customFormat="1">
      <c r="L1329" s="272"/>
      <c r="M1329" s="272"/>
      <c r="N1329" s="272"/>
      <c r="O1329" s="272"/>
      <c r="P1329" s="272"/>
      <c r="Q1329" s="272"/>
    </row>
    <row r="1330" spans="12:17" s="1523" customFormat="1">
      <c r="L1330" s="272"/>
      <c r="M1330" s="272"/>
      <c r="N1330" s="272"/>
      <c r="O1330" s="272"/>
      <c r="P1330" s="272"/>
      <c r="Q1330" s="272"/>
    </row>
    <row r="1331" spans="12:17" s="1523" customFormat="1">
      <c r="L1331" s="272"/>
      <c r="M1331" s="272"/>
      <c r="N1331" s="272"/>
      <c r="O1331" s="272"/>
      <c r="P1331" s="272"/>
      <c r="Q1331" s="272"/>
    </row>
    <row r="1332" spans="12:17" s="1523" customFormat="1">
      <c r="L1332" s="272"/>
      <c r="M1332" s="272"/>
      <c r="N1332" s="272"/>
      <c r="O1332" s="272"/>
      <c r="P1332" s="272"/>
      <c r="Q1332" s="272"/>
    </row>
    <row r="1333" spans="12:17" s="1523" customFormat="1">
      <c r="L1333" s="272"/>
      <c r="M1333" s="272"/>
      <c r="N1333" s="272"/>
      <c r="O1333" s="272"/>
      <c r="P1333" s="272"/>
      <c r="Q1333" s="272"/>
    </row>
    <row r="1334" spans="12:17" s="1523" customFormat="1">
      <c r="L1334" s="272"/>
      <c r="M1334" s="272"/>
      <c r="N1334" s="272"/>
      <c r="O1334" s="272"/>
      <c r="P1334" s="272"/>
      <c r="Q1334" s="272"/>
    </row>
    <row r="1335" spans="12:17" s="1523" customFormat="1">
      <c r="L1335" s="272"/>
      <c r="M1335" s="272"/>
      <c r="N1335" s="272"/>
      <c r="O1335" s="272"/>
      <c r="P1335" s="272"/>
      <c r="Q1335" s="272"/>
    </row>
    <row r="1336" spans="12:17" s="1523" customFormat="1">
      <c r="L1336" s="272"/>
      <c r="M1336" s="272"/>
      <c r="N1336" s="272"/>
      <c r="O1336" s="272"/>
      <c r="P1336" s="272"/>
      <c r="Q1336" s="272"/>
    </row>
    <row r="1337" spans="12:17" s="1523" customFormat="1">
      <c r="L1337" s="272"/>
      <c r="M1337" s="272"/>
      <c r="N1337" s="272"/>
      <c r="O1337" s="272"/>
      <c r="P1337" s="272"/>
      <c r="Q1337" s="272"/>
    </row>
    <row r="1338" spans="12:17" s="1523" customFormat="1">
      <c r="L1338" s="272"/>
      <c r="M1338" s="272"/>
      <c r="N1338" s="272"/>
      <c r="O1338" s="272"/>
      <c r="P1338" s="272"/>
      <c r="Q1338" s="272"/>
    </row>
    <row r="1339" spans="12:17" s="1523" customFormat="1">
      <c r="L1339" s="272"/>
      <c r="M1339" s="272"/>
      <c r="N1339" s="272"/>
      <c r="O1339" s="272"/>
      <c r="P1339" s="272"/>
      <c r="Q1339" s="272"/>
    </row>
    <row r="1340" spans="12:17" s="1523" customFormat="1">
      <c r="L1340" s="272"/>
      <c r="M1340" s="272"/>
      <c r="N1340" s="272"/>
      <c r="O1340" s="272"/>
      <c r="P1340" s="272"/>
      <c r="Q1340" s="272"/>
    </row>
    <row r="1341" spans="12:17" s="1523" customFormat="1">
      <c r="L1341" s="272"/>
      <c r="M1341" s="272"/>
      <c r="N1341" s="272"/>
      <c r="O1341" s="272"/>
      <c r="P1341" s="272"/>
      <c r="Q1341" s="272"/>
    </row>
    <row r="1342" spans="12:17" s="1523" customFormat="1">
      <c r="L1342" s="272"/>
      <c r="M1342" s="272"/>
      <c r="N1342" s="272"/>
      <c r="O1342" s="272"/>
      <c r="P1342" s="272"/>
      <c r="Q1342" s="272"/>
    </row>
    <row r="1343" spans="12:17" s="1523" customFormat="1">
      <c r="L1343" s="272"/>
      <c r="M1343" s="272"/>
      <c r="N1343" s="272"/>
      <c r="O1343" s="272"/>
      <c r="P1343" s="272"/>
      <c r="Q1343" s="272"/>
    </row>
    <row r="1344" spans="12:17" s="1523" customFormat="1">
      <c r="L1344" s="272"/>
      <c r="M1344" s="272"/>
      <c r="N1344" s="272"/>
      <c r="O1344" s="272"/>
      <c r="P1344" s="272"/>
      <c r="Q1344" s="272"/>
    </row>
    <row r="1345" spans="12:17" s="1523" customFormat="1">
      <c r="L1345" s="272"/>
      <c r="M1345" s="272"/>
      <c r="N1345" s="272"/>
      <c r="O1345" s="272"/>
      <c r="P1345" s="272"/>
      <c r="Q1345" s="272"/>
    </row>
    <row r="1346" spans="12:17" s="1523" customFormat="1">
      <c r="L1346" s="272"/>
      <c r="M1346" s="272"/>
      <c r="N1346" s="272"/>
      <c r="O1346" s="272"/>
      <c r="P1346" s="272"/>
      <c r="Q1346" s="272"/>
    </row>
    <row r="1347" spans="12:17" s="1523" customFormat="1">
      <c r="L1347" s="272"/>
      <c r="M1347" s="272"/>
      <c r="N1347" s="272"/>
      <c r="O1347" s="272"/>
      <c r="P1347" s="272"/>
      <c r="Q1347" s="272"/>
    </row>
    <row r="1348" spans="12:17" s="1523" customFormat="1">
      <c r="L1348" s="272"/>
      <c r="M1348" s="272"/>
      <c r="N1348" s="272"/>
      <c r="O1348" s="272"/>
      <c r="P1348" s="272"/>
      <c r="Q1348" s="272"/>
    </row>
    <row r="1349" spans="12:17" s="1523" customFormat="1">
      <c r="L1349" s="272"/>
      <c r="M1349" s="272"/>
      <c r="N1349" s="272"/>
      <c r="O1349" s="272"/>
      <c r="P1349" s="272"/>
      <c r="Q1349" s="272"/>
    </row>
    <row r="1350" spans="12:17" s="1523" customFormat="1">
      <c r="L1350" s="272"/>
      <c r="M1350" s="272"/>
      <c r="N1350" s="272"/>
      <c r="O1350" s="272"/>
      <c r="P1350" s="272"/>
      <c r="Q1350" s="272"/>
    </row>
    <row r="1351" spans="12:17" s="1523" customFormat="1">
      <c r="L1351" s="272"/>
      <c r="M1351" s="272"/>
      <c r="N1351" s="272"/>
      <c r="O1351" s="272"/>
      <c r="P1351" s="272"/>
      <c r="Q1351" s="272"/>
    </row>
    <row r="1352" spans="12:17" s="1523" customFormat="1">
      <c r="L1352" s="272"/>
      <c r="M1352" s="272"/>
      <c r="N1352" s="272"/>
      <c r="O1352" s="272"/>
      <c r="P1352" s="272"/>
      <c r="Q1352" s="272"/>
    </row>
    <row r="1353" spans="12:17" s="1523" customFormat="1">
      <c r="L1353" s="272"/>
      <c r="M1353" s="272"/>
      <c r="N1353" s="272"/>
      <c r="O1353" s="272"/>
      <c r="P1353" s="272"/>
      <c r="Q1353" s="272"/>
    </row>
    <row r="1354" spans="12:17" s="1523" customFormat="1">
      <c r="L1354" s="272"/>
      <c r="M1354" s="272"/>
      <c r="N1354" s="272"/>
      <c r="O1354" s="272"/>
      <c r="P1354" s="272"/>
      <c r="Q1354" s="272"/>
    </row>
    <row r="1355" spans="12:17" s="1523" customFormat="1">
      <c r="L1355" s="272"/>
      <c r="M1355" s="272"/>
      <c r="N1355" s="272"/>
      <c r="O1355" s="272"/>
      <c r="P1355" s="272"/>
      <c r="Q1355" s="272"/>
    </row>
    <row r="1356" spans="12:17" s="1523" customFormat="1">
      <c r="L1356" s="272"/>
      <c r="M1356" s="272"/>
      <c r="N1356" s="272"/>
      <c r="O1356" s="272"/>
      <c r="P1356" s="272"/>
      <c r="Q1356" s="272"/>
    </row>
    <row r="1357" spans="12:17" s="1523" customFormat="1">
      <c r="L1357" s="272"/>
      <c r="M1357" s="272"/>
      <c r="N1357" s="272"/>
      <c r="O1357" s="272"/>
      <c r="P1357" s="272"/>
      <c r="Q1357" s="272"/>
    </row>
    <row r="1358" spans="12:17" s="1523" customFormat="1">
      <c r="L1358" s="272"/>
      <c r="M1358" s="272"/>
      <c r="N1358" s="272"/>
      <c r="O1358" s="272"/>
      <c r="P1358" s="272"/>
      <c r="Q1358" s="272"/>
    </row>
    <row r="1359" spans="12:17" s="1523" customFormat="1">
      <c r="L1359" s="272"/>
      <c r="M1359" s="272"/>
      <c r="N1359" s="272"/>
      <c r="O1359" s="272"/>
      <c r="P1359" s="272"/>
      <c r="Q1359" s="272"/>
    </row>
    <row r="1360" spans="12:17" s="1523" customFormat="1">
      <c r="L1360" s="272"/>
      <c r="M1360" s="272"/>
      <c r="N1360" s="272"/>
      <c r="O1360" s="272"/>
      <c r="P1360" s="272"/>
      <c r="Q1360" s="272"/>
    </row>
    <row r="1361" spans="12:17" s="1523" customFormat="1">
      <c r="L1361" s="272"/>
      <c r="M1361" s="272"/>
      <c r="N1361" s="272"/>
      <c r="O1361" s="272"/>
      <c r="P1361" s="272"/>
      <c r="Q1361" s="272"/>
    </row>
    <row r="1362" spans="12:17" s="1523" customFormat="1">
      <c r="L1362" s="272"/>
      <c r="M1362" s="272"/>
      <c r="N1362" s="272"/>
      <c r="O1362" s="272"/>
      <c r="P1362" s="272"/>
      <c r="Q1362" s="272"/>
    </row>
    <row r="1363" spans="12:17" s="1523" customFormat="1">
      <c r="L1363" s="272"/>
      <c r="M1363" s="272"/>
      <c r="N1363" s="272"/>
      <c r="O1363" s="272"/>
      <c r="P1363" s="272"/>
      <c r="Q1363" s="272"/>
    </row>
    <row r="1364" spans="12:17" s="1523" customFormat="1">
      <c r="L1364" s="272"/>
      <c r="M1364" s="272"/>
      <c r="N1364" s="272"/>
      <c r="O1364" s="272"/>
      <c r="P1364" s="272"/>
      <c r="Q1364" s="272"/>
    </row>
    <row r="1365" spans="12:17" s="1523" customFormat="1">
      <c r="L1365" s="272"/>
      <c r="M1365" s="272"/>
      <c r="N1365" s="272"/>
      <c r="O1365" s="272"/>
      <c r="P1365" s="272"/>
      <c r="Q1365" s="272"/>
    </row>
    <row r="1366" spans="12:17" s="1523" customFormat="1">
      <c r="L1366" s="272"/>
      <c r="M1366" s="272"/>
      <c r="N1366" s="272"/>
      <c r="O1366" s="272"/>
      <c r="P1366" s="272"/>
      <c r="Q1366" s="272"/>
    </row>
    <row r="1367" spans="12:17" s="1523" customFormat="1">
      <c r="L1367" s="272"/>
      <c r="M1367" s="272"/>
      <c r="N1367" s="272"/>
      <c r="O1367" s="272"/>
      <c r="P1367" s="272"/>
      <c r="Q1367" s="272"/>
    </row>
    <row r="1368" spans="12:17" s="1523" customFormat="1">
      <c r="L1368" s="272"/>
      <c r="M1368" s="272"/>
      <c r="N1368" s="272"/>
      <c r="O1368" s="272"/>
      <c r="P1368" s="272"/>
      <c r="Q1368" s="272"/>
    </row>
    <row r="1369" spans="12:17" s="1523" customFormat="1">
      <c r="L1369" s="272"/>
      <c r="M1369" s="272"/>
      <c r="N1369" s="272"/>
      <c r="O1369" s="272"/>
      <c r="P1369" s="272"/>
      <c r="Q1369" s="272"/>
    </row>
    <row r="1370" spans="12:17" s="1523" customFormat="1">
      <c r="L1370" s="272"/>
      <c r="M1370" s="272"/>
      <c r="N1370" s="272"/>
      <c r="O1370" s="272"/>
      <c r="P1370" s="272"/>
      <c r="Q1370" s="272"/>
    </row>
    <row r="1371" spans="12:17" s="1523" customFormat="1">
      <c r="L1371" s="272"/>
      <c r="M1371" s="272"/>
      <c r="N1371" s="272"/>
      <c r="O1371" s="272"/>
      <c r="P1371" s="272"/>
      <c r="Q1371" s="272"/>
    </row>
    <row r="1372" spans="12:17" s="1523" customFormat="1">
      <c r="L1372" s="272"/>
      <c r="M1372" s="272"/>
      <c r="N1372" s="272"/>
      <c r="O1372" s="272"/>
      <c r="P1372" s="272"/>
      <c r="Q1372" s="272"/>
    </row>
    <row r="1373" spans="12:17" s="1523" customFormat="1">
      <c r="L1373" s="272"/>
      <c r="M1373" s="272"/>
      <c r="N1373" s="272"/>
      <c r="O1373" s="272"/>
      <c r="P1373" s="272"/>
      <c r="Q1373" s="272"/>
    </row>
    <row r="1374" spans="12:17" s="1523" customFormat="1">
      <c r="L1374" s="272"/>
      <c r="M1374" s="272"/>
      <c r="N1374" s="272"/>
      <c r="O1374" s="272"/>
      <c r="P1374" s="272"/>
      <c r="Q1374" s="272"/>
    </row>
    <row r="1375" spans="12:17" s="1523" customFormat="1">
      <c r="L1375" s="272"/>
      <c r="M1375" s="272"/>
      <c r="N1375" s="272"/>
      <c r="O1375" s="272"/>
      <c r="P1375" s="272"/>
      <c r="Q1375" s="272"/>
    </row>
    <row r="1376" spans="12:17" s="1523" customFormat="1">
      <c r="L1376" s="272"/>
      <c r="M1376" s="272"/>
      <c r="N1376" s="272"/>
      <c r="O1376" s="272"/>
      <c r="P1376" s="272"/>
      <c r="Q1376" s="272"/>
    </row>
    <row r="1377" spans="12:17" s="1523" customFormat="1">
      <c r="L1377" s="272"/>
      <c r="M1377" s="272"/>
      <c r="N1377" s="272"/>
      <c r="O1377" s="272"/>
      <c r="P1377" s="272"/>
      <c r="Q1377" s="272"/>
    </row>
    <row r="1378" spans="12:17" s="1523" customFormat="1">
      <c r="L1378" s="272"/>
      <c r="M1378" s="272"/>
      <c r="N1378" s="272"/>
      <c r="O1378" s="272"/>
      <c r="P1378" s="272"/>
      <c r="Q1378" s="272"/>
    </row>
    <row r="1379" spans="12:17" s="1523" customFormat="1">
      <c r="L1379" s="272"/>
      <c r="M1379" s="272"/>
      <c r="N1379" s="272"/>
      <c r="O1379" s="272"/>
      <c r="P1379" s="272"/>
      <c r="Q1379" s="272"/>
    </row>
    <row r="1380" spans="12:17" s="1523" customFormat="1">
      <c r="L1380" s="272"/>
      <c r="M1380" s="272"/>
      <c r="N1380" s="272"/>
      <c r="O1380" s="272"/>
      <c r="P1380" s="272"/>
      <c r="Q1380" s="272"/>
    </row>
    <row r="1381" spans="12:17" s="1523" customFormat="1">
      <c r="L1381" s="272"/>
      <c r="M1381" s="272"/>
      <c r="N1381" s="272"/>
      <c r="O1381" s="272"/>
      <c r="P1381" s="272"/>
      <c r="Q1381" s="272"/>
    </row>
    <row r="1382" spans="12:17" s="1523" customFormat="1">
      <c r="L1382" s="272"/>
      <c r="M1382" s="272"/>
      <c r="N1382" s="272"/>
      <c r="O1382" s="272"/>
      <c r="P1382" s="272"/>
      <c r="Q1382" s="272"/>
    </row>
    <row r="1383" spans="12:17" s="1523" customFormat="1">
      <c r="L1383" s="272"/>
      <c r="M1383" s="272"/>
      <c r="N1383" s="272"/>
      <c r="O1383" s="272"/>
      <c r="P1383" s="272"/>
      <c r="Q1383" s="272"/>
    </row>
    <row r="1384" spans="12:17" s="1523" customFormat="1">
      <c r="L1384" s="272"/>
      <c r="M1384" s="272"/>
      <c r="N1384" s="272"/>
      <c r="O1384" s="272"/>
      <c r="P1384" s="272"/>
      <c r="Q1384" s="272"/>
    </row>
    <row r="1385" spans="12:17" s="1523" customFormat="1">
      <c r="L1385" s="272"/>
      <c r="M1385" s="272"/>
      <c r="N1385" s="272"/>
      <c r="O1385" s="272"/>
      <c r="P1385" s="272"/>
      <c r="Q1385" s="272"/>
    </row>
    <row r="1386" spans="12:17" s="1523" customFormat="1">
      <c r="L1386" s="272"/>
      <c r="M1386" s="272"/>
      <c r="N1386" s="272"/>
      <c r="O1386" s="272"/>
      <c r="P1386" s="272"/>
      <c r="Q1386" s="272"/>
    </row>
    <row r="1387" spans="12:17" s="1523" customFormat="1">
      <c r="L1387" s="272"/>
      <c r="M1387" s="272"/>
      <c r="N1387" s="272"/>
      <c r="O1387" s="272"/>
      <c r="P1387" s="272"/>
      <c r="Q1387" s="272"/>
    </row>
    <row r="1388" spans="12:17" s="1523" customFormat="1">
      <c r="L1388" s="272"/>
      <c r="M1388" s="272"/>
      <c r="N1388" s="272"/>
      <c r="O1388" s="272"/>
      <c r="P1388" s="272"/>
      <c r="Q1388" s="272"/>
    </row>
    <row r="1389" spans="12:17" s="1523" customFormat="1">
      <c r="L1389" s="272"/>
      <c r="M1389" s="272"/>
      <c r="N1389" s="272"/>
      <c r="O1389" s="272"/>
      <c r="P1389" s="272"/>
      <c r="Q1389" s="272"/>
    </row>
    <row r="1390" spans="12:17" s="1523" customFormat="1">
      <c r="L1390" s="272"/>
      <c r="M1390" s="272"/>
      <c r="N1390" s="272"/>
      <c r="O1390" s="272"/>
      <c r="P1390" s="272"/>
      <c r="Q1390" s="272"/>
    </row>
    <row r="1391" spans="12:17" s="1523" customFormat="1">
      <c r="L1391" s="272"/>
      <c r="M1391" s="272"/>
      <c r="N1391" s="272"/>
      <c r="O1391" s="272"/>
      <c r="P1391" s="272"/>
      <c r="Q1391" s="272"/>
    </row>
    <row r="1392" spans="12:17" s="1523" customFormat="1">
      <c r="L1392" s="272"/>
      <c r="M1392" s="272"/>
      <c r="N1392" s="272"/>
      <c r="O1392" s="272"/>
      <c r="P1392" s="272"/>
      <c r="Q1392" s="272"/>
    </row>
    <row r="1393" spans="12:17" s="1523" customFormat="1">
      <c r="L1393" s="272"/>
      <c r="M1393" s="272"/>
      <c r="N1393" s="272"/>
      <c r="O1393" s="272"/>
      <c r="P1393" s="272"/>
      <c r="Q1393" s="272"/>
    </row>
    <row r="1394" spans="12:17" s="1523" customFormat="1">
      <c r="L1394" s="272"/>
      <c r="M1394" s="272"/>
      <c r="N1394" s="272"/>
      <c r="O1394" s="272"/>
      <c r="P1394" s="272"/>
      <c r="Q1394" s="272"/>
    </row>
    <row r="1395" spans="12:17" s="1523" customFormat="1">
      <c r="L1395" s="272"/>
      <c r="M1395" s="272"/>
      <c r="N1395" s="272"/>
      <c r="O1395" s="272"/>
      <c r="P1395" s="272"/>
      <c r="Q1395" s="272"/>
    </row>
    <row r="1396" spans="12:17" s="1523" customFormat="1">
      <c r="L1396" s="272"/>
      <c r="M1396" s="272"/>
      <c r="N1396" s="272"/>
      <c r="O1396" s="272"/>
      <c r="P1396" s="272"/>
      <c r="Q1396" s="272"/>
    </row>
    <row r="1397" spans="12:17" s="1523" customFormat="1">
      <c r="L1397" s="272"/>
      <c r="M1397" s="272"/>
      <c r="N1397" s="272"/>
      <c r="O1397" s="272"/>
      <c r="P1397" s="272"/>
      <c r="Q1397" s="272"/>
    </row>
    <row r="1398" spans="12:17" s="1523" customFormat="1">
      <c r="L1398" s="272"/>
      <c r="M1398" s="272"/>
      <c r="N1398" s="272"/>
      <c r="O1398" s="272"/>
      <c r="P1398" s="272"/>
      <c r="Q1398" s="272"/>
    </row>
    <row r="1399" spans="12:17" s="1523" customFormat="1">
      <c r="L1399" s="272"/>
      <c r="M1399" s="272"/>
      <c r="N1399" s="272"/>
      <c r="O1399" s="272"/>
      <c r="P1399" s="272"/>
      <c r="Q1399" s="272"/>
    </row>
    <row r="1400" spans="12:17" s="1523" customFormat="1">
      <c r="L1400" s="272"/>
      <c r="M1400" s="272"/>
      <c r="N1400" s="272"/>
      <c r="O1400" s="272"/>
      <c r="P1400" s="272"/>
      <c r="Q1400" s="272"/>
    </row>
    <row r="1401" spans="12:17" s="1523" customFormat="1">
      <c r="L1401" s="272"/>
      <c r="M1401" s="272"/>
      <c r="N1401" s="272"/>
      <c r="O1401" s="272"/>
      <c r="P1401" s="272"/>
      <c r="Q1401" s="272"/>
    </row>
    <row r="1402" spans="12:17" s="1523" customFormat="1">
      <c r="L1402" s="272"/>
      <c r="M1402" s="272"/>
      <c r="N1402" s="272"/>
      <c r="O1402" s="272"/>
      <c r="P1402" s="272"/>
      <c r="Q1402" s="272"/>
    </row>
    <row r="1403" spans="12:17" s="1523" customFormat="1">
      <c r="L1403" s="272"/>
      <c r="M1403" s="272"/>
      <c r="N1403" s="272"/>
      <c r="O1403" s="272"/>
      <c r="P1403" s="272"/>
      <c r="Q1403" s="272"/>
    </row>
    <row r="1404" spans="12:17" s="1523" customFormat="1">
      <c r="L1404" s="272"/>
      <c r="M1404" s="272"/>
      <c r="N1404" s="272"/>
      <c r="O1404" s="272"/>
      <c r="P1404" s="272"/>
      <c r="Q1404" s="272"/>
    </row>
    <row r="1405" spans="12:17" s="1523" customFormat="1">
      <c r="L1405" s="272"/>
      <c r="M1405" s="272"/>
      <c r="N1405" s="272"/>
      <c r="O1405" s="272"/>
      <c r="P1405" s="272"/>
      <c r="Q1405" s="272"/>
    </row>
    <row r="1406" spans="12:17" s="1523" customFormat="1">
      <c r="L1406" s="272"/>
      <c r="M1406" s="272"/>
      <c r="N1406" s="272"/>
      <c r="O1406" s="272"/>
      <c r="P1406" s="272"/>
      <c r="Q1406" s="272"/>
    </row>
    <row r="1407" spans="12:17" s="1523" customFormat="1">
      <c r="L1407" s="272"/>
      <c r="M1407" s="272"/>
      <c r="N1407" s="272"/>
      <c r="O1407" s="272"/>
      <c r="P1407" s="272"/>
      <c r="Q1407" s="272"/>
    </row>
    <row r="1408" spans="12:17" s="1523" customFormat="1">
      <c r="L1408" s="272"/>
      <c r="M1408" s="272"/>
      <c r="N1408" s="272"/>
      <c r="O1408" s="272"/>
      <c r="P1408" s="272"/>
      <c r="Q1408" s="272"/>
    </row>
    <row r="1409" spans="12:17" s="1523" customFormat="1">
      <c r="L1409" s="272"/>
      <c r="M1409" s="272"/>
      <c r="N1409" s="272"/>
      <c r="O1409" s="272"/>
      <c r="P1409" s="272"/>
      <c r="Q1409" s="272"/>
    </row>
    <row r="1410" spans="12:17" s="1523" customFormat="1">
      <c r="L1410" s="272"/>
      <c r="M1410" s="272"/>
      <c r="N1410" s="272"/>
      <c r="O1410" s="272"/>
      <c r="P1410" s="272"/>
      <c r="Q1410" s="272"/>
    </row>
    <row r="1411" spans="12:17" s="1523" customFormat="1">
      <c r="L1411" s="272"/>
      <c r="M1411" s="272"/>
      <c r="N1411" s="272"/>
      <c r="O1411" s="272"/>
      <c r="P1411" s="272"/>
      <c r="Q1411" s="272"/>
    </row>
    <row r="1412" spans="12:17" s="1523" customFormat="1">
      <c r="L1412" s="272"/>
      <c r="M1412" s="272"/>
      <c r="N1412" s="272"/>
      <c r="O1412" s="272"/>
      <c r="P1412" s="272"/>
      <c r="Q1412" s="272"/>
    </row>
    <row r="1413" spans="12:17" s="1523" customFormat="1">
      <c r="L1413" s="272"/>
      <c r="M1413" s="272"/>
      <c r="N1413" s="272"/>
      <c r="O1413" s="272"/>
      <c r="P1413" s="272"/>
      <c r="Q1413" s="272"/>
    </row>
    <row r="1414" spans="12:17" s="1523" customFormat="1">
      <c r="L1414" s="272"/>
      <c r="M1414" s="272"/>
      <c r="N1414" s="272"/>
      <c r="O1414" s="272"/>
      <c r="P1414" s="272"/>
      <c r="Q1414" s="272"/>
    </row>
    <row r="1415" spans="12:17" s="1523" customFormat="1">
      <c r="L1415" s="272"/>
      <c r="M1415" s="272"/>
      <c r="N1415" s="272"/>
      <c r="O1415" s="272"/>
      <c r="P1415" s="272"/>
      <c r="Q1415" s="272"/>
    </row>
    <row r="1416" spans="12:17" s="1523" customFormat="1">
      <c r="L1416" s="272"/>
      <c r="M1416" s="272"/>
      <c r="N1416" s="272"/>
      <c r="O1416" s="272"/>
      <c r="P1416" s="272"/>
      <c r="Q1416" s="272"/>
    </row>
    <row r="1417" spans="12:17" s="1523" customFormat="1">
      <c r="L1417" s="272"/>
      <c r="M1417" s="272"/>
      <c r="N1417" s="272"/>
      <c r="O1417" s="272"/>
      <c r="P1417" s="272"/>
      <c r="Q1417" s="272"/>
    </row>
    <row r="1418" spans="12:17" s="1523" customFormat="1">
      <c r="L1418" s="272"/>
      <c r="M1418" s="272"/>
      <c r="N1418" s="272"/>
      <c r="O1418" s="272"/>
      <c r="P1418" s="272"/>
      <c r="Q1418" s="272"/>
    </row>
    <row r="1419" spans="12:17" s="1523" customFormat="1">
      <c r="L1419" s="272"/>
      <c r="M1419" s="272"/>
      <c r="N1419" s="272"/>
      <c r="O1419" s="272"/>
      <c r="P1419" s="272"/>
      <c r="Q1419" s="272"/>
    </row>
    <row r="1420" spans="12:17" s="1523" customFormat="1">
      <c r="L1420" s="272"/>
      <c r="M1420" s="272"/>
      <c r="N1420" s="272"/>
      <c r="O1420" s="272"/>
      <c r="P1420" s="272"/>
      <c r="Q1420" s="272"/>
    </row>
    <row r="1421" spans="12:17" s="1523" customFormat="1">
      <c r="L1421" s="272"/>
      <c r="M1421" s="272"/>
      <c r="N1421" s="272"/>
      <c r="O1421" s="272"/>
      <c r="P1421" s="272"/>
      <c r="Q1421" s="272"/>
    </row>
    <row r="1422" spans="12:17" s="1523" customFormat="1">
      <c r="L1422" s="272"/>
      <c r="M1422" s="272"/>
      <c r="N1422" s="272"/>
      <c r="O1422" s="272"/>
      <c r="P1422" s="272"/>
      <c r="Q1422" s="272"/>
    </row>
    <row r="1423" spans="12:17" s="1523" customFormat="1">
      <c r="L1423" s="272"/>
      <c r="M1423" s="272"/>
      <c r="N1423" s="272"/>
      <c r="O1423" s="272"/>
      <c r="P1423" s="272"/>
      <c r="Q1423" s="272"/>
    </row>
    <row r="1424" spans="12:17" s="1523" customFormat="1">
      <c r="L1424" s="272"/>
      <c r="M1424" s="272"/>
      <c r="N1424" s="272"/>
      <c r="O1424" s="272"/>
      <c r="P1424" s="272"/>
      <c r="Q1424" s="272"/>
    </row>
    <row r="1425" spans="12:17" s="1523" customFormat="1">
      <c r="L1425" s="272"/>
      <c r="M1425" s="272"/>
      <c r="N1425" s="272"/>
      <c r="O1425" s="272"/>
      <c r="P1425" s="272"/>
      <c r="Q1425" s="272"/>
    </row>
    <row r="1426" spans="12:17" s="1523" customFormat="1">
      <c r="L1426" s="272"/>
      <c r="M1426" s="272"/>
      <c r="N1426" s="272"/>
      <c r="O1426" s="272"/>
      <c r="P1426" s="272"/>
      <c r="Q1426" s="272"/>
    </row>
    <row r="1427" spans="12:17" s="1523" customFormat="1">
      <c r="L1427" s="272"/>
      <c r="M1427" s="272"/>
      <c r="N1427" s="272"/>
      <c r="O1427" s="272"/>
      <c r="P1427" s="272"/>
      <c r="Q1427" s="272"/>
    </row>
    <row r="1428" spans="12:17" s="1523" customFormat="1">
      <c r="L1428" s="272"/>
      <c r="M1428" s="272"/>
      <c r="N1428" s="272"/>
      <c r="O1428" s="272"/>
      <c r="P1428" s="272"/>
      <c r="Q1428" s="272"/>
    </row>
    <row r="1429" spans="12:17" s="1523" customFormat="1">
      <c r="L1429" s="272"/>
      <c r="M1429" s="272"/>
      <c r="N1429" s="272"/>
      <c r="O1429" s="272"/>
      <c r="P1429" s="272"/>
      <c r="Q1429" s="272"/>
    </row>
    <row r="1430" spans="12:17" s="1523" customFormat="1">
      <c r="L1430" s="272"/>
      <c r="M1430" s="272"/>
      <c r="N1430" s="272"/>
      <c r="O1430" s="272"/>
      <c r="P1430" s="272"/>
      <c r="Q1430" s="272"/>
    </row>
    <row r="1431" spans="12:17" s="1523" customFormat="1">
      <c r="L1431" s="272"/>
      <c r="M1431" s="272"/>
      <c r="N1431" s="272"/>
      <c r="O1431" s="272"/>
      <c r="P1431" s="272"/>
      <c r="Q1431" s="272"/>
    </row>
    <row r="1432" spans="12:17" s="1523" customFormat="1">
      <c r="L1432" s="272"/>
      <c r="M1432" s="272"/>
      <c r="N1432" s="272"/>
      <c r="O1432" s="272"/>
      <c r="P1432" s="272"/>
      <c r="Q1432" s="272"/>
    </row>
    <row r="1433" spans="12:17" s="1523" customFormat="1">
      <c r="L1433" s="272"/>
      <c r="M1433" s="272"/>
      <c r="N1433" s="272"/>
      <c r="O1433" s="272"/>
      <c r="P1433" s="272"/>
      <c r="Q1433" s="272"/>
    </row>
    <row r="1434" spans="12:17" s="1523" customFormat="1">
      <c r="L1434" s="272"/>
      <c r="M1434" s="272"/>
      <c r="N1434" s="272"/>
      <c r="O1434" s="272"/>
      <c r="P1434" s="272"/>
      <c r="Q1434" s="272"/>
    </row>
    <row r="1435" spans="12:17" s="1523" customFormat="1">
      <c r="L1435" s="272"/>
      <c r="M1435" s="272"/>
      <c r="N1435" s="272"/>
      <c r="O1435" s="272"/>
      <c r="P1435" s="272"/>
      <c r="Q1435" s="272"/>
    </row>
    <row r="1436" spans="12:17" s="1523" customFormat="1">
      <c r="L1436" s="272"/>
      <c r="M1436" s="272"/>
      <c r="N1436" s="272"/>
      <c r="O1436" s="272"/>
      <c r="P1436" s="272"/>
      <c r="Q1436" s="272"/>
    </row>
    <row r="1437" spans="12:17" s="1523" customFormat="1">
      <c r="L1437" s="272"/>
      <c r="M1437" s="272"/>
      <c r="N1437" s="272"/>
      <c r="O1437" s="272"/>
      <c r="P1437" s="272"/>
      <c r="Q1437" s="272"/>
    </row>
    <row r="1438" spans="12:17" s="1523" customFormat="1">
      <c r="L1438" s="272"/>
      <c r="M1438" s="272"/>
      <c r="N1438" s="272"/>
      <c r="O1438" s="272"/>
      <c r="P1438" s="272"/>
      <c r="Q1438" s="272"/>
    </row>
    <row r="1439" spans="12:17" s="1523" customFormat="1">
      <c r="L1439" s="272"/>
      <c r="M1439" s="272"/>
      <c r="N1439" s="272"/>
      <c r="O1439" s="272"/>
      <c r="P1439" s="272"/>
      <c r="Q1439" s="272"/>
    </row>
    <row r="1440" spans="12:17" s="1523" customFormat="1">
      <c r="L1440" s="272"/>
      <c r="M1440" s="272"/>
      <c r="N1440" s="272"/>
      <c r="O1440" s="272"/>
      <c r="P1440" s="272"/>
      <c r="Q1440" s="272"/>
    </row>
    <row r="1441" spans="12:17" s="1523" customFormat="1">
      <c r="L1441" s="272"/>
      <c r="M1441" s="272"/>
      <c r="N1441" s="272"/>
      <c r="O1441" s="272"/>
      <c r="P1441" s="272"/>
      <c r="Q1441" s="272"/>
    </row>
    <row r="1442" spans="12:17" s="1523" customFormat="1">
      <c r="L1442" s="272"/>
      <c r="M1442" s="272"/>
      <c r="N1442" s="272"/>
      <c r="O1442" s="272"/>
      <c r="P1442" s="272"/>
      <c r="Q1442" s="272"/>
    </row>
    <row r="1443" spans="12:17" s="1523" customFormat="1">
      <c r="L1443" s="272"/>
      <c r="M1443" s="272"/>
      <c r="N1443" s="272"/>
      <c r="O1443" s="272"/>
      <c r="P1443" s="272"/>
      <c r="Q1443" s="272"/>
    </row>
    <row r="1444" spans="12:17" s="1523" customFormat="1">
      <c r="L1444" s="272"/>
      <c r="M1444" s="272"/>
      <c r="N1444" s="272"/>
      <c r="O1444" s="272"/>
      <c r="P1444" s="272"/>
      <c r="Q1444" s="272"/>
    </row>
    <row r="1445" spans="12:17" s="1523" customFormat="1">
      <c r="L1445" s="272"/>
      <c r="M1445" s="272"/>
      <c r="N1445" s="272"/>
      <c r="O1445" s="272"/>
      <c r="P1445" s="272"/>
      <c r="Q1445" s="272"/>
    </row>
    <row r="1446" spans="12:17" s="1523" customFormat="1">
      <c r="L1446" s="272"/>
      <c r="M1446" s="272"/>
      <c r="N1446" s="272"/>
      <c r="O1446" s="272"/>
      <c r="P1446" s="272"/>
      <c r="Q1446" s="272"/>
    </row>
    <row r="1447" spans="12:17" s="1523" customFormat="1">
      <c r="L1447" s="272"/>
      <c r="M1447" s="272"/>
      <c r="N1447" s="272"/>
      <c r="O1447" s="272"/>
      <c r="P1447" s="272"/>
      <c r="Q1447" s="272"/>
    </row>
    <row r="1448" spans="12:17" s="1523" customFormat="1">
      <c r="L1448" s="272"/>
      <c r="M1448" s="272"/>
      <c r="N1448" s="272"/>
      <c r="O1448" s="272"/>
      <c r="P1448" s="272"/>
      <c r="Q1448" s="272"/>
    </row>
    <row r="1449" spans="12:17" s="1523" customFormat="1">
      <c r="L1449" s="272"/>
      <c r="M1449" s="272"/>
      <c r="N1449" s="272"/>
      <c r="O1449" s="272"/>
      <c r="P1449" s="272"/>
      <c r="Q1449" s="272"/>
    </row>
    <row r="1450" spans="12:17" s="1523" customFormat="1">
      <c r="L1450" s="272"/>
      <c r="M1450" s="272"/>
      <c r="N1450" s="272"/>
      <c r="O1450" s="272"/>
      <c r="P1450" s="272"/>
      <c r="Q1450" s="272"/>
    </row>
    <row r="1451" spans="12:17" s="1523" customFormat="1">
      <c r="L1451" s="272"/>
      <c r="M1451" s="272"/>
      <c r="N1451" s="272"/>
      <c r="O1451" s="272"/>
      <c r="P1451" s="272"/>
      <c r="Q1451" s="272"/>
    </row>
    <row r="1452" spans="12:17" s="1523" customFormat="1">
      <c r="L1452" s="272"/>
      <c r="M1452" s="272"/>
      <c r="N1452" s="272"/>
      <c r="O1452" s="272"/>
      <c r="P1452" s="272"/>
      <c r="Q1452" s="272"/>
    </row>
    <row r="1453" spans="12:17" s="1523" customFormat="1">
      <c r="L1453" s="272"/>
      <c r="M1453" s="272"/>
      <c r="N1453" s="272"/>
      <c r="O1453" s="272"/>
      <c r="P1453" s="272"/>
      <c r="Q1453" s="272"/>
    </row>
    <row r="1454" spans="12:17" s="1523" customFormat="1">
      <c r="L1454" s="272"/>
      <c r="M1454" s="272"/>
      <c r="N1454" s="272"/>
      <c r="O1454" s="272"/>
      <c r="P1454" s="272"/>
      <c r="Q1454" s="272"/>
    </row>
    <row r="1455" spans="12:17" s="1523" customFormat="1">
      <c r="L1455" s="272"/>
      <c r="M1455" s="272"/>
      <c r="N1455" s="272"/>
      <c r="O1455" s="272"/>
      <c r="P1455" s="272"/>
      <c r="Q1455" s="272"/>
    </row>
    <row r="1456" spans="12:17" s="1523" customFormat="1">
      <c r="L1456" s="272"/>
      <c r="M1456" s="272"/>
      <c r="N1456" s="272"/>
      <c r="O1456" s="272"/>
      <c r="P1456" s="272"/>
      <c r="Q1456" s="272"/>
    </row>
    <row r="1457" spans="12:17" s="1523" customFormat="1">
      <c r="L1457" s="272"/>
      <c r="M1457" s="272"/>
      <c r="N1457" s="272"/>
      <c r="O1457" s="272"/>
      <c r="P1457" s="272"/>
      <c r="Q1457" s="272"/>
    </row>
    <row r="1458" spans="12:17" s="1523" customFormat="1">
      <c r="L1458" s="272"/>
      <c r="M1458" s="272"/>
      <c r="N1458" s="272"/>
      <c r="O1458" s="272"/>
      <c r="P1458" s="272"/>
      <c r="Q1458" s="272"/>
    </row>
    <row r="1459" spans="12:17" s="1523" customFormat="1">
      <c r="L1459" s="272"/>
      <c r="M1459" s="272"/>
      <c r="N1459" s="272"/>
      <c r="O1459" s="272"/>
      <c r="P1459" s="272"/>
      <c r="Q1459" s="272"/>
    </row>
    <row r="1460" spans="12:17" s="1523" customFormat="1">
      <c r="L1460" s="272"/>
      <c r="M1460" s="272"/>
      <c r="N1460" s="272"/>
      <c r="O1460" s="272"/>
      <c r="P1460" s="272"/>
      <c r="Q1460" s="272"/>
    </row>
    <row r="1461" spans="12:17" s="1523" customFormat="1">
      <c r="L1461" s="272"/>
      <c r="M1461" s="272"/>
      <c r="N1461" s="272"/>
      <c r="O1461" s="272"/>
      <c r="P1461" s="272"/>
      <c r="Q1461" s="272"/>
    </row>
    <row r="1462" spans="12:17" s="1523" customFormat="1">
      <c r="L1462" s="272"/>
      <c r="M1462" s="272"/>
      <c r="N1462" s="272"/>
      <c r="O1462" s="272"/>
      <c r="P1462" s="272"/>
      <c r="Q1462" s="272"/>
    </row>
    <row r="1463" spans="12:17" s="1523" customFormat="1">
      <c r="L1463" s="272"/>
      <c r="M1463" s="272"/>
      <c r="N1463" s="272"/>
      <c r="O1463" s="272"/>
      <c r="P1463" s="272"/>
      <c r="Q1463" s="272"/>
    </row>
    <row r="1464" spans="12:17" s="1523" customFormat="1">
      <c r="L1464" s="272"/>
      <c r="M1464" s="272"/>
      <c r="N1464" s="272"/>
      <c r="O1464" s="272"/>
      <c r="P1464" s="272"/>
      <c r="Q1464" s="272"/>
    </row>
    <row r="1465" spans="12:17" s="1523" customFormat="1">
      <c r="L1465" s="272"/>
      <c r="M1465" s="272"/>
      <c r="N1465" s="272"/>
      <c r="O1465" s="272"/>
      <c r="P1465" s="272"/>
      <c r="Q1465" s="272"/>
    </row>
    <row r="1466" spans="12:17" s="1523" customFormat="1">
      <c r="L1466" s="272"/>
      <c r="M1466" s="272"/>
      <c r="N1466" s="272"/>
      <c r="O1466" s="272"/>
      <c r="P1466" s="272"/>
      <c r="Q1466" s="272"/>
    </row>
    <row r="1467" spans="12:17" s="1523" customFormat="1">
      <c r="L1467" s="272"/>
      <c r="M1467" s="272"/>
      <c r="N1467" s="272"/>
      <c r="O1467" s="272"/>
      <c r="P1467" s="272"/>
      <c r="Q1467" s="272"/>
    </row>
    <row r="1468" spans="12:17" s="1523" customFormat="1">
      <c r="L1468" s="272"/>
      <c r="M1468" s="272"/>
      <c r="N1468" s="272"/>
      <c r="O1468" s="272"/>
      <c r="P1468" s="272"/>
      <c r="Q1468" s="272"/>
    </row>
    <row r="1469" spans="12:17" s="1523" customFormat="1">
      <c r="L1469" s="272"/>
      <c r="M1469" s="272"/>
      <c r="N1469" s="272"/>
      <c r="O1469" s="272"/>
      <c r="P1469" s="272"/>
      <c r="Q1469" s="272"/>
    </row>
    <row r="1470" spans="12:17" s="1523" customFormat="1">
      <c r="L1470" s="272"/>
      <c r="M1470" s="272"/>
      <c r="N1470" s="272"/>
      <c r="O1470" s="272"/>
      <c r="P1470" s="272"/>
      <c r="Q1470" s="272"/>
    </row>
    <row r="1471" spans="12:17" s="1523" customFormat="1">
      <c r="L1471" s="272"/>
      <c r="M1471" s="272"/>
      <c r="N1471" s="272"/>
      <c r="O1471" s="272"/>
      <c r="P1471" s="272"/>
      <c r="Q1471" s="272"/>
    </row>
    <row r="1472" spans="12:17" s="1523" customFormat="1">
      <c r="L1472" s="272"/>
      <c r="M1472" s="272"/>
      <c r="N1472" s="272"/>
      <c r="O1472" s="272"/>
      <c r="P1472" s="272"/>
      <c r="Q1472" s="272"/>
    </row>
    <row r="1473" spans="12:17" s="1523" customFormat="1">
      <c r="L1473" s="272"/>
      <c r="M1473" s="272"/>
      <c r="N1473" s="272"/>
      <c r="O1473" s="272"/>
      <c r="P1473" s="272"/>
      <c r="Q1473" s="272"/>
    </row>
    <row r="1474" spans="12:17" s="1523" customFormat="1">
      <c r="L1474" s="272"/>
      <c r="M1474" s="272"/>
      <c r="N1474" s="272"/>
      <c r="O1474" s="272"/>
      <c r="P1474" s="272"/>
      <c r="Q1474" s="272"/>
    </row>
    <row r="1475" spans="12:17" s="1523" customFormat="1">
      <c r="L1475" s="272"/>
      <c r="M1475" s="272"/>
      <c r="N1475" s="272"/>
      <c r="O1475" s="272"/>
      <c r="P1475" s="272"/>
      <c r="Q1475" s="272"/>
    </row>
    <row r="1476" spans="12:17" s="1523" customFormat="1">
      <c r="L1476" s="272"/>
      <c r="M1476" s="272"/>
      <c r="N1476" s="272"/>
      <c r="O1476" s="272"/>
      <c r="P1476" s="272"/>
      <c r="Q1476" s="272"/>
    </row>
    <row r="1477" spans="12:17" s="1523" customFormat="1">
      <c r="L1477" s="272"/>
      <c r="M1477" s="272"/>
      <c r="N1477" s="272"/>
      <c r="O1477" s="272"/>
      <c r="P1477" s="272"/>
      <c r="Q1477" s="272"/>
    </row>
    <row r="1478" spans="12:17" s="1523" customFormat="1">
      <c r="L1478" s="272"/>
      <c r="M1478" s="272"/>
      <c r="N1478" s="272"/>
      <c r="O1478" s="272"/>
      <c r="P1478" s="272"/>
      <c r="Q1478" s="272"/>
    </row>
    <row r="1479" spans="12:17" s="1523" customFormat="1">
      <c r="L1479" s="272"/>
      <c r="M1479" s="272"/>
      <c r="N1479" s="272"/>
      <c r="O1479" s="272"/>
      <c r="P1479" s="272"/>
      <c r="Q1479" s="272"/>
    </row>
    <row r="1480" spans="12:17" s="1523" customFormat="1">
      <c r="L1480" s="272"/>
      <c r="M1480" s="272"/>
      <c r="N1480" s="272"/>
      <c r="O1480" s="272"/>
      <c r="P1480" s="272"/>
      <c r="Q1480" s="272"/>
    </row>
    <row r="1481" spans="12:17" s="1523" customFormat="1">
      <c r="L1481" s="272"/>
      <c r="M1481" s="272"/>
      <c r="N1481" s="272"/>
      <c r="O1481" s="272"/>
      <c r="P1481" s="272"/>
      <c r="Q1481" s="272"/>
    </row>
    <row r="1482" spans="12:17" s="1523" customFormat="1">
      <c r="L1482" s="272"/>
      <c r="M1482" s="272"/>
      <c r="N1482" s="272"/>
      <c r="O1482" s="272"/>
      <c r="P1482" s="272"/>
      <c r="Q1482" s="272"/>
    </row>
    <row r="1483" spans="12:17" s="1523" customFormat="1">
      <c r="L1483" s="272"/>
      <c r="M1483" s="272"/>
      <c r="N1483" s="272"/>
      <c r="O1483" s="272"/>
      <c r="P1483" s="272"/>
      <c r="Q1483" s="272"/>
    </row>
    <row r="1484" spans="12:17" s="1523" customFormat="1">
      <c r="L1484" s="272"/>
      <c r="M1484" s="272"/>
      <c r="N1484" s="272"/>
      <c r="O1484" s="272"/>
      <c r="P1484" s="272"/>
      <c r="Q1484" s="272"/>
    </row>
    <row r="1485" spans="12:17" s="1523" customFormat="1">
      <c r="L1485" s="272"/>
      <c r="M1485" s="272"/>
      <c r="N1485" s="272"/>
      <c r="O1485" s="272"/>
      <c r="P1485" s="272"/>
      <c r="Q1485" s="272"/>
    </row>
    <row r="1486" spans="12:17" s="1523" customFormat="1">
      <c r="L1486" s="272"/>
      <c r="M1486" s="272"/>
      <c r="N1486" s="272"/>
      <c r="O1486" s="272"/>
      <c r="P1486" s="272"/>
      <c r="Q1486" s="272"/>
    </row>
    <row r="1487" spans="12:17" s="1523" customFormat="1">
      <c r="L1487" s="272"/>
      <c r="M1487" s="272"/>
      <c r="N1487" s="272"/>
      <c r="O1487" s="272"/>
      <c r="P1487" s="272"/>
      <c r="Q1487" s="272"/>
    </row>
    <row r="1488" spans="12:17" s="1523" customFormat="1">
      <c r="L1488" s="272"/>
      <c r="M1488" s="272"/>
      <c r="N1488" s="272"/>
      <c r="O1488" s="272"/>
      <c r="P1488" s="272"/>
      <c r="Q1488" s="272"/>
    </row>
    <row r="1489" spans="12:17" s="1523" customFormat="1">
      <c r="L1489" s="272"/>
      <c r="M1489" s="272"/>
      <c r="N1489" s="272"/>
      <c r="O1489" s="272"/>
      <c r="P1489" s="272"/>
      <c r="Q1489" s="272"/>
    </row>
    <row r="1490" spans="12:17" s="1523" customFormat="1">
      <c r="L1490" s="272"/>
      <c r="M1490" s="272"/>
      <c r="N1490" s="272"/>
      <c r="O1490" s="272"/>
      <c r="P1490" s="272"/>
      <c r="Q1490" s="272"/>
    </row>
    <row r="1491" spans="12:17" s="1523" customFormat="1">
      <c r="L1491" s="272"/>
      <c r="M1491" s="272"/>
      <c r="N1491" s="272"/>
      <c r="O1491" s="272"/>
      <c r="P1491" s="272"/>
      <c r="Q1491" s="272"/>
    </row>
    <row r="1492" spans="12:17" s="1523" customFormat="1">
      <c r="L1492" s="272"/>
      <c r="M1492" s="272"/>
      <c r="N1492" s="272"/>
      <c r="O1492" s="272"/>
      <c r="P1492" s="272"/>
      <c r="Q1492" s="272"/>
    </row>
    <row r="1493" spans="12:17" s="1523" customFormat="1">
      <c r="L1493" s="272"/>
      <c r="M1493" s="272"/>
      <c r="N1493" s="272"/>
      <c r="O1493" s="272"/>
      <c r="P1493" s="272"/>
      <c r="Q1493" s="272"/>
    </row>
    <row r="1494" spans="12:17" s="1523" customFormat="1">
      <c r="L1494" s="272"/>
      <c r="M1494" s="272"/>
      <c r="N1494" s="272"/>
      <c r="O1494" s="272"/>
      <c r="P1494" s="272"/>
      <c r="Q1494" s="272"/>
    </row>
    <row r="1495" spans="12:17" s="1523" customFormat="1">
      <c r="L1495" s="272"/>
      <c r="M1495" s="272"/>
      <c r="N1495" s="272"/>
      <c r="O1495" s="272"/>
      <c r="P1495" s="272"/>
      <c r="Q1495" s="272"/>
    </row>
    <row r="1496" spans="12:17" s="1523" customFormat="1">
      <c r="L1496" s="272"/>
      <c r="M1496" s="272"/>
      <c r="N1496" s="272"/>
      <c r="O1496" s="272"/>
      <c r="P1496" s="272"/>
      <c r="Q1496" s="272"/>
    </row>
    <row r="1497" spans="12:17" s="1523" customFormat="1">
      <c r="L1497" s="272"/>
      <c r="M1497" s="272"/>
      <c r="N1497" s="272"/>
      <c r="O1497" s="272"/>
      <c r="P1497" s="272"/>
      <c r="Q1497" s="272"/>
    </row>
    <row r="1498" spans="12:17" s="1523" customFormat="1">
      <c r="L1498" s="272"/>
      <c r="M1498" s="272"/>
      <c r="N1498" s="272"/>
      <c r="O1498" s="272"/>
      <c r="P1498" s="272"/>
      <c r="Q1498" s="272"/>
    </row>
    <row r="1499" spans="12:17" s="1523" customFormat="1">
      <c r="L1499" s="272"/>
      <c r="M1499" s="272"/>
      <c r="N1499" s="272"/>
      <c r="O1499" s="272"/>
      <c r="P1499" s="272"/>
      <c r="Q1499" s="272"/>
    </row>
    <row r="1500" spans="12:17" s="1523" customFormat="1">
      <c r="L1500" s="272"/>
      <c r="M1500" s="272"/>
      <c r="N1500" s="272"/>
      <c r="O1500" s="272"/>
      <c r="P1500" s="272"/>
      <c r="Q1500" s="272"/>
    </row>
    <row r="1501" spans="12:17" s="1523" customFormat="1">
      <c r="L1501" s="272"/>
      <c r="M1501" s="272"/>
      <c r="N1501" s="272"/>
      <c r="O1501" s="272"/>
      <c r="P1501" s="272"/>
      <c r="Q1501" s="272"/>
    </row>
    <row r="1502" spans="12:17" s="1523" customFormat="1">
      <c r="L1502" s="272"/>
      <c r="M1502" s="272"/>
      <c r="N1502" s="272"/>
      <c r="O1502" s="272"/>
      <c r="P1502" s="272"/>
      <c r="Q1502" s="272"/>
    </row>
    <row r="1503" spans="12:17" s="1523" customFormat="1">
      <c r="L1503" s="272"/>
      <c r="M1503" s="272"/>
      <c r="N1503" s="272"/>
      <c r="O1503" s="272"/>
      <c r="P1503" s="272"/>
      <c r="Q1503" s="272"/>
    </row>
    <row r="1504" spans="12:17" s="1523" customFormat="1">
      <c r="L1504" s="272"/>
      <c r="M1504" s="272"/>
      <c r="N1504" s="272"/>
      <c r="O1504" s="272"/>
      <c r="P1504" s="272"/>
      <c r="Q1504" s="272"/>
    </row>
    <row r="1505" spans="12:17" s="1523" customFormat="1">
      <c r="L1505" s="272"/>
      <c r="M1505" s="272"/>
      <c r="N1505" s="272"/>
      <c r="O1505" s="272"/>
      <c r="P1505" s="272"/>
      <c r="Q1505" s="272"/>
    </row>
    <row r="1506" spans="12:17" s="1523" customFormat="1">
      <c r="L1506" s="272"/>
      <c r="M1506" s="272"/>
      <c r="N1506" s="272"/>
      <c r="O1506" s="272"/>
      <c r="P1506" s="272"/>
      <c r="Q1506" s="272"/>
    </row>
    <row r="1507" spans="12:17" s="1523" customFormat="1">
      <c r="L1507" s="272"/>
      <c r="M1507" s="272"/>
      <c r="N1507" s="272"/>
      <c r="O1507" s="272"/>
      <c r="P1507" s="272"/>
      <c r="Q1507" s="272"/>
    </row>
    <row r="1508" spans="12:17" s="1523" customFormat="1">
      <c r="L1508" s="272"/>
      <c r="M1508" s="272"/>
      <c r="N1508" s="272"/>
      <c r="O1508" s="272"/>
      <c r="P1508" s="272"/>
      <c r="Q1508" s="272"/>
    </row>
    <row r="1509" spans="12:17" s="1523" customFormat="1">
      <c r="L1509" s="272"/>
      <c r="M1509" s="272"/>
      <c r="N1509" s="272"/>
      <c r="O1509" s="272"/>
      <c r="P1509" s="272"/>
      <c r="Q1509" s="272"/>
    </row>
    <row r="1510" spans="12:17" s="1523" customFormat="1">
      <c r="L1510" s="272"/>
      <c r="M1510" s="272"/>
      <c r="N1510" s="272"/>
      <c r="O1510" s="272"/>
      <c r="P1510" s="272"/>
      <c r="Q1510" s="272"/>
    </row>
    <row r="1511" spans="12:17" s="1523" customFormat="1">
      <c r="L1511" s="272"/>
      <c r="M1511" s="272"/>
      <c r="N1511" s="272"/>
      <c r="O1511" s="272"/>
      <c r="P1511" s="272"/>
      <c r="Q1511" s="272"/>
    </row>
    <row r="1512" spans="12:17" s="1523" customFormat="1">
      <c r="L1512" s="272"/>
      <c r="M1512" s="272"/>
      <c r="N1512" s="272"/>
      <c r="O1512" s="272"/>
      <c r="P1512" s="272"/>
      <c r="Q1512" s="272"/>
    </row>
    <row r="1513" spans="12:17" s="1523" customFormat="1">
      <c r="L1513" s="272"/>
      <c r="M1513" s="272"/>
      <c r="N1513" s="272"/>
      <c r="O1513" s="272"/>
      <c r="P1513" s="272"/>
      <c r="Q1513" s="272"/>
    </row>
    <row r="1514" spans="12:17" s="1523" customFormat="1">
      <c r="L1514" s="272"/>
      <c r="M1514" s="272"/>
      <c r="N1514" s="272"/>
      <c r="O1514" s="272"/>
      <c r="P1514" s="272"/>
      <c r="Q1514" s="272"/>
    </row>
    <row r="1515" spans="12:17" s="1523" customFormat="1">
      <c r="L1515" s="272"/>
      <c r="M1515" s="272"/>
      <c r="N1515" s="272"/>
      <c r="O1515" s="272"/>
      <c r="P1515" s="272"/>
      <c r="Q1515" s="272"/>
    </row>
    <row r="1516" spans="12:17" s="1523" customFormat="1">
      <c r="L1516" s="272"/>
      <c r="M1516" s="272"/>
      <c r="N1516" s="272"/>
      <c r="O1516" s="272"/>
      <c r="P1516" s="272"/>
      <c r="Q1516" s="272"/>
    </row>
    <row r="1517" spans="12:17" s="1523" customFormat="1">
      <c r="L1517" s="272"/>
      <c r="M1517" s="272"/>
      <c r="N1517" s="272"/>
      <c r="O1517" s="272"/>
      <c r="P1517" s="272"/>
      <c r="Q1517" s="272"/>
    </row>
    <row r="1518" spans="12:17" s="1523" customFormat="1">
      <c r="L1518" s="272"/>
      <c r="M1518" s="272"/>
      <c r="N1518" s="272"/>
      <c r="O1518" s="272"/>
      <c r="P1518" s="272"/>
      <c r="Q1518" s="272"/>
    </row>
    <row r="1519" spans="12:17" s="1523" customFormat="1">
      <c r="L1519" s="272"/>
      <c r="M1519" s="272"/>
      <c r="N1519" s="272"/>
      <c r="O1519" s="272"/>
      <c r="P1519" s="272"/>
      <c r="Q1519" s="272"/>
    </row>
    <row r="1520" spans="12:17" s="1523" customFormat="1">
      <c r="L1520" s="272"/>
      <c r="M1520" s="272"/>
      <c r="N1520" s="272"/>
      <c r="O1520" s="272"/>
      <c r="P1520" s="272"/>
      <c r="Q1520" s="272"/>
    </row>
    <row r="1521" spans="12:17" s="1523" customFormat="1">
      <c r="L1521" s="272"/>
      <c r="M1521" s="272"/>
      <c r="N1521" s="272"/>
      <c r="O1521" s="272"/>
      <c r="P1521" s="272"/>
      <c r="Q1521" s="272"/>
    </row>
    <row r="1522" spans="12:17" s="1523" customFormat="1">
      <c r="L1522" s="272"/>
      <c r="M1522" s="272"/>
      <c r="N1522" s="272"/>
      <c r="O1522" s="272"/>
      <c r="P1522" s="272"/>
      <c r="Q1522" s="272"/>
    </row>
    <row r="1523" spans="12:17" s="1523" customFormat="1">
      <c r="L1523" s="272"/>
      <c r="M1523" s="272"/>
      <c r="N1523" s="272"/>
      <c r="O1523" s="272"/>
      <c r="P1523" s="272"/>
      <c r="Q1523" s="272"/>
    </row>
    <row r="1524" spans="12:17" s="1523" customFormat="1">
      <c r="L1524" s="272"/>
      <c r="M1524" s="272"/>
      <c r="N1524" s="272"/>
      <c r="O1524" s="272"/>
      <c r="P1524" s="272"/>
      <c r="Q1524" s="272"/>
    </row>
    <row r="1525" spans="12:17" s="1523" customFormat="1">
      <c r="L1525" s="272"/>
      <c r="M1525" s="272"/>
      <c r="N1525" s="272"/>
      <c r="O1525" s="272"/>
      <c r="P1525" s="272"/>
      <c r="Q1525" s="272"/>
    </row>
    <row r="1526" spans="12:17" s="1523" customFormat="1">
      <c r="L1526" s="272"/>
      <c r="M1526" s="272"/>
      <c r="N1526" s="272"/>
      <c r="O1526" s="272"/>
      <c r="P1526" s="272"/>
      <c r="Q1526" s="272"/>
    </row>
    <row r="1527" spans="12:17" s="1523" customFormat="1">
      <c r="L1527" s="272"/>
      <c r="M1527" s="272"/>
      <c r="N1527" s="272"/>
      <c r="O1527" s="272"/>
      <c r="P1527" s="272"/>
      <c r="Q1527" s="272"/>
    </row>
    <row r="1528" spans="12:17" s="1523" customFormat="1">
      <c r="L1528" s="272"/>
      <c r="M1528" s="272"/>
      <c r="N1528" s="272"/>
      <c r="O1528" s="272"/>
      <c r="P1528" s="272"/>
      <c r="Q1528" s="272"/>
    </row>
    <row r="1529" spans="12:17" s="1523" customFormat="1">
      <c r="L1529" s="272"/>
      <c r="M1529" s="272"/>
      <c r="N1529" s="272"/>
      <c r="O1529" s="272"/>
      <c r="P1529" s="272"/>
      <c r="Q1529" s="272"/>
    </row>
    <row r="1530" spans="12:17" s="1523" customFormat="1">
      <c r="L1530" s="272"/>
      <c r="M1530" s="272"/>
      <c r="N1530" s="272"/>
      <c r="O1530" s="272"/>
      <c r="P1530" s="272"/>
      <c r="Q1530" s="272"/>
    </row>
    <row r="1531" spans="12:17" s="1523" customFormat="1">
      <c r="L1531" s="272"/>
      <c r="M1531" s="272"/>
      <c r="N1531" s="272"/>
      <c r="O1531" s="272"/>
      <c r="P1531" s="272"/>
      <c r="Q1531" s="272"/>
    </row>
    <row r="1532" spans="12:17" s="1523" customFormat="1">
      <c r="L1532" s="272"/>
      <c r="M1532" s="272"/>
      <c r="N1532" s="272"/>
      <c r="O1532" s="272"/>
      <c r="P1532" s="272"/>
      <c r="Q1532" s="272"/>
    </row>
    <row r="1533" spans="12:17" s="1523" customFormat="1">
      <c r="L1533" s="272"/>
      <c r="M1533" s="272"/>
      <c r="N1533" s="272"/>
      <c r="O1533" s="272"/>
      <c r="P1533" s="272"/>
      <c r="Q1533" s="272"/>
    </row>
    <row r="1534" spans="12:17" s="1523" customFormat="1">
      <c r="L1534" s="272"/>
      <c r="M1534" s="272"/>
      <c r="N1534" s="272"/>
      <c r="O1534" s="272"/>
      <c r="P1534" s="272"/>
      <c r="Q1534" s="272"/>
    </row>
    <row r="1535" spans="12:17" s="1523" customFormat="1">
      <c r="L1535" s="272"/>
      <c r="M1535" s="272"/>
      <c r="N1535" s="272"/>
      <c r="O1535" s="272"/>
      <c r="P1535" s="272"/>
      <c r="Q1535" s="272"/>
    </row>
    <row r="1536" spans="12:17" s="1523" customFormat="1">
      <c r="L1536" s="272"/>
      <c r="M1536" s="272"/>
      <c r="N1536" s="272"/>
      <c r="O1536" s="272"/>
      <c r="P1536" s="272"/>
      <c r="Q1536" s="272"/>
    </row>
    <row r="1537" spans="12:17" s="1523" customFormat="1">
      <c r="L1537" s="272"/>
      <c r="M1537" s="272"/>
      <c r="N1537" s="272"/>
      <c r="O1537" s="272"/>
      <c r="P1537" s="272"/>
      <c r="Q1537" s="272"/>
    </row>
    <row r="1538" spans="12:17" s="1523" customFormat="1">
      <c r="L1538" s="272"/>
      <c r="M1538" s="272"/>
      <c r="N1538" s="272"/>
      <c r="O1538" s="272"/>
      <c r="P1538" s="272"/>
      <c r="Q1538" s="272"/>
    </row>
    <row r="1539" spans="12:17" s="1523" customFormat="1">
      <c r="L1539" s="272"/>
      <c r="M1539" s="272"/>
      <c r="N1539" s="272"/>
      <c r="O1539" s="272"/>
      <c r="P1539" s="272"/>
      <c r="Q1539" s="272"/>
    </row>
    <row r="1540" spans="12:17" s="1523" customFormat="1">
      <c r="L1540" s="272"/>
      <c r="M1540" s="272"/>
      <c r="N1540" s="272"/>
      <c r="O1540" s="272"/>
      <c r="P1540" s="272"/>
      <c r="Q1540" s="272"/>
    </row>
    <row r="1541" spans="12:17" s="1523" customFormat="1">
      <c r="L1541" s="272"/>
      <c r="M1541" s="272"/>
      <c r="N1541" s="272"/>
      <c r="O1541" s="272"/>
      <c r="P1541" s="272"/>
      <c r="Q1541" s="272"/>
    </row>
    <row r="1542" spans="12:17" s="1523" customFormat="1">
      <c r="L1542" s="272"/>
      <c r="M1542" s="272"/>
      <c r="N1542" s="272"/>
      <c r="O1542" s="272"/>
      <c r="P1542" s="272"/>
      <c r="Q1542" s="272"/>
    </row>
    <row r="1543" spans="12:17" s="1523" customFormat="1">
      <c r="L1543" s="272"/>
      <c r="M1543" s="272"/>
      <c r="N1543" s="272"/>
      <c r="O1543" s="272"/>
      <c r="P1543" s="272"/>
      <c r="Q1543" s="272"/>
    </row>
    <row r="1544" spans="12:17" s="1523" customFormat="1">
      <c r="L1544" s="272"/>
      <c r="M1544" s="272"/>
      <c r="N1544" s="272"/>
      <c r="O1544" s="272"/>
      <c r="P1544" s="272"/>
      <c r="Q1544" s="272"/>
    </row>
    <row r="1545" spans="12:17" s="1523" customFormat="1">
      <c r="L1545" s="272"/>
      <c r="M1545" s="272"/>
      <c r="N1545" s="272"/>
      <c r="O1545" s="272"/>
      <c r="P1545" s="272"/>
      <c r="Q1545" s="272"/>
    </row>
    <row r="1546" spans="12:17" s="1523" customFormat="1">
      <c r="L1546" s="272"/>
      <c r="M1546" s="272"/>
      <c r="N1546" s="272"/>
      <c r="O1546" s="272"/>
      <c r="P1546" s="272"/>
      <c r="Q1546" s="272"/>
    </row>
    <row r="1547" spans="12:17" s="1523" customFormat="1">
      <c r="L1547" s="272"/>
      <c r="M1547" s="272"/>
      <c r="N1547" s="272"/>
      <c r="O1547" s="272"/>
      <c r="P1547" s="272"/>
      <c r="Q1547" s="272"/>
    </row>
    <row r="1548" spans="12:17" s="1523" customFormat="1">
      <c r="L1548" s="272"/>
      <c r="M1548" s="272"/>
      <c r="N1548" s="272"/>
      <c r="O1548" s="272"/>
      <c r="P1548" s="272"/>
      <c r="Q1548" s="272"/>
    </row>
    <row r="1549" spans="12:17" s="1523" customFormat="1">
      <c r="L1549" s="272"/>
      <c r="M1549" s="272"/>
      <c r="N1549" s="272"/>
      <c r="O1549" s="272"/>
      <c r="P1549" s="272"/>
      <c r="Q1549" s="272"/>
    </row>
    <row r="1550" spans="12:17" s="1523" customFormat="1">
      <c r="L1550" s="272"/>
      <c r="M1550" s="272"/>
      <c r="N1550" s="272"/>
      <c r="O1550" s="272"/>
      <c r="P1550" s="272"/>
      <c r="Q1550" s="272"/>
    </row>
    <row r="1551" spans="12:17" s="1523" customFormat="1">
      <c r="L1551" s="272"/>
      <c r="M1551" s="272"/>
      <c r="N1551" s="272"/>
      <c r="O1551" s="272"/>
      <c r="P1551" s="272"/>
      <c r="Q1551" s="272"/>
    </row>
    <row r="1552" spans="12:17" s="1523" customFormat="1">
      <c r="L1552" s="272"/>
      <c r="M1552" s="272"/>
      <c r="N1552" s="272"/>
      <c r="O1552" s="272"/>
      <c r="P1552" s="272"/>
      <c r="Q1552" s="272"/>
    </row>
    <row r="1553" spans="12:17" s="1523" customFormat="1">
      <c r="L1553" s="272"/>
      <c r="M1553" s="272"/>
      <c r="N1553" s="272"/>
      <c r="O1553" s="272"/>
      <c r="P1553" s="272"/>
      <c r="Q1553" s="272"/>
    </row>
    <row r="1554" spans="12:17" s="1523" customFormat="1">
      <c r="L1554" s="272"/>
      <c r="M1554" s="272"/>
      <c r="N1554" s="272"/>
      <c r="O1554" s="272"/>
      <c r="P1554" s="272"/>
      <c r="Q1554" s="272"/>
    </row>
    <row r="1555" spans="12:17" s="1523" customFormat="1">
      <c r="L1555" s="272"/>
      <c r="M1555" s="272"/>
      <c r="N1555" s="272"/>
      <c r="O1555" s="272"/>
      <c r="P1555" s="272"/>
      <c r="Q1555" s="272"/>
    </row>
    <row r="1556" spans="12:17" s="1523" customFormat="1">
      <c r="L1556" s="272"/>
      <c r="M1556" s="272"/>
      <c r="N1556" s="272"/>
      <c r="O1556" s="272"/>
      <c r="P1556" s="272"/>
      <c r="Q1556" s="272"/>
    </row>
    <row r="1557" spans="12:17" s="1523" customFormat="1">
      <c r="L1557" s="272"/>
      <c r="M1557" s="272"/>
      <c r="N1557" s="272"/>
      <c r="O1557" s="272"/>
      <c r="P1557" s="272"/>
      <c r="Q1557" s="272"/>
    </row>
    <row r="1558" spans="12:17" s="1523" customFormat="1">
      <c r="L1558" s="272"/>
      <c r="M1558" s="272"/>
      <c r="N1558" s="272"/>
      <c r="O1558" s="272"/>
      <c r="P1558" s="272"/>
      <c r="Q1558" s="272"/>
    </row>
    <row r="1559" spans="12:17" s="1523" customFormat="1">
      <c r="L1559" s="272"/>
      <c r="M1559" s="272"/>
      <c r="N1559" s="272"/>
      <c r="O1559" s="272"/>
      <c r="P1559" s="272"/>
      <c r="Q1559" s="272"/>
    </row>
    <row r="1560" spans="12:17" s="1523" customFormat="1">
      <c r="L1560" s="272"/>
      <c r="M1560" s="272"/>
      <c r="N1560" s="272"/>
      <c r="O1560" s="272"/>
      <c r="P1560" s="272"/>
      <c r="Q1560" s="272"/>
    </row>
    <row r="1561" spans="12:17" s="1523" customFormat="1">
      <c r="L1561" s="272"/>
      <c r="M1561" s="272"/>
      <c r="N1561" s="272"/>
      <c r="O1561" s="272"/>
      <c r="P1561" s="272"/>
      <c r="Q1561" s="272"/>
    </row>
    <row r="1562" spans="12:17" s="1523" customFormat="1">
      <c r="L1562" s="272"/>
      <c r="M1562" s="272"/>
      <c r="N1562" s="272"/>
      <c r="O1562" s="272"/>
      <c r="P1562" s="272"/>
      <c r="Q1562" s="272"/>
    </row>
    <row r="1563" spans="12:17" s="1523" customFormat="1">
      <c r="L1563" s="272"/>
      <c r="M1563" s="272"/>
      <c r="N1563" s="272"/>
      <c r="O1563" s="272"/>
      <c r="P1563" s="272"/>
      <c r="Q1563" s="272"/>
    </row>
    <row r="1564" spans="12:17" s="1523" customFormat="1">
      <c r="L1564" s="272"/>
      <c r="M1564" s="272"/>
      <c r="N1564" s="272"/>
      <c r="O1564" s="272"/>
      <c r="P1564" s="272"/>
      <c r="Q1564" s="272"/>
    </row>
    <row r="1565" spans="12:17" s="1523" customFormat="1">
      <c r="L1565" s="272"/>
      <c r="M1565" s="272"/>
      <c r="N1565" s="272"/>
      <c r="O1565" s="272"/>
      <c r="P1565" s="272"/>
      <c r="Q1565" s="272"/>
    </row>
    <row r="1566" spans="12:17" s="1523" customFormat="1">
      <c r="L1566" s="272"/>
      <c r="M1566" s="272"/>
      <c r="N1566" s="272"/>
      <c r="O1566" s="272"/>
      <c r="P1566" s="272"/>
      <c r="Q1566" s="272"/>
    </row>
    <row r="1567" spans="12:17" s="1523" customFormat="1">
      <c r="L1567" s="272"/>
      <c r="M1567" s="272"/>
      <c r="N1567" s="272"/>
      <c r="O1567" s="272"/>
      <c r="P1567" s="272"/>
      <c r="Q1567" s="272"/>
    </row>
    <row r="1568" spans="12:17" s="1523" customFormat="1">
      <c r="L1568" s="272"/>
      <c r="M1568" s="272"/>
      <c r="N1568" s="272"/>
      <c r="O1568" s="272"/>
      <c r="P1568" s="272"/>
      <c r="Q1568" s="272"/>
    </row>
    <row r="1569" spans="12:17" s="1523" customFormat="1">
      <c r="L1569" s="272"/>
      <c r="M1569" s="272"/>
      <c r="N1569" s="272"/>
      <c r="O1569" s="272"/>
      <c r="P1569" s="272"/>
      <c r="Q1569" s="272"/>
    </row>
    <row r="1570" spans="12:17" s="1523" customFormat="1">
      <c r="L1570" s="272"/>
      <c r="M1570" s="272"/>
      <c r="N1570" s="272"/>
      <c r="O1570" s="272"/>
      <c r="P1570" s="272"/>
      <c r="Q1570" s="272"/>
    </row>
    <row r="1571" spans="12:17" s="1523" customFormat="1">
      <c r="L1571" s="272"/>
      <c r="M1571" s="272"/>
      <c r="N1571" s="272"/>
      <c r="O1571" s="272"/>
      <c r="P1571" s="272"/>
      <c r="Q1571" s="272"/>
    </row>
    <row r="1572" spans="12:17" s="1523" customFormat="1">
      <c r="L1572" s="272"/>
      <c r="M1572" s="272"/>
      <c r="N1572" s="272"/>
      <c r="O1572" s="272"/>
      <c r="P1572" s="272"/>
      <c r="Q1572" s="272"/>
    </row>
    <row r="1573" spans="12:17" s="1523" customFormat="1">
      <c r="L1573" s="272"/>
      <c r="M1573" s="272"/>
      <c r="N1573" s="272"/>
      <c r="O1573" s="272"/>
      <c r="P1573" s="272"/>
      <c r="Q1573" s="272"/>
    </row>
    <row r="1574" spans="12:17" s="1523" customFormat="1">
      <c r="L1574" s="272"/>
      <c r="M1574" s="272"/>
      <c r="N1574" s="272"/>
      <c r="O1574" s="272"/>
      <c r="P1574" s="272"/>
      <c r="Q1574" s="272"/>
    </row>
    <row r="1575" spans="12:17" s="1523" customFormat="1">
      <c r="L1575" s="272"/>
      <c r="M1575" s="272"/>
      <c r="N1575" s="272"/>
      <c r="O1575" s="272"/>
      <c r="P1575" s="272"/>
      <c r="Q1575" s="272"/>
    </row>
    <row r="1576" spans="12:17" s="1523" customFormat="1">
      <c r="L1576" s="272"/>
      <c r="M1576" s="272"/>
      <c r="N1576" s="272"/>
      <c r="O1576" s="272"/>
      <c r="P1576" s="272"/>
      <c r="Q1576" s="272"/>
    </row>
    <row r="1577" spans="12:17" s="1523" customFormat="1">
      <c r="L1577" s="272"/>
      <c r="M1577" s="272"/>
      <c r="N1577" s="272"/>
      <c r="O1577" s="272"/>
      <c r="P1577" s="272"/>
      <c r="Q1577" s="272"/>
    </row>
    <row r="1578" spans="12:17" s="1523" customFormat="1">
      <c r="L1578" s="272"/>
      <c r="M1578" s="272"/>
      <c r="N1578" s="272"/>
      <c r="O1578" s="272"/>
      <c r="P1578" s="272"/>
      <c r="Q1578" s="272"/>
    </row>
    <row r="1579" spans="12:17" s="1523" customFormat="1">
      <c r="L1579" s="272"/>
      <c r="M1579" s="272"/>
      <c r="N1579" s="272"/>
      <c r="O1579" s="272"/>
      <c r="P1579" s="272"/>
      <c r="Q1579" s="272"/>
    </row>
    <row r="1580" spans="12:17" s="1523" customFormat="1">
      <c r="L1580" s="272"/>
      <c r="M1580" s="272"/>
      <c r="N1580" s="272"/>
      <c r="O1580" s="272"/>
      <c r="P1580" s="272"/>
      <c r="Q1580" s="272"/>
    </row>
    <row r="1581" spans="12:17" s="1523" customFormat="1">
      <c r="L1581" s="272"/>
      <c r="M1581" s="272"/>
      <c r="N1581" s="272"/>
      <c r="O1581" s="272"/>
      <c r="P1581" s="272"/>
      <c r="Q1581" s="272"/>
    </row>
    <row r="1582" spans="12:17" s="1523" customFormat="1">
      <c r="L1582" s="272"/>
      <c r="M1582" s="272"/>
      <c r="N1582" s="272"/>
      <c r="O1582" s="272"/>
      <c r="P1582" s="272"/>
      <c r="Q1582" s="272"/>
    </row>
    <row r="1583" spans="12:17" s="1523" customFormat="1">
      <c r="L1583" s="272"/>
      <c r="M1583" s="272"/>
      <c r="N1583" s="272"/>
      <c r="O1583" s="272"/>
      <c r="P1583" s="272"/>
      <c r="Q1583" s="272"/>
    </row>
    <row r="1584" spans="12:17" s="1523" customFormat="1">
      <c r="L1584" s="272"/>
      <c r="M1584" s="272"/>
      <c r="N1584" s="272"/>
      <c r="O1584" s="272"/>
      <c r="P1584" s="272"/>
      <c r="Q1584" s="272"/>
    </row>
    <row r="1585" spans="12:17" s="1523" customFormat="1">
      <c r="L1585" s="272"/>
      <c r="M1585" s="272"/>
      <c r="N1585" s="272"/>
      <c r="O1585" s="272"/>
      <c r="P1585" s="272"/>
      <c r="Q1585" s="272"/>
    </row>
    <row r="1586" spans="12:17" s="1523" customFormat="1">
      <c r="L1586" s="272"/>
      <c r="M1586" s="272"/>
      <c r="N1586" s="272"/>
      <c r="O1586" s="272"/>
      <c r="P1586" s="272"/>
      <c r="Q1586" s="272"/>
    </row>
    <row r="1587" spans="12:17" s="1523" customFormat="1">
      <c r="L1587" s="272"/>
      <c r="M1587" s="272"/>
      <c r="N1587" s="272"/>
      <c r="O1587" s="272"/>
      <c r="P1587" s="272"/>
      <c r="Q1587" s="272"/>
    </row>
    <row r="1588" spans="12:17" s="1523" customFormat="1">
      <c r="L1588" s="272"/>
      <c r="M1588" s="272"/>
      <c r="N1588" s="272"/>
      <c r="O1588" s="272"/>
      <c r="P1588" s="272"/>
      <c r="Q1588" s="272"/>
    </row>
    <row r="1589" spans="12:17" s="1523" customFormat="1">
      <c r="L1589" s="272"/>
      <c r="M1589" s="272"/>
      <c r="N1589" s="272"/>
      <c r="O1589" s="272"/>
      <c r="P1589" s="272"/>
      <c r="Q1589" s="272"/>
    </row>
    <row r="1590" spans="12:17" s="1523" customFormat="1">
      <c r="L1590" s="272"/>
      <c r="M1590" s="272"/>
      <c r="N1590" s="272"/>
      <c r="O1590" s="272"/>
      <c r="P1590" s="272"/>
      <c r="Q1590" s="272"/>
    </row>
    <row r="1591" spans="12:17" s="1523" customFormat="1">
      <c r="L1591" s="272"/>
      <c r="M1591" s="272"/>
      <c r="N1591" s="272"/>
      <c r="O1591" s="272"/>
      <c r="P1591" s="272"/>
      <c r="Q1591" s="272"/>
    </row>
    <row r="1592" spans="12:17" s="1523" customFormat="1">
      <c r="L1592" s="272"/>
      <c r="M1592" s="272"/>
      <c r="N1592" s="272"/>
      <c r="O1592" s="272"/>
      <c r="P1592" s="272"/>
      <c r="Q1592" s="272"/>
    </row>
    <row r="1593" spans="12:17" s="1523" customFormat="1">
      <c r="L1593" s="272"/>
      <c r="M1593" s="272"/>
      <c r="N1593" s="272"/>
      <c r="O1593" s="272"/>
      <c r="P1593" s="272"/>
      <c r="Q1593" s="272"/>
    </row>
    <row r="1594" spans="12:17" s="1523" customFormat="1">
      <c r="L1594" s="272"/>
      <c r="M1594" s="272"/>
      <c r="N1594" s="272"/>
      <c r="O1594" s="272"/>
      <c r="P1594" s="272"/>
      <c r="Q1594" s="272"/>
    </row>
    <row r="1595" spans="12:17" s="1523" customFormat="1">
      <c r="L1595" s="272"/>
      <c r="M1595" s="272"/>
      <c r="N1595" s="272"/>
      <c r="O1595" s="272"/>
      <c r="P1595" s="272"/>
      <c r="Q1595" s="272"/>
    </row>
    <row r="1596" spans="12:17" s="1523" customFormat="1">
      <c r="L1596" s="272"/>
      <c r="M1596" s="272"/>
      <c r="N1596" s="272"/>
      <c r="O1596" s="272"/>
      <c r="P1596" s="272"/>
      <c r="Q1596" s="272"/>
    </row>
    <row r="1597" spans="12:17" s="1523" customFormat="1">
      <c r="L1597" s="272"/>
      <c r="M1597" s="272"/>
      <c r="N1597" s="272"/>
      <c r="O1597" s="272"/>
      <c r="P1597" s="272"/>
      <c r="Q1597" s="272"/>
    </row>
    <row r="1598" spans="12:17" s="1523" customFormat="1">
      <c r="L1598" s="272"/>
      <c r="M1598" s="272"/>
      <c r="N1598" s="272"/>
      <c r="O1598" s="272"/>
      <c r="P1598" s="272"/>
      <c r="Q1598" s="272"/>
    </row>
    <row r="1599" spans="12:17" s="1523" customFormat="1">
      <c r="L1599" s="272"/>
      <c r="M1599" s="272"/>
      <c r="N1599" s="272"/>
      <c r="O1599" s="272"/>
      <c r="P1599" s="272"/>
      <c r="Q1599" s="272"/>
    </row>
    <row r="1600" spans="12:17" s="1523" customFormat="1">
      <c r="L1600" s="272"/>
      <c r="M1600" s="272"/>
      <c r="N1600" s="272"/>
      <c r="O1600" s="272"/>
      <c r="P1600" s="272"/>
      <c r="Q1600" s="272"/>
    </row>
    <row r="1601" spans="12:17" s="1523" customFormat="1">
      <c r="L1601" s="272"/>
      <c r="M1601" s="272"/>
      <c r="N1601" s="272"/>
      <c r="O1601" s="272"/>
      <c r="P1601" s="272"/>
      <c r="Q1601" s="272"/>
    </row>
    <row r="1602" spans="12:17" s="1523" customFormat="1">
      <c r="L1602" s="272"/>
      <c r="M1602" s="272"/>
      <c r="N1602" s="272"/>
      <c r="O1602" s="272"/>
      <c r="P1602" s="272"/>
      <c r="Q1602" s="272"/>
    </row>
    <row r="1603" spans="12:17" s="1523" customFormat="1">
      <c r="L1603" s="272"/>
      <c r="M1603" s="272"/>
      <c r="N1603" s="272"/>
      <c r="O1603" s="272"/>
      <c r="P1603" s="272"/>
      <c r="Q1603" s="272"/>
    </row>
    <row r="1604" spans="12:17" s="1523" customFormat="1">
      <c r="L1604" s="272"/>
      <c r="M1604" s="272"/>
      <c r="N1604" s="272"/>
      <c r="O1604" s="272"/>
      <c r="P1604" s="272"/>
      <c r="Q1604" s="272"/>
    </row>
    <row r="1605" spans="12:17" s="1523" customFormat="1">
      <c r="L1605" s="272"/>
      <c r="M1605" s="272"/>
      <c r="N1605" s="272"/>
      <c r="O1605" s="272"/>
      <c r="P1605" s="272"/>
      <c r="Q1605" s="272"/>
    </row>
    <row r="1606" spans="12:17" s="1523" customFormat="1">
      <c r="L1606" s="272"/>
      <c r="M1606" s="272"/>
      <c r="N1606" s="272"/>
      <c r="O1606" s="272"/>
      <c r="P1606" s="272"/>
      <c r="Q1606" s="272"/>
    </row>
    <row r="1607" spans="12:17" s="1523" customFormat="1">
      <c r="L1607" s="272"/>
      <c r="M1607" s="272"/>
      <c r="N1607" s="272"/>
      <c r="O1607" s="272"/>
      <c r="P1607" s="272"/>
      <c r="Q1607" s="272"/>
    </row>
    <row r="1608" spans="12:17" s="1523" customFormat="1">
      <c r="L1608" s="272"/>
      <c r="M1608" s="272"/>
      <c r="N1608" s="272"/>
      <c r="O1608" s="272"/>
      <c r="P1608" s="272"/>
      <c r="Q1608" s="272"/>
    </row>
    <row r="1609" spans="12:17" s="1523" customFormat="1">
      <c r="L1609" s="272"/>
      <c r="M1609" s="272"/>
      <c r="N1609" s="272"/>
      <c r="O1609" s="272"/>
      <c r="P1609" s="272"/>
      <c r="Q1609" s="272"/>
    </row>
    <row r="1610" spans="12:17" s="1523" customFormat="1">
      <c r="L1610" s="272"/>
      <c r="M1610" s="272"/>
      <c r="N1610" s="272"/>
      <c r="O1610" s="272"/>
      <c r="P1610" s="272"/>
      <c r="Q1610" s="272"/>
    </row>
    <row r="1611" spans="12:17" s="1523" customFormat="1">
      <c r="L1611" s="272"/>
      <c r="M1611" s="272"/>
      <c r="N1611" s="272"/>
      <c r="O1611" s="272"/>
      <c r="P1611" s="272"/>
      <c r="Q1611" s="272"/>
    </row>
    <row r="1612" spans="12:17" s="1523" customFormat="1">
      <c r="L1612" s="272"/>
      <c r="M1612" s="272"/>
      <c r="N1612" s="272"/>
      <c r="O1612" s="272"/>
      <c r="P1612" s="272"/>
      <c r="Q1612" s="272"/>
    </row>
    <row r="1613" spans="12:17" s="1523" customFormat="1">
      <c r="L1613" s="272"/>
      <c r="M1613" s="272"/>
      <c r="N1613" s="272"/>
      <c r="O1613" s="272"/>
      <c r="P1613" s="272"/>
      <c r="Q1613" s="272"/>
    </row>
    <row r="1614" spans="12:17" s="1523" customFormat="1">
      <c r="L1614" s="272"/>
      <c r="M1614" s="272"/>
      <c r="N1614" s="272"/>
      <c r="O1614" s="272"/>
      <c r="P1614" s="272"/>
      <c r="Q1614" s="272"/>
    </row>
    <row r="1615" spans="12:17" s="1523" customFormat="1">
      <c r="L1615" s="272"/>
      <c r="M1615" s="272"/>
      <c r="N1615" s="272"/>
      <c r="O1615" s="272"/>
      <c r="P1615" s="272"/>
      <c r="Q1615" s="272"/>
    </row>
    <row r="1616" spans="12:17" s="1523" customFormat="1">
      <c r="L1616" s="272"/>
      <c r="M1616" s="272"/>
      <c r="N1616" s="272"/>
      <c r="O1616" s="272"/>
      <c r="P1616" s="272"/>
      <c r="Q1616" s="272"/>
    </row>
    <row r="1617" spans="12:17" s="1523" customFormat="1">
      <c r="L1617" s="272"/>
      <c r="M1617" s="272"/>
      <c r="N1617" s="272"/>
      <c r="O1617" s="272"/>
      <c r="P1617" s="272"/>
      <c r="Q1617" s="272"/>
    </row>
    <row r="1618" spans="12:17" s="1523" customFormat="1">
      <c r="L1618" s="272"/>
      <c r="M1618" s="272"/>
      <c r="N1618" s="272"/>
      <c r="O1618" s="272"/>
      <c r="P1618" s="272"/>
      <c r="Q1618" s="272"/>
    </row>
    <row r="1619" spans="12:17" s="1523" customFormat="1">
      <c r="L1619" s="272"/>
      <c r="M1619" s="272"/>
      <c r="N1619" s="272"/>
      <c r="O1619" s="272"/>
      <c r="P1619" s="272"/>
      <c r="Q1619" s="272"/>
    </row>
    <row r="1620" spans="12:17" s="1523" customFormat="1">
      <c r="L1620" s="272"/>
      <c r="M1620" s="272"/>
      <c r="N1620" s="272"/>
      <c r="O1620" s="272"/>
      <c r="P1620" s="272"/>
      <c r="Q1620" s="272"/>
    </row>
    <row r="1621" spans="12:17" s="1523" customFormat="1">
      <c r="L1621" s="272"/>
      <c r="M1621" s="272"/>
      <c r="N1621" s="272"/>
      <c r="O1621" s="272"/>
      <c r="P1621" s="272"/>
      <c r="Q1621" s="272"/>
    </row>
    <row r="1622" spans="12:17" s="1523" customFormat="1">
      <c r="L1622" s="272"/>
      <c r="M1622" s="272"/>
      <c r="N1622" s="272"/>
      <c r="O1622" s="272"/>
      <c r="P1622" s="272"/>
      <c r="Q1622" s="272"/>
    </row>
    <row r="1623" spans="12:17" s="1523" customFormat="1">
      <c r="L1623" s="272"/>
      <c r="M1623" s="272"/>
      <c r="N1623" s="272"/>
      <c r="O1623" s="272"/>
      <c r="P1623" s="272"/>
      <c r="Q1623" s="272"/>
    </row>
    <row r="1624" spans="12:17" s="1523" customFormat="1">
      <c r="L1624" s="272"/>
      <c r="M1624" s="272"/>
      <c r="N1624" s="272"/>
      <c r="O1624" s="272"/>
      <c r="P1624" s="272"/>
      <c r="Q1624" s="272"/>
    </row>
    <row r="1625" spans="12:17" s="1523" customFormat="1">
      <c r="L1625" s="272"/>
      <c r="M1625" s="272"/>
      <c r="N1625" s="272"/>
      <c r="O1625" s="272"/>
      <c r="P1625" s="272"/>
      <c r="Q1625" s="272"/>
    </row>
    <row r="1626" spans="12:17" s="1523" customFormat="1">
      <c r="L1626" s="272"/>
      <c r="M1626" s="272"/>
      <c r="N1626" s="272"/>
      <c r="O1626" s="272"/>
      <c r="P1626" s="272"/>
      <c r="Q1626" s="272"/>
    </row>
    <row r="1627" spans="12:17" s="1523" customFormat="1">
      <c r="L1627" s="272"/>
      <c r="M1627" s="272"/>
      <c r="N1627" s="272"/>
      <c r="O1627" s="272"/>
      <c r="P1627" s="272"/>
      <c r="Q1627" s="272"/>
    </row>
    <row r="1628" spans="12:17" s="1523" customFormat="1">
      <c r="L1628" s="272"/>
      <c r="M1628" s="272"/>
      <c r="N1628" s="272"/>
      <c r="O1628" s="272"/>
      <c r="P1628" s="272"/>
      <c r="Q1628" s="272"/>
    </row>
    <row r="1629" spans="12:17" s="1523" customFormat="1">
      <c r="L1629" s="272"/>
      <c r="M1629" s="272"/>
      <c r="N1629" s="272"/>
      <c r="O1629" s="272"/>
      <c r="P1629" s="272"/>
      <c r="Q1629" s="272"/>
    </row>
    <row r="1630" spans="12:17" s="1523" customFormat="1">
      <c r="L1630" s="272"/>
      <c r="M1630" s="272"/>
      <c r="N1630" s="272"/>
      <c r="O1630" s="272"/>
      <c r="P1630" s="272"/>
      <c r="Q1630" s="272"/>
    </row>
    <row r="1631" spans="12:17" s="1523" customFormat="1">
      <c r="L1631" s="272"/>
      <c r="M1631" s="272"/>
      <c r="N1631" s="272"/>
      <c r="O1631" s="272"/>
      <c r="P1631" s="272"/>
      <c r="Q1631" s="272"/>
    </row>
    <row r="1632" spans="12:17" s="1523" customFormat="1">
      <c r="L1632" s="272"/>
      <c r="M1632" s="272"/>
      <c r="N1632" s="272"/>
      <c r="O1632" s="272"/>
      <c r="P1632" s="272"/>
      <c r="Q1632" s="272"/>
    </row>
    <row r="1633" spans="12:17" s="1523" customFormat="1">
      <c r="L1633" s="272"/>
      <c r="M1633" s="272"/>
      <c r="N1633" s="272"/>
      <c r="O1633" s="272"/>
      <c r="P1633" s="272"/>
      <c r="Q1633" s="272"/>
    </row>
    <row r="1634" spans="12:17" s="1523" customFormat="1">
      <c r="L1634" s="272"/>
      <c r="M1634" s="272"/>
      <c r="N1634" s="272"/>
      <c r="O1634" s="272"/>
      <c r="P1634" s="272"/>
      <c r="Q1634" s="272"/>
    </row>
    <row r="1635" spans="12:17" s="1523" customFormat="1">
      <c r="L1635" s="272"/>
      <c r="M1635" s="272"/>
      <c r="N1635" s="272"/>
      <c r="O1635" s="272"/>
      <c r="P1635" s="272"/>
      <c r="Q1635" s="272"/>
    </row>
    <row r="1636" spans="12:17" s="1523" customFormat="1">
      <c r="L1636" s="272"/>
      <c r="M1636" s="272"/>
      <c r="N1636" s="272"/>
      <c r="O1636" s="272"/>
      <c r="P1636" s="272"/>
      <c r="Q1636" s="272"/>
    </row>
    <row r="1637" spans="12:17" s="1523" customFormat="1">
      <c r="L1637" s="272"/>
      <c r="M1637" s="272"/>
      <c r="N1637" s="272"/>
      <c r="O1637" s="272"/>
      <c r="P1637" s="272"/>
      <c r="Q1637" s="272"/>
    </row>
    <row r="1638" spans="12:17" s="1523" customFormat="1">
      <c r="L1638" s="272"/>
      <c r="M1638" s="272"/>
      <c r="N1638" s="272"/>
      <c r="O1638" s="272"/>
      <c r="P1638" s="272"/>
      <c r="Q1638" s="272"/>
    </row>
    <row r="1639" spans="12:17" s="1523" customFormat="1">
      <c r="L1639" s="272"/>
      <c r="M1639" s="272"/>
      <c r="N1639" s="272"/>
      <c r="O1639" s="272"/>
      <c r="P1639" s="272"/>
      <c r="Q1639" s="272"/>
    </row>
    <row r="1640" spans="12:17" s="1523" customFormat="1">
      <c r="L1640" s="272"/>
      <c r="M1640" s="272"/>
      <c r="N1640" s="272"/>
      <c r="O1640" s="272"/>
      <c r="P1640" s="272"/>
      <c r="Q1640" s="272"/>
    </row>
    <row r="1641" spans="12:17" s="1523" customFormat="1">
      <c r="L1641" s="272"/>
      <c r="M1641" s="272"/>
      <c r="N1641" s="272"/>
      <c r="O1641" s="272"/>
      <c r="P1641" s="272"/>
      <c r="Q1641" s="272"/>
    </row>
    <row r="1642" spans="12:17" s="1523" customFormat="1">
      <c r="L1642" s="272"/>
      <c r="M1642" s="272"/>
      <c r="N1642" s="272"/>
      <c r="O1642" s="272"/>
      <c r="P1642" s="272"/>
      <c r="Q1642" s="272"/>
    </row>
    <row r="1643" spans="12:17" s="1523" customFormat="1">
      <c r="L1643" s="272"/>
      <c r="M1643" s="272"/>
      <c r="N1643" s="272"/>
      <c r="O1643" s="272"/>
      <c r="P1643" s="272"/>
      <c r="Q1643" s="272"/>
    </row>
    <row r="1644" spans="12:17" s="1523" customFormat="1">
      <c r="L1644" s="272"/>
      <c r="M1644" s="272"/>
      <c r="N1644" s="272"/>
      <c r="O1644" s="272"/>
      <c r="P1644" s="272"/>
      <c r="Q1644" s="272"/>
    </row>
    <row r="1645" spans="12:17" s="1523" customFormat="1">
      <c r="L1645" s="272"/>
      <c r="M1645" s="272"/>
      <c r="N1645" s="272"/>
      <c r="O1645" s="272"/>
      <c r="P1645" s="272"/>
      <c r="Q1645" s="272"/>
    </row>
    <row r="1646" spans="12:17" s="1523" customFormat="1">
      <c r="L1646" s="272"/>
      <c r="M1646" s="272"/>
      <c r="N1646" s="272"/>
      <c r="O1646" s="272"/>
      <c r="P1646" s="272"/>
      <c r="Q1646" s="272"/>
    </row>
    <row r="1647" spans="12:17" s="1523" customFormat="1">
      <c r="L1647" s="272"/>
      <c r="M1647" s="272"/>
      <c r="N1647" s="272"/>
      <c r="O1647" s="272"/>
      <c r="P1647" s="272"/>
      <c r="Q1647" s="272"/>
    </row>
    <row r="1648" spans="12:17" s="1523" customFormat="1">
      <c r="L1648" s="272"/>
      <c r="M1648" s="272"/>
      <c r="N1648" s="272"/>
      <c r="O1648" s="272"/>
      <c r="P1648" s="272"/>
      <c r="Q1648" s="272"/>
    </row>
    <row r="1649" spans="12:17" s="1523" customFormat="1">
      <c r="L1649" s="272"/>
      <c r="M1649" s="272"/>
      <c r="N1649" s="272"/>
      <c r="O1649" s="272"/>
      <c r="P1649" s="272"/>
      <c r="Q1649" s="272"/>
    </row>
    <row r="1650" spans="12:17" s="1523" customFormat="1">
      <c r="L1650" s="272"/>
      <c r="M1650" s="272"/>
      <c r="N1650" s="272"/>
      <c r="O1650" s="272"/>
      <c r="P1650" s="272"/>
      <c r="Q1650" s="272"/>
    </row>
    <row r="1651" spans="12:17" s="1523" customFormat="1">
      <c r="L1651" s="272"/>
      <c r="M1651" s="272"/>
      <c r="N1651" s="272"/>
      <c r="O1651" s="272"/>
      <c r="P1651" s="272"/>
      <c r="Q1651" s="272"/>
    </row>
    <row r="1652" spans="12:17" s="1523" customFormat="1">
      <c r="L1652" s="272"/>
      <c r="M1652" s="272"/>
      <c r="N1652" s="272"/>
      <c r="O1652" s="272"/>
      <c r="P1652" s="272"/>
      <c r="Q1652" s="272"/>
    </row>
    <row r="1653" spans="12:17" s="1523" customFormat="1">
      <c r="L1653" s="272"/>
      <c r="M1653" s="272"/>
      <c r="N1653" s="272"/>
      <c r="O1653" s="272"/>
      <c r="P1653" s="272"/>
      <c r="Q1653" s="272"/>
    </row>
    <row r="1654" spans="12:17" s="1523" customFormat="1">
      <c r="L1654" s="272"/>
      <c r="M1654" s="272"/>
      <c r="N1654" s="272"/>
      <c r="O1654" s="272"/>
      <c r="P1654" s="272"/>
      <c r="Q1654" s="272"/>
    </row>
    <row r="1655" spans="12:17" s="1523" customFormat="1">
      <c r="L1655" s="272"/>
      <c r="M1655" s="272"/>
      <c r="N1655" s="272"/>
      <c r="O1655" s="272"/>
      <c r="P1655" s="272"/>
      <c r="Q1655" s="272"/>
    </row>
    <row r="1656" spans="12:17" s="1523" customFormat="1">
      <c r="L1656" s="272"/>
      <c r="M1656" s="272"/>
      <c r="N1656" s="272"/>
      <c r="O1656" s="272"/>
      <c r="P1656" s="272"/>
      <c r="Q1656" s="272"/>
    </row>
    <row r="1657" spans="12:17" s="1523" customFormat="1">
      <c r="L1657" s="272"/>
      <c r="M1657" s="272"/>
      <c r="N1657" s="272"/>
      <c r="O1657" s="272"/>
      <c r="P1657" s="272"/>
      <c r="Q1657" s="272"/>
    </row>
    <row r="1658" spans="12:17" s="1523" customFormat="1">
      <c r="L1658" s="272"/>
      <c r="M1658" s="272"/>
      <c r="N1658" s="272"/>
      <c r="O1658" s="272"/>
      <c r="P1658" s="272"/>
      <c r="Q1658" s="272"/>
    </row>
    <row r="1659" spans="12:17" s="1523" customFormat="1">
      <c r="L1659" s="272"/>
      <c r="M1659" s="272"/>
      <c r="N1659" s="272"/>
      <c r="O1659" s="272"/>
      <c r="P1659" s="272"/>
      <c r="Q1659" s="272"/>
    </row>
    <row r="1660" spans="12:17" s="1523" customFormat="1">
      <c r="L1660" s="272"/>
      <c r="M1660" s="272"/>
      <c r="N1660" s="272"/>
      <c r="O1660" s="272"/>
      <c r="P1660" s="272"/>
      <c r="Q1660" s="272"/>
    </row>
    <row r="1661" spans="12:17" s="1523" customFormat="1">
      <c r="L1661" s="272"/>
      <c r="M1661" s="272"/>
      <c r="N1661" s="272"/>
      <c r="O1661" s="272"/>
      <c r="P1661" s="272"/>
      <c r="Q1661" s="272"/>
    </row>
    <row r="1662" spans="12:17" s="1523" customFormat="1">
      <c r="L1662" s="272"/>
      <c r="M1662" s="272"/>
      <c r="N1662" s="272"/>
      <c r="O1662" s="272"/>
      <c r="P1662" s="272"/>
      <c r="Q1662" s="272"/>
    </row>
    <row r="1663" spans="12:17" s="1523" customFormat="1">
      <c r="L1663" s="272"/>
      <c r="M1663" s="272"/>
      <c r="N1663" s="272"/>
      <c r="O1663" s="272"/>
      <c r="P1663" s="272"/>
      <c r="Q1663" s="272"/>
    </row>
    <row r="1664" spans="12:17" s="1523" customFormat="1">
      <c r="L1664" s="272"/>
      <c r="M1664" s="272"/>
      <c r="N1664" s="272"/>
      <c r="O1664" s="272"/>
      <c r="P1664" s="272"/>
      <c r="Q1664" s="272"/>
    </row>
    <row r="1665" spans="12:17" s="1523" customFormat="1">
      <c r="L1665" s="272"/>
      <c r="M1665" s="272"/>
      <c r="N1665" s="272"/>
      <c r="O1665" s="272"/>
      <c r="P1665" s="272"/>
      <c r="Q1665" s="272"/>
    </row>
    <row r="1666" spans="12:17" s="1523" customFormat="1">
      <c r="L1666" s="272"/>
      <c r="M1666" s="272"/>
      <c r="N1666" s="272"/>
      <c r="O1666" s="272"/>
      <c r="P1666" s="272"/>
      <c r="Q1666" s="272"/>
    </row>
    <row r="1667" spans="12:17" s="1523" customFormat="1">
      <c r="L1667" s="272"/>
      <c r="M1667" s="272"/>
      <c r="N1667" s="272"/>
      <c r="O1667" s="272"/>
      <c r="P1667" s="272"/>
      <c r="Q1667" s="272"/>
    </row>
    <row r="1668" spans="12:17" s="1523" customFormat="1">
      <c r="L1668" s="272"/>
      <c r="M1668" s="272"/>
      <c r="N1668" s="272"/>
      <c r="O1668" s="272"/>
      <c r="P1668" s="272"/>
      <c r="Q1668" s="272"/>
    </row>
    <row r="1669" spans="12:17" s="1523" customFormat="1">
      <c r="L1669" s="272"/>
      <c r="M1669" s="272"/>
      <c r="N1669" s="272"/>
      <c r="O1669" s="272"/>
      <c r="P1669" s="272"/>
      <c r="Q1669" s="272"/>
    </row>
    <row r="1670" spans="12:17" s="1523" customFormat="1">
      <c r="L1670" s="272"/>
      <c r="M1670" s="272"/>
      <c r="N1670" s="272"/>
      <c r="O1670" s="272"/>
      <c r="P1670" s="272"/>
      <c r="Q1670" s="272"/>
    </row>
    <row r="1671" spans="12:17" s="1523" customFormat="1">
      <c r="L1671" s="272"/>
      <c r="M1671" s="272"/>
      <c r="N1671" s="272"/>
      <c r="O1671" s="272"/>
      <c r="P1671" s="272"/>
      <c r="Q1671" s="272"/>
    </row>
    <row r="1672" spans="12:17" s="1523" customFormat="1">
      <c r="L1672" s="272"/>
      <c r="M1672" s="272"/>
      <c r="N1672" s="272"/>
      <c r="O1672" s="272"/>
      <c r="P1672" s="272"/>
      <c r="Q1672" s="272"/>
    </row>
    <row r="1673" spans="12:17" s="1523" customFormat="1">
      <c r="L1673" s="272"/>
      <c r="M1673" s="272"/>
      <c r="N1673" s="272"/>
      <c r="O1673" s="272"/>
      <c r="P1673" s="272"/>
      <c r="Q1673" s="272"/>
    </row>
    <row r="1674" spans="12:17" s="1523" customFormat="1">
      <c r="L1674" s="272"/>
      <c r="M1674" s="272"/>
      <c r="N1674" s="272"/>
      <c r="O1674" s="272"/>
      <c r="P1674" s="272"/>
      <c r="Q1674" s="272"/>
    </row>
    <row r="1675" spans="12:17" s="1523" customFormat="1">
      <c r="L1675" s="272"/>
      <c r="M1675" s="272"/>
      <c r="N1675" s="272"/>
      <c r="O1675" s="272"/>
      <c r="P1675" s="272"/>
      <c r="Q1675" s="272"/>
    </row>
    <row r="1676" spans="12:17" s="1523" customFormat="1">
      <c r="L1676" s="272"/>
      <c r="M1676" s="272"/>
      <c r="N1676" s="272"/>
      <c r="O1676" s="272"/>
      <c r="P1676" s="272"/>
      <c r="Q1676" s="272"/>
    </row>
    <row r="1677" spans="12:17" s="1523" customFormat="1">
      <c r="L1677" s="272"/>
      <c r="M1677" s="272"/>
      <c r="N1677" s="272"/>
      <c r="O1677" s="272"/>
      <c r="P1677" s="272"/>
      <c r="Q1677" s="272"/>
    </row>
    <row r="1678" spans="12:17" s="1523" customFormat="1">
      <c r="L1678" s="272"/>
      <c r="M1678" s="272"/>
      <c r="N1678" s="272"/>
      <c r="O1678" s="272"/>
      <c r="P1678" s="272"/>
      <c r="Q1678" s="272"/>
    </row>
    <row r="1679" spans="12:17" s="1523" customFormat="1">
      <c r="L1679" s="272"/>
      <c r="M1679" s="272"/>
      <c r="N1679" s="272"/>
      <c r="O1679" s="272"/>
      <c r="P1679" s="272"/>
      <c r="Q1679" s="272"/>
    </row>
    <row r="1680" spans="12:17" s="1523" customFormat="1">
      <c r="L1680" s="272"/>
      <c r="M1680" s="272"/>
      <c r="N1680" s="272"/>
      <c r="O1680" s="272"/>
      <c r="P1680" s="272"/>
      <c r="Q1680" s="272"/>
    </row>
    <row r="1681" spans="12:17" s="1523" customFormat="1">
      <c r="L1681" s="272"/>
      <c r="M1681" s="272"/>
      <c r="N1681" s="272"/>
      <c r="O1681" s="272"/>
      <c r="P1681" s="272"/>
      <c r="Q1681" s="272"/>
    </row>
    <row r="1682" spans="12:17" s="1523" customFormat="1">
      <c r="L1682" s="272"/>
      <c r="M1682" s="272"/>
      <c r="N1682" s="272"/>
      <c r="O1682" s="272"/>
      <c r="P1682" s="272"/>
      <c r="Q1682" s="272"/>
    </row>
    <row r="1683" spans="12:17" s="1523" customFormat="1">
      <c r="L1683" s="272"/>
      <c r="M1683" s="272"/>
      <c r="N1683" s="272"/>
      <c r="O1683" s="272"/>
      <c r="P1683" s="272"/>
      <c r="Q1683" s="272"/>
    </row>
    <row r="1684" spans="12:17" s="1523" customFormat="1">
      <c r="L1684" s="272"/>
      <c r="M1684" s="272"/>
      <c r="N1684" s="272"/>
      <c r="O1684" s="272"/>
      <c r="P1684" s="272"/>
      <c r="Q1684" s="272"/>
    </row>
    <row r="1685" spans="12:17" s="1523" customFormat="1">
      <c r="L1685" s="272"/>
      <c r="M1685" s="272"/>
      <c r="N1685" s="272"/>
      <c r="O1685" s="272"/>
      <c r="P1685" s="272"/>
      <c r="Q1685" s="272"/>
    </row>
    <row r="1686" spans="12:17" s="1523" customFormat="1">
      <c r="L1686" s="272"/>
      <c r="M1686" s="272"/>
      <c r="N1686" s="272"/>
      <c r="O1686" s="272"/>
      <c r="P1686" s="272"/>
      <c r="Q1686" s="272"/>
    </row>
    <row r="1687" spans="12:17" s="1523" customFormat="1">
      <c r="L1687" s="272"/>
      <c r="M1687" s="272"/>
      <c r="N1687" s="272"/>
      <c r="O1687" s="272"/>
      <c r="P1687" s="272"/>
      <c r="Q1687" s="272"/>
    </row>
    <row r="1688" spans="12:17" s="1523" customFormat="1">
      <c r="L1688" s="272"/>
      <c r="M1688" s="272"/>
      <c r="N1688" s="272"/>
      <c r="O1688" s="272"/>
      <c r="P1688" s="272"/>
      <c r="Q1688" s="272"/>
    </row>
    <row r="1689" spans="12:17" s="1523" customFormat="1">
      <c r="L1689" s="272"/>
      <c r="M1689" s="272"/>
      <c r="N1689" s="272"/>
      <c r="O1689" s="272"/>
      <c r="P1689" s="272"/>
      <c r="Q1689" s="272"/>
    </row>
    <row r="1690" spans="12:17" s="1523" customFormat="1">
      <c r="L1690" s="272"/>
      <c r="M1690" s="272"/>
      <c r="N1690" s="272"/>
      <c r="O1690" s="272"/>
      <c r="P1690" s="272"/>
      <c r="Q1690" s="272"/>
    </row>
    <row r="1691" spans="12:17" s="1523" customFormat="1">
      <c r="L1691" s="272"/>
      <c r="M1691" s="272"/>
      <c r="N1691" s="272"/>
      <c r="O1691" s="272"/>
      <c r="P1691" s="272"/>
      <c r="Q1691" s="272"/>
    </row>
    <row r="1692" spans="12:17" s="1523" customFormat="1">
      <c r="L1692" s="272"/>
      <c r="M1692" s="272"/>
      <c r="N1692" s="272"/>
      <c r="O1692" s="272"/>
      <c r="P1692" s="272"/>
      <c r="Q1692" s="272"/>
    </row>
    <row r="1693" spans="12:17" s="1523" customFormat="1">
      <c r="L1693" s="272"/>
      <c r="M1693" s="272"/>
      <c r="N1693" s="272"/>
      <c r="O1693" s="272"/>
      <c r="P1693" s="272"/>
      <c r="Q1693" s="272"/>
    </row>
    <row r="1694" spans="12:17" s="1523" customFormat="1">
      <c r="L1694" s="272"/>
      <c r="M1694" s="272"/>
      <c r="N1694" s="272"/>
      <c r="O1694" s="272"/>
      <c r="P1694" s="272"/>
      <c r="Q1694" s="272"/>
    </row>
    <row r="1695" spans="12:17" s="1523" customFormat="1">
      <c r="L1695" s="272"/>
      <c r="M1695" s="272"/>
      <c r="N1695" s="272"/>
      <c r="O1695" s="272"/>
      <c r="P1695" s="272"/>
      <c r="Q1695" s="272"/>
    </row>
    <row r="1696" spans="12:17" s="1523" customFormat="1">
      <c r="L1696" s="272"/>
      <c r="M1696" s="272"/>
      <c r="N1696" s="272"/>
      <c r="O1696" s="272"/>
      <c r="P1696" s="272"/>
      <c r="Q1696" s="272"/>
    </row>
    <row r="1697" spans="12:17" s="1523" customFormat="1">
      <c r="L1697" s="272"/>
      <c r="M1697" s="272"/>
      <c r="N1697" s="272"/>
      <c r="O1697" s="272"/>
      <c r="P1697" s="272"/>
      <c r="Q1697" s="272"/>
    </row>
    <row r="1698" spans="12:17" s="1523" customFormat="1">
      <c r="L1698" s="272"/>
      <c r="M1698" s="272"/>
      <c r="N1698" s="272"/>
      <c r="O1698" s="272"/>
      <c r="P1698" s="272"/>
      <c r="Q1698" s="272"/>
    </row>
    <row r="1699" spans="12:17" s="1523" customFormat="1">
      <c r="L1699" s="272"/>
      <c r="M1699" s="272"/>
      <c r="N1699" s="272"/>
      <c r="O1699" s="272"/>
      <c r="P1699" s="272"/>
      <c r="Q1699" s="272"/>
    </row>
    <row r="1700" spans="12:17" s="1523" customFormat="1">
      <c r="L1700" s="272"/>
      <c r="M1700" s="272"/>
      <c r="N1700" s="272"/>
      <c r="O1700" s="272"/>
      <c r="P1700" s="272"/>
      <c r="Q1700" s="272"/>
    </row>
    <row r="1701" spans="12:17" s="1523" customFormat="1">
      <c r="L1701" s="272"/>
      <c r="M1701" s="272"/>
      <c r="N1701" s="272"/>
      <c r="O1701" s="272"/>
      <c r="P1701" s="272"/>
      <c r="Q1701" s="272"/>
    </row>
    <row r="1702" spans="12:17" s="1523" customFormat="1">
      <c r="L1702" s="272"/>
      <c r="M1702" s="272"/>
      <c r="N1702" s="272"/>
      <c r="O1702" s="272"/>
      <c r="P1702" s="272"/>
      <c r="Q1702" s="272"/>
    </row>
    <row r="1703" spans="12:17" s="1523" customFormat="1">
      <c r="L1703" s="272"/>
      <c r="M1703" s="272"/>
      <c r="N1703" s="272"/>
      <c r="O1703" s="272"/>
      <c r="P1703" s="272"/>
      <c r="Q1703" s="272"/>
    </row>
    <row r="1704" spans="12:17" s="1523" customFormat="1">
      <c r="L1704" s="272"/>
      <c r="M1704" s="272"/>
      <c r="N1704" s="272"/>
      <c r="O1704" s="272"/>
      <c r="P1704" s="272"/>
      <c r="Q1704" s="272"/>
    </row>
    <row r="1705" spans="12:17" s="1523" customFormat="1">
      <c r="L1705" s="272"/>
      <c r="M1705" s="272"/>
      <c r="N1705" s="272"/>
      <c r="O1705" s="272"/>
      <c r="P1705" s="272"/>
      <c r="Q1705" s="272"/>
    </row>
    <row r="1706" spans="12:17" s="1523" customFormat="1">
      <c r="L1706" s="272"/>
      <c r="M1706" s="272"/>
      <c r="N1706" s="272"/>
      <c r="O1706" s="272"/>
      <c r="P1706" s="272"/>
      <c r="Q1706" s="272"/>
    </row>
    <row r="1707" spans="12:17" s="1523" customFormat="1">
      <c r="L1707" s="272"/>
      <c r="M1707" s="272"/>
      <c r="N1707" s="272"/>
      <c r="O1707" s="272"/>
      <c r="P1707" s="272"/>
      <c r="Q1707" s="272"/>
    </row>
    <row r="1708" spans="12:17" s="1523" customFormat="1">
      <c r="L1708" s="272"/>
      <c r="M1708" s="272"/>
      <c r="N1708" s="272"/>
      <c r="O1708" s="272"/>
      <c r="P1708" s="272"/>
      <c r="Q1708" s="272"/>
    </row>
    <row r="1709" spans="12:17" s="1523" customFormat="1">
      <c r="L1709" s="272"/>
      <c r="M1709" s="272"/>
      <c r="N1709" s="272"/>
      <c r="O1709" s="272"/>
      <c r="P1709" s="272"/>
      <c r="Q1709" s="272"/>
    </row>
    <row r="1710" spans="12:17" s="1523" customFormat="1">
      <c r="L1710" s="272"/>
      <c r="M1710" s="272"/>
      <c r="N1710" s="272"/>
      <c r="O1710" s="272"/>
      <c r="P1710" s="272"/>
      <c r="Q1710" s="272"/>
    </row>
    <row r="1711" spans="12:17" s="1523" customFormat="1">
      <c r="L1711" s="272"/>
      <c r="M1711" s="272"/>
      <c r="N1711" s="272"/>
      <c r="O1711" s="272"/>
      <c r="P1711" s="272"/>
      <c r="Q1711" s="272"/>
    </row>
    <row r="1712" spans="12:17" s="1523" customFormat="1">
      <c r="L1712" s="272"/>
      <c r="M1712" s="272"/>
      <c r="N1712" s="272"/>
      <c r="O1712" s="272"/>
      <c r="P1712" s="272"/>
      <c r="Q1712" s="272"/>
    </row>
    <row r="1713" spans="12:17" s="1523" customFormat="1">
      <c r="L1713" s="272"/>
      <c r="M1713" s="272"/>
      <c r="N1713" s="272"/>
      <c r="O1713" s="272"/>
      <c r="P1713" s="272"/>
      <c r="Q1713" s="272"/>
    </row>
    <row r="1714" spans="12:17" s="1523" customFormat="1">
      <c r="L1714" s="272"/>
      <c r="M1714" s="272"/>
      <c r="N1714" s="272"/>
      <c r="O1714" s="272"/>
      <c r="P1714" s="272"/>
      <c r="Q1714" s="272"/>
    </row>
    <row r="1715" spans="12:17" s="1523" customFormat="1">
      <c r="L1715" s="272"/>
      <c r="M1715" s="272"/>
      <c r="N1715" s="272"/>
      <c r="O1715" s="272"/>
      <c r="P1715" s="272"/>
      <c r="Q1715" s="272"/>
    </row>
    <row r="1716" spans="12:17" s="1523" customFormat="1">
      <c r="L1716" s="272"/>
      <c r="M1716" s="272"/>
      <c r="N1716" s="272"/>
      <c r="O1716" s="272"/>
      <c r="P1716" s="272"/>
      <c r="Q1716" s="272"/>
    </row>
    <row r="1717" spans="12:17" s="1523" customFormat="1">
      <c r="L1717" s="272"/>
      <c r="M1717" s="272"/>
      <c r="N1717" s="272"/>
      <c r="O1717" s="272"/>
      <c r="P1717" s="272"/>
      <c r="Q1717" s="272"/>
    </row>
    <row r="1718" spans="12:17" s="1523" customFormat="1">
      <c r="L1718" s="272"/>
      <c r="M1718" s="272"/>
      <c r="N1718" s="272"/>
      <c r="O1718" s="272"/>
      <c r="P1718" s="272"/>
      <c r="Q1718" s="272"/>
    </row>
    <row r="1719" spans="12:17" s="1523" customFormat="1">
      <c r="L1719" s="272"/>
      <c r="M1719" s="272"/>
      <c r="N1719" s="272"/>
      <c r="O1719" s="272"/>
      <c r="P1719" s="272"/>
      <c r="Q1719" s="272"/>
    </row>
    <row r="1720" spans="12:17" s="1523" customFormat="1">
      <c r="L1720" s="272"/>
      <c r="M1720" s="272"/>
      <c r="N1720" s="272"/>
      <c r="O1720" s="272"/>
      <c r="P1720" s="272"/>
      <c r="Q1720" s="272"/>
    </row>
    <row r="1721" spans="12:17" s="1523" customFormat="1">
      <c r="L1721" s="272"/>
      <c r="M1721" s="272"/>
      <c r="N1721" s="272"/>
      <c r="O1721" s="272"/>
      <c r="P1721" s="272"/>
      <c r="Q1721" s="272"/>
    </row>
    <row r="1722" spans="12:17" s="1523" customFormat="1">
      <c r="L1722" s="272"/>
      <c r="M1722" s="272"/>
      <c r="N1722" s="272"/>
      <c r="O1722" s="272"/>
      <c r="P1722" s="272"/>
      <c r="Q1722" s="272"/>
    </row>
    <row r="1723" spans="12:17" s="1523" customFormat="1">
      <c r="L1723" s="272"/>
      <c r="M1723" s="272"/>
      <c r="N1723" s="272"/>
      <c r="O1723" s="272"/>
      <c r="P1723" s="272"/>
      <c r="Q1723" s="272"/>
    </row>
    <row r="1724" spans="12:17" s="1523" customFormat="1">
      <c r="L1724" s="272"/>
      <c r="M1724" s="272"/>
      <c r="N1724" s="272"/>
      <c r="O1724" s="272"/>
      <c r="P1724" s="272"/>
      <c r="Q1724" s="272"/>
    </row>
    <row r="1725" spans="12:17" s="1523" customFormat="1">
      <c r="L1725" s="272"/>
      <c r="M1725" s="272"/>
      <c r="N1725" s="272"/>
      <c r="O1725" s="272"/>
      <c r="P1725" s="272"/>
      <c r="Q1725" s="272"/>
    </row>
    <row r="1726" spans="12:17" s="1523" customFormat="1">
      <c r="L1726" s="272"/>
      <c r="M1726" s="272"/>
      <c r="N1726" s="272"/>
      <c r="O1726" s="272"/>
      <c r="P1726" s="272"/>
      <c r="Q1726" s="272"/>
    </row>
    <row r="1727" spans="12:17" s="1523" customFormat="1">
      <c r="L1727" s="272"/>
      <c r="M1727" s="272"/>
      <c r="N1727" s="272"/>
      <c r="O1727" s="272"/>
      <c r="P1727" s="272"/>
      <c r="Q1727" s="272"/>
    </row>
    <row r="1728" spans="12:17" s="1523" customFormat="1">
      <c r="L1728" s="272"/>
      <c r="M1728" s="272"/>
      <c r="N1728" s="272"/>
      <c r="O1728" s="272"/>
      <c r="P1728" s="272"/>
      <c r="Q1728" s="272"/>
    </row>
    <row r="1729" spans="12:17" s="1523" customFormat="1">
      <c r="L1729" s="272"/>
      <c r="M1729" s="272"/>
      <c r="N1729" s="272"/>
      <c r="O1729" s="272"/>
      <c r="P1729" s="272"/>
      <c r="Q1729" s="272"/>
    </row>
    <row r="1730" spans="12:17" s="1523" customFormat="1">
      <c r="L1730" s="272"/>
      <c r="M1730" s="272"/>
      <c r="N1730" s="272"/>
      <c r="O1730" s="272"/>
      <c r="P1730" s="272"/>
      <c r="Q1730" s="272"/>
    </row>
    <row r="1731" spans="12:17" s="1523" customFormat="1">
      <c r="L1731" s="272"/>
      <c r="M1731" s="272"/>
      <c r="N1731" s="272"/>
      <c r="O1731" s="272"/>
      <c r="P1731" s="272"/>
      <c r="Q1731" s="272"/>
    </row>
    <row r="1732" spans="12:17" s="1523" customFormat="1">
      <c r="L1732" s="272"/>
      <c r="M1732" s="272"/>
      <c r="N1732" s="272"/>
      <c r="O1732" s="272"/>
      <c r="P1732" s="272"/>
      <c r="Q1732" s="272"/>
    </row>
    <row r="1733" spans="12:17" s="1523" customFormat="1">
      <c r="L1733" s="272"/>
      <c r="M1733" s="272"/>
      <c r="N1733" s="272"/>
      <c r="O1733" s="272"/>
      <c r="P1733" s="272"/>
      <c r="Q1733" s="272"/>
    </row>
    <row r="1734" spans="12:17" s="1523" customFormat="1">
      <c r="L1734" s="272"/>
      <c r="M1734" s="272"/>
      <c r="N1734" s="272"/>
      <c r="O1734" s="272"/>
      <c r="P1734" s="272"/>
      <c r="Q1734" s="272"/>
    </row>
    <row r="1735" spans="12:17" s="1523" customFormat="1">
      <c r="L1735" s="272"/>
      <c r="M1735" s="272"/>
      <c r="N1735" s="272"/>
      <c r="O1735" s="272"/>
      <c r="P1735" s="272"/>
      <c r="Q1735" s="272"/>
    </row>
    <row r="1736" spans="12:17" s="1523" customFormat="1">
      <c r="L1736" s="272"/>
      <c r="M1736" s="272"/>
      <c r="N1736" s="272"/>
      <c r="O1736" s="272"/>
      <c r="P1736" s="272"/>
      <c r="Q1736" s="272"/>
    </row>
    <row r="1737" spans="12:17" s="1523" customFormat="1">
      <c r="L1737" s="272"/>
      <c r="M1737" s="272"/>
      <c r="N1737" s="272"/>
      <c r="O1737" s="272"/>
      <c r="P1737" s="272"/>
      <c r="Q1737" s="272"/>
    </row>
    <row r="1738" spans="12:17" s="1523" customFormat="1">
      <c r="L1738" s="272"/>
      <c r="M1738" s="272"/>
      <c r="N1738" s="272"/>
      <c r="O1738" s="272"/>
      <c r="P1738" s="272"/>
      <c r="Q1738" s="272"/>
    </row>
    <row r="1739" spans="12:17" s="1523" customFormat="1">
      <c r="L1739" s="272"/>
      <c r="M1739" s="272"/>
      <c r="N1739" s="272"/>
      <c r="O1739" s="272"/>
      <c r="P1739" s="272"/>
      <c r="Q1739" s="272"/>
    </row>
    <row r="1740" spans="12:17" s="1523" customFormat="1">
      <c r="L1740" s="272"/>
      <c r="M1740" s="272"/>
      <c r="N1740" s="272"/>
      <c r="O1740" s="272"/>
      <c r="P1740" s="272"/>
      <c r="Q1740" s="272"/>
    </row>
    <row r="1741" spans="12:17" s="1523" customFormat="1">
      <c r="L1741" s="272"/>
      <c r="M1741" s="272"/>
      <c r="N1741" s="272"/>
      <c r="O1741" s="272"/>
      <c r="P1741" s="272"/>
      <c r="Q1741" s="272"/>
    </row>
    <row r="1742" spans="12:17" s="1523" customFormat="1">
      <c r="L1742" s="272"/>
      <c r="M1742" s="272"/>
      <c r="N1742" s="272"/>
      <c r="O1742" s="272"/>
      <c r="P1742" s="272"/>
      <c r="Q1742" s="272"/>
    </row>
    <row r="1743" spans="12:17" s="1523" customFormat="1">
      <c r="L1743" s="272"/>
      <c r="M1743" s="272"/>
      <c r="N1743" s="272"/>
      <c r="O1743" s="272"/>
      <c r="P1743" s="272"/>
      <c r="Q1743" s="272"/>
    </row>
    <row r="1744" spans="12:17" s="1523" customFormat="1">
      <c r="L1744" s="272"/>
      <c r="M1744" s="272"/>
      <c r="N1744" s="272"/>
      <c r="O1744" s="272"/>
      <c r="P1744" s="272"/>
      <c r="Q1744" s="272"/>
    </row>
    <row r="1745" spans="12:17" s="1523" customFormat="1">
      <c r="L1745" s="272"/>
      <c r="M1745" s="272"/>
      <c r="N1745" s="272"/>
      <c r="O1745" s="272"/>
      <c r="P1745" s="272"/>
      <c r="Q1745" s="272"/>
    </row>
    <row r="1746" spans="12:17" s="1523" customFormat="1">
      <c r="L1746" s="272"/>
      <c r="M1746" s="272"/>
      <c r="N1746" s="272"/>
      <c r="O1746" s="272"/>
      <c r="P1746" s="272"/>
      <c r="Q1746" s="272"/>
    </row>
    <row r="1747" spans="12:17" s="1523" customFormat="1">
      <c r="L1747" s="272"/>
      <c r="M1747" s="272"/>
      <c r="N1747" s="272"/>
      <c r="O1747" s="272"/>
      <c r="P1747" s="272"/>
      <c r="Q1747" s="272"/>
    </row>
    <row r="1748" spans="12:17" s="1523" customFormat="1">
      <c r="L1748" s="272"/>
      <c r="M1748" s="272"/>
      <c r="N1748" s="272"/>
      <c r="O1748" s="272"/>
      <c r="P1748" s="272"/>
      <c r="Q1748" s="272"/>
    </row>
    <row r="1749" spans="12:17" s="1523" customFormat="1">
      <c r="L1749" s="272"/>
      <c r="M1749" s="272"/>
      <c r="N1749" s="272"/>
      <c r="O1749" s="272"/>
      <c r="P1749" s="272"/>
      <c r="Q1749" s="272"/>
    </row>
    <row r="1750" spans="12:17" s="1523" customFormat="1">
      <c r="L1750" s="272"/>
      <c r="M1750" s="272"/>
      <c r="N1750" s="272"/>
      <c r="O1750" s="272"/>
      <c r="P1750" s="272"/>
      <c r="Q1750" s="272"/>
    </row>
    <row r="1751" spans="12:17" s="1523" customFormat="1">
      <c r="L1751" s="272"/>
      <c r="M1751" s="272"/>
      <c r="N1751" s="272"/>
      <c r="O1751" s="272"/>
      <c r="P1751" s="272"/>
      <c r="Q1751" s="272"/>
    </row>
    <row r="1752" spans="12:17" s="1523" customFormat="1">
      <c r="L1752" s="272"/>
      <c r="M1752" s="272"/>
      <c r="N1752" s="272"/>
      <c r="O1752" s="272"/>
      <c r="P1752" s="272"/>
      <c r="Q1752" s="272"/>
    </row>
    <row r="1753" spans="12:17" s="1523" customFormat="1">
      <c r="L1753" s="272"/>
      <c r="M1753" s="272"/>
      <c r="N1753" s="272"/>
      <c r="O1753" s="272"/>
      <c r="P1753" s="272"/>
      <c r="Q1753" s="272"/>
    </row>
    <row r="1754" spans="12:17" s="1523" customFormat="1">
      <c r="L1754" s="272"/>
      <c r="M1754" s="272"/>
      <c r="N1754" s="272"/>
      <c r="O1754" s="272"/>
      <c r="P1754" s="272"/>
      <c r="Q1754" s="272"/>
    </row>
    <row r="1755" spans="12:17" s="1523" customFormat="1">
      <c r="L1755" s="272"/>
      <c r="M1755" s="272"/>
      <c r="N1755" s="272"/>
      <c r="O1755" s="272"/>
      <c r="P1755" s="272"/>
      <c r="Q1755" s="272"/>
    </row>
    <row r="1756" spans="12:17" s="1523" customFormat="1">
      <c r="L1756" s="272"/>
      <c r="M1756" s="272"/>
      <c r="N1756" s="272"/>
      <c r="O1756" s="272"/>
      <c r="P1756" s="272"/>
      <c r="Q1756" s="272"/>
    </row>
    <row r="1757" spans="12:17" s="1523" customFormat="1">
      <c r="L1757" s="272"/>
      <c r="M1757" s="272"/>
      <c r="N1757" s="272"/>
      <c r="O1757" s="272"/>
      <c r="P1757" s="272"/>
      <c r="Q1757" s="272"/>
    </row>
    <row r="1758" spans="12:17" s="1523" customFormat="1">
      <c r="L1758" s="272"/>
      <c r="M1758" s="272"/>
      <c r="N1758" s="272"/>
      <c r="O1758" s="272"/>
      <c r="P1758" s="272"/>
      <c r="Q1758" s="272"/>
    </row>
    <row r="1759" spans="12:17" s="1523" customFormat="1">
      <c r="L1759" s="272"/>
      <c r="M1759" s="272"/>
      <c r="N1759" s="272"/>
      <c r="O1759" s="272"/>
      <c r="P1759" s="272"/>
      <c r="Q1759" s="272"/>
    </row>
    <row r="1760" spans="12:17" s="1523" customFormat="1">
      <c r="L1760" s="272"/>
      <c r="M1760" s="272"/>
      <c r="N1760" s="272"/>
      <c r="O1760" s="272"/>
      <c r="P1760" s="272"/>
      <c r="Q1760" s="272"/>
    </row>
    <row r="1761" spans="12:17" s="1523" customFormat="1">
      <c r="L1761" s="272"/>
      <c r="M1761" s="272"/>
      <c r="N1761" s="272"/>
      <c r="O1761" s="272"/>
      <c r="P1761" s="272"/>
      <c r="Q1761" s="272"/>
    </row>
    <row r="1762" spans="12:17" s="1523" customFormat="1">
      <c r="L1762" s="272"/>
      <c r="M1762" s="272"/>
      <c r="N1762" s="272"/>
      <c r="O1762" s="272"/>
      <c r="P1762" s="272"/>
      <c r="Q1762" s="272"/>
    </row>
    <row r="1763" spans="12:17" s="1523" customFormat="1">
      <c r="L1763" s="272"/>
      <c r="M1763" s="272"/>
      <c r="N1763" s="272"/>
      <c r="O1763" s="272"/>
      <c r="P1763" s="272"/>
      <c r="Q1763" s="272"/>
    </row>
    <row r="1764" spans="12:17" s="1523" customFormat="1">
      <c r="L1764" s="272"/>
      <c r="M1764" s="272"/>
      <c r="N1764" s="272"/>
      <c r="O1764" s="272"/>
      <c r="P1764" s="272"/>
      <c r="Q1764" s="272"/>
    </row>
    <row r="1765" spans="12:17" s="1523" customFormat="1">
      <c r="L1765" s="272"/>
      <c r="M1765" s="272"/>
      <c r="N1765" s="272"/>
      <c r="O1765" s="272"/>
      <c r="P1765" s="272"/>
      <c r="Q1765" s="272"/>
    </row>
    <row r="1766" spans="12:17" s="1523" customFormat="1">
      <c r="L1766" s="272"/>
      <c r="M1766" s="272"/>
      <c r="N1766" s="272"/>
      <c r="O1766" s="272"/>
      <c r="P1766" s="272"/>
      <c r="Q1766" s="272"/>
    </row>
    <row r="1767" spans="12:17" s="1523" customFormat="1">
      <c r="L1767" s="272"/>
      <c r="M1767" s="272"/>
      <c r="N1767" s="272"/>
      <c r="O1767" s="272"/>
      <c r="P1767" s="272"/>
      <c r="Q1767" s="272"/>
    </row>
    <row r="1768" spans="12:17" s="1523" customFormat="1">
      <c r="L1768" s="272"/>
      <c r="M1768" s="272"/>
      <c r="N1768" s="272"/>
      <c r="O1768" s="272"/>
      <c r="P1768" s="272"/>
      <c r="Q1768" s="272"/>
    </row>
    <row r="1769" spans="12:17" s="1523" customFormat="1">
      <c r="L1769" s="272"/>
      <c r="M1769" s="272"/>
      <c r="N1769" s="272"/>
      <c r="O1769" s="272"/>
      <c r="P1769" s="272"/>
      <c r="Q1769" s="272"/>
    </row>
    <row r="1770" spans="12:17" s="1523" customFormat="1">
      <c r="L1770" s="272"/>
      <c r="M1770" s="272"/>
      <c r="N1770" s="272"/>
      <c r="O1770" s="272"/>
      <c r="P1770" s="272"/>
      <c r="Q1770" s="272"/>
    </row>
    <row r="1771" spans="12:17" s="1523" customFormat="1">
      <c r="L1771" s="272"/>
      <c r="M1771" s="272"/>
      <c r="N1771" s="272"/>
      <c r="O1771" s="272"/>
      <c r="P1771" s="272"/>
      <c r="Q1771" s="272"/>
    </row>
    <row r="1772" spans="12:17" s="1523" customFormat="1">
      <c r="L1772" s="272"/>
      <c r="M1772" s="272"/>
      <c r="N1772" s="272"/>
      <c r="O1772" s="272"/>
      <c r="P1772" s="272"/>
      <c r="Q1772" s="272"/>
    </row>
    <row r="1773" spans="12:17" s="1523" customFormat="1">
      <c r="L1773" s="272"/>
      <c r="M1773" s="272"/>
      <c r="N1773" s="272"/>
      <c r="O1773" s="272"/>
      <c r="P1773" s="272"/>
      <c r="Q1773" s="272"/>
    </row>
    <row r="1774" spans="12:17" s="1523" customFormat="1">
      <c r="L1774" s="272"/>
      <c r="M1774" s="272"/>
      <c r="N1774" s="272"/>
      <c r="O1774" s="272"/>
      <c r="P1774" s="272"/>
      <c r="Q1774" s="272"/>
    </row>
    <row r="1775" spans="12:17" s="1523" customFormat="1">
      <c r="L1775" s="272"/>
      <c r="M1775" s="272"/>
      <c r="N1775" s="272"/>
      <c r="O1775" s="272"/>
      <c r="P1775" s="272"/>
      <c r="Q1775" s="272"/>
    </row>
    <row r="1776" spans="12:17" s="1523" customFormat="1">
      <c r="L1776" s="272"/>
      <c r="M1776" s="272"/>
      <c r="N1776" s="272"/>
      <c r="O1776" s="272"/>
      <c r="P1776" s="272"/>
      <c r="Q1776" s="272"/>
    </row>
    <row r="1777" spans="12:17" s="1523" customFormat="1">
      <c r="L1777" s="272"/>
      <c r="M1777" s="272"/>
      <c r="N1777" s="272"/>
      <c r="O1777" s="272"/>
      <c r="P1777" s="272"/>
      <c r="Q1777" s="272"/>
    </row>
    <row r="1778" spans="12:17" s="1523" customFormat="1">
      <c r="L1778" s="272"/>
      <c r="M1778" s="272"/>
      <c r="N1778" s="272"/>
      <c r="O1778" s="272"/>
      <c r="P1778" s="272"/>
      <c r="Q1778" s="272"/>
    </row>
    <row r="1779" spans="12:17" s="1523" customFormat="1">
      <c r="L1779" s="272"/>
      <c r="M1779" s="272"/>
      <c r="N1779" s="272"/>
      <c r="O1779" s="272"/>
      <c r="P1779" s="272"/>
      <c r="Q1779" s="272"/>
    </row>
    <row r="1780" spans="12:17" s="1523" customFormat="1">
      <c r="L1780" s="272"/>
      <c r="M1780" s="272"/>
      <c r="N1780" s="272"/>
      <c r="O1780" s="272"/>
      <c r="P1780" s="272"/>
      <c r="Q1780" s="272"/>
    </row>
    <row r="1781" spans="12:17" s="1523" customFormat="1">
      <c r="L1781" s="272"/>
      <c r="M1781" s="272"/>
      <c r="N1781" s="272"/>
      <c r="O1781" s="272"/>
      <c r="P1781" s="272"/>
      <c r="Q1781" s="272"/>
    </row>
    <row r="1782" spans="12:17" s="1523" customFormat="1">
      <c r="L1782" s="272"/>
      <c r="M1782" s="272"/>
      <c r="N1782" s="272"/>
      <c r="O1782" s="272"/>
      <c r="P1782" s="272"/>
      <c r="Q1782" s="272"/>
    </row>
    <row r="1783" spans="12:17" s="1523" customFormat="1">
      <c r="L1783" s="272"/>
      <c r="M1783" s="272"/>
      <c r="N1783" s="272"/>
      <c r="O1783" s="272"/>
      <c r="P1783" s="272"/>
      <c r="Q1783" s="272"/>
    </row>
    <row r="1784" spans="12:17" s="1523" customFormat="1">
      <c r="L1784" s="272"/>
      <c r="M1784" s="272"/>
      <c r="N1784" s="272"/>
      <c r="O1784" s="272"/>
      <c r="P1784" s="272"/>
      <c r="Q1784" s="272"/>
    </row>
    <row r="1785" spans="12:17" s="1523" customFormat="1">
      <c r="L1785" s="272"/>
      <c r="M1785" s="272"/>
      <c r="N1785" s="272"/>
      <c r="O1785" s="272"/>
      <c r="P1785" s="272"/>
      <c r="Q1785" s="272"/>
    </row>
    <row r="1786" spans="12:17" s="1523" customFormat="1">
      <c r="L1786" s="272"/>
      <c r="M1786" s="272"/>
      <c r="N1786" s="272"/>
      <c r="O1786" s="272"/>
      <c r="P1786" s="272"/>
      <c r="Q1786" s="272"/>
    </row>
    <row r="1787" spans="12:17" s="1523" customFormat="1">
      <c r="L1787" s="272"/>
      <c r="M1787" s="272"/>
      <c r="N1787" s="272"/>
      <c r="O1787" s="272"/>
      <c r="P1787" s="272"/>
      <c r="Q1787" s="272"/>
    </row>
    <row r="1788" spans="12:17" s="1523" customFormat="1">
      <c r="L1788" s="272"/>
      <c r="M1788" s="272"/>
      <c r="N1788" s="272"/>
      <c r="O1788" s="272"/>
      <c r="P1788" s="272"/>
      <c r="Q1788" s="272"/>
    </row>
    <row r="1789" spans="12:17" s="1523" customFormat="1">
      <c r="L1789" s="272"/>
      <c r="M1789" s="272"/>
      <c r="N1789" s="272"/>
      <c r="O1789" s="272"/>
      <c r="P1789" s="272"/>
      <c r="Q1789" s="272"/>
    </row>
    <row r="1790" spans="12:17" s="1523" customFormat="1">
      <c r="L1790" s="272"/>
      <c r="M1790" s="272"/>
      <c r="N1790" s="272"/>
      <c r="O1790" s="272"/>
      <c r="P1790" s="272"/>
      <c r="Q1790" s="272"/>
    </row>
    <row r="1791" spans="12:17" s="1523" customFormat="1">
      <c r="L1791" s="272"/>
      <c r="M1791" s="272"/>
      <c r="N1791" s="272"/>
      <c r="O1791" s="272"/>
      <c r="P1791" s="272"/>
      <c r="Q1791" s="272"/>
    </row>
    <row r="1792" spans="12:17" s="1523" customFormat="1">
      <c r="L1792" s="272"/>
      <c r="M1792" s="272"/>
      <c r="N1792" s="272"/>
      <c r="O1792" s="272"/>
      <c r="P1792" s="272"/>
      <c r="Q1792" s="272"/>
    </row>
    <row r="1793" spans="12:17" s="1523" customFormat="1">
      <c r="L1793" s="272"/>
      <c r="M1793" s="272"/>
      <c r="N1793" s="272"/>
      <c r="O1793" s="272"/>
      <c r="P1793" s="272"/>
      <c r="Q1793" s="272"/>
    </row>
    <row r="1794" spans="12:17" s="1523" customFormat="1">
      <c r="L1794" s="272"/>
      <c r="M1794" s="272"/>
      <c r="N1794" s="272"/>
      <c r="O1794" s="272"/>
      <c r="P1794" s="272"/>
      <c r="Q1794" s="272"/>
    </row>
    <row r="1795" spans="12:17" s="1523" customFormat="1">
      <c r="L1795" s="272"/>
      <c r="M1795" s="272"/>
      <c r="N1795" s="272"/>
      <c r="O1795" s="272"/>
      <c r="P1795" s="272"/>
      <c r="Q1795" s="272"/>
    </row>
    <row r="1796" spans="12:17" s="1523" customFormat="1">
      <c r="L1796" s="272"/>
      <c r="M1796" s="272"/>
      <c r="N1796" s="272"/>
      <c r="O1796" s="272"/>
      <c r="P1796" s="272"/>
      <c r="Q1796" s="272"/>
    </row>
    <row r="1797" spans="12:17" s="1523" customFormat="1">
      <c r="L1797" s="272"/>
      <c r="M1797" s="272"/>
      <c r="N1797" s="272"/>
      <c r="O1797" s="272"/>
      <c r="P1797" s="272"/>
      <c r="Q1797" s="272"/>
    </row>
    <row r="1798" spans="12:17" s="1523" customFormat="1">
      <c r="L1798" s="272"/>
      <c r="M1798" s="272"/>
      <c r="N1798" s="272"/>
      <c r="O1798" s="272"/>
      <c r="P1798" s="272"/>
      <c r="Q1798" s="272"/>
    </row>
    <row r="1799" spans="12:17" s="1523" customFormat="1">
      <c r="L1799" s="272"/>
      <c r="M1799" s="272"/>
      <c r="N1799" s="272"/>
      <c r="O1799" s="272"/>
      <c r="P1799" s="272"/>
      <c r="Q1799" s="272"/>
    </row>
    <row r="1800" spans="12:17" s="1523" customFormat="1">
      <c r="L1800" s="272"/>
      <c r="M1800" s="272"/>
      <c r="N1800" s="272"/>
      <c r="O1800" s="272"/>
      <c r="P1800" s="272"/>
      <c r="Q1800" s="272"/>
    </row>
    <row r="1801" spans="12:17" s="1523" customFormat="1">
      <c r="L1801" s="272"/>
      <c r="M1801" s="272"/>
      <c r="N1801" s="272"/>
      <c r="O1801" s="272"/>
      <c r="P1801" s="272"/>
      <c r="Q1801" s="272"/>
    </row>
    <row r="1802" spans="12:17" s="1523" customFormat="1">
      <c r="L1802" s="272"/>
      <c r="M1802" s="272"/>
      <c r="N1802" s="272"/>
      <c r="O1802" s="272"/>
      <c r="P1802" s="272"/>
      <c r="Q1802" s="272"/>
    </row>
    <row r="1803" spans="12:17" s="1523" customFormat="1">
      <c r="L1803" s="272"/>
      <c r="M1803" s="272"/>
      <c r="N1803" s="272"/>
      <c r="O1803" s="272"/>
      <c r="P1803" s="272"/>
      <c r="Q1803" s="272"/>
    </row>
    <row r="1804" spans="12:17" s="1523" customFormat="1">
      <c r="L1804" s="272"/>
      <c r="M1804" s="272"/>
      <c r="N1804" s="272"/>
      <c r="O1804" s="272"/>
      <c r="P1804" s="272"/>
      <c r="Q1804" s="272"/>
    </row>
    <row r="1805" spans="12:17" s="1523" customFormat="1">
      <c r="L1805" s="272"/>
      <c r="M1805" s="272"/>
      <c r="N1805" s="272"/>
      <c r="O1805" s="272"/>
      <c r="P1805" s="272"/>
      <c r="Q1805" s="272"/>
    </row>
    <row r="1806" spans="12:17" s="1523" customFormat="1">
      <c r="L1806" s="272"/>
      <c r="M1806" s="272"/>
      <c r="N1806" s="272"/>
      <c r="O1806" s="272"/>
      <c r="P1806" s="272"/>
      <c r="Q1806" s="272"/>
    </row>
    <row r="1807" spans="12:17" s="1523" customFormat="1">
      <c r="L1807" s="272"/>
      <c r="M1807" s="272"/>
      <c r="N1807" s="272"/>
      <c r="O1807" s="272"/>
      <c r="P1807" s="272"/>
      <c r="Q1807" s="272"/>
    </row>
    <row r="1808" spans="12:17" s="1523" customFormat="1">
      <c r="L1808" s="272"/>
      <c r="M1808" s="272"/>
      <c r="N1808" s="272"/>
      <c r="O1808" s="272"/>
      <c r="P1808" s="272"/>
      <c r="Q1808" s="272"/>
    </row>
    <row r="1809" spans="12:17" s="1523" customFormat="1">
      <c r="L1809" s="272"/>
      <c r="M1809" s="272"/>
      <c r="N1809" s="272"/>
      <c r="O1809" s="272"/>
      <c r="P1809" s="272"/>
      <c r="Q1809" s="272"/>
    </row>
    <row r="1810" spans="12:17" s="1523" customFormat="1">
      <c r="L1810" s="272"/>
      <c r="M1810" s="272"/>
      <c r="N1810" s="272"/>
      <c r="O1810" s="272"/>
      <c r="P1810" s="272"/>
      <c r="Q1810" s="272"/>
    </row>
    <row r="1811" spans="12:17" s="1523" customFormat="1">
      <c r="L1811" s="272"/>
      <c r="M1811" s="272"/>
      <c r="N1811" s="272"/>
      <c r="O1811" s="272"/>
      <c r="P1811" s="272"/>
      <c r="Q1811" s="272"/>
    </row>
    <row r="1812" spans="12:17" s="1523" customFormat="1">
      <c r="L1812" s="272"/>
      <c r="M1812" s="272"/>
      <c r="N1812" s="272"/>
      <c r="O1812" s="272"/>
      <c r="P1812" s="272"/>
      <c r="Q1812" s="272"/>
    </row>
    <row r="1813" spans="12:17" s="1523" customFormat="1">
      <c r="L1813" s="272"/>
      <c r="M1813" s="272"/>
      <c r="N1813" s="272"/>
      <c r="O1813" s="272"/>
      <c r="P1813" s="272"/>
      <c r="Q1813" s="272"/>
    </row>
    <row r="1814" spans="12:17" s="1523" customFormat="1">
      <c r="L1814" s="272"/>
      <c r="M1814" s="272"/>
      <c r="N1814" s="272"/>
      <c r="O1814" s="272"/>
      <c r="P1814" s="272"/>
      <c r="Q1814" s="272"/>
    </row>
    <row r="1815" spans="12:17" s="1523" customFormat="1">
      <c r="L1815" s="272"/>
      <c r="M1815" s="272"/>
      <c r="N1815" s="272"/>
      <c r="O1815" s="272"/>
      <c r="P1815" s="272"/>
      <c r="Q1815" s="272"/>
    </row>
    <row r="1816" spans="12:17" s="1523" customFormat="1">
      <c r="L1816" s="272"/>
      <c r="M1816" s="272"/>
      <c r="N1816" s="272"/>
      <c r="O1816" s="272"/>
      <c r="P1816" s="272"/>
      <c r="Q1816" s="272"/>
    </row>
    <row r="1817" spans="12:17" s="1523" customFormat="1">
      <c r="L1817" s="272"/>
      <c r="M1817" s="272"/>
      <c r="N1817" s="272"/>
      <c r="O1817" s="272"/>
      <c r="P1817" s="272"/>
      <c r="Q1817" s="272"/>
    </row>
    <row r="1818" spans="12:17" s="1523" customFormat="1">
      <c r="L1818" s="272"/>
      <c r="M1818" s="272"/>
      <c r="N1818" s="272"/>
      <c r="O1818" s="272"/>
      <c r="P1818" s="272"/>
      <c r="Q1818" s="272"/>
    </row>
    <row r="1819" spans="12:17" s="1523" customFormat="1">
      <c r="L1819" s="272"/>
      <c r="M1819" s="272"/>
      <c r="N1819" s="272"/>
      <c r="O1819" s="272"/>
      <c r="P1819" s="272"/>
      <c r="Q1819" s="272"/>
    </row>
    <row r="1820" spans="12:17" s="1523" customFormat="1">
      <c r="L1820" s="272"/>
      <c r="M1820" s="272"/>
      <c r="N1820" s="272"/>
      <c r="O1820" s="272"/>
      <c r="P1820" s="272"/>
      <c r="Q1820" s="272"/>
    </row>
    <row r="1821" spans="12:17" s="1523" customFormat="1">
      <c r="L1821" s="272"/>
      <c r="M1821" s="272"/>
      <c r="N1821" s="272"/>
      <c r="O1821" s="272"/>
      <c r="P1821" s="272"/>
      <c r="Q1821" s="272"/>
    </row>
    <row r="1822" spans="12:17" s="1523" customFormat="1">
      <c r="L1822" s="272"/>
      <c r="M1822" s="272"/>
      <c r="N1822" s="272"/>
      <c r="O1822" s="272"/>
      <c r="P1822" s="272"/>
      <c r="Q1822" s="272"/>
    </row>
    <row r="1823" spans="12:17" s="1523" customFormat="1">
      <c r="L1823" s="272"/>
      <c r="M1823" s="272"/>
      <c r="N1823" s="272"/>
      <c r="O1823" s="272"/>
      <c r="P1823" s="272"/>
      <c r="Q1823" s="272"/>
    </row>
    <row r="1824" spans="12:17" s="1523" customFormat="1">
      <c r="L1824" s="272"/>
      <c r="M1824" s="272"/>
      <c r="N1824" s="272"/>
      <c r="O1824" s="272"/>
      <c r="P1824" s="272"/>
      <c r="Q1824" s="272"/>
    </row>
    <row r="1825" spans="12:17" s="1523" customFormat="1">
      <c r="L1825" s="272"/>
      <c r="M1825" s="272"/>
      <c r="N1825" s="272"/>
      <c r="O1825" s="272"/>
      <c r="P1825" s="272"/>
      <c r="Q1825" s="272"/>
    </row>
    <row r="1826" spans="12:17" s="1523" customFormat="1">
      <c r="L1826" s="272"/>
      <c r="M1826" s="272"/>
      <c r="N1826" s="272"/>
      <c r="O1826" s="272"/>
      <c r="P1826" s="272"/>
      <c r="Q1826" s="272"/>
    </row>
    <row r="1827" spans="12:17" s="1523" customFormat="1">
      <c r="L1827" s="272"/>
      <c r="M1827" s="272"/>
      <c r="N1827" s="272"/>
      <c r="O1827" s="272"/>
      <c r="P1827" s="272"/>
      <c r="Q1827" s="272"/>
    </row>
    <row r="1828" spans="12:17" s="1523" customFormat="1">
      <c r="L1828" s="272"/>
      <c r="M1828" s="272"/>
      <c r="N1828" s="272"/>
      <c r="O1828" s="272"/>
      <c r="P1828" s="272"/>
      <c r="Q1828" s="272"/>
    </row>
    <row r="1829" spans="12:17" s="1523" customFormat="1">
      <c r="L1829" s="272"/>
      <c r="M1829" s="272"/>
      <c r="N1829" s="272"/>
      <c r="O1829" s="272"/>
      <c r="P1829" s="272"/>
      <c r="Q1829" s="272"/>
    </row>
    <row r="1830" spans="12:17" s="1523" customFormat="1">
      <c r="L1830" s="272"/>
      <c r="M1830" s="272"/>
      <c r="N1830" s="272"/>
      <c r="O1830" s="272"/>
      <c r="P1830" s="272"/>
      <c r="Q1830" s="272"/>
    </row>
    <row r="1831" spans="12:17" s="1523" customFormat="1">
      <c r="L1831" s="272"/>
      <c r="M1831" s="272"/>
      <c r="N1831" s="272"/>
      <c r="O1831" s="272"/>
      <c r="P1831" s="272"/>
      <c r="Q1831" s="272"/>
    </row>
    <row r="1832" spans="12:17" s="1523" customFormat="1">
      <c r="L1832" s="272"/>
      <c r="M1832" s="272"/>
      <c r="N1832" s="272"/>
      <c r="O1832" s="272"/>
      <c r="P1832" s="272"/>
      <c r="Q1832" s="272"/>
    </row>
    <row r="1833" spans="12:17" s="1523" customFormat="1">
      <c r="L1833" s="272"/>
      <c r="M1833" s="272"/>
      <c r="N1833" s="272"/>
      <c r="O1833" s="272"/>
      <c r="P1833" s="272"/>
      <c r="Q1833" s="272"/>
    </row>
    <row r="1834" spans="12:17" s="1523" customFormat="1">
      <c r="L1834" s="272"/>
      <c r="M1834" s="272"/>
      <c r="N1834" s="272"/>
      <c r="O1834" s="272"/>
      <c r="P1834" s="272"/>
      <c r="Q1834" s="272"/>
    </row>
    <row r="1835" spans="12:17" s="1523" customFormat="1">
      <c r="L1835" s="272"/>
      <c r="M1835" s="272"/>
      <c r="N1835" s="272"/>
      <c r="O1835" s="272"/>
      <c r="P1835" s="272"/>
      <c r="Q1835" s="272"/>
    </row>
    <row r="1836" spans="12:17" s="1523" customFormat="1">
      <c r="L1836" s="272"/>
      <c r="M1836" s="272"/>
      <c r="N1836" s="272"/>
      <c r="O1836" s="272"/>
      <c r="P1836" s="272"/>
      <c r="Q1836" s="272"/>
    </row>
    <row r="1837" spans="12:17" s="1523" customFormat="1">
      <c r="L1837" s="272"/>
      <c r="M1837" s="272"/>
      <c r="N1837" s="272"/>
      <c r="O1837" s="272"/>
      <c r="P1837" s="272"/>
      <c r="Q1837" s="272"/>
    </row>
    <row r="1838" spans="12:17" s="1523" customFormat="1">
      <c r="L1838" s="272"/>
      <c r="M1838" s="272"/>
      <c r="N1838" s="272"/>
      <c r="O1838" s="272"/>
      <c r="P1838" s="272"/>
      <c r="Q1838" s="272"/>
    </row>
    <row r="1839" spans="12:17" s="1523" customFormat="1">
      <c r="L1839" s="272"/>
      <c r="M1839" s="272"/>
      <c r="N1839" s="272"/>
      <c r="O1839" s="272"/>
      <c r="P1839" s="272"/>
      <c r="Q1839" s="272"/>
    </row>
    <row r="1840" spans="12:17" s="1523" customFormat="1">
      <c r="L1840" s="272"/>
      <c r="M1840" s="272"/>
      <c r="N1840" s="272"/>
      <c r="O1840" s="272"/>
      <c r="P1840" s="272"/>
      <c r="Q1840" s="272"/>
    </row>
    <row r="1841" spans="12:17" s="1523" customFormat="1">
      <c r="L1841" s="272"/>
      <c r="M1841" s="272"/>
      <c r="N1841" s="272"/>
      <c r="O1841" s="272"/>
      <c r="P1841" s="272"/>
      <c r="Q1841" s="272"/>
    </row>
    <row r="1842" spans="12:17" s="1523" customFormat="1">
      <c r="L1842" s="272"/>
      <c r="M1842" s="272"/>
      <c r="N1842" s="272"/>
      <c r="O1842" s="272"/>
      <c r="P1842" s="272"/>
      <c r="Q1842" s="272"/>
    </row>
    <row r="1843" spans="12:17" s="1523" customFormat="1">
      <c r="L1843" s="272"/>
      <c r="M1843" s="272"/>
      <c r="N1843" s="272"/>
      <c r="O1843" s="272"/>
      <c r="P1843" s="272"/>
      <c r="Q1843" s="272"/>
    </row>
    <row r="1844" spans="12:17" s="1523" customFormat="1">
      <c r="L1844" s="272"/>
      <c r="M1844" s="272"/>
      <c r="N1844" s="272"/>
      <c r="O1844" s="272"/>
      <c r="P1844" s="272"/>
      <c r="Q1844" s="272"/>
    </row>
    <row r="1845" spans="12:17" s="1523" customFormat="1">
      <c r="L1845" s="272"/>
      <c r="M1845" s="272"/>
      <c r="N1845" s="272"/>
      <c r="O1845" s="272"/>
      <c r="P1845" s="272"/>
      <c r="Q1845" s="272"/>
    </row>
    <row r="1846" spans="12:17" s="1523" customFormat="1">
      <c r="L1846" s="272"/>
      <c r="M1846" s="272"/>
      <c r="N1846" s="272"/>
      <c r="O1846" s="272"/>
      <c r="P1846" s="272"/>
      <c r="Q1846" s="272"/>
    </row>
    <row r="1847" spans="12:17" s="1523" customFormat="1">
      <c r="L1847" s="272"/>
      <c r="M1847" s="272"/>
      <c r="N1847" s="272"/>
      <c r="O1847" s="272"/>
      <c r="P1847" s="272"/>
      <c r="Q1847" s="272"/>
    </row>
    <row r="1848" spans="12:17" s="1523" customFormat="1">
      <c r="L1848" s="272"/>
      <c r="M1848" s="272"/>
      <c r="N1848" s="272"/>
      <c r="O1848" s="272"/>
      <c r="P1848" s="272"/>
      <c r="Q1848" s="272"/>
    </row>
    <row r="1849" spans="12:17" s="1523" customFormat="1">
      <c r="L1849" s="272"/>
      <c r="M1849" s="272"/>
      <c r="N1849" s="272"/>
      <c r="O1849" s="272"/>
      <c r="P1849" s="272"/>
      <c r="Q1849" s="272"/>
    </row>
    <row r="1850" spans="12:17" s="1523" customFormat="1">
      <c r="L1850" s="272"/>
      <c r="M1850" s="272"/>
      <c r="N1850" s="272"/>
      <c r="O1850" s="272"/>
      <c r="P1850" s="272"/>
      <c r="Q1850" s="272"/>
    </row>
    <row r="1851" spans="12:17" s="1523" customFormat="1">
      <c r="L1851" s="272"/>
      <c r="M1851" s="272"/>
      <c r="N1851" s="272"/>
      <c r="O1851" s="272"/>
      <c r="P1851" s="272"/>
      <c r="Q1851" s="272"/>
    </row>
    <row r="1852" spans="12:17" s="1523" customFormat="1">
      <c r="L1852" s="272"/>
      <c r="M1852" s="272"/>
      <c r="N1852" s="272"/>
      <c r="O1852" s="272"/>
      <c r="P1852" s="272"/>
      <c r="Q1852" s="272"/>
    </row>
    <row r="1853" spans="12:17" s="1523" customFormat="1">
      <c r="L1853" s="272"/>
      <c r="M1853" s="272"/>
      <c r="N1853" s="272"/>
      <c r="O1853" s="272"/>
      <c r="P1853" s="272"/>
      <c r="Q1853" s="272"/>
    </row>
    <row r="1854" spans="12:17" s="1523" customFormat="1">
      <c r="L1854" s="272"/>
      <c r="M1854" s="272"/>
      <c r="N1854" s="272"/>
      <c r="O1854" s="272"/>
      <c r="P1854" s="272"/>
      <c r="Q1854" s="272"/>
    </row>
    <row r="1855" spans="12:17" s="1523" customFormat="1">
      <c r="L1855" s="272"/>
      <c r="M1855" s="272"/>
      <c r="N1855" s="272"/>
      <c r="O1855" s="272"/>
      <c r="P1855" s="272"/>
      <c r="Q1855" s="272"/>
    </row>
    <row r="1856" spans="12:17" s="1523" customFormat="1">
      <c r="L1856" s="272"/>
      <c r="M1856" s="272"/>
      <c r="N1856" s="272"/>
      <c r="O1856" s="272"/>
      <c r="P1856" s="272"/>
      <c r="Q1856" s="272"/>
    </row>
    <row r="1857" spans="12:17" s="1523" customFormat="1">
      <c r="L1857" s="272"/>
      <c r="M1857" s="272"/>
      <c r="N1857" s="272"/>
      <c r="O1857" s="272"/>
      <c r="P1857" s="272"/>
      <c r="Q1857" s="272"/>
    </row>
    <row r="1858" spans="12:17" s="1523" customFormat="1">
      <c r="L1858" s="272"/>
      <c r="M1858" s="272"/>
      <c r="N1858" s="272"/>
      <c r="O1858" s="272"/>
      <c r="P1858" s="272"/>
      <c r="Q1858" s="272"/>
    </row>
    <row r="1859" spans="12:17" s="1523" customFormat="1">
      <c r="L1859" s="272"/>
      <c r="M1859" s="272"/>
      <c r="N1859" s="272"/>
      <c r="O1859" s="272"/>
      <c r="P1859" s="272"/>
      <c r="Q1859" s="272"/>
    </row>
    <row r="1860" spans="12:17" s="1523" customFormat="1">
      <c r="L1860" s="272"/>
      <c r="M1860" s="272"/>
      <c r="N1860" s="272"/>
      <c r="O1860" s="272"/>
      <c r="P1860" s="272"/>
      <c r="Q1860" s="272"/>
    </row>
    <row r="1861" spans="12:17" s="1523" customFormat="1">
      <c r="L1861" s="272"/>
      <c r="M1861" s="272"/>
      <c r="N1861" s="272"/>
      <c r="O1861" s="272"/>
      <c r="P1861" s="272"/>
      <c r="Q1861" s="272"/>
    </row>
    <row r="1862" spans="12:17" s="1523" customFormat="1">
      <c r="L1862" s="272"/>
      <c r="M1862" s="272"/>
      <c r="N1862" s="272"/>
      <c r="O1862" s="272"/>
      <c r="P1862" s="272"/>
      <c r="Q1862" s="272"/>
    </row>
    <row r="1863" spans="12:17" s="1523" customFormat="1">
      <c r="L1863" s="272"/>
      <c r="M1863" s="272"/>
      <c r="N1863" s="272"/>
      <c r="O1863" s="272"/>
      <c r="P1863" s="272"/>
      <c r="Q1863" s="272"/>
    </row>
    <row r="1864" spans="12:17" s="1523" customFormat="1">
      <c r="L1864" s="272"/>
      <c r="M1864" s="272"/>
      <c r="N1864" s="272"/>
      <c r="O1864" s="272"/>
      <c r="P1864" s="272"/>
      <c r="Q1864" s="272"/>
    </row>
    <row r="1865" spans="12:17" s="1523" customFormat="1">
      <c r="L1865" s="272"/>
      <c r="M1865" s="272"/>
      <c r="N1865" s="272"/>
      <c r="O1865" s="272"/>
      <c r="P1865" s="272"/>
      <c r="Q1865" s="272"/>
    </row>
    <row r="1866" spans="12:17" s="1523" customFormat="1">
      <c r="L1866" s="272"/>
      <c r="M1866" s="272"/>
      <c r="N1866" s="272"/>
      <c r="O1866" s="272"/>
      <c r="P1866" s="272"/>
      <c r="Q1866" s="272"/>
    </row>
    <row r="1867" spans="12:17" s="1523" customFormat="1">
      <c r="L1867" s="272"/>
      <c r="M1867" s="272"/>
      <c r="N1867" s="272"/>
      <c r="O1867" s="272"/>
      <c r="P1867" s="272"/>
      <c r="Q1867" s="272"/>
    </row>
    <row r="1868" spans="12:17" s="1523" customFormat="1">
      <c r="L1868" s="272"/>
      <c r="M1868" s="272"/>
      <c r="N1868" s="272"/>
      <c r="O1868" s="272"/>
      <c r="P1868" s="272"/>
      <c r="Q1868" s="272"/>
    </row>
    <row r="1869" spans="12:17" s="1523" customFormat="1">
      <c r="L1869" s="272"/>
      <c r="M1869" s="272"/>
      <c r="N1869" s="272"/>
      <c r="O1869" s="272"/>
      <c r="P1869" s="272"/>
      <c r="Q1869" s="272"/>
    </row>
    <row r="1870" spans="12:17" s="1523" customFormat="1">
      <c r="L1870" s="272"/>
      <c r="M1870" s="272"/>
      <c r="N1870" s="272"/>
      <c r="O1870" s="272"/>
      <c r="P1870" s="272"/>
      <c r="Q1870" s="272"/>
    </row>
    <row r="1871" spans="12:17" s="1523" customFormat="1">
      <c r="L1871" s="272"/>
      <c r="M1871" s="272"/>
      <c r="N1871" s="272"/>
      <c r="O1871" s="272"/>
      <c r="P1871" s="272"/>
      <c r="Q1871" s="272"/>
    </row>
    <row r="1872" spans="12:17" s="1523" customFormat="1">
      <c r="L1872" s="272"/>
      <c r="M1872" s="272"/>
      <c r="N1872" s="272"/>
      <c r="O1872" s="272"/>
      <c r="P1872" s="272"/>
      <c r="Q1872" s="272"/>
    </row>
    <row r="1873" spans="12:17" s="1523" customFormat="1">
      <c r="L1873" s="272"/>
      <c r="M1873" s="272"/>
      <c r="N1873" s="272"/>
      <c r="O1873" s="272"/>
      <c r="P1873" s="272"/>
      <c r="Q1873" s="272"/>
    </row>
    <row r="1874" spans="12:17" s="1523" customFormat="1">
      <c r="L1874" s="272"/>
      <c r="M1874" s="272"/>
      <c r="N1874" s="272"/>
      <c r="O1874" s="272"/>
      <c r="P1874" s="272"/>
      <c r="Q1874" s="272"/>
    </row>
    <row r="1875" spans="12:17" s="1523" customFormat="1">
      <c r="L1875" s="272"/>
      <c r="M1875" s="272"/>
      <c r="N1875" s="272"/>
      <c r="O1875" s="272"/>
      <c r="P1875" s="272"/>
      <c r="Q1875" s="272"/>
    </row>
    <row r="1876" spans="12:17" s="1523" customFormat="1">
      <c r="L1876" s="272"/>
      <c r="M1876" s="272"/>
      <c r="N1876" s="272"/>
      <c r="O1876" s="272"/>
      <c r="P1876" s="272"/>
      <c r="Q1876" s="272"/>
    </row>
    <row r="1877" spans="12:17" s="1523" customFormat="1">
      <c r="L1877" s="272"/>
      <c r="M1877" s="272"/>
      <c r="N1877" s="272"/>
      <c r="O1877" s="272"/>
      <c r="P1877" s="272"/>
      <c r="Q1877" s="272"/>
    </row>
    <row r="1878" spans="12:17" s="1523" customFormat="1">
      <c r="L1878" s="272"/>
      <c r="M1878" s="272"/>
      <c r="N1878" s="272"/>
      <c r="O1878" s="272"/>
      <c r="P1878" s="272"/>
      <c r="Q1878" s="272"/>
    </row>
    <row r="1879" spans="12:17" s="1523" customFormat="1">
      <c r="L1879" s="272"/>
      <c r="M1879" s="272"/>
      <c r="N1879" s="272"/>
      <c r="O1879" s="272"/>
      <c r="P1879" s="272"/>
      <c r="Q1879" s="272"/>
    </row>
    <row r="1880" spans="12:17" s="1523" customFormat="1">
      <c r="L1880" s="272"/>
      <c r="M1880" s="272"/>
      <c r="N1880" s="272"/>
      <c r="O1880" s="272"/>
      <c r="P1880" s="272"/>
      <c r="Q1880" s="272"/>
    </row>
    <row r="1881" spans="12:17" s="1523" customFormat="1">
      <c r="L1881" s="272"/>
      <c r="M1881" s="272"/>
      <c r="N1881" s="272"/>
      <c r="O1881" s="272"/>
      <c r="P1881" s="272"/>
      <c r="Q1881" s="272"/>
    </row>
    <row r="1882" spans="12:17" s="1523" customFormat="1">
      <c r="L1882" s="272"/>
      <c r="M1882" s="272"/>
      <c r="N1882" s="272"/>
      <c r="O1882" s="272"/>
      <c r="P1882" s="272"/>
      <c r="Q1882" s="272"/>
    </row>
    <row r="1883" spans="12:17" s="1523" customFormat="1">
      <c r="L1883" s="272"/>
      <c r="M1883" s="272"/>
      <c r="N1883" s="272"/>
      <c r="O1883" s="272"/>
      <c r="P1883" s="272"/>
      <c r="Q1883" s="272"/>
    </row>
    <row r="1884" spans="12:17" s="1523" customFormat="1">
      <c r="L1884" s="272"/>
      <c r="M1884" s="272"/>
      <c r="N1884" s="272"/>
      <c r="O1884" s="272"/>
      <c r="P1884" s="272"/>
      <c r="Q1884" s="272"/>
    </row>
    <row r="1885" spans="12:17" s="1523" customFormat="1">
      <c r="L1885" s="272"/>
      <c r="M1885" s="272"/>
      <c r="N1885" s="272"/>
      <c r="O1885" s="272"/>
      <c r="P1885" s="272"/>
      <c r="Q1885" s="272"/>
    </row>
    <row r="1886" spans="12:17" s="1523" customFormat="1">
      <c r="L1886" s="272"/>
      <c r="M1886" s="272"/>
      <c r="N1886" s="272"/>
      <c r="O1886" s="272"/>
      <c r="P1886" s="272"/>
      <c r="Q1886" s="272"/>
    </row>
    <row r="1887" spans="12:17" s="1523" customFormat="1">
      <c r="L1887" s="272"/>
      <c r="M1887" s="272"/>
      <c r="N1887" s="272"/>
      <c r="O1887" s="272"/>
      <c r="P1887" s="272"/>
      <c r="Q1887" s="272"/>
    </row>
    <row r="1888" spans="12:17" s="1523" customFormat="1">
      <c r="L1888" s="272"/>
      <c r="M1888" s="272"/>
      <c r="N1888" s="272"/>
      <c r="O1888" s="272"/>
      <c r="P1888" s="272"/>
      <c r="Q1888" s="272"/>
    </row>
    <row r="1889" spans="12:17" s="1523" customFormat="1">
      <c r="L1889" s="272"/>
      <c r="M1889" s="272"/>
      <c r="N1889" s="272"/>
      <c r="O1889" s="272"/>
      <c r="P1889" s="272"/>
      <c r="Q1889" s="272"/>
    </row>
    <row r="1890" spans="12:17" s="1523" customFormat="1">
      <c r="L1890" s="272"/>
      <c r="M1890" s="272"/>
      <c r="N1890" s="272"/>
      <c r="O1890" s="272"/>
      <c r="P1890" s="272"/>
      <c r="Q1890" s="272"/>
    </row>
    <row r="1891" spans="12:17" s="1523" customFormat="1">
      <c r="L1891" s="272"/>
      <c r="M1891" s="272"/>
      <c r="N1891" s="272"/>
      <c r="O1891" s="272"/>
      <c r="P1891" s="272"/>
      <c r="Q1891" s="272"/>
    </row>
    <row r="1892" spans="12:17" s="1523" customFormat="1">
      <c r="L1892" s="272"/>
      <c r="M1892" s="272"/>
      <c r="N1892" s="272"/>
      <c r="O1892" s="272"/>
      <c r="P1892" s="272"/>
      <c r="Q1892" s="272"/>
    </row>
    <row r="1893" spans="12:17" s="1523" customFormat="1">
      <c r="L1893" s="272"/>
      <c r="M1893" s="272"/>
      <c r="N1893" s="272"/>
      <c r="O1893" s="272"/>
      <c r="P1893" s="272"/>
      <c r="Q1893" s="272"/>
    </row>
    <row r="1894" spans="12:17" s="1523" customFormat="1">
      <c r="L1894" s="272"/>
      <c r="M1894" s="272"/>
      <c r="N1894" s="272"/>
      <c r="O1894" s="272"/>
      <c r="P1894" s="272"/>
      <c r="Q1894" s="272"/>
    </row>
    <row r="1895" spans="12:17" s="1523" customFormat="1">
      <c r="L1895" s="272"/>
      <c r="M1895" s="272"/>
      <c r="N1895" s="272"/>
      <c r="O1895" s="272"/>
      <c r="P1895" s="272"/>
      <c r="Q1895" s="272"/>
    </row>
    <row r="1896" spans="12:17" s="1523" customFormat="1">
      <c r="L1896" s="272"/>
      <c r="M1896" s="272"/>
      <c r="N1896" s="272"/>
      <c r="O1896" s="272"/>
      <c r="P1896" s="272"/>
      <c r="Q1896" s="272"/>
    </row>
    <row r="1897" spans="12:17" s="1523" customFormat="1">
      <c r="L1897" s="272"/>
      <c r="M1897" s="272"/>
      <c r="N1897" s="272"/>
      <c r="O1897" s="272"/>
      <c r="P1897" s="272"/>
      <c r="Q1897" s="272"/>
    </row>
    <row r="1898" spans="12:17" s="1523" customFormat="1">
      <c r="L1898" s="272"/>
      <c r="M1898" s="272"/>
      <c r="N1898" s="272"/>
      <c r="O1898" s="272"/>
      <c r="P1898" s="272"/>
      <c r="Q1898" s="272"/>
    </row>
    <row r="1899" spans="12:17" s="1523" customFormat="1">
      <c r="L1899" s="272"/>
      <c r="M1899" s="272"/>
      <c r="N1899" s="272"/>
      <c r="O1899" s="272"/>
      <c r="P1899" s="272"/>
      <c r="Q1899" s="272"/>
    </row>
    <row r="1900" spans="12:17" s="1523" customFormat="1">
      <c r="L1900" s="272"/>
      <c r="M1900" s="272"/>
      <c r="N1900" s="272"/>
      <c r="O1900" s="272"/>
      <c r="P1900" s="272"/>
      <c r="Q1900" s="272"/>
    </row>
    <row r="1901" spans="12:17" s="1523" customFormat="1">
      <c r="L1901" s="272"/>
      <c r="M1901" s="272"/>
      <c r="N1901" s="272"/>
      <c r="O1901" s="272"/>
      <c r="P1901" s="272"/>
      <c r="Q1901" s="272"/>
    </row>
    <row r="1902" spans="12:17" s="1523" customFormat="1">
      <c r="L1902" s="272"/>
      <c r="M1902" s="272"/>
      <c r="N1902" s="272"/>
      <c r="O1902" s="272"/>
      <c r="P1902" s="272"/>
      <c r="Q1902" s="272"/>
    </row>
    <row r="1903" spans="12:17" s="1523" customFormat="1">
      <c r="L1903" s="272"/>
      <c r="M1903" s="272"/>
      <c r="N1903" s="272"/>
      <c r="O1903" s="272"/>
      <c r="P1903" s="272"/>
      <c r="Q1903" s="272"/>
    </row>
    <row r="1904" spans="12:17" s="1523" customFormat="1">
      <c r="L1904" s="272"/>
      <c r="M1904" s="272"/>
      <c r="N1904" s="272"/>
      <c r="O1904" s="272"/>
      <c r="P1904" s="272"/>
      <c r="Q1904" s="272"/>
    </row>
    <row r="1905" spans="12:17" s="1523" customFormat="1">
      <c r="L1905" s="272"/>
      <c r="M1905" s="272"/>
      <c r="N1905" s="272"/>
      <c r="O1905" s="272"/>
      <c r="P1905" s="272"/>
      <c r="Q1905" s="272"/>
    </row>
    <row r="1906" spans="12:17" s="1523" customFormat="1">
      <c r="L1906" s="272"/>
      <c r="M1906" s="272"/>
      <c r="N1906" s="272"/>
      <c r="O1906" s="272"/>
      <c r="P1906" s="272"/>
      <c r="Q1906" s="272"/>
    </row>
    <row r="1907" spans="12:17" s="1523" customFormat="1">
      <c r="L1907" s="272"/>
      <c r="M1907" s="272"/>
      <c r="N1907" s="272"/>
      <c r="O1907" s="272"/>
      <c r="P1907" s="272"/>
      <c r="Q1907" s="272"/>
    </row>
    <row r="1908" spans="12:17" s="1523" customFormat="1">
      <c r="L1908" s="272"/>
      <c r="M1908" s="272"/>
      <c r="N1908" s="272"/>
      <c r="O1908" s="272"/>
      <c r="P1908" s="272"/>
      <c r="Q1908" s="272"/>
    </row>
    <row r="1909" spans="12:17" s="1523" customFormat="1">
      <c r="L1909" s="272"/>
      <c r="M1909" s="272"/>
      <c r="N1909" s="272"/>
      <c r="O1909" s="272"/>
      <c r="P1909" s="272"/>
      <c r="Q1909" s="272"/>
    </row>
    <row r="1910" spans="12:17" s="1523" customFormat="1">
      <c r="L1910" s="272"/>
      <c r="M1910" s="272"/>
      <c r="N1910" s="272"/>
      <c r="O1910" s="272"/>
      <c r="P1910" s="272"/>
      <c r="Q1910" s="272"/>
    </row>
    <row r="1911" spans="12:17" s="1523" customFormat="1">
      <c r="L1911" s="272"/>
      <c r="M1911" s="272"/>
      <c r="N1911" s="272"/>
      <c r="O1911" s="272"/>
      <c r="P1911" s="272"/>
      <c r="Q1911" s="272"/>
    </row>
    <row r="1912" spans="12:17" s="1523" customFormat="1">
      <c r="L1912" s="272"/>
      <c r="M1912" s="272"/>
      <c r="N1912" s="272"/>
      <c r="O1912" s="272"/>
      <c r="P1912" s="272"/>
      <c r="Q1912" s="272"/>
    </row>
    <row r="1913" spans="12:17" s="1523" customFormat="1">
      <c r="L1913" s="272"/>
      <c r="M1913" s="272"/>
      <c r="N1913" s="272"/>
      <c r="O1913" s="272"/>
      <c r="P1913" s="272"/>
      <c r="Q1913" s="272"/>
    </row>
    <row r="1914" spans="12:17" s="1523" customFormat="1">
      <c r="L1914" s="272"/>
      <c r="M1914" s="272"/>
      <c r="N1914" s="272"/>
      <c r="O1914" s="272"/>
      <c r="P1914" s="272"/>
      <c r="Q1914" s="272"/>
    </row>
    <row r="1915" spans="12:17" s="1523" customFormat="1">
      <c r="L1915" s="272"/>
      <c r="M1915" s="272"/>
      <c r="N1915" s="272"/>
      <c r="O1915" s="272"/>
      <c r="P1915" s="272"/>
      <c r="Q1915" s="272"/>
    </row>
    <row r="1916" spans="12:17" s="1523" customFormat="1">
      <c r="L1916" s="272"/>
      <c r="M1916" s="272"/>
      <c r="N1916" s="272"/>
      <c r="O1916" s="272"/>
      <c r="P1916" s="272"/>
      <c r="Q1916" s="272"/>
    </row>
    <row r="1917" spans="12:17" s="1523" customFormat="1">
      <c r="L1917" s="272"/>
      <c r="M1917" s="272"/>
      <c r="N1917" s="272"/>
      <c r="O1917" s="272"/>
      <c r="P1917" s="272"/>
      <c r="Q1917" s="272"/>
    </row>
    <row r="1918" spans="12:17" s="1523" customFormat="1">
      <c r="L1918" s="272"/>
      <c r="M1918" s="272"/>
      <c r="N1918" s="272"/>
      <c r="O1918" s="272"/>
      <c r="P1918" s="272"/>
      <c r="Q1918" s="272"/>
    </row>
    <row r="1919" spans="12:17" s="1523" customFormat="1">
      <c r="L1919" s="272"/>
      <c r="M1919" s="272"/>
      <c r="N1919" s="272"/>
      <c r="O1919" s="272"/>
      <c r="P1919" s="272"/>
      <c r="Q1919" s="272"/>
    </row>
    <row r="1920" spans="12:17" s="1523" customFormat="1">
      <c r="L1920" s="272"/>
      <c r="M1920" s="272"/>
      <c r="N1920" s="272"/>
      <c r="O1920" s="272"/>
      <c r="P1920" s="272"/>
      <c r="Q1920" s="272"/>
    </row>
    <row r="1921" spans="12:17" s="1523" customFormat="1">
      <c r="L1921" s="272"/>
      <c r="M1921" s="272"/>
      <c r="N1921" s="272"/>
      <c r="O1921" s="272"/>
      <c r="P1921" s="272"/>
      <c r="Q1921" s="272"/>
    </row>
    <row r="1922" spans="12:17" s="1523" customFormat="1">
      <c r="L1922" s="272"/>
      <c r="M1922" s="272"/>
      <c r="N1922" s="272"/>
      <c r="O1922" s="272"/>
      <c r="P1922" s="272"/>
      <c r="Q1922" s="272"/>
    </row>
    <row r="1923" spans="12:17" s="1523" customFormat="1">
      <c r="L1923" s="272"/>
      <c r="M1923" s="272"/>
      <c r="N1923" s="272"/>
      <c r="O1923" s="272"/>
      <c r="P1923" s="272"/>
      <c r="Q1923" s="272"/>
    </row>
    <row r="1924" spans="12:17" s="1523" customFormat="1">
      <c r="L1924" s="272"/>
      <c r="M1924" s="272"/>
      <c r="N1924" s="272"/>
      <c r="O1924" s="272"/>
      <c r="P1924" s="272"/>
      <c r="Q1924" s="272"/>
    </row>
    <row r="1925" spans="12:17" s="1523" customFormat="1">
      <c r="L1925" s="272"/>
      <c r="M1925" s="272"/>
      <c r="N1925" s="272"/>
      <c r="O1925" s="272"/>
      <c r="P1925" s="272"/>
      <c r="Q1925" s="272"/>
    </row>
    <row r="1926" spans="12:17" s="1523" customFormat="1">
      <c r="L1926" s="272"/>
      <c r="M1926" s="272"/>
      <c r="N1926" s="272"/>
      <c r="O1926" s="272"/>
      <c r="P1926" s="272"/>
      <c r="Q1926" s="272"/>
    </row>
    <row r="1927" spans="12:17" s="1523" customFormat="1">
      <c r="L1927" s="272"/>
      <c r="M1927" s="272"/>
      <c r="N1927" s="272"/>
      <c r="O1927" s="272"/>
      <c r="P1927" s="272"/>
      <c r="Q1927" s="272"/>
    </row>
    <row r="1928" spans="12:17" s="1523" customFormat="1">
      <c r="L1928" s="272"/>
      <c r="M1928" s="272"/>
      <c r="N1928" s="272"/>
      <c r="O1928" s="272"/>
      <c r="P1928" s="272"/>
      <c r="Q1928" s="272"/>
    </row>
    <row r="1929" spans="12:17" s="1523" customFormat="1">
      <c r="L1929" s="272"/>
      <c r="M1929" s="272"/>
      <c r="N1929" s="272"/>
      <c r="O1929" s="272"/>
      <c r="P1929" s="272"/>
      <c r="Q1929" s="272"/>
    </row>
  </sheetData>
  <mergeCells count="51">
    <mergeCell ref="H67:H68"/>
    <mergeCell ref="A67:A68"/>
    <mergeCell ref="B67:B68"/>
    <mergeCell ref="C67:C68"/>
    <mergeCell ref="D67:D68"/>
    <mergeCell ref="G67:G68"/>
    <mergeCell ref="A73:Q74"/>
    <mergeCell ref="A40:A44"/>
    <mergeCell ref="B40:B44"/>
    <mergeCell ref="C40:C44"/>
    <mergeCell ref="D40:D44"/>
    <mergeCell ref="G40:G44"/>
    <mergeCell ref="H40:H44"/>
    <mergeCell ref="A49:A53"/>
    <mergeCell ref="B49:B53"/>
    <mergeCell ref="C49:C53"/>
    <mergeCell ref="D49:D53"/>
    <mergeCell ref="G49:G53"/>
    <mergeCell ref="H49:H53"/>
    <mergeCell ref="A58:A62"/>
    <mergeCell ref="B58:B62"/>
    <mergeCell ref="C58:C62"/>
    <mergeCell ref="A22:A26"/>
    <mergeCell ref="B22:B26"/>
    <mergeCell ref="C22:C26"/>
    <mergeCell ref="D22:D26"/>
    <mergeCell ref="G22:G26"/>
    <mergeCell ref="C6:C10"/>
    <mergeCell ref="D6:D10"/>
    <mergeCell ref="A6:A10"/>
    <mergeCell ref="A2:H2"/>
    <mergeCell ref="A3:H3"/>
    <mergeCell ref="G6:G10"/>
    <mergeCell ref="H6:H10"/>
    <mergeCell ref="B6:B10"/>
    <mergeCell ref="D58:D62"/>
    <mergeCell ref="G58:G62"/>
    <mergeCell ref="H58:H62"/>
    <mergeCell ref="H14:H18"/>
    <mergeCell ref="A14:A18"/>
    <mergeCell ref="B14:B18"/>
    <mergeCell ref="C14:C18"/>
    <mergeCell ref="D14:D18"/>
    <mergeCell ref="G14:G18"/>
    <mergeCell ref="H22:H26"/>
    <mergeCell ref="A31:A35"/>
    <mergeCell ref="B31:B35"/>
    <mergeCell ref="C31:C35"/>
    <mergeCell ref="D31:D35"/>
    <mergeCell ref="G31:G35"/>
    <mergeCell ref="H31:H3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U436"/>
  <sheetViews>
    <sheetView topLeftCell="A40" zoomScale="83" zoomScaleNormal="83" zoomScalePageLayoutView="83" workbookViewId="0">
      <selection activeCell="H80" sqref="H80"/>
    </sheetView>
  </sheetViews>
  <sheetFormatPr baseColWidth="10" defaultRowHeight="15"/>
  <cols>
    <col min="1" max="1" width="5.42578125" style="653" customWidth="1"/>
    <col min="2" max="2" width="25" customWidth="1"/>
    <col min="3" max="3" width="13.42578125" customWidth="1"/>
    <col min="4" max="4" width="13.85546875" customWidth="1"/>
    <col min="5" max="5" width="26" customWidth="1"/>
    <col min="6" max="6" width="13.5703125" customWidth="1"/>
    <col min="7" max="7" width="10.42578125" style="352" customWidth="1"/>
    <col min="8" max="8" width="10.85546875" style="593" customWidth="1"/>
    <col min="9" max="9" width="19.5703125" customWidth="1"/>
    <col min="10" max="10" width="12.85546875" customWidth="1"/>
    <col min="11" max="11" width="16.42578125" customWidth="1"/>
    <col min="12" max="12" width="29" customWidth="1"/>
    <col min="13" max="13" width="6" style="1" customWidth="1"/>
    <col min="14" max="47" width="11.42578125" style="693"/>
  </cols>
  <sheetData>
    <row r="1" spans="1:47" s="1" customFormat="1" ht="15" customHeight="1">
      <c r="A1" s="653"/>
      <c r="G1" s="361"/>
      <c r="H1" s="593"/>
      <c r="N1" s="693"/>
      <c r="O1" s="693"/>
      <c r="P1" s="693"/>
      <c r="Q1" s="693"/>
      <c r="R1" s="693"/>
      <c r="S1" s="693"/>
      <c r="T1" s="693"/>
      <c r="U1" s="693"/>
      <c r="V1" s="693"/>
      <c r="W1" s="693"/>
      <c r="X1" s="693"/>
      <c r="Y1" s="693"/>
      <c r="Z1" s="693"/>
      <c r="AA1" s="693"/>
      <c r="AB1" s="693"/>
      <c r="AC1" s="693"/>
      <c r="AD1" s="693"/>
      <c r="AE1" s="693"/>
      <c r="AF1" s="693"/>
      <c r="AG1" s="693"/>
      <c r="AH1" s="693"/>
      <c r="AI1" s="693"/>
      <c r="AJ1" s="693"/>
      <c r="AK1" s="693"/>
      <c r="AL1" s="693"/>
      <c r="AM1" s="693"/>
      <c r="AN1" s="693"/>
      <c r="AO1" s="693"/>
      <c r="AP1" s="693"/>
      <c r="AQ1" s="693"/>
      <c r="AR1" s="693"/>
      <c r="AS1" s="693"/>
      <c r="AT1" s="693"/>
      <c r="AU1" s="693"/>
    </row>
    <row r="2" spans="1:47" s="1" customFormat="1" ht="15" customHeight="1" thickBot="1">
      <c r="A2" s="653"/>
      <c r="G2" s="361"/>
      <c r="H2" s="5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  <c r="Y2" s="693"/>
      <c r="Z2" s="693"/>
      <c r="AA2" s="693"/>
      <c r="AB2" s="693"/>
      <c r="AC2" s="693"/>
      <c r="AD2" s="693"/>
      <c r="AE2" s="693"/>
      <c r="AF2" s="693"/>
      <c r="AG2" s="693"/>
      <c r="AH2" s="693"/>
      <c r="AI2" s="693"/>
      <c r="AJ2" s="693"/>
      <c r="AK2" s="693"/>
      <c r="AL2" s="693"/>
      <c r="AM2" s="693"/>
      <c r="AN2" s="693"/>
      <c r="AO2" s="693"/>
      <c r="AP2" s="693"/>
      <c r="AQ2" s="693"/>
      <c r="AR2" s="693"/>
      <c r="AS2" s="693"/>
      <c r="AT2" s="693"/>
      <c r="AU2" s="693"/>
    </row>
    <row r="3" spans="1:47" ht="23.25" customHeight="1">
      <c r="B3" s="2873" t="s">
        <v>600</v>
      </c>
      <c r="C3" s="2874"/>
      <c r="D3" s="2874"/>
      <c r="E3" s="2874"/>
      <c r="F3" s="2874"/>
      <c r="G3" s="2874"/>
      <c r="H3" s="2874"/>
      <c r="I3" s="2874"/>
      <c r="J3" s="2874"/>
      <c r="K3" s="2874"/>
      <c r="L3" s="2875"/>
    </row>
    <row r="4" spans="1:47" ht="27" customHeight="1" thickBot="1">
      <c r="B4" s="2876" t="s">
        <v>750</v>
      </c>
      <c r="C4" s="2877"/>
      <c r="D4" s="2877"/>
      <c r="E4" s="2877"/>
      <c r="F4" s="2877"/>
      <c r="G4" s="2877"/>
      <c r="H4" s="2877"/>
      <c r="I4" s="2877"/>
      <c r="J4" s="2877"/>
      <c r="K4" s="2877"/>
      <c r="L4" s="2878"/>
    </row>
    <row r="5" spans="1:47" s="653" customFormat="1" ht="15" customHeight="1"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N5" s="693"/>
      <c r="O5" s="693"/>
      <c r="P5" s="693"/>
      <c r="Q5" s="693"/>
      <c r="R5" s="693"/>
      <c r="S5" s="693"/>
      <c r="T5" s="693"/>
      <c r="U5" s="693"/>
      <c r="V5" s="693"/>
      <c r="W5" s="693"/>
      <c r="X5" s="693"/>
      <c r="Y5" s="693"/>
      <c r="Z5" s="693"/>
      <c r="AA5" s="693"/>
      <c r="AB5" s="693"/>
      <c r="AC5" s="693"/>
      <c r="AD5" s="693"/>
      <c r="AE5" s="693"/>
      <c r="AF5" s="693"/>
      <c r="AG5" s="693"/>
      <c r="AH5" s="693"/>
      <c r="AI5" s="693"/>
      <c r="AJ5" s="693"/>
      <c r="AK5" s="693"/>
      <c r="AL5" s="693"/>
      <c r="AM5" s="693"/>
      <c r="AN5" s="693"/>
      <c r="AO5" s="693"/>
      <c r="AP5" s="693"/>
      <c r="AQ5" s="693"/>
      <c r="AR5" s="693"/>
      <c r="AS5" s="693"/>
      <c r="AT5" s="693"/>
      <c r="AU5" s="693"/>
    </row>
    <row r="6" spans="1:47" s="653" customFormat="1" ht="15" customHeight="1" thickBot="1">
      <c r="B6" s="656"/>
      <c r="C6" s="656"/>
      <c r="D6" s="657"/>
      <c r="E6" s="658"/>
      <c r="F6" s="659"/>
      <c r="G6" s="195"/>
      <c r="H6" s="253"/>
      <c r="I6" s="253"/>
      <c r="J6" s="654"/>
      <c r="K6" s="253"/>
      <c r="L6" s="253"/>
      <c r="N6" s="693"/>
      <c r="O6" s="693"/>
      <c r="P6" s="693"/>
      <c r="Q6" s="693"/>
      <c r="R6" s="693"/>
      <c r="S6" s="693"/>
      <c r="T6" s="693"/>
      <c r="U6" s="693"/>
      <c r="V6" s="693"/>
      <c r="W6" s="693"/>
      <c r="X6" s="693"/>
      <c r="Y6" s="693"/>
      <c r="Z6" s="693"/>
      <c r="AA6" s="693"/>
      <c r="AB6" s="693"/>
      <c r="AC6" s="693"/>
      <c r="AD6" s="693"/>
      <c r="AE6" s="693"/>
      <c r="AF6" s="693"/>
      <c r="AG6" s="693"/>
      <c r="AH6" s="693"/>
      <c r="AI6" s="693"/>
      <c r="AJ6" s="693"/>
      <c r="AK6" s="693"/>
      <c r="AL6" s="693"/>
      <c r="AM6" s="693"/>
      <c r="AN6" s="693"/>
      <c r="AO6" s="693"/>
      <c r="AP6" s="693"/>
      <c r="AQ6" s="693"/>
      <c r="AR6" s="693"/>
      <c r="AS6" s="693"/>
      <c r="AT6" s="693"/>
      <c r="AU6" s="693"/>
    </row>
    <row r="7" spans="1:47" ht="15" customHeight="1">
      <c r="B7" s="2879" t="s">
        <v>52</v>
      </c>
      <c r="C7" s="2881" t="s">
        <v>53</v>
      </c>
      <c r="D7" s="2883" t="s">
        <v>54</v>
      </c>
      <c r="E7" s="2885" t="s">
        <v>55</v>
      </c>
      <c r="F7" s="2886"/>
      <c r="G7" s="2887"/>
      <c r="H7" s="2888"/>
      <c r="I7" s="2881" t="s">
        <v>2</v>
      </c>
      <c r="J7" s="2881" t="s">
        <v>3</v>
      </c>
      <c r="K7" s="2881" t="s">
        <v>280</v>
      </c>
      <c r="L7" s="2881" t="s">
        <v>76</v>
      </c>
      <c r="M7" s="112"/>
    </row>
    <row r="8" spans="1:47" ht="15" customHeight="1" thickBot="1">
      <c r="B8" s="2880"/>
      <c r="C8" s="2882"/>
      <c r="D8" s="2884"/>
      <c r="E8" s="660" t="s">
        <v>56</v>
      </c>
      <c r="F8" s="661" t="s">
        <v>57</v>
      </c>
      <c r="G8" s="662" t="s">
        <v>521</v>
      </c>
      <c r="H8" s="663" t="s">
        <v>58</v>
      </c>
      <c r="I8" s="2889"/>
      <c r="J8" s="2889"/>
      <c r="K8" s="2889"/>
      <c r="L8" s="2889"/>
      <c r="M8" s="112"/>
    </row>
    <row r="9" spans="1:47" ht="15" customHeight="1">
      <c r="B9" s="2890" t="s">
        <v>504</v>
      </c>
      <c r="C9" s="2893" t="s">
        <v>150</v>
      </c>
      <c r="D9" s="2895">
        <f>F9+F10</f>
        <v>55</v>
      </c>
      <c r="E9" s="113" t="s">
        <v>132</v>
      </c>
      <c r="F9" s="537">
        <v>49</v>
      </c>
      <c r="G9" s="537"/>
      <c r="H9" s="596">
        <f>+F9</f>
        <v>49</v>
      </c>
      <c r="I9" s="116">
        <f>+'Crustaceos  LTP'!H52</f>
        <v>0</v>
      </c>
      <c r="J9" s="117">
        <f t="shared" ref="J9:J60" si="0">+H9-I9</f>
        <v>49</v>
      </c>
      <c r="K9" s="247">
        <f>I9/H9</f>
        <v>0</v>
      </c>
      <c r="L9" s="705"/>
      <c r="M9" s="112"/>
    </row>
    <row r="10" spans="1:47" ht="15" customHeight="1" thickBot="1">
      <c r="B10" s="2891"/>
      <c r="C10" s="2894"/>
      <c r="D10" s="2896"/>
      <c r="E10" s="123" t="s">
        <v>146</v>
      </c>
      <c r="F10" s="124">
        <v>6</v>
      </c>
      <c r="G10" s="124"/>
      <c r="H10" s="600">
        <f>+F10+J9</f>
        <v>55</v>
      </c>
      <c r="I10" s="125">
        <f>+'Crustaceos  LTP'!H53</f>
        <v>0.20799999999999999</v>
      </c>
      <c r="J10" s="305">
        <f t="shared" si="0"/>
        <v>54.792000000000002</v>
      </c>
      <c r="K10" s="246">
        <f>I10/H10</f>
        <v>3.7818181818181818E-3</v>
      </c>
      <c r="L10" s="145"/>
      <c r="M10" s="112"/>
    </row>
    <row r="11" spans="1:47" ht="15" customHeight="1">
      <c r="B11" s="2891"/>
      <c r="C11" s="2897" t="s">
        <v>61</v>
      </c>
      <c r="D11" s="2899">
        <f>F11+F12</f>
        <v>500</v>
      </c>
      <c r="E11" s="118" t="s">
        <v>132</v>
      </c>
      <c r="F11" s="119">
        <v>450</v>
      </c>
      <c r="G11" s="119">
        <f>21.17+190.53-59.82+135</f>
        <v>286.88</v>
      </c>
      <c r="H11" s="597">
        <f>+F11+G11</f>
        <v>736.88</v>
      </c>
      <c r="I11" s="120">
        <f>+'Crustaceos  LTP'!N52</f>
        <v>246.99</v>
      </c>
      <c r="J11" s="306">
        <f>+H11-I11</f>
        <v>489.89</v>
      </c>
      <c r="K11" s="244">
        <f t="shared" ref="K11:K73" si="1">I11/H11</f>
        <v>0.33518347627836287</v>
      </c>
      <c r="L11" s="706"/>
      <c r="M11" s="112"/>
    </row>
    <row r="12" spans="1:47" ht="15" customHeight="1" thickBot="1">
      <c r="B12" s="2891"/>
      <c r="C12" s="2898"/>
      <c r="D12" s="2899"/>
      <c r="E12" s="118" t="s">
        <v>146</v>
      </c>
      <c r="F12" s="119">
        <v>50</v>
      </c>
      <c r="G12" s="119"/>
      <c r="H12" s="597">
        <f>+F12+J11</f>
        <v>539.89</v>
      </c>
      <c r="I12" s="120">
        <f>+'Crustaceos  LTP'!N53</f>
        <v>278.79399999999998</v>
      </c>
      <c r="J12" s="306">
        <f>+H12-I12</f>
        <v>261.096</v>
      </c>
      <c r="K12" s="580">
        <f t="shared" si="1"/>
        <v>0.51639037581729608</v>
      </c>
      <c r="L12" s="121"/>
      <c r="M12" s="112"/>
    </row>
    <row r="13" spans="1:47" ht="15" customHeight="1">
      <c r="B13" s="2891"/>
      <c r="C13" s="2893" t="s">
        <v>62</v>
      </c>
      <c r="D13" s="2895">
        <f>F13+F14</f>
        <v>730</v>
      </c>
      <c r="E13" s="113" t="s">
        <v>132</v>
      </c>
      <c r="F13" s="537">
        <v>657</v>
      </c>
      <c r="G13" s="537"/>
      <c r="H13" s="596">
        <f>+F13</f>
        <v>657</v>
      </c>
      <c r="I13" s="116">
        <f>+'Crustaceos  LTP'!T52</f>
        <v>388.77799999999996</v>
      </c>
      <c r="J13" s="117">
        <f t="shared" si="0"/>
        <v>268.22200000000004</v>
      </c>
      <c r="K13" s="247">
        <f t="shared" si="1"/>
        <v>0.59174733637747334</v>
      </c>
      <c r="L13" s="707"/>
      <c r="M13" s="112"/>
    </row>
    <row r="14" spans="1:47" ht="15" customHeight="1" thickBot="1">
      <c r="B14" s="2891"/>
      <c r="C14" s="2894"/>
      <c r="D14" s="2896"/>
      <c r="E14" s="123" t="s">
        <v>146</v>
      </c>
      <c r="F14" s="124">
        <v>73</v>
      </c>
      <c r="G14" s="124"/>
      <c r="H14" s="600">
        <f>+F14+J13</f>
        <v>341.22200000000004</v>
      </c>
      <c r="I14" s="1367">
        <f>+'Crustaceos  LTP'!T53</f>
        <v>231.86099999999999</v>
      </c>
      <c r="J14" s="305">
        <f t="shared" si="0"/>
        <v>109.36100000000005</v>
      </c>
      <c r="K14" s="246">
        <f t="shared" si="1"/>
        <v>0.67950190784884901</v>
      </c>
      <c r="L14" s="126"/>
      <c r="M14" s="112"/>
    </row>
    <row r="15" spans="1:47" ht="15" customHeight="1">
      <c r="B15" s="2891"/>
      <c r="C15" s="2897" t="s">
        <v>63</v>
      </c>
      <c r="D15" s="2899">
        <f>F15+F16</f>
        <v>1040</v>
      </c>
      <c r="E15" s="118" t="s">
        <v>132</v>
      </c>
      <c r="F15" s="119">
        <v>936</v>
      </c>
      <c r="G15" s="119"/>
      <c r="H15" s="597">
        <f>+F15</f>
        <v>936</v>
      </c>
      <c r="I15" s="120">
        <f>+'Crustaceos  LTP'!Z52</f>
        <v>473.38599999999997</v>
      </c>
      <c r="J15" s="306">
        <f t="shared" si="0"/>
        <v>462.61400000000003</v>
      </c>
      <c r="K15" s="244">
        <f t="shared" si="1"/>
        <v>0.50575427350427349</v>
      </c>
      <c r="L15" s="708"/>
      <c r="M15" s="112"/>
    </row>
    <row r="16" spans="1:47" ht="15" customHeight="1" thickBot="1">
      <c r="B16" s="2891"/>
      <c r="C16" s="2898"/>
      <c r="D16" s="2899"/>
      <c r="E16" s="118" t="s">
        <v>146</v>
      </c>
      <c r="F16" s="119">
        <v>104</v>
      </c>
      <c r="G16" s="119"/>
      <c r="H16" s="597">
        <f>+F16+J15</f>
        <v>566.61400000000003</v>
      </c>
      <c r="I16" s="120">
        <f>+'Crustaceos  LTP'!Z53</f>
        <v>262.09300000000002</v>
      </c>
      <c r="J16" s="306">
        <f t="shared" si="0"/>
        <v>304.52100000000002</v>
      </c>
      <c r="K16" s="580">
        <f t="shared" si="1"/>
        <v>0.46256004969873671</v>
      </c>
      <c r="L16" s="122"/>
      <c r="M16" s="112"/>
    </row>
    <row r="17" spans="1:47" ht="15" customHeight="1">
      <c r="B17" s="2891"/>
      <c r="C17" s="2893" t="s">
        <v>64</v>
      </c>
      <c r="D17" s="2895">
        <f>F17+F18</f>
        <v>1040</v>
      </c>
      <c r="E17" s="113" t="s">
        <v>132</v>
      </c>
      <c r="F17" s="537">
        <v>936</v>
      </c>
      <c r="G17" s="537"/>
      <c r="H17" s="596">
        <f>+F17</f>
        <v>936</v>
      </c>
      <c r="I17" s="116">
        <f>+'Crustaceos  LTP'!AF52</f>
        <v>796.32600000000002</v>
      </c>
      <c r="J17" s="117">
        <f t="shared" si="0"/>
        <v>139.67399999999998</v>
      </c>
      <c r="K17" s="1366">
        <f t="shared" si="1"/>
        <v>0.85077564102564107</v>
      </c>
      <c r="L17" s="709"/>
      <c r="M17" s="112"/>
    </row>
    <row r="18" spans="1:47" ht="15" customHeight="1" thickBot="1">
      <c r="B18" s="2891"/>
      <c r="C18" s="2894"/>
      <c r="D18" s="2896"/>
      <c r="E18" s="123" t="s">
        <v>146</v>
      </c>
      <c r="F18" s="124">
        <v>104</v>
      </c>
      <c r="G18" s="124"/>
      <c r="H18" s="597">
        <f>+F18+J17</f>
        <v>243.67399999999998</v>
      </c>
      <c r="I18" s="125">
        <f>+'Crustaceos  LTP'!AF53</f>
        <v>210.232</v>
      </c>
      <c r="J18" s="146">
        <f t="shared" si="0"/>
        <v>33.441999999999979</v>
      </c>
      <c r="K18" s="590">
        <f t="shared" si="1"/>
        <v>0.86275926032321881</v>
      </c>
      <c r="L18" s="126"/>
      <c r="M18" s="112"/>
    </row>
    <row r="19" spans="1:47" ht="15" customHeight="1">
      <c r="B19" s="2891"/>
      <c r="C19" s="2897" t="s">
        <v>65</v>
      </c>
      <c r="D19" s="2899">
        <f>F19+F20</f>
        <v>1041</v>
      </c>
      <c r="E19" s="118" t="s">
        <v>132</v>
      </c>
      <c r="F19" s="119">
        <v>936</v>
      </c>
      <c r="G19" s="119"/>
      <c r="H19" s="588">
        <f>+F19</f>
        <v>936</v>
      </c>
      <c r="I19" s="116">
        <f>+'Crustaceos  LTP'!AL52</f>
        <v>617.67899999999986</v>
      </c>
      <c r="J19" s="306">
        <f t="shared" si="0"/>
        <v>318.32100000000014</v>
      </c>
      <c r="K19" s="244">
        <f>I19/H19</f>
        <v>0.65991346153846142</v>
      </c>
      <c r="L19" s="708"/>
      <c r="M19" s="112"/>
    </row>
    <row r="20" spans="1:47" ht="15" customHeight="1" thickBot="1">
      <c r="B20" s="2892"/>
      <c r="C20" s="2894"/>
      <c r="D20" s="2896"/>
      <c r="E20" s="123" t="s">
        <v>146</v>
      </c>
      <c r="F20" s="124">
        <v>105</v>
      </c>
      <c r="G20" s="124"/>
      <c r="H20" s="600">
        <f>+F20+J19</f>
        <v>423.32100000000014</v>
      </c>
      <c r="I20" s="125">
        <f>+'Crustaceos  LTP'!AL53</f>
        <v>349.32799999999997</v>
      </c>
      <c r="J20" s="305">
        <f t="shared" si="0"/>
        <v>73.993000000000166</v>
      </c>
      <c r="K20" s="590">
        <f t="shared" si="1"/>
        <v>0.82520829346996694</v>
      </c>
      <c r="L20" s="126"/>
      <c r="M20" s="112"/>
    </row>
    <row r="21" spans="1:47" s="184" customFormat="1" ht="15" customHeight="1" thickBot="1">
      <c r="A21" s="653"/>
      <c r="B21" s="84"/>
      <c r="C21" s="127"/>
      <c r="D21" s="649"/>
      <c r="E21" s="9"/>
      <c r="F21" s="119"/>
      <c r="G21" s="128"/>
      <c r="H21" s="603"/>
      <c r="I21" s="655"/>
      <c r="J21" s="129"/>
      <c r="K21" s="245"/>
      <c r="L21" s="130"/>
      <c r="M21" s="112"/>
      <c r="N21" s="693"/>
      <c r="O21" s="693"/>
      <c r="P21" s="693"/>
      <c r="Q21" s="693"/>
      <c r="R21" s="693"/>
      <c r="S21" s="693"/>
      <c r="T21" s="693"/>
      <c r="U21" s="693"/>
      <c r="V21" s="693"/>
      <c r="W21" s="693"/>
      <c r="X21" s="693"/>
      <c r="Y21" s="693"/>
      <c r="Z21" s="693"/>
      <c r="AA21" s="693"/>
      <c r="AB21" s="693"/>
      <c r="AC21" s="693"/>
      <c r="AD21" s="693"/>
      <c r="AE21" s="693"/>
      <c r="AF21" s="693"/>
      <c r="AG21" s="693"/>
      <c r="AH21" s="693"/>
      <c r="AI21" s="693"/>
      <c r="AJ21" s="693"/>
      <c r="AK21" s="693"/>
      <c r="AL21" s="693"/>
      <c r="AM21" s="693"/>
      <c r="AN21" s="693"/>
      <c r="AO21" s="693"/>
      <c r="AP21" s="693"/>
      <c r="AQ21" s="693"/>
      <c r="AR21" s="693"/>
      <c r="AS21" s="693"/>
      <c r="AT21" s="693"/>
      <c r="AU21" s="693"/>
    </row>
    <row r="22" spans="1:47" s="643" customFormat="1" ht="15" customHeight="1">
      <c r="A22" s="653"/>
      <c r="B22" s="2867" t="s">
        <v>263</v>
      </c>
      <c r="C22" s="2868"/>
      <c r="D22" s="678" t="s">
        <v>376</v>
      </c>
      <c r="E22" s="679" t="s">
        <v>521</v>
      </c>
      <c r="F22" s="680" t="s">
        <v>58</v>
      </c>
      <c r="G22" s="681" t="s">
        <v>2</v>
      </c>
      <c r="H22" s="681" t="s">
        <v>3</v>
      </c>
      <c r="I22" s="682" t="s">
        <v>143</v>
      </c>
      <c r="J22" s="129"/>
      <c r="K22" s="245"/>
      <c r="L22" s="130"/>
      <c r="M22" s="594"/>
      <c r="N22" s="693"/>
      <c r="O22" s="693"/>
      <c r="P22" s="693"/>
      <c r="Q22" s="693"/>
      <c r="R22" s="693"/>
      <c r="S22" s="693"/>
      <c r="T22" s="693"/>
      <c r="U22" s="693"/>
      <c r="V22" s="693"/>
      <c r="W22" s="693"/>
      <c r="X22" s="693"/>
      <c r="Y22" s="693"/>
      <c r="Z22" s="693"/>
      <c r="AA22" s="693"/>
      <c r="AB22" s="693"/>
      <c r="AC22" s="693"/>
      <c r="AD22" s="693"/>
      <c r="AE22" s="693"/>
      <c r="AF22" s="693"/>
      <c r="AG22" s="693"/>
      <c r="AH22" s="693"/>
      <c r="AI22" s="693"/>
      <c r="AJ22" s="693"/>
      <c r="AK22" s="693"/>
      <c r="AL22" s="693"/>
      <c r="AM22" s="693"/>
      <c r="AN22" s="693"/>
      <c r="AO22" s="693"/>
      <c r="AP22" s="693"/>
      <c r="AQ22" s="693"/>
      <c r="AR22" s="693"/>
      <c r="AS22" s="693"/>
      <c r="AT22" s="693"/>
      <c r="AU22" s="693"/>
    </row>
    <row r="23" spans="1:47" s="643" customFormat="1" ht="15.75" customHeight="1">
      <c r="A23" s="653"/>
      <c r="B23" s="2863" t="s">
        <v>366</v>
      </c>
      <c r="C23" s="2864"/>
      <c r="D23" s="672">
        <v>110</v>
      </c>
      <c r="E23" s="34"/>
      <c r="F23" s="34"/>
      <c r="G23" s="673">
        <f>+'Pesca de Investigación'!I28+'Pesca de Investigación'!I38+'Pesca de Investigación'!I48</f>
        <v>96.727000000000004</v>
      </c>
      <c r="H23" s="293"/>
      <c r="I23" s="651">
        <f>+G23/D23</f>
        <v>0.87933636363636369</v>
      </c>
      <c r="J23" s="129"/>
      <c r="K23" s="245">
        <f>+H33-I33</f>
        <v>-8.0399999999999636</v>
      </c>
      <c r="L23" s="130"/>
      <c r="M23" s="594"/>
      <c r="N23" s="693"/>
      <c r="O23" s="693"/>
      <c r="P23" s="693"/>
      <c r="Q23" s="693"/>
      <c r="R23" s="693"/>
      <c r="S23" s="693"/>
      <c r="T23" s="693"/>
      <c r="U23" s="693"/>
      <c r="V23" s="693"/>
      <c r="W23" s="693"/>
      <c r="X23" s="693"/>
      <c r="Y23" s="693"/>
      <c r="Z23" s="693"/>
      <c r="AA23" s="693"/>
      <c r="AB23" s="693"/>
      <c r="AC23" s="693"/>
      <c r="AD23" s="693"/>
      <c r="AE23" s="693"/>
      <c r="AF23" s="693"/>
      <c r="AG23" s="693"/>
      <c r="AH23" s="693"/>
      <c r="AI23" s="693"/>
      <c r="AJ23" s="693"/>
      <c r="AK23" s="693"/>
      <c r="AL23" s="693"/>
      <c r="AM23" s="693"/>
      <c r="AN23" s="693"/>
      <c r="AO23" s="693"/>
      <c r="AP23" s="693"/>
      <c r="AQ23" s="693"/>
      <c r="AR23" s="693"/>
      <c r="AS23" s="693"/>
      <c r="AT23" s="693"/>
      <c r="AU23" s="693"/>
    </row>
    <row r="24" spans="1:47" s="643" customFormat="1" ht="15" customHeight="1" thickBot="1">
      <c r="A24" s="653"/>
      <c r="B24" s="2865" t="s">
        <v>599</v>
      </c>
      <c r="C24" s="2866"/>
      <c r="D24" s="683">
        <f>SUBTOTAL(9,D9:D20)</f>
        <v>4406</v>
      </c>
      <c r="E24" s="684">
        <f>SUBTOTAL(9,G9:G20)</f>
        <v>286.88</v>
      </c>
      <c r="F24" s="684">
        <f>+D24+E24</f>
        <v>4692.88</v>
      </c>
      <c r="G24" s="664">
        <f>SUBTOTAL(9,I9:I20)</f>
        <v>3855.6749999999997</v>
      </c>
      <c r="H24" s="650">
        <f>+F24-G24</f>
        <v>837.20500000000038</v>
      </c>
      <c r="I24" s="685">
        <f>+G24/F24</f>
        <v>0.82160102112135824</v>
      </c>
      <c r="J24" s="129">
        <f>+H33-I33</f>
        <v>-8.0399999999999636</v>
      </c>
      <c r="K24" s="245"/>
      <c r="L24" s="130"/>
      <c r="M24" s="594"/>
      <c r="N24" s="693"/>
      <c r="O24" s="693"/>
      <c r="P24" s="693"/>
      <c r="Q24" s="693"/>
      <c r="R24" s="693"/>
      <c r="S24" s="693"/>
      <c r="T24" s="693"/>
      <c r="U24" s="693"/>
      <c r="V24" s="693"/>
      <c r="W24" s="693"/>
      <c r="X24" s="693"/>
      <c r="Y24" s="693"/>
      <c r="Z24" s="693"/>
      <c r="AA24" s="693"/>
      <c r="AB24" s="693"/>
      <c r="AC24" s="693"/>
      <c r="AD24" s="693"/>
      <c r="AE24" s="693"/>
      <c r="AF24" s="693"/>
      <c r="AG24" s="693"/>
      <c r="AH24" s="693"/>
      <c r="AI24" s="693"/>
      <c r="AJ24" s="693"/>
      <c r="AK24" s="693"/>
      <c r="AL24" s="693"/>
      <c r="AM24" s="693"/>
      <c r="AN24" s="693"/>
      <c r="AO24" s="693"/>
      <c r="AP24" s="693"/>
      <c r="AQ24" s="693"/>
      <c r="AR24" s="693"/>
      <c r="AS24" s="693"/>
      <c r="AT24" s="693"/>
      <c r="AU24" s="693"/>
    </row>
    <row r="25" spans="1:47" s="643" customFormat="1" ht="15" customHeight="1">
      <c r="A25" s="653"/>
      <c r="B25" s="656"/>
      <c r="C25" s="656"/>
      <c r="D25" s="657"/>
      <c r="E25" s="658"/>
      <c r="F25" s="659"/>
      <c r="G25" s="195"/>
      <c r="H25" s="603"/>
      <c r="I25" s="655"/>
      <c r="J25" s="129"/>
      <c r="K25" s="245"/>
      <c r="L25" s="130"/>
      <c r="M25" s="594"/>
      <c r="N25" s="693"/>
      <c r="O25" s="693"/>
      <c r="P25" s="693"/>
      <c r="Q25" s="693"/>
      <c r="R25" s="693"/>
      <c r="S25" s="693"/>
      <c r="T25" s="693"/>
      <c r="U25" s="693"/>
      <c r="V25" s="693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693"/>
      <c r="AJ25" s="693"/>
      <c r="AK25" s="693"/>
      <c r="AL25" s="693"/>
      <c r="AM25" s="693"/>
      <c r="AN25" s="693"/>
      <c r="AO25" s="693"/>
      <c r="AP25" s="693"/>
      <c r="AQ25" s="693"/>
      <c r="AR25" s="693"/>
      <c r="AS25" s="693"/>
      <c r="AT25" s="693"/>
      <c r="AU25" s="693"/>
    </row>
    <row r="26" spans="1:47" s="643" customFormat="1" ht="15" customHeight="1" thickBot="1">
      <c r="A26" s="653"/>
      <c r="B26" s="656"/>
      <c r="C26" s="656"/>
      <c r="D26" s="657"/>
      <c r="E26" s="658"/>
      <c r="F26" s="659"/>
      <c r="G26" s="195"/>
      <c r="H26" s="603"/>
      <c r="I26" s="655"/>
      <c r="J26" s="129"/>
      <c r="K26" s="245"/>
      <c r="L26" s="130"/>
      <c r="M26" s="594"/>
      <c r="N26" s="693"/>
      <c r="O26" s="693"/>
      <c r="P26" s="693"/>
      <c r="Q26" s="693"/>
      <c r="R26" s="693"/>
      <c r="S26" s="693"/>
      <c r="T26" s="693"/>
      <c r="U26" s="693"/>
      <c r="V26" s="693"/>
      <c r="W26" s="693"/>
      <c r="X26" s="693"/>
      <c r="Y26" s="693"/>
      <c r="Z26" s="693"/>
      <c r="AA26" s="693"/>
      <c r="AB26" s="693"/>
      <c r="AC26" s="693"/>
      <c r="AD26" s="693"/>
      <c r="AE26" s="693"/>
      <c r="AF26" s="693"/>
      <c r="AG26" s="693"/>
      <c r="AH26" s="693"/>
      <c r="AI26" s="693"/>
      <c r="AJ26" s="693"/>
      <c r="AK26" s="693"/>
      <c r="AL26" s="693"/>
      <c r="AM26" s="693"/>
      <c r="AN26" s="693"/>
      <c r="AO26" s="693"/>
      <c r="AP26" s="693"/>
      <c r="AQ26" s="693"/>
      <c r="AR26" s="693"/>
      <c r="AS26" s="693"/>
      <c r="AT26" s="693"/>
      <c r="AU26" s="693"/>
    </row>
    <row r="27" spans="1:47" s="643" customFormat="1" ht="15" customHeight="1">
      <c r="A27" s="653"/>
      <c r="B27" s="2871" t="s">
        <v>52</v>
      </c>
      <c r="C27" s="2834" t="s">
        <v>53</v>
      </c>
      <c r="D27" s="2844" t="s">
        <v>54</v>
      </c>
      <c r="E27" s="2846" t="s">
        <v>55</v>
      </c>
      <c r="F27" s="2847"/>
      <c r="G27" s="2848"/>
      <c r="H27" s="2849"/>
      <c r="I27" s="2834" t="s">
        <v>2</v>
      </c>
      <c r="J27" s="2834" t="s">
        <v>3</v>
      </c>
      <c r="K27" s="2834" t="s">
        <v>280</v>
      </c>
      <c r="L27" s="2834" t="s">
        <v>639</v>
      </c>
      <c r="M27" s="594"/>
      <c r="N27" s="693"/>
      <c r="O27" s="693"/>
      <c r="P27" s="693"/>
      <c r="Q27" s="693"/>
      <c r="R27" s="693"/>
      <c r="S27" s="693"/>
      <c r="T27" s="693"/>
      <c r="U27" s="693"/>
      <c r="V27" s="693"/>
      <c r="W27" s="693"/>
      <c r="X27" s="693"/>
      <c r="Y27" s="693"/>
      <c r="Z27" s="693"/>
      <c r="AA27" s="693"/>
      <c r="AB27" s="693"/>
      <c r="AC27" s="693"/>
      <c r="AD27" s="693"/>
      <c r="AE27" s="693"/>
      <c r="AF27" s="693"/>
      <c r="AG27" s="693"/>
      <c r="AH27" s="693"/>
      <c r="AI27" s="693"/>
      <c r="AJ27" s="693"/>
      <c r="AK27" s="693"/>
      <c r="AL27" s="693"/>
      <c r="AM27" s="693"/>
      <c r="AN27" s="693"/>
      <c r="AO27" s="693"/>
      <c r="AP27" s="693"/>
      <c r="AQ27" s="693"/>
      <c r="AR27" s="693"/>
      <c r="AS27" s="693"/>
      <c r="AT27" s="693"/>
      <c r="AU27" s="693"/>
    </row>
    <row r="28" spans="1:47" s="319" customFormat="1" ht="15" customHeight="1" thickBot="1">
      <c r="B28" s="2872"/>
      <c r="C28" s="2843"/>
      <c r="D28" s="2845"/>
      <c r="E28" s="665" t="s">
        <v>56</v>
      </c>
      <c r="F28" s="666" t="s">
        <v>57</v>
      </c>
      <c r="G28" s="667" t="s">
        <v>521</v>
      </c>
      <c r="H28" s="668" t="s">
        <v>58</v>
      </c>
      <c r="I28" s="2835"/>
      <c r="J28" s="2835"/>
      <c r="K28" s="2835"/>
      <c r="L28" s="2835"/>
      <c r="M28" s="131"/>
      <c r="N28" s="846"/>
      <c r="O28" s="846"/>
      <c r="P28" s="846"/>
      <c r="Q28" s="846"/>
      <c r="R28" s="846"/>
      <c r="S28" s="846"/>
      <c r="T28" s="846"/>
      <c r="U28" s="846"/>
      <c r="V28" s="846"/>
      <c r="W28" s="846"/>
      <c r="X28" s="846"/>
      <c r="Y28" s="846"/>
      <c r="Z28" s="846"/>
      <c r="AA28" s="846"/>
      <c r="AB28" s="846"/>
      <c r="AC28" s="846"/>
      <c r="AD28" s="846"/>
      <c r="AE28" s="846"/>
      <c r="AF28" s="846"/>
      <c r="AG28" s="846"/>
      <c r="AH28" s="846"/>
      <c r="AI28" s="846"/>
      <c r="AJ28" s="846"/>
      <c r="AK28" s="846"/>
      <c r="AL28" s="846"/>
      <c r="AM28" s="846"/>
      <c r="AN28" s="846"/>
      <c r="AO28" s="846"/>
      <c r="AP28" s="846"/>
      <c r="AQ28" s="846"/>
      <c r="AR28" s="846"/>
      <c r="AS28" s="846"/>
      <c r="AT28" s="846"/>
      <c r="AU28" s="846"/>
    </row>
    <row r="29" spans="1:47" ht="15" customHeight="1" thickBot="1">
      <c r="B29" s="2906" t="s">
        <v>304</v>
      </c>
      <c r="C29" s="2909" t="s">
        <v>60</v>
      </c>
      <c r="D29" s="2911">
        <f>+F29+F30</f>
        <v>164</v>
      </c>
      <c r="E29" s="595" t="s">
        <v>133</v>
      </c>
      <c r="F29" s="537">
        <v>148</v>
      </c>
      <c r="G29" s="596"/>
      <c r="H29" s="596">
        <f>+F29</f>
        <v>148</v>
      </c>
      <c r="I29" s="132">
        <f>+'Crustaceos  LTP'!H82</f>
        <v>23.909999999999997</v>
      </c>
      <c r="J29" s="117">
        <f>+H29-I29</f>
        <v>124.09</v>
      </c>
      <c r="K29" s="246">
        <f t="shared" si="1"/>
        <v>0.16155405405405404</v>
      </c>
      <c r="L29" s="1502"/>
      <c r="M29" s="112"/>
    </row>
    <row r="30" spans="1:47" ht="15" customHeight="1" thickBot="1">
      <c r="B30" s="2907"/>
      <c r="C30" s="2910"/>
      <c r="D30" s="2905"/>
      <c r="E30" s="598" t="s">
        <v>134</v>
      </c>
      <c r="F30" s="599">
        <v>16</v>
      </c>
      <c r="G30" s="600"/>
      <c r="H30" s="600">
        <f>+F30+J29</f>
        <v>140.09</v>
      </c>
      <c r="I30" s="1340">
        <f>+'Crustaceos  LTP'!H83</f>
        <v>31.89</v>
      </c>
      <c r="J30" s="305">
        <f t="shared" si="0"/>
        <v>108.2</v>
      </c>
      <c r="K30" s="246">
        <f t="shared" si="1"/>
        <v>0.22763937468770076</v>
      </c>
      <c r="L30" s="145"/>
      <c r="M30" s="112"/>
    </row>
    <row r="31" spans="1:47" ht="15" customHeight="1">
      <c r="B31" s="2907"/>
      <c r="C31" s="2912" t="s">
        <v>61</v>
      </c>
      <c r="D31" s="2904">
        <f>+F31+F32</f>
        <v>1318</v>
      </c>
      <c r="E31" s="118" t="s">
        <v>133</v>
      </c>
      <c r="F31" s="119">
        <v>1187</v>
      </c>
      <c r="G31" s="597">
        <f>60+179.7+153.2+50+4.5</f>
        <v>447.4</v>
      </c>
      <c r="H31" s="597">
        <f>+F31+G31</f>
        <v>1634.4</v>
      </c>
      <c r="I31" s="133">
        <f>+'Crustaceos  LTP'!N82</f>
        <v>1283.6410000000001</v>
      </c>
      <c r="J31" s="306">
        <f t="shared" si="0"/>
        <v>350.75900000000001</v>
      </c>
      <c r="K31" s="244">
        <f>I31/H31</f>
        <v>0.78538974547234464</v>
      </c>
      <c r="L31" s="2925">
        <v>42718</v>
      </c>
      <c r="M31" s="112"/>
    </row>
    <row r="32" spans="1:47" ht="15" customHeight="1" thickBot="1">
      <c r="B32" s="2908"/>
      <c r="C32" s="2910"/>
      <c r="D32" s="2905"/>
      <c r="E32" s="598" t="s">
        <v>134</v>
      </c>
      <c r="F32" s="599">
        <v>131</v>
      </c>
      <c r="G32" s="600"/>
      <c r="H32" s="600">
        <f>+F32+J31</f>
        <v>481.75900000000001</v>
      </c>
      <c r="I32" s="1338">
        <f>+'Crustaceos  LTP'!N83</f>
        <v>489.79900000000004</v>
      </c>
      <c r="J32" s="305">
        <f>+H32-I32</f>
        <v>-8.0400000000000205</v>
      </c>
      <c r="K32" s="590">
        <f>I32/H32</f>
        <v>1.0166888423464844</v>
      </c>
      <c r="L32" s="2926"/>
      <c r="M32" s="112"/>
    </row>
    <row r="33" spans="1:47" s="184" customFormat="1" ht="15" customHeight="1" thickBot="1">
      <c r="A33" s="653"/>
      <c r="B33" s="84"/>
      <c r="C33" s="311"/>
      <c r="D33" s="649"/>
      <c r="E33" s="9"/>
      <c r="F33" s="603">
        <f>SUM(F31:F32)</f>
        <v>1318</v>
      </c>
      <c r="G33" s="603">
        <f>+G31</f>
        <v>447.4</v>
      </c>
      <c r="H33" s="603">
        <f>+F33+G33</f>
        <v>1765.4</v>
      </c>
      <c r="I33" s="604">
        <f>+I31+I32</f>
        <v>1773.44</v>
      </c>
      <c r="J33" s="129">
        <f>+H33-I33</f>
        <v>-8.0399999999999636</v>
      </c>
      <c r="K33" s="2109">
        <f>I33/H33</f>
        <v>1.00455420867792</v>
      </c>
      <c r="L33" s="130"/>
      <c r="M33" s="112"/>
      <c r="N33" s="693"/>
      <c r="O33" s="693"/>
      <c r="P33" s="693"/>
      <c r="Q33" s="693"/>
      <c r="R33" s="693"/>
      <c r="S33" s="693"/>
      <c r="T33" s="693"/>
      <c r="U33" s="693"/>
      <c r="V33" s="693"/>
      <c r="W33" s="693"/>
      <c r="X33" s="693"/>
      <c r="Y33" s="693"/>
      <c r="Z33" s="693"/>
      <c r="AA33" s="693"/>
      <c r="AB33" s="693"/>
      <c r="AC33" s="693"/>
      <c r="AD33" s="693"/>
      <c r="AE33" s="693"/>
      <c r="AF33" s="693"/>
      <c r="AG33" s="693"/>
      <c r="AH33" s="693"/>
      <c r="AI33" s="693"/>
      <c r="AJ33" s="693"/>
      <c r="AK33" s="693"/>
      <c r="AL33" s="693"/>
      <c r="AM33" s="693"/>
      <c r="AN33" s="693"/>
      <c r="AO33" s="693"/>
      <c r="AP33" s="693"/>
      <c r="AQ33" s="693"/>
      <c r="AR33" s="693"/>
      <c r="AS33" s="693"/>
      <c r="AT33" s="693"/>
      <c r="AU33" s="693"/>
    </row>
    <row r="34" spans="1:47" s="643" customFormat="1" ht="31.5" customHeight="1" thickBot="1">
      <c r="A34" s="653"/>
      <c r="B34" s="2869" t="s">
        <v>263</v>
      </c>
      <c r="C34" s="2870"/>
      <c r="D34" s="2030" t="s">
        <v>376</v>
      </c>
      <c r="E34" s="2031" t="s">
        <v>521</v>
      </c>
      <c r="F34" s="2032" t="s">
        <v>726</v>
      </c>
      <c r="G34" s="2033" t="s">
        <v>2</v>
      </c>
      <c r="H34" s="2033" t="s">
        <v>3</v>
      </c>
      <c r="I34" s="2034" t="s">
        <v>143</v>
      </c>
      <c r="J34" s="129"/>
      <c r="K34" s="245"/>
      <c r="L34" s="130"/>
      <c r="M34" s="594"/>
      <c r="N34" s="693"/>
      <c r="O34" s="693"/>
      <c r="P34" s="693"/>
      <c r="Q34" s="693"/>
      <c r="R34" s="693"/>
      <c r="S34" s="693"/>
      <c r="T34" s="693"/>
      <c r="U34" s="693"/>
      <c r="V34" s="693"/>
      <c r="W34" s="693"/>
      <c r="X34" s="693"/>
      <c r="Y34" s="693"/>
      <c r="Z34" s="693"/>
      <c r="AA34" s="693"/>
      <c r="AB34" s="693"/>
      <c r="AC34" s="693"/>
      <c r="AD34" s="693"/>
      <c r="AE34" s="693"/>
      <c r="AF34" s="693"/>
      <c r="AG34" s="693"/>
      <c r="AH34" s="693"/>
      <c r="AI34" s="693"/>
      <c r="AJ34" s="693"/>
      <c r="AK34" s="693"/>
      <c r="AL34" s="693"/>
      <c r="AM34" s="693"/>
      <c r="AN34" s="693"/>
      <c r="AO34" s="693"/>
      <c r="AP34" s="693"/>
      <c r="AQ34" s="693"/>
      <c r="AR34" s="693"/>
      <c r="AS34" s="693"/>
      <c r="AT34" s="693"/>
      <c r="AU34" s="693"/>
    </row>
    <row r="35" spans="1:47" s="643" customFormat="1" ht="15" customHeight="1" thickBot="1">
      <c r="A35" s="653"/>
      <c r="B35" s="2859" t="s">
        <v>366</v>
      </c>
      <c r="C35" s="2860"/>
      <c r="D35" s="2025">
        <v>50</v>
      </c>
      <c r="E35" s="2026"/>
      <c r="F35" s="2026"/>
      <c r="G35" s="2027">
        <f>+'Pesca de Investigación'!I24+'Pesca de Investigación'!I34+'Pesca de Investigación'!I44</f>
        <v>35.004000000000005</v>
      </c>
      <c r="H35" s="2028"/>
      <c r="I35" s="2029">
        <f>+G35/D35</f>
        <v>0.70008000000000015</v>
      </c>
      <c r="J35" s="129"/>
      <c r="K35" s="245">
        <f>+G36/D36</f>
        <v>1.2343049932523618</v>
      </c>
      <c r="L35" s="130"/>
      <c r="M35" s="594"/>
      <c r="N35" s="693"/>
      <c r="O35" s="693"/>
      <c r="P35" s="693"/>
      <c r="Q35" s="693"/>
      <c r="R35" s="693"/>
      <c r="S35" s="693"/>
      <c r="T35" s="693"/>
      <c r="U35" s="693"/>
      <c r="V35" s="693"/>
      <c r="W35" s="693"/>
      <c r="X35" s="693"/>
      <c r="Y35" s="693"/>
      <c r="Z35" s="693"/>
      <c r="AA35" s="693"/>
      <c r="AB35" s="693"/>
      <c r="AC35" s="693"/>
      <c r="AD35" s="693"/>
      <c r="AE35" s="693"/>
      <c r="AF35" s="693"/>
      <c r="AG35" s="693"/>
      <c r="AH35" s="693"/>
      <c r="AI35" s="693"/>
      <c r="AJ35" s="693"/>
      <c r="AK35" s="693"/>
      <c r="AL35" s="693"/>
      <c r="AM35" s="693"/>
      <c r="AN35" s="693"/>
      <c r="AO35" s="693"/>
      <c r="AP35" s="693"/>
      <c r="AQ35" s="693"/>
      <c r="AR35" s="693"/>
      <c r="AS35" s="693"/>
      <c r="AT35" s="693"/>
      <c r="AU35" s="693"/>
    </row>
    <row r="36" spans="1:47" s="643" customFormat="1" ht="15" customHeight="1" thickBot="1">
      <c r="A36" s="653"/>
      <c r="B36" s="2861" t="s">
        <v>599</v>
      </c>
      <c r="C36" s="2862"/>
      <c r="D36" s="2022">
        <f>SUBTOTAL(9,D29:D32)</f>
        <v>1482</v>
      </c>
      <c r="E36" s="2035">
        <f>SUBTOTAL(9,G29:G32)</f>
        <v>447.4</v>
      </c>
      <c r="F36" s="2036">
        <f>+D36+E36</f>
        <v>1929.4</v>
      </c>
      <c r="G36" s="2023">
        <f>SUBTOTAL(9,I29:I32)</f>
        <v>1829.24</v>
      </c>
      <c r="H36" s="2024">
        <f>+F36-G36</f>
        <v>100.16000000000008</v>
      </c>
      <c r="I36" s="2007">
        <f>+G36/F36</f>
        <v>0.94808748833834344</v>
      </c>
      <c r="J36" s="129" t="e">
        <f>+F33:G33</f>
        <v>#VALUE!</v>
      </c>
      <c r="K36" s="245"/>
      <c r="L36" s="130"/>
      <c r="M36" s="594"/>
      <c r="N36" s="693"/>
      <c r="O36" s="693"/>
      <c r="P36" s="693"/>
      <c r="Q36" s="693"/>
      <c r="R36" s="693"/>
      <c r="S36" s="693"/>
      <c r="T36" s="693"/>
      <c r="U36" s="693"/>
      <c r="V36" s="693"/>
      <c r="W36" s="693"/>
      <c r="X36" s="693"/>
      <c r="Y36" s="693"/>
      <c r="Z36" s="693"/>
      <c r="AA36" s="693"/>
      <c r="AB36" s="693"/>
      <c r="AC36" s="693"/>
      <c r="AD36" s="693"/>
      <c r="AE36" s="693"/>
      <c r="AF36" s="693"/>
      <c r="AG36" s="693"/>
      <c r="AH36" s="693"/>
      <c r="AI36" s="693"/>
      <c r="AJ36" s="693"/>
      <c r="AK36" s="693"/>
      <c r="AL36" s="693"/>
      <c r="AM36" s="693"/>
      <c r="AN36" s="693"/>
      <c r="AO36" s="693"/>
      <c r="AP36" s="693"/>
      <c r="AQ36" s="693"/>
      <c r="AR36" s="693"/>
      <c r="AS36" s="693"/>
      <c r="AT36" s="693"/>
      <c r="AU36" s="693"/>
    </row>
    <row r="37" spans="1:47" s="643" customFormat="1" ht="15" customHeight="1">
      <c r="A37" s="653"/>
      <c r="B37" s="84"/>
      <c r="C37" s="311"/>
      <c r="D37" s="649"/>
      <c r="E37" s="9"/>
      <c r="F37" s="603"/>
      <c r="G37" s="603"/>
      <c r="H37" s="603"/>
      <c r="I37" s="604"/>
      <c r="J37" s="129"/>
      <c r="K37" s="245"/>
      <c r="L37" s="130"/>
      <c r="M37" s="594"/>
      <c r="N37" s="693"/>
      <c r="O37" s="693"/>
      <c r="P37" s="693"/>
      <c r="Q37" s="693"/>
      <c r="R37" s="693"/>
      <c r="S37" s="693"/>
      <c r="T37" s="693"/>
      <c r="U37" s="693"/>
      <c r="V37" s="693"/>
      <c r="W37" s="693"/>
      <c r="X37" s="693"/>
      <c r="Y37" s="693"/>
      <c r="Z37" s="693"/>
      <c r="AA37" s="693"/>
      <c r="AB37" s="693"/>
      <c r="AC37" s="693"/>
      <c r="AD37" s="693"/>
      <c r="AE37" s="693"/>
      <c r="AF37" s="693"/>
      <c r="AG37" s="693"/>
      <c r="AH37" s="693"/>
      <c r="AI37" s="693"/>
      <c r="AJ37" s="693"/>
      <c r="AK37" s="693"/>
      <c r="AL37" s="693"/>
      <c r="AM37" s="693"/>
      <c r="AN37" s="693"/>
      <c r="AO37" s="693"/>
      <c r="AP37" s="693"/>
      <c r="AQ37" s="693"/>
      <c r="AR37" s="693"/>
      <c r="AS37" s="693"/>
      <c r="AT37" s="693"/>
      <c r="AU37" s="693"/>
    </row>
    <row r="38" spans="1:47" s="643" customFormat="1" ht="15" customHeight="1" thickBot="1">
      <c r="A38" s="653"/>
      <c r="B38" s="84"/>
      <c r="C38" s="311"/>
      <c r="D38" s="649"/>
      <c r="E38" s="9"/>
      <c r="F38" s="603"/>
      <c r="G38" s="603"/>
      <c r="H38" s="603"/>
      <c r="I38" s="604"/>
      <c r="J38" s="129"/>
      <c r="K38" s="245"/>
      <c r="L38" s="130"/>
      <c r="M38" s="594"/>
      <c r="N38" s="693"/>
      <c r="O38" s="693"/>
      <c r="P38" s="693"/>
      <c r="Q38" s="693"/>
      <c r="R38" s="693"/>
      <c r="S38" s="693"/>
      <c r="T38" s="693"/>
      <c r="U38" s="693"/>
      <c r="V38" s="693"/>
      <c r="W38" s="693"/>
      <c r="X38" s="693"/>
      <c r="Y38" s="693"/>
      <c r="Z38" s="693"/>
      <c r="AA38" s="693"/>
      <c r="AB38" s="693"/>
      <c r="AC38" s="693"/>
      <c r="AD38" s="693"/>
      <c r="AE38" s="693"/>
      <c r="AF38" s="693"/>
      <c r="AG38" s="693"/>
      <c r="AH38" s="693"/>
      <c r="AI38" s="693"/>
      <c r="AJ38" s="693"/>
      <c r="AK38" s="693"/>
      <c r="AL38" s="693"/>
      <c r="AM38" s="693"/>
      <c r="AN38" s="693"/>
      <c r="AO38" s="693"/>
      <c r="AP38" s="693"/>
      <c r="AQ38" s="693"/>
      <c r="AR38" s="693"/>
      <c r="AS38" s="693"/>
      <c r="AT38" s="693"/>
      <c r="AU38" s="693"/>
    </row>
    <row r="39" spans="1:47" s="643" customFormat="1" ht="15" customHeight="1">
      <c r="A39" s="653"/>
      <c r="B39" s="2850" t="s">
        <v>52</v>
      </c>
      <c r="C39" s="2838" t="s">
        <v>53</v>
      </c>
      <c r="D39" s="2852" t="s">
        <v>54</v>
      </c>
      <c r="E39" s="2854" t="s">
        <v>55</v>
      </c>
      <c r="F39" s="2855"/>
      <c r="G39" s="2856"/>
      <c r="H39" s="2857"/>
      <c r="I39" s="2838" t="s">
        <v>2</v>
      </c>
      <c r="J39" s="2838" t="s">
        <v>3</v>
      </c>
      <c r="K39" s="2838" t="s">
        <v>280</v>
      </c>
      <c r="L39" s="2838" t="s">
        <v>639</v>
      </c>
      <c r="M39" s="594"/>
      <c r="N39" s="693"/>
      <c r="O39" s="693"/>
      <c r="P39" s="693"/>
      <c r="Q39" s="693"/>
      <c r="R39" s="693"/>
      <c r="S39" s="693"/>
      <c r="T39" s="693"/>
      <c r="U39" s="693"/>
      <c r="V39" s="693"/>
      <c r="W39" s="693"/>
      <c r="X39" s="693"/>
      <c r="Y39" s="693"/>
      <c r="Z39" s="693"/>
      <c r="AA39" s="693"/>
      <c r="AB39" s="693"/>
      <c r="AC39" s="693"/>
      <c r="AD39" s="693"/>
      <c r="AE39" s="693"/>
      <c r="AF39" s="693"/>
      <c r="AG39" s="693"/>
      <c r="AH39" s="693"/>
      <c r="AI39" s="693"/>
      <c r="AJ39" s="693"/>
      <c r="AK39" s="693"/>
      <c r="AL39" s="693"/>
      <c r="AM39" s="693"/>
      <c r="AN39" s="693"/>
      <c r="AO39" s="693"/>
      <c r="AP39" s="693"/>
      <c r="AQ39" s="693"/>
      <c r="AR39" s="693"/>
      <c r="AS39" s="693"/>
      <c r="AT39" s="693"/>
      <c r="AU39" s="693"/>
    </row>
    <row r="40" spans="1:47" s="83" customFormat="1" ht="15" customHeight="1" thickBot="1">
      <c r="A40" s="319"/>
      <c r="B40" s="2851"/>
      <c r="C40" s="2839"/>
      <c r="D40" s="2853"/>
      <c r="E40" s="711" t="s">
        <v>56</v>
      </c>
      <c r="F40" s="742" t="s">
        <v>57</v>
      </c>
      <c r="G40" s="741" t="s">
        <v>521</v>
      </c>
      <c r="H40" s="739" t="s">
        <v>58</v>
      </c>
      <c r="I40" s="2858"/>
      <c r="J40" s="2858"/>
      <c r="K40" s="2858"/>
      <c r="L40" s="2858"/>
      <c r="M40" s="131"/>
      <c r="N40" s="846"/>
      <c r="O40" s="846"/>
      <c r="P40" s="846"/>
      <c r="Q40" s="846"/>
      <c r="R40" s="846"/>
      <c r="S40" s="846"/>
      <c r="T40" s="846"/>
      <c r="U40" s="846"/>
      <c r="V40" s="846"/>
      <c r="W40" s="846"/>
      <c r="X40" s="846"/>
      <c r="Y40" s="846"/>
      <c r="Z40" s="846"/>
      <c r="AA40" s="846"/>
      <c r="AB40" s="846"/>
      <c r="AC40" s="846"/>
      <c r="AD40" s="846"/>
      <c r="AE40" s="846"/>
      <c r="AF40" s="846"/>
      <c r="AG40" s="846"/>
      <c r="AH40" s="846"/>
      <c r="AI40" s="846"/>
      <c r="AJ40" s="846"/>
      <c r="AK40" s="846"/>
      <c r="AL40" s="846"/>
      <c r="AM40" s="846"/>
      <c r="AN40" s="846"/>
      <c r="AO40" s="846"/>
      <c r="AP40" s="846"/>
      <c r="AQ40" s="846"/>
      <c r="AR40" s="846"/>
      <c r="AS40" s="846"/>
      <c r="AT40" s="846"/>
      <c r="AU40" s="846"/>
    </row>
    <row r="41" spans="1:47" ht="15" customHeight="1">
      <c r="B41" s="2929" t="s">
        <v>638</v>
      </c>
      <c r="C41" s="2932" t="s">
        <v>301</v>
      </c>
      <c r="D41" s="2911">
        <f>+F41+F42</f>
        <v>49</v>
      </c>
      <c r="E41" s="595" t="s">
        <v>133</v>
      </c>
      <c r="F41" s="537">
        <v>44</v>
      </c>
      <c r="G41" s="596"/>
      <c r="H41" s="596">
        <f>+F41</f>
        <v>44</v>
      </c>
      <c r="I41" s="132">
        <f>+'Crustaceos  LTP'!H100</f>
        <v>0</v>
      </c>
      <c r="J41" s="117">
        <f>+H41-I41</f>
        <v>44</v>
      </c>
      <c r="K41" s="579">
        <f>I41/H41</f>
        <v>0</v>
      </c>
      <c r="L41" s="1499"/>
      <c r="M41" s="361"/>
    </row>
    <row r="42" spans="1:47" ht="15" customHeight="1" thickBot="1">
      <c r="B42" s="2930"/>
      <c r="C42" s="2933"/>
      <c r="D42" s="2905"/>
      <c r="E42" s="598" t="s">
        <v>134</v>
      </c>
      <c r="F42" s="599">
        <v>5</v>
      </c>
      <c r="G42" s="600"/>
      <c r="H42" s="600">
        <f>+F42+J41</f>
        <v>49</v>
      </c>
      <c r="I42" s="645">
        <f>+'Crustaceos  LTP'!H101</f>
        <v>19.305999999999997</v>
      </c>
      <c r="J42" s="305">
        <f>+H42-I42</f>
        <v>29.694000000000003</v>
      </c>
      <c r="K42" s="576">
        <f>I42/H42</f>
        <v>0.39399999999999996</v>
      </c>
      <c r="L42" s="1500"/>
      <c r="M42" s="361"/>
    </row>
    <row r="43" spans="1:47" ht="15" customHeight="1" thickBot="1">
      <c r="B43" s="2930"/>
      <c r="C43" s="2935" t="s">
        <v>61</v>
      </c>
      <c r="D43" s="2904">
        <f>+F43+F44</f>
        <v>120</v>
      </c>
      <c r="E43" s="118" t="s">
        <v>133</v>
      </c>
      <c r="F43" s="119">
        <v>108</v>
      </c>
      <c r="G43" s="597">
        <f>79.99+50</f>
        <v>129.99</v>
      </c>
      <c r="H43" s="597">
        <f>+F43+G43</f>
        <v>237.99</v>
      </c>
      <c r="I43" s="133">
        <f>+'Crustaceos  LTP'!N100</f>
        <v>214.26599999999996</v>
      </c>
      <c r="J43" s="306">
        <f>+H43-I43</f>
        <v>23.724000000000046</v>
      </c>
      <c r="K43" s="576">
        <f>I43/H43</f>
        <v>0.9003151392915667</v>
      </c>
      <c r="L43" s="1501"/>
      <c r="M43" s="361"/>
    </row>
    <row r="44" spans="1:47" ht="15" customHeight="1" thickBot="1">
      <c r="B44" s="2931"/>
      <c r="C44" s="2933"/>
      <c r="D44" s="2905"/>
      <c r="E44" s="598" t="s">
        <v>134</v>
      </c>
      <c r="F44" s="599">
        <v>12</v>
      </c>
      <c r="G44" s="600"/>
      <c r="H44" s="600">
        <f>+F44+J43</f>
        <v>35.724000000000046</v>
      </c>
      <c r="I44" s="644">
        <f>+'Crustaceos  LTP'!N101</f>
        <v>23.058</v>
      </c>
      <c r="J44" s="305">
        <f>+H44-I44</f>
        <v>12.666000000000047</v>
      </c>
      <c r="K44" s="576">
        <f>I44/H44</f>
        <v>0.64544843802485641</v>
      </c>
      <c r="L44" s="677"/>
      <c r="M44" s="361"/>
    </row>
    <row r="45" spans="1:47" s="515" customFormat="1" ht="15" customHeight="1" thickBot="1">
      <c r="A45" s="319"/>
      <c r="B45" s="84"/>
      <c r="C45" s="127"/>
      <c r="D45" s="649"/>
      <c r="E45" s="9"/>
      <c r="F45" s="603"/>
      <c r="G45" s="603"/>
      <c r="H45" s="603"/>
      <c r="I45" s="604"/>
      <c r="J45" s="129"/>
      <c r="K45" s="245"/>
      <c r="L45" s="134"/>
      <c r="M45" s="319"/>
      <c r="N45" s="846"/>
      <c r="O45" s="846"/>
      <c r="P45" s="846"/>
      <c r="Q45" s="846"/>
      <c r="R45" s="846"/>
      <c r="S45" s="846"/>
      <c r="T45" s="846"/>
      <c r="U45" s="846"/>
      <c r="V45" s="846"/>
      <c r="W45" s="846"/>
      <c r="X45" s="846"/>
      <c r="Y45" s="846"/>
      <c r="Z45" s="846"/>
      <c r="AA45" s="846"/>
      <c r="AB45" s="846"/>
      <c r="AC45" s="846"/>
      <c r="AD45" s="846"/>
      <c r="AE45" s="846"/>
      <c r="AF45" s="846"/>
      <c r="AG45" s="846"/>
      <c r="AH45" s="846"/>
      <c r="AI45" s="846"/>
      <c r="AJ45" s="846"/>
      <c r="AK45" s="846"/>
      <c r="AL45" s="846"/>
      <c r="AM45" s="846"/>
      <c r="AN45" s="846"/>
      <c r="AO45" s="846"/>
      <c r="AP45" s="846"/>
      <c r="AQ45" s="846"/>
      <c r="AR45" s="846"/>
      <c r="AS45" s="846"/>
      <c r="AT45" s="846"/>
      <c r="AU45" s="846"/>
    </row>
    <row r="46" spans="1:47" s="643" customFormat="1" ht="15" customHeight="1" thickBot="1">
      <c r="A46" s="653"/>
      <c r="B46" s="2913" t="s">
        <v>263</v>
      </c>
      <c r="C46" s="2914"/>
      <c r="D46" s="2017" t="s">
        <v>376</v>
      </c>
      <c r="E46" s="2018" t="s">
        <v>521</v>
      </c>
      <c r="F46" s="2019" t="s">
        <v>58</v>
      </c>
      <c r="G46" s="2020" t="s">
        <v>2</v>
      </c>
      <c r="H46" s="2020" t="s">
        <v>3</v>
      </c>
      <c r="I46" s="2021" t="s">
        <v>143</v>
      </c>
      <c r="J46" s="129"/>
      <c r="K46" s="245"/>
      <c r="L46" s="134"/>
      <c r="M46" s="653"/>
      <c r="N46" s="693"/>
      <c r="O46" s="693"/>
      <c r="P46" s="693"/>
      <c r="Q46" s="693"/>
      <c r="R46" s="693"/>
      <c r="S46" s="693"/>
      <c r="T46" s="693"/>
      <c r="U46" s="693"/>
      <c r="V46" s="693"/>
      <c r="W46" s="693"/>
      <c r="X46" s="693"/>
      <c r="Y46" s="693"/>
      <c r="Z46" s="693"/>
      <c r="AA46" s="693"/>
      <c r="AB46" s="693"/>
      <c r="AC46" s="693"/>
      <c r="AD46" s="693"/>
      <c r="AE46" s="693"/>
      <c r="AF46" s="693"/>
      <c r="AG46" s="693"/>
      <c r="AH46" s="693"/>
      <c r="AI46" s="693"/>
      <c r="AJ46" s="693"/>
      <c r="AK46" s="693"/>
      <c r="AL46" s="693"/>
      <c r="AM46" s="693"/>
      <c r="AN46" s="693"/>
      <c r="AO46" s="693"/>
      <c r="AP46" s="693"/>
      <c r="AQ46" s="693"/>
      <c r="AR46" s="693"/>
      <c r="AS46" s="693"/>
      <c r="AT46" s="693"/>
      <c r="AU46" s="693"/>
    </row>
    <row r="47" spans="1:47" s="643" customFormat="1" ht="15" customHeight="1" thickBot="1">
      <c r="A47" s="653"/>
      <c r="B47" s="2915" t="s">
        <v>366</v>
      </c>
      <c r="C47" s="2916"/>
      <c r="D47" s="2013">
        <v>19</v>
      </c>
      <c r="E47" s="2014"/>
      <c r="F47" s="2014"/>
      <c r="G47" s="2015">
        <f>+'Pesca de Investigación'!I26+'Pesca de Investigación'!I36+'Pesca de Investigación'!I46</f>
        <v>13.931000000000001</v>
      </c>
      <c r="H47" s="2011"/>
      <c r="I47" s="2016">
        <f>+G47/D47</f>
        <v>0.73321052631578953</v>
      </c>
      <c r="J47" s="129"/>
      <c r="K47" s="245"/>
      <c r="L47" s="134"/>
      <c r="M47" s="653"/>
      <c r="N47" s="693"/>
      <c r="O47" s="693"/>
      <c r="P47" s="693"/>
      <c r="Q47" s="693"/>
      <c r="R47" s="693"/>
      <c r="S47" s="693"/>
      <c r="T47" s="693"/>
      <c r="U47" s="693"/>
      <c r="V47" s="693"/>
      <c r="W47" s="693"/>
      <c r="X47" s="693"/>
      <c r="Y47" s="693"/>
      <c r="Z47" s="693"/>
      <c r="AA47" s="693"/>
      <c r="AB47" s="693"/>
      <c r="AC47" s="693"/>
      <c r="AD47" s="693"/>
      <c r="AE47" s="693"/>
      <c r="AF47" s="693"/>
      <c r="AG47" s="693"/>
      <c r="AH47" s="693"/>
      <c r="AI47" s="693"/>
      <c r="AJ47" s="693"/>
      <c r="AK47" s="693"/>
      <c r="AL47" s="693"/>
      <c r="AM47" s="693"/>
      <c r="AN47" s="693"/>
      <c r="AO47" s="693"/>
      <c r="AP47" s="693"/>
      <c r="AQ47" s="693"/>
      <c r="AR47" s="693"/>
      <c r="AS47" s="693"/>
      <c r="AT47" s="693"/>
      <c r="AU47" s="693"/>
    </row>
    <row r="48" spans="1:47" s="643" customFormat="1" ht="15" customHeight="1" thickBot="1">
      <c r="A48" s="653"/>
      <c r="B48" s="2917" t="s">
        <v>718</v>
      </c>
      <c r="C48" s="2918"/>
      <c r="D48" s="2008">
        <f>SUBTOTAL(9,D41:D44)</f>
        <v>169</v>
      </c>
      <c r="E48" s="2009">
        <f>SUBTOTAL(9,G41:G44)</f>
        <v>129.99</v>
      </c>
      <c r="F48" s="2009">
        <f>+D48+E48</f>
        <v>298.99</v>
      </c>
      <c r="G48" s="2010">
        <f>SUBTOTAL(9,I41:I44)</f>
        <v>256.62999999999994</v>
      </c>
      <c r="H48" s="2011">
        <f>+F48-G48</f>
        <v>42.36000000000007</v>
      </c>
      <c r="I48" s="2012">
        <f>+G48/F48</f>
        <v>0.85832302083681711</v>
      </c>
      <c r="J48" s="129"/>
      <c r="K48" s="245"/>
      <c r="L48" s="134"/>
      <c r="M48" s="653"/>
      <c r="N48" s="693"/>
      <c r="O48" s="693"/>
      <c r="P48" s="693"/>
      <c r="Q48" s="693"/>
      <c r="R48" s="693"/>
      <c r="S48" s="693"/>
      <c r="T48" s="693"/>
      <c r="U48" s="693"/>
      <c r="V48" s="693"/>
      <c r="W48" s="693"/>
      <c r="X48" s="693"/>
      <c r="Y48" s="693"/>
      <c r="Z48" s="693"/>
      <c r="AA48" s="693"/>
      <c r="AB48" s="693"/>
      <c r="AC48" s="693"/>
      <c r="AD48" s="693"/>
      <c r="AE48" s="693"/>
      <c r="AF48" s="693"/>
      <c r="AG48" s="693"/>
      <c r="AH48" s="693"/>
      <c r="AI48" s="693"/>
      <c r="AJ48" s="693"/>
      <c r="AK48" s="693"/>
      <c r="AL48" s="693"/>
      <c r="AM48" s="693"/>
      <c r="AN48" s="693"/>
      <c r="AO48" s="693"/>
      <c r="AP48" s="693"/>
      <c r="AQ48" s="693"/>
      <c r="AR48" s="693"/>
      <c r="AS48" s="693"/>
      <c r="AT48" s="693"/>
      <c r="AU48" s="693"/>
    </row>
    <row r="49" spans="1:47" s="653" customFormat="1" ht="15" customHeight="1">
      <c r="B49" s="656"/>
      <c r="C49" s="656"/>
      <c r="D49" s="674"/>
      <c r="E49" s="676"/>
      <c r="F49" s="676"/>
      <c r="G49" s="671"/>
      <c r="H49" s="659"/>
      <c r="I49" s="675"/>
      <c r="J49" s="129"/>
      <c r="K49" s="245"/>
      <c r="L49" s="134"/>
      <c r="N49" s="693"/>
      <c r="O49" s="693"/>
      <c r="P49" s="693"/>
      <c r="Q49" s="693"/>
      <c r="R49" s="693"/>
      <c r="S49" s="693"/>
      <c r="T49" s="693"/>
      <c r="U49" s="693"/>
      <c r="V49" s="693"/>
      <c r="W49" s="693"/>
      <c r="X49" s="693"/>
      <c r="Y49" s="693"/>
      <c r="Z49" s="693"/>
      <c r="AA49" s="693"/>
      <c r="AB49" s="693"/>
      <c r="AC49" s="693"/>
      <c r="AD49" s="693"/>
      <c r="AE49" s="693"/>
      <c r="AF49" s="693"/>
      <c r="AG49" s="693"/>
      <c r="AH49" s="693"/>
      <c r="AI49" s="693"/>
      <c r="AJ49" s="693"/>
      <c r="AK49" s="693"/>
      <c r="AL49" s="693"/>
      <c r="AM49" s="693"/>
      <c r="AN49" s="693"/>
      <c r="AO49" s="693"/>
      <c r="AP49" s="693"/>
      <c r="AQ49" s="693"/>
      <c r="AR49" s="693"/>
      <c r="AS49" s="693"/>
      <c r="AT49" s="693"/>
      <c r="AU49" s="693"/>
    </row>
    <row r="50" spans="1:47" s="653" customFormat="1" ht="15" customHeight="1">
      <c r="B50" s="656"/>
      <c r="C50" s="656"/>
      <c r="D50" s="674"/>
      <c r="E50" s="676"/>
      <c r="F50" s="676"/>
      <c r="G50" s="671"/>
      <c r="H50" s="659"/>
      <c r="I50" s="675"/>
      <c r="J50" s="129"/>
      <c r="K50" s="245"/>
      <c r="L50" s="134"/>
      <c r="N50" s="693"/>
      <c r="O50" s="693"/>
      <c r="P50" s="693"/>
      <c r="Q50" s="693"/>
      <c r="R50" s="693"/>
      <c r="S50" s="693"/>
      <c r="T50" s="693"/>
      <c r="U50" s="693"/>
      <c r="V50" s="693"/>
      <c r="W50" s="693"/>
      <c r="X50" s="693"/>
      <c r="Y50" s="693"/>
      <c r="Z50" s="693"/>
      <c r="AA50" s="693"/>
      <c r="AB50" s="693"/>
      <c r="AC50" s="693"/>
      <c r="AD50" s="693"/>
      <c r="AE50" s="693"/>
      <c r="AF50" s="693"/>
      <c r="AG50" s="693"/>
      <c r="AH50" s="693"/>
      <c r="AI50" s="693"/>
      <c r="AJ50" s="693"/>
      <c r="AK50" s="693"/>
      <c r="AL50" s="693"/>
      <c r="AM50" s="693"/>
      <c r="AN50" s="693"/>
      <c r="AO50" s="693"/>
      <c r="AP50" s="693"/>
      <c r="AQ50" s="693"/>
      <c r="AR50" s="693"/>
      <c r="AS50" s="693"/>
      <c r="AT50" s="693"/>
      <c r="AU50" s="693"/>
    </row>
    <row r="51" spans="1:47" s="653" customFormat="1" ht="15" customHeight="1" thickBot="1">
      <c r="B51" s="656"/>
      <c r="C51" s="656"/>
      <c r="D51" s="202"/>
      <c r="E51" s="676"/>
      <c r="F51" s="676"/>
      <c r="G51" s="658"/>
      <c r="H51" s="659"/>
      <c r="I51" s="195"/>
      <c r="J51" s="129"/>
      <c r="K51" s="245"/>
      <c r="L51" s="134"/>
      <c r="N51" s="693"/>
      <c r="O51" s="693"/>
      <c r="P51" s="693"/>
      <c r="Q51" s="693"/>
      <c r="R51" s="693"/>
      <c r="S51" s="693"/>
      <c r="T51" s="693"/>
      <c r="U51" s="693"/>
      <c r="V51" s="693"/>
      <c r="W51" s="693"/>
      <c r="X51" s="693"/>
      <c r="Y51" s="693"/>
      <c r="Z51" s="693"/>
      <c r="AA51" s="693"/>
      <c r="AB51" s="693"/>
      <c r="AC51" s="693"/>
      <c r="AD51" s="693"/>
      <c r="AE51" s="693"/>
      <c r="AF51" s="693"/>
      <c r="AG51" s="693"/>
      <c r="AH51" s="693"/>
      <c r="AI51" s="693"/>
      <c r="AJ51" s="693"/>
      <c r="AK51" s="693"/>
      <c r="AL51" s="693"/>
      <c r="AM51" s="693"/>
      <c r="AN51" s="693"/>
      <c r="AO51" s="693"/>
      <c r="AP51" s="693"/>
      <c r="AQ51" s="693"/>
      <c r="AR51" s="693"/>
      <c r="AS51" s="693"/>
      <c r="AT51" s="693"/>
      <c r="AU51" s="693"/>
    </row>
    <row r="52" spans="1:47" s="653" customFormat="1" ht="21.75" customHeight="1">
      <c r="B52" s="2919" t="s">
        <v>601</v>
      </c>
      <c r="C52" s="2920"/>
      <c r="D52" s="2920"/>
      <c r="E52" s="2920"/>
      <c r="F52" s="2920"/>
      <c r="G52" s="2920"/>
      <c r="H52" s="2920"/>
      <c r="I52" s="2920"/>
      <c r="J52" s="2920"/>
      <c r="K52" s="2920"/>
      <c r="L52" s="2921"/>
      <c r="N52" s="693"/>
      <c r="O52" s="693"/>
      <c r="P52" s="693"/>
      <c r="Q52" s="693"/>
      <c r="R52" s="693"/>
      <c r="S52" s="693"/>
      <c r="T52" s="693"/>
      <c r="U52" s="693"/>
      <c r="V52" s="693"/>
      <c r="W52" s="693"/>
      <c r="X52" s="693"/>
      <c r="Y52" s="693"/>
      <c r="Z52" s="693"/>
      <c r="AA52" s="693"/>
      <c r="AB52" s="693"/>
      <c r="AC52" s="693"/>
      <c r="AD52" s="693"/>
      <c r="AE52" s="693"/>
      <c r="AF52" s="693"/>
      <c r="AG52" s="693"/>
      <c r="AH52" s="693"/>
      <c r="AI52" s="693"/>
      <c r="AJ52" s="693"/>
      <c r="AK52" s="693"/>
      <c r="AL52" s="693"/>
      <c r="AM52" s="693"/>
      <c r="AN52" s="693"/>
      <c r="AO52" s="693"/>
      <c r="AP52" s="693"/>
      <c r="AQ52" s="693"/>
      <c r="AR52" s="693"/>
      <c r="AS52" s="693"/>
      <c r="AT52" s="693"/>
      <c r="AU52" s="693"/>
    </row>
    <row r="53" spans="1:47" s="643" customFormat="1" ht="19.5" customHeight="1" thickBot="1">
      <c r="A53" s="653"/>
      <c r="B53" s="2922"/>
      <c r="C53" s="2923"/>
      <c r="D53" s="2923"/>
      <c r="E53" s="2923"/>
      <c r="F53" s="2923"/>
      <c r="G53" s="2923"/>
      <c r="H53" s="2923"/>
      <c r="I53" s="2923"/>
      <c r="J53" s="2923"/>
      <c r="K53" s="2923"/>
      <c r="L53" s="2924"/>
      <c r="M53" s="653"/>
      <c r="N53" s="693"/>
      <c r="O53" s="693"/>
      <c r="P53" s="693"/>
      <c r="Q53" s="693"/>
      <c r="R53" s="693"/>
      <c r="S53" s="693"/>
      <c r="T53" s="693"/>
      <c r="U53" s="693"/>
      <c r="V53" s="693"/>
      <c r="W53" s="693"/>
      <c r="X53" s="693"/>
      <c r="Y53" s="693"/>
      <c r="Z53" s="693"/>
      <c r="AA53" s="693"/>
      <c r="AB53" s="693"/>
      <c r="AC53" s="693"/>
      <c r="AD53" s="693"/>
      <c r="AE53" s="693"/>
      <c r="AF53" s="693"/>
      <c r="AG53" s="693"/>
      <c r="AH53" s="693"/>
      <c r="AI53" s="693"/>
      <c r="AJ53" s="693"/>
      <c r="AK53" s="693"/>
      <c r="AL53" s="693"/>
      <c r="AM53" s="693"/>
      <c r="AN53" s="693"/>
      <c r="AO53" s="693"/>
      <c r="AP53" s="693"/>
      <c r="AQ53" s="693"/>
      <c r="AR53" s="693"/>
      <c r="AS53" s="693"/>
      <c r="AT53" s="693"/>
      <c r="AU53" s="693"/>
    </row>
    <row r="54" spans="1:47" s="690" customFormat="1" ht="15" customHeight="1"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N54" s="693"/>
      <c r="O54" s="693"/>
      <c r="P54" s="693"/>
      <c r="Q54" s="693"/>
      <c r="R54" s="693"/>
      <c r="S54" s="693"/>
      <c r="T54" s="693"/>
      <c r="U54" s="693"/>
      <c r="V54" s="693"/>
      <c r="W54" s="693"/>
      <c r="X54" s="693"/>
      <c r="Y54" s="693"/>
      <c r="Z54" s="693"/>
      <c r="AA54" s="693"/>
      <c r="AB54" s="693"/>
      <c r="AC54" s="693"/>
      <c r="AD54" s="693"/>
      <c r="AE54" s="693"/>
      <c r="AF54" s="693"/>
      <c r="AG54" s="693"/>
      <c r="AH54" s="693"/>
      <c r="AI54" s="693"/>
      <c r="AJ54" s="693"/>
      <c r="AK54" s="693"/>
      <c r="AL54" s="693"/>
      <c r="AM54" s="693"/>
      <c r="AN54" s="693"/>
      <c r="AO54" s="693"/>
      <c r="AP54" s="693"/>
      <c r="AQ54" s="693"/>
      <c r="AR54" s="693"/>
      <c r="AS54" s="693"/>
      <c r="AT54" s="693"/>
      <c r="AU54" s="693"/>
    </row>
    <row r="55" spans="1:47" s="690" customFormat="1" ht="15" customHeight="1" thickBot="1"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N55" s="693"/>
      <c r="O55" s="693"/>
      <c r="P55" s="693"/>
      <c r="Q55" s="693"/>
      <c r="R55" s="693"/>
      <c r="S55" s="693"/>
      <c r="T55" s="693"/>
      <c r="U55" s="693"/>
      <c r="V55" s="693"/>
      <c r="W55" s="693"/>
      <c r="X55" s="693"/>
      <c r="Y55" s="693"/>
      <c r="Z55" s="693"/>
      <c r="AA55" s="693"/>
      <c r="AB55" s="693"/>
      <c r="AC55" s="693"/>
      <c r="AD55" s="693"/>
      <c r="AE55" s="693"/>
      <c r="AF55" s="693"/>
      <c r="AG55" s="693"/>
      <c r="AH55" s="693"/>
      <c r="AI55" s="693"/>
      <c r="AJ55" s="693"/>
      <c r="AK55" s="693"/>
      <c r="AL55" s="693"/>
      <c r="AM55" s="693"/>
      <c r="AN55" s="693"/>
      <c r="AO55" s="693"/>
      <c r="AP55" s="693"/>
      <c r="AQ55" s="693"/>
      <c r="AR55" s="693"/>
      <c r="AS55" s="693"/>
      <c r="AT55" s="693"/>
      <c r="AU55" s="693"/>
    </row>
    <row r="56" spans="1:47" s="690" customFormat="1" ht="15" customHeight="1">
      <c r="B56" s="2871" t="s">
        <v>52</v>
      </c>
      <c r="C56" s="2834" t="s">
        <v>53</v>
      </c>
      <c r="D56" s="2844" t="s">
        <v>54</v>
      </c>
      <c r="E56" s="2846" t="s">
        <v>55</v>
      </c>
      <c r="F56" s="2847"/>
      <c r="G56" s="2848"/>
      <c r="H56" s="2849"/>
      <c r="I56" s="2834" t="s">
        <v>2</v>
      </c>
      <c r="J56" s="2834" t="s">
        <v>3</v>
      </c>
      <c r="K56" s="2834" t="s">
        <v>280</v>
      </c>
      <c r="L56" s="2834" t="s">
        <v>639</v>
      </c>
      <c r="N56" s="693"/>
      <c r="O56" s="693"/>
      <c r="P56" s="693"/>
      <c r="Q56" s="693"/>
      <c r="R56" s="693"/>
      <c r="S56" s="693"/>
      <c r="T56" s="693"/>
      <c r="U56" s="693"/>
      <c r="V56" s="693"/>
      <c r="W56" s="693"/>
      <c r="X56" s="693"/>
      <c r="Y56" s="693"/>
      <c r="Z56" s="693"/>
      <c r="AA56" s="693"/>
      <c r="AB56" s="693"/>
      <c r="AC56" s="693"/>
      <c r="AD56" s="693"/>
      <c r="AE56" s="693"/>
      <c r="AF56" s="693"/>
      <c r="AG56" s="693"/>
      <c r="AH56" s="693"/>
      <c r="AI56" s="693"/>
      <c r="AJ56" s="693"/>
      <c r="AK56" s="693"/>
      <c r="AL56" s="693"/>
      <c r="AM56" s="693"/>
      <c r="AN56" s="693"/>
      <c r="AO56" s="693"/>
      <c r="AP56" s="693"/>
      <c r="AQ56" s="693"/>
      <c r="AR56" s="693"/>
      <c r="AS56" s="693"/>
      <c r="AT56" s="693"/>
      <c r="AU56" s="693"/>
    </row>
    <row r="57" spans="1:47" s="319" customFormat="1" ht="15" customHeight="1" thickBot="1">
      <c r="B57" s="2872"/>
      <c r="C57" s="2843"/>
      <c r="D57" s="2845"/>
      <c r="E57" s="665" t="s">
        <v>56</v>
      </c>
      <c r="F57" s="666" t="s">
        <v>57</v>
      </c>
      <c r="G57" s="667" t="s">
        <v>521</v>
      </c>
      <c r="H57" s="668" t="s">
        <v>58</v>
      </c>
      <c r="I57" s="2835"/>
      <c r="J57" s="2835"/>
      <c r="K57" s="2835"/>
      <c r="L57" s="2835"/>
      <c r="N57" s="846"/>
      <c r="O57" s="846"/>
      <c r="P57" s="846"/>
      <c r="Q57" s="846"/>
      <c r="R57" s="846"/>
      <c r="S57" s="846"/>
      <c r="T57" s="846"/>
      <c r="U57" s="846"/>
      <c r="V57" s="846"/>
      <c r="W57" s="846"/>
      <c r="X57" s="846"/>
      <c r="Y57" s="846"/>
      <c r="Z57" s="846"/>
      <c r="AA57" s="846"/>
      <c r="AB57" s="846"/>
      <c r="AC57" s="846"/>
      <c r="AD57" s="846"/>
      <c r="AE57" s="846"/>
      <c r="AF57" s="846"/>
      <c r="AG57" s="846"/>
      <c r="AH57" s="846"/>
      <c r="AI57" s="846"/>
      <c r="AJ57" s="846"/>
      <c r="AK57" s="846"/>
      <c r="AL57" s="846"/>
      <c r="AM57" s="846"/>
      <c r="AN57" s="846"/>
      <c r="AO57" s="846"/>
      <c r="AP57" s="846"/>
      <c r="AQ57" s="846"/>
      <c r="AR57" s="846"/>
      <c r="AS57" s="846"/>
      <c r="AT57" s="846"/>
      <c r="AU57" s="846"/>
    </row>
    <row r="58" spans="1:47" s="83" customFormat="1" ht="15" customHeight="1">
      <c r="A58" s="319"/>
      <c r="B58" s="2941" t="s">
        <v>302</v>
      </c>
      <c r="C58" s="2944" t="s">
        <v>135</v>
      </c>
      <c r="D58" s="2900">
        <f>+F58+F59</f>
        <v>1190</v>
      </c>
      <c r="E58" s="734" t="s">
        <v>133</v>
      </c>
      <c r="F58" s="733">
        <v>1071</v>
      </c>
      <c r="G58" s="732"/>
      <c r="H58" s="713">
        <f>+F58</f>
        <v>1071</v>
      </c>
      <c r="I58" s="1306">
        <v>1176.1389999999999</v>
      </c>
      <c r="J58" s="731">
        <f t="shared" si="0"/>
        <v>-105.1389999999999</v>
      </c>
      <c r="K58" s="716">
        <f t="shared" si="1"/>
        <v>1.0981690009337066</v>
      </c>
      <c r="L58" s="730">
        <v>42493</v>
      </c>
      <c r="M58" s="1523"/>
      <c r="N58" s="846"/>
      <c r="O58" s="846"/>
      <c r="P58" s="846"/>
      <c r="Q58" s="846"/>
      <c r="R58" s="846"/>
      <c r="S58" s="846"/>
      <c r="T58" s="846"/>
      <c r="U58" s="846"/>
      <c r="V58" s="846"/>
      <c r="W58" s="846"/>
      <c r="X58" s="846"/>
      <c r="Y58" s="846"/>
      <c r="Z58" s="846"/>
      <c r="AA58" s="846"/>
      <c r="AB58" s="846"/>
      <c r="AC58" s="846"/>
      <c r="AD58" s="846"/>
      <c r="AE58" s="846"/>
      <c r="AF58" s="846"/>
      <c r="AG58" s="846"/>
      <c r="AH58" s="846"/>
      <c r="AI58" s="846"/>
      <c r="AJ58" s="846"/>
      <c r="AK58" s="846"/>
      <c r="AL58" s="846"/>
      <c r="AM58" s="846"/>
      <c r="AN58" s="846"/>
      <c r="AO58" s="846"/>
      <c r="AP58" s="846"/>
      <c r="AQ58" s="846"/>
      <c r="AR58" s="846"/>
      <c r="AS58" s="846"/>
      <c r="AT58" s="846"/>
      <c r="AU58" s="846"/>
    </row>
    <row r="59" spans="1:47" ht="15" customHeight="1" thickBot="1">
      <c r="B59" s="2942"/>
      <c r="C59" s="2928"/>
      <c r="D59" s="2901"/>
      <c r="E59" s="729" t="s">
        <v>134</v>
      </c>
      <c r="F59" s="728">
        <v>119</v>
      </c>
      <c r="G59" s="727"/>
      <c r="H59" s="712">
        <f>F59+J58</f>
        <v>13.861000000000104</v>
      </c>
      <c r="I59" s="1305">
        <v>9.9979999999999993</v>
      </c>
      <c r="J59" s="726">
        <f>+H59-I59</f>
        <v>3.8630000000001044</v>
      </c>
      <c r="K59" s="1365">
        <f t="shared" si="1"/>
        <v>0.72130437919341495</v>
      </c>
      <c r="L59" s="725">
        <v>42643</v>
      </c>
      <c r="M59" s="594"/>
      <c r="N59" s="1523"/>
      <c r="O59" s="1523"/>
      <c r="P59" s="1523"/>
      <c r="Q59" s="1523"/>
      <c r="R59" s="1523"/>
      <c r="S59" s="1523"/>
      <c r="T59" s="1523"/>
      <c r="U59" s="1523"/>
      <c r="V59" s="1523"/>
      <c r="W59" s="1523"/>
      <c r="X59" s="1523"/>
    </row>
    <row r="60" spans="1:47" ht="15" customHeight="1">
      <c r="B60" s="2942"/>
      <c r="C60" s="2902" t="s">
        <v>136</v>
      </c>
      <c r="D60" s="2904">
        <f>+F60+F61</f>
        <v>640</v>
      </c>
      <c r="E60" s="118" t="s">
        <v>133</v>
      </c>
      <c r="F60" s="119">
        <v>576</v>
      </c>
      <c r="G60" s="597"/>
      <c r="H60" s="670">
        <f>+F60</f>
        <v>576</v>
      </c>
      <c r="I60" s="1307">
        <v>427.06200000000001</v>
      </c>
      <c r="J60" s="306">
        <f t="shared" si="0"/>
        <v>148.93799999999999</v>
      </c>
      <c r="K60" s="605">
        <f t="shared" si="1"/>
        <v>0.7414270833333334</v>
      </c>
      <c r="L60" s="1498"/>
      <c r="M60" s="594"/>
      <c r="N60" s="1523"/>
      <c r="O60" s="1523"/>
      <c r="P60" s="1523"/>
      <c r="Q60" s="1523"/>
      <c r="R60" s="1523"/>
      <c r="S60" s="1523"/>
      <c r="T60" s="1523"/>
      <c r="U60" s="1523"/>
      <c r="V60" s="1523"/>
      <c r="W60" s="1523"/>
      <c r="X60" s="1523"/>
    </row>
    <row r="61" spans="1:47" ht="15" customHeight="1" thickBot="1">
      <c r="B61" s="2943"/>
      <c r="C61" s="2903"/>
      <c r="D61" s="2905"/>
      <c r="E61" s="598" t="s">
        <v>134</v>
      </c>
      <c r="F61" s="599">
        <v>64</v>
      </c>
      <c r="G61" s="600"/>
      <c r="H61" s="669">
        <f>F61+J60</f>
        <v>212.93799999999999</v>
      </c>
      <c r="I61" s="1305">
        <v>172.17400000000001</v>
      </c>
      <c r="J61" s="305">
        <f>+H61-I61</f>
        <v>40.763999999999982</v>
      </c>
      <c r="K61" s="1368">
        <f t="shared" si="1"/>
        <v>0.80856399515351896</v>
      </c>
      <c r="L61" s="405"/>
      <c r="M61" s="594"/>
      <c r="N61" s="1523"/>
      <c r="O61" s="1523"/>
      <c r="P61" s="1523"/>
      <c r="Q61" s="1523"/>
      <c r="R61" s="1523"/>
      <c r="S61" s="1523"/>
      <c r="T61" s="1523"/>
      <c r="U61" s="1523"/>
      <c r="V61" s="1523"/>
      <c r="W61" s="1523"/>
      <c r="X61" s="1523"/>
    </row>
    <row r="62" spans="1:47" ht="15" customHeight="1" thickBot="1">
      <c r="B62" s="4"/>
      <c r="C62" s="311"/>
      <c r="D62" s="736">
        <f>SUM(D58:D61)</f>
        <v>1830</v>
      </c>
      <c r="E62" s="9"/>
      <c r="F62" s="603"/>
      <c r="G62" s="603"/>
      <c r="H62" s="723"/>
      <c r="I62" s="589">
        <f>SUM(I58:I61)</f>
        <v>1785.373</v>
      </c>
      <c r="J62" s="710">
        <f>+J59+J61</f>
        <v>44.627000000000088</v>
      </c>
      <c r="K62" s="737">
        <f>+I62/D62</f>
        <v>0.97561366120218584</v>
      </c>
      <c r="L62" s="390"/>
      <c r="M62" s="594"/>
      <c r="N62" s="1523"/>
      <c r="O62" s="1523"/>
      <c r="P62" s="1523"/>
      <c r="Q62" s="1523"/>
      <c r="R62" s="1523"/>
      <c r="S62" s="1523"/>
      <c r="T62" s="1523"/>
      <c r="U62" s="1523"/>
      <c r="V62" s="1523"/>
      <c r="W62" s="1523"/>
      <c r="X62" s="1523"/>
    </row>
    <row r="63" spans="1:47" s="689" customFormat="1" ht="15" customHeight="1" thickBot="1">
      <c r="A63" s="690"/>
      <c r="B63" s="515"/>
      <c r="C63" s="311"/>
      <c r="D63" s="649"/>
      <c r="E63" s="9"/>
      <c r="F63" s="603"/>
      <c r="G63" s="603"/>
      <c r="H63" s="603"/>
      <c r="I63" s="604"/>
      <c r="J63" s="129"/>
      <c r="K63" s="245"/>
      <c r="L63" s="390"/>
      <c r="M63" s="594"/>
      <c r="N63" s="1523"/>
      <c r="O63" s="1523"/>
      <c r="P63" s="1523"/>
      <c r="Q63" s="1523"/>
      <c r="R63" s="1523"/>
      <c r="S63" s="1523"/>
      <c r="T63" s="1523"/>
      <c r="U63" s="1523"/>
      <c r="V63" s="1523"/>
      <c r="W63" s="1523"/>
      <c r="X63" s="1523"/>
      <c r="Y63" s="693"/>
      <c r="Z63" s="693"/>
      <c r="AA63" s="693"/>
      <c r="AB63" s="693"/>
      <c r="AC63" s="693"/>
      <c r="AD63" s="693"/>
      <c r="AE63" s="693"/>
      <c r="AF63" s="693"/>
      <c r="AG63" s="693"/>
      <c r="AH63" s="693"/>
      <c r="AI63" s="693"/>
      <c r="AJ63" s="693"/>
      <c r="AK63" s="693"/>
      <c r="AL63" s="693"/>
      <c r="AM63" s="693"/>
      <c r="AN63" s="693"/>
      <c r="AO63" s="693"/>
      <c r="AP63" s="693"/>
      <c r="AQ63" s="693"/>
      <c r="AR63" s="693"/>
      <c r="AS63" s="693"/>
      <c r="AT63" s="693"/>
      <c r="AU63" s="693"/>
    </row>
    <row r="64" spans="1:47" s="689" customFormat="1" ht="15" customHeight="1">
      <c r="A64" s="690"/>
      <c r="B64" s="2836" t="s">
        <v>52</v>
      </c>
      <c r="C64" s="2838" t="s">
        <v>53</v>
      </c>
      <c r="D64" s="2838" t="s">
        <v>54</v>
      </c>
      <c r="E64" s="2840" t="s">
        <v>55</v>
      </c>
      <c r="F64" s="2841"/>
      <c r="G64" s="2841"/>
      <c r="H64" s="2842"/>
      <c r="I64" s="2838" t="s">
        <v>2</v>
      </c>
      <c r="J64" s="2838" t="s">
        <v>3</v>
      </c>
      <c r="K64" s="2838" t="s">
        <v>280</v>
      </c>
      <c r="L64" s="2838" t="s">
        <v>639</v>
      </c>
      <c r="M64" s="594"/>
      <c r="N64" s="1523"/>
      <c r="O64" s="1523"/>
      <c r="P64" s="1523"/>
      <c r="Q64" s="1523"/>
      <c r="R64" s="1523"/>
      <c r="S64" s="1523"/>
      <c r="T64" s="1523"/>
      <c r="U64" s="1523"/>
      <c r="V64" s="1523"/>
      <c r="W64" s="1523"/>
      <c r="X64" s="1523"/>
      <c r="Y64" s="693"/>
      <c r="Z64" s="693"/>
      <c r="AA64" s="693"/>
      <c r="AB64" s="693"/>
      <c r="AC64" s="693"/>
      <c r="AD64" s="693"/>
      <c r="AE64" s="693"/>
      <c r="AF64" s="693"/>
      <c r="AG64" s="693"/>
      <c r="AH64" s="693"/>
      <c r="AI64" s="693"/>
      <c r="AJ64" s="693"/>
      <c r="AK64" s="693"/>
      <c r="AL64" s="693"/>
      <c r="AM64" s="693"/>
      <c r="AN64" s="693"/>
      <c r="AO64" s="693"/>
      <c r="AP64" s="693"/>
      <c r="AQ64" s="693"/>
      <c r="AR64" s="693"/>
      <c r="AS64" s="693"/>
      <c r="AT64" s="693"/>
      <c r="AU64" s="693"/>
    </row>
    <row r="65" spans="1:47" s="184" customFormat="1" ht="15" customHeight="1" thickBot="1">
      <c r="A65" s="653"/>
      <c r="B65" s="2837"/>
      <c r="C65" s="2839"/>
      <c r="D65" s="2839"/>
      <c r="E65" s="711" t="s">
        <v>56</v>
      </c>
      <c r="F65" s="742" t="s">
        <v>57</v>
      </c>
      <c r="G65" s="741" t="s">
        <v>521</v>
      </c>
      <c r="H65" s="739" t="s">
        <v>58</v>
      </c>
      <c r="I65" s="2839"/>
      <c r="J65" s="2839"/>
      <c r="K65" s="2839"/>
      <c r="L65" s="2839"/>
      <c r="M65" s="594"/>
      <c r="N65" s="1523"/>
      <c r="O65" s="1523"/>
      <c r="P65" s="1523"/>
      <c r="Q65" s="1523"/>
      <c r="R65" s="1523"/>
      <c r="S65" s="1523"/>
      <c r="T65" s="1523"/>
      <c r="U65" s="1523"/>
      <c r="V65" s="1523"/>
      <c r="W65" s="1523"/>
      <c r="X65" s="1523"/>
      <c r="Y65" s="693"/>
      <c r="Z65" s="693"/>
      <c r="AA65" s="693"/>
      <c r="AB65" s="693"/>
      <c r="AC65" s="693"/>
      <c r="AD65" s="693"/>
      <c r="AE65" s="693"/>
      <c r="AF65" s="693"/>
      <c r="AG65" s="693"/>
      <c r="AH65" s="693"/>
      <c r="AI65" s="693"/>
      <c r="AJ65" s="693"/>
      <c r="AK65" s="693"/>
      <c r="AL65" s="693"/>
      <c r="AM65" s="693"/>
      <c r="AN65" s="693"/>
      <c r="AO65" s="693"/>
      <c r="AP65" s="693"/>
      <c r="AQ65" s="693"/>
      <c r="AR65" s="693"/>
      <c r="AS65" s="693"/>
      <c r="AT65" s="693"/>
      <c r="AU65" s="693"/>
    </row>
    <row r="66" spans="1:47" ht="15" customHeight="1">
      <c r="B66" s="2936" t="s">
        <v>303</v>
      </c>
      <c r="C66" s="2940" t="s">
        <v>62</v>
      </c>
      <c r="D66" s="2911">
        <f>+F66+F67</f>
        <v>770</v>
      </c>
      <c r="E66" s="595" t="s">
        <v>133</v>
      </c>
      <c r="F66" s="114">
        <v>693</v>
      </c>
      <c r="G66" s="115"/>
      <c r="H66" s="591">
        <f>+F66</f>
        <v>693</v>
      </c>
      <c r="I66" s="1339">
        <v>644.11599999999999</v>
      </c>
      <c r="J66" s="601">
        <f>+H66-I66</f>
        <v>48.884000000000015</v>
      </c>
      <c r="K66" s="247">
        <f>I66/H66</f>
        <v>0.92946031746031743</v>
      </c>
      <c r="L66" s="730">
        <v>42526</v>
      </c>
      <c r="M66" s="594"/>
      <c r="N66" s="1523"/>
      <c r="O66" s="1523"/>
      <c r="P66" s="1523"/>
      <c r="Q66" s="1523"/>
      <c r="R66" s="1523"/>
      <c r="S66" s="1523"/>
      <c r="T66" s="1523"/>
      <c r="U66" s="1523"/>
      <c r="V66" s="1523"/>
      <c r="W66" s="1523"/>
      <c r="X66" s="1523"/>
    </row>
    <row r="67" spans="1:47" ht="15" customHeight="1" thickBot="1">
      <c r="B67" s="2937"/>
      <c r="C67" s="2903"/>
      <c r="D67" s="2905"/>
      <c r="E67" s="598" t="s">
        <v>134</v>
      </c>
      <c r="F67" s="599">
        <v>77</v>
      </c>
      <c r="G67" s="600"/>
      <c r="H67" s="669">
        <f>+F67+J66</f>
        <v>125.88400000000001</v>
      </c>
      <c r="I67" s="1338">
        <v>35.261000000000003</v>
      </c>
      <c r="J67" s="602">
        <f>+H67-I67</f>
        <v>90.623000000000019</v>
      </c>
      <c r="K67" s="246">
        <f>I67/H67</f>
        <v>0.28010708271106732</v>
      </c>
      <c r="L67" s="592"/>
      <c r="M67" s="594"/>
      <c r="N67" s="1523"/>
      <c r="O67" s="1523"/>
      <c r="P67" s="1523"/>
      <c r="Q67" s="1523"/>
      <c r="R67" s="1523"/>
      <c r="S67" s="1523"/>
      <c r="T67" s="1523"/>
      <c r="U67" s="1523"/>
      <c r="V67" s="1523"/>
      <c r="W67" s="1523"/>
      <c r="X67" s="1523"/>
    </row>
    <row r="68" spans="1:47" ht="15" customHeight="1">
      <c r="B68" s="2937"/>
      <c r="C68" s="2927" t="s">
        <v>63</v>
      </c>
      <c r="D68" s="2934">
        <f>+F68+F69</f>
        <v>548</v>
      </c>
      <c r="E68" s="721" t="s">
        <v>133</v>
      </c>
      <c r="F68" s="720">
        <v>494</v>
      </c>
      <c r="G68" s="719"/>
      <c r="H68" s="718">
        <f>+F68</f>
        <v>494</v>
      </c>
      <c r="I68" s="1339">
        <v>590.024</v>
      </c>
      <c r="J68" s="717">
        <f t="shared" ref="J68:J72" si="2">+H68-I68</f>
        <v>-96.024000000000001</v>
      </c>
      <c r="K68" s="1362">
        <f t="shared" si="1"/>
        <v>1.1943805668016194</v>
      </c>
      <c r="L68" s="730">
        <v>42606</v>
      </c>
      <c r="M68" s="594"/>
      <c r="N68" s="1523"/>
      <c r="O68" s="1523"/>
      <c r="P68" s="1523"/>
      <c r="Q68" s="1523"/>
      <c r="R68" s="1523"/>
      <c r="S68" s="1523"/>
      <c r="T68" s="1523"/>
      <c r="U68" s="1523"/>
      <c r="V68" s="1523"/>
      <c r="W68" s="1523"/>
      <c r="X68" s="1523"/>
    </row>
    <row r="69" spans="1:47" ht="15" customHeight="1" thickBot="1">
      <c r="B69" s="2937"/>
      <c r="C69" s="2927"/>
      <c r="D69" s="2934"/>
      <c r="E69" s="721" t="s">
        <v>134</v>
      </c>
      <c r="F69" s="720">
        <v>54</v>
      </c>
      <c r="G69" s="719"/>
      <c r="H69" s="718">
        <f>+F69+J68</f>
        <v>-42.024000000000001</v>
      </c>
      <c r="I69" s="1340"/>
      <c r="J69" s="717">
        <f t="shared" si="2"/>
        <v>-42.024000000000001</v>
      </c>
      <c r="K69" s="715">
        <f t="shared" si="1"/>
        <v>0</v>
      </c>
      <c r="L69" s="714">
        <v>42618</v>
      </c>
      <c r="M69" s="594"/>
      <c r="N69" s="1523"/>
      <c r="O69" s="1523"/>
      <c r="P69" s="1523"/>
      <c r="Q69" s="1523"/>
      <c r="R69" s="1523"/>
      <c r="S69" s="1523"/>
      <c r="T69" s="1523"/>
      <c r="U69" s="1523"/>
      <c r="V69" s="1523"/>
      <c r="W69" s="1523"/>
      <c r="X69" s="1523"/>
    </row>
    <row r="70" spans="1:47" ht="15" customHeight="1">
      <c r="B70" s="2937"/>
      <c r="C70" s="2940" t="s">
        <v>64</v>
      </c>
      <c r="D70" s="2911">
        <f>+F70+F71</f>
        <v>1400</v>
      </c>
      <c r="E70" s="595" t="s">
        <v>133</v>
      </c>
      <c r="F70" s="114">
        <v>1260</v>
      </c>
      <c r="G70" s="115"/>
      <c r="H70" s="591">
        <f>+F70</f>
        <v>1260</v>
      </c>
      <c r="I70" s="1339">
        <v>1166.3209999999999</v>
      </c>
      <c r="J70" s="601">
        <f t="shared" si="2"/>
        <v>93.679000000000087</v>
      </c>
      <c r="K70" s="247">
        <f t="shared" si="1"/>
        <v>0.92565158730158725</v>
      </c>
      <c r="L70" s="254"/>
      <c r="M70" s="594"/>
      <c r="N70" s="1523"/>
      <c r="O70" s="1523"/>
      <c r="P70" s="1523"/>
      <c r="Q70" s="1523"/>
      <c r="R70" s="1523"/>
      <c r="S70" s="1523"/>
      <c r="T70" s="1523"/>
      <c r="U70" s="1523"/>
      <c r="V70" s="1523"/>
      <c r="W70" s="1523"/>
      <c r="X70" s="1523"/>
    </row>
    <row r="71" spans="1:47" ht="15" customHeight="1" thickBot="1">
      <c r="B71" s="2937"/>
      <c r="C71" s="2903"/>
      <c r="D71" s="2905"/>
      <c r="E71" s="598" t="s">
        <v>134</v>
      </c>
      <c r="F71" s="599">
        <v>140</v>
      </c>
      <c r="G71" s="600"/>
      <c r="H71" s="669">
        <f>+F71+J70</f>
        <v>233.67900000000009</v>
      </c>
      <c r="I71" s="1338">
        <v>98.033000000000001</v>
      </c>
      <c r="J71" s="602">
        <f t="shared" si="2"/>
        <v>135.64600000000007</v>
      </c>
      <c r="K71" s="246">
        <f t="shared" si="1"/>
        <v>0.41951993974640411</v>
      </c>
      <c r="L71" s="141"/>
      <c r="M71" s="594"/>
      <c r="N71" s="1523"/>
      <c r="O71" s="1523"/>
      <c r="P71" s="1523"/>
      <c r="Q71" s="1523"/>
      <c r="R71" s="1523"/>
      <c r="S71" s="1523"/>
      <c r="T71" s="1523"/>
      <c r="U71" s="1523"/>
      <c r="V71" s="1523"/>
      <c r="W71" s="1523"/>
      <c r="X71" s="1523"/>
    </row>
    <row r="72" spans="1:47" ht="15" customHeight="1">
      <c r="B72" s="2938"/>
      <c r="C72" s="2927" t="s">
        <v>65</v>
      </c>
      <c r="D72" s="2934">
        <f>+F72+F73</f>
        <v>1900</v>
      </c>
      <c r="E72" s="734" t="s">
        <v>133</v>
      </c>
      <c r="F72" s="733">
        <v>1710</v>
      </c>
      <c r="G72" s="732"/>
      <c r="H72" s="713">
        <f>+F72</f>
        <v>1710</v>
      </c>
      <c r="I72" s="1339">
        <v>1557.7370000000001</v>
      </c>
      <c r="J72" s="731">
        <f t="shared" si="2"/>
        <v>152.26299999999992</v>
      </c>
      <c r="K72" s="1363">
        <f t="shared" si="1"/>
        <v>0.91095730994152047</v>
      </c>
      <c r="L72" s="2832">
        <v>42661</v>
      </c>
      <c r="M72" s="594"/>
      <c r="N72" s="1523"/>
      <c r="O72" s="1523"/>
      <c r="P72" s="1523"/>
      <c r="Q72" s="1523"/>
      <c r="R72" s="1523"/>
      <c r="S72" s="1523"/>
      <c r="T72" s="1523"/>
      <c r="U72" s="1523"/>
      <c r="V72" s="1523"/>
      <c r="W72" s="1523"/>
      <c r="X72" s="1523"/>
    </row>
    <row r="73" spans="1:47" ht="15" customHeight="1" thickBot="1">
      <c r="B73" s="2939"/>
      <c r="C73" s="2928"/>
      <c r="D73" s="2901"/>
      <c r="E73" s="729" t="s">
        <v>134</v>
      </c>
      <c r="F73" s="728">
        <v>190</v>
      </c>
      <c r="G73" s="727"/>
      <c r="H73" s="712">
        <f>+F73+J72</f>
        <v>342.26299999999992</v>
      </c>
      <c r="I73" s="1338">
        <v>337.19200000000001</v>
      </c>
      <c r="J73" s="726">
        <f>+H73-I73</f>
        <v>5.0709999999999127</v>
      </c>
      <c r="K73" s="1364">
        <f t="shared" si="1"/>
        <v>0.98518390828105895</v>
      </c>
      <c r="L73" s="2833"/>
      <c r="M73" s="594"/>
      <c r="N73" s="1523"/>
      <c r="O73" s="1523"/>
      <c r="P73" s="1523"/>
      <c r="Q73" s="1523"/>
      <c r="R73" s="1523"/>
      <c r="S73" s="1523"/>
      <c r="T73" s="1523"/>
      <c r="U73" s="1523"/>
      <c r="V73" s="1523"/>
      <c r="W73" s="1523"/>
      <c r="X73" s="1523"/>
    </row>
    <row r="74" spans="1:47" ht="15" customHeight="1" thickBot="1">
      <c r="B74" s="1"/>
      <c r="C74" s="653"/>
      <c r="D74" s="735">
        <f>SUM(D66:D73)</f>
        <v>4618</v>
      </c>
      <c r="E74" s="594"/>
      <c r="F74" s="594"/>
      <c r="G74" s="594"/>
      <c r="H74" s="723"/>
      <c r="I74" s="722">
        <f>SUM(I66:I73)</f>
        <v>4428.6839999999993</v>
      </c>
      <c r="J74" s="710">
        <f>+J67+J69+J71+J73</f>
        <v>189.316</v>
      </c>
      <c r="K74" s="737">
        <f>+I74/D74</f>
        <v>0.95900476396708512</v>
      </c>
      <c r="L74" s="594"/>
      <c r="M74" s="594"/>
      <c r="N74" s="1523"/>
      <c r="O74" s="1523"/>
      <c r="P74" s="1523"/>
      <c r="Q74" s="1523"/>
      <c r="R74" s="1523"/>
      <c r="S74" s="1523"/>
      <c r="T74" s="1523"/>
      <c r="U74" s="1523"/>
      <c r="V74" s="1523"/>
      <c r="W74" s="1523"/>
      <c r="X74" s="1523"/>
    </row>
    <row r="75" spans="1:47" s="575" customFormat="1" ht="15" customHeight="1">
      <c r="A75" s="653"/>
      <c r="C75" s="653"/>
      <c r="D75" s="653"/>
      <c r="E75" s="653"/>
      <c r="F75" s="653"/>
      <c r="G75" s="653"/>
      <c r="H75" s="653"/>
      <c r="I75" s="653"/>
      <c r="J75" s="653"/>
      <c r="K75" s="1523"/>
      <c r="L75" s="1523"/>
      <c r="M75" s="1523"/>
      <c r="N75" s="1523"/>
      <c r="O75" s="1523"/>
      <c r="P75" s="1523"/>
      <c r="Q75" s="1523"/>
      <c r="R75" s="1523"/>
      <c r="S75" s="1523"/>
      <c r="T75" s="1523"/>
      <c r="U75" s="1523"/>
      <c r="V75" s="1523"/>
      <c r="W75" s="1523"/>
      <c r="X75" s="1523"/>
      <c r="Y75" s="693"/>
      <c r="Z75" s="693"/>
      <c r="AA75" s="693"/>
      <c r="AB75" s="693"/>
      <c r="AC75" s="693"/>
      <c r="AD75" s="693"/>
      <c r="AE75" s="693"/>
      <c r="AF75" s="693"/>
      <c r="AG75" s="693"/>
      <c r="AH75" s="693"/>
      <c r="AI75" s="693"/>
      <c r="AJ75" s="693"/>
      <c r="AK75" s="693"/>
      <c r="AL75" s="693"/>
      <c r="AM75" s="693"/>
      <c r="AN75" s="693"/>
      <c r="AO75" s="693"/>
      <c r="AP75" s="693"/>
      <c r="AQ75" s="693"/>
      <c r="AR75" s="693"/>
      <c r="AS75" s="693"/>
      <c r="AT75" s="693"/>
      <c r="AU75" s="693"/>
    </row>
    <row r="76" spans="1:47" s="593" customFormat="1" ht="15" customHeight="1">
      <c r="A76" s="653"/>
      <c r="D76" s="693"/>
      <c r="G76" s="724"/>
      <c r="K76" s="1523"/>
      <c r="L76" s="1523"/>
      <c r="M76" s="1523"/>
      <c r="N76" s="1523"/>
      <c r="O76" s="1523"/>
      <c r="P76" s="1523"/>
      <c r="Q76" s="1523"/>
      <c r="R76" s="1523"/>
      <c r="S76" s="1523"/>
      <c r="T76" s="1523"/>
      <c r="U76" s="1523"/>
      <c r="V76" s="1523"/>
      <c r="W76" s="1523"/>
      <c r="X76" s="1523"/>
      <c r="Y76" s="693"/>
      <c r="Z76" s="693"/>
      <c r="AA76" s="693"/>
      <c r="AB76" s="693"/>
      <c r="AC76" s="693"/>
      <c r="AD76" s="693"/>
      <c r="AE76" s="693"/>
      <c r="AF76" s="693"/>
      <c r="AG76" s="693"/>
      <c r="AH76" s="693"/>
      <c r="AI76" s="693"/>
      <c r="AJ76" s="693"/>
      <c r="AK76" s="693"/>
      <c r="AL76" s="693"/>
      <c r="AM76" s="693"/>
      <c r="AN76" s="693"/>
      <c r="AO76" s="693"/>
      <c r="AP76" s="693"/>
      <c r="AQ76" s="693"/>
      <c r="AR76" s="693"/>
      <c r="AS76" s="693"/>
      <c r="AT76" s="693"/>
      <c r="AU76" s="693"/>
    </row>
    <row r="77" spans="1:47" s="593" customFormat="1" ht="15" customHeight="1">
      <c r="A77" s="653"/>
      <c r="I77" s="724"/>
      <c r="K77" s="1523"/>
      <c r="L77" s="1523"/>
      <c r="M77" s="1523"/>
      <c r="N77" s="1523"/>
      <c r="O77" s="1523"/>
      <c r="P77" s="1523"/>
      <c r="Q77" s="1523"/>
      <c r="R77" s="1523"/>
      <c r="S77" s="1523"/>
      <c r="T77" s="1523"/>
      <c r="U77" s="1523"/>
      <c r="V77" s="1523"/>
      <c r="W77" s="1523"/>
      <c r="X77" s="1523"/>
      <c r="Y77" s="693"/>
      <c r="Z77" s="693"/>
      <c r="AA77" s="693"/>
      <c r="AB77" s="693"/>
      <c r="AC77" s="693"/>
      <c r="AD77" s="693"/>
      <c r="AE77" s="693"/>
      <c r="AF77" s="693"/>
      <c r="AG77" s="693"/>
      <c r="AH77" s="693"/>
      <c r="AI77" s="693"/>
      <c r="AJ77" s="693"/>
      <c r="AK77" s="693"/>
      <c r="AL77" s="693"/>
      <c r="AM77" s="693"/>
      <c r="AN77" s="693"/>
      <c r="AO77" s="693"/>
      <c r="AP77" s="693"/>
      <c r="AQ77" s="693"/>
      <c r="AR77" s="693"/>
      <c r="AS77" s="693"/>
      <c r="AT77" s="693"/>
      <c r="AU77" s="693"/>
    </row>
    <row r="78" spans="1:47" s="593" customFormat="1">
      <c r="A78" s="653"/>
      <c r="H78" s="724"/>
      <c r="K78" s="1523"/>
      <c r="L78" s="1523"/>
      <c r="M78" s="1523"/>
      <c r="N78" s="1523"/>
      <c r="O78" s="1523"/>
      <c r="P78" s="1523"/>
      <c r="Q78" s="1523"/>
      <c r="R78" s="1523"/>
      <c r="S78" s="1523"/>
      <c r="T78" s="1523"/>
      <c r="U78" s="1523"/>
      <c r="V78" s="1523"/>
      <c r="W78" s="1523"/>
      <c r="X78" s="1523"/>
      <c r="Y78" s="693"/>
      <c r="Z78" s="693"/>
      <c r="AA78" s="693"/>
      <c r="AB78" s="693"/>
      <c r="AC78" s="693"/>
      <c r="AD78" s="693"/>
      <c r="AE78" s="693"/>
      <c r="AF78" s="693"/>
      <c r="AG78" s="693"/>
      <c r="AH78" s="693"/>
      <c r="AI78" s="693"/>
      <c r="AJ78" s="693"/>
      <c r="AK78" s="693"/>
      <c r="AL78" s="693"/>
      <c r="AM78" s="693"/>
      <c r="AN78" s="693"/>
      <c r="AO78" s="693"/>
      <c r="AP78" s="693"/>
      <c r="AQ78" s="693"/>
      <c r="AR78" s="693"/>
      <c r="AS78" s="693"/>
      <c r="AT78" s="693"/>
      <c r="AU78" s="693"/>
    </row>
    <row r="79" spans="1:47" s="846" customFormat="1"/>
    <row r="80" spans="1:47" s="846" customFormat="1"/>
    <row r="81" s="846" customFormat="1"/>
    <row r="82" s="846" customFormat="1"/>
    <row r="83" s="846" customFormat="1"/>
    <row r="84" s="846" customFormat="1"/>
    <row r="85" s="846" customFormat="1"/>
    <row r="86" s="846" customFormat="1"/>
    <row r="87" s="846" customFormat="1"/>
    <row r="88" s="846" customFormat="1"/>
    <row r="89" s="846" customFormat="1"/>
    <row r="90" s="846" customFormat="1"/>
    <row r="91" s="846" customFormat="1"/>
    <row r="92" s="846" customFormat="1"/>
    <row r="93" s="846" customFormat="1"/>
    <row r="94" s="846" customFormat="1"/>
    <row r="95" s="846" customFormat="1"/>
    <row r="96" s="846" customFormat="1"/>
    <row r="97" s="846" customFormat="1"/>
    <row r="98" s="846" customFormat="1"/>
    <row r="99" s="846" customFormat="1"/>
    <row r="100" s="846" customFormat="1"/>
    <row r="101" s="846" customFormat="1"/>
    <row r="102" s="846" customFormat="1"/>
    <row r="103" s="846" customFormat="1"/>
    <row r="104" s="846" customFormat="1"/>
    <row r="105" s="846" customFormat="1"/>
    <row r="106" s="846" customFormat="1"/>
    <row r="107" s="846" customFormat="1"/>
    <row r="108" s="846" customFormat="1"/>
    <row r="109" s="846" customFormat="1"/>
    <row r="110" s="846" customFormat="1"/>
    <row r="111" s="846" customFormat="1"/>
    <row r="112" s="846" customFormat="1"/>
    <row r="113" s="846" customFormat="1"/>
    <row r="114" s="846" customFormat="1"/>
    <row r="115" s="846" customFormat="1"/>
    <row r="116" s="846" customFormat="1"/>
    <row r="117" s="846" customFormat="1"/>
    <row r="118" s="846" customFormat="1"/>
    <row r="119" s="846" customFormat="1"/>
    <row r="120" s="846" customFormat="1"/>
    <row r="121" s="846" customFormat="1"/>
    <row r="122" s="846" customFormat="1"/>
    <row r="123" s="846" customFormat="1"/>
    <row r="124" s="846" customFormat="1"/>
    <row r="125" s="846" customFormat="1"/>
    <row r="126" s="846" customFormat="1"/>
    <row r="127" s="846" customFormat="1"/>
    <row r="128" s="846" customFormat="1"/>
    <row r="129" s="846" customFormat="1"/>
    <row r="130" s="846" customFormat="1"/>
    <row r="131" s="846" customFormat="1"/>
    <row r="132" s="846" customFormat="1"/>
    <row r="133" s="846" customFormat="1"/>
    <row r="134" s="846" customFormat="1"/>
    <row r="135" s="846" customFormat="1"/>
    <row r="136" s="846" customFormat="1"/>
    <row r="137" s="846" customFormat="1"/>
    <row r="138" s="846" customFormat="1"/>
    <row r="139" s="846" customFormat="1"/>
    <row r="140" s="846" customFormat="1"/>
    <row r="141" s="846" customFormat="1"/>
    <row r="142" s="846" customFormat="1"/>
    <row r="143" s="846" customFormat="1"/>
    <row r="144" s="846" customFormat="1"/>
    <row r="145" s="846" customFormat="1"/>
    <row r="146" s="846" customFormat="1"/>
    <row r="147" s="846" customFormat="1"/>
    <row r="148" s="846" customFormat="1"/>
    <row r="149" s="846" customFormat="1"/>
    <row r="150" s="846" customFormat="1"/>
    <row r="151" s="846" customFormat="1"/>
    <row r="152" s="846" customFormat="1"/>
    <row r="153" s="846" customFormat="1"/>
    <row r="154" s="846" customFormat="1"/>
    <row r="155" s="846" customFormat="1"/>
    <row r="156" s="846" customFormat="1"/>
    <row r="157" s="846" customFormat="1"/>
    <row r="158" s="846" customFormat="1"/>
    <row r="159" s="846" customFormat="1"/>
    <row r="160" s="846" customFormat="1"/>
    <row r="161" s="846" customFormat="1"/>
    <row r="162" s="846" customFormat="1"/>
    <row r="163" s="846" customFormat="1"/>
    <row r="164" s="846" customFormat="1"/>
    <row r="165" s="846" customFormat="1"/>
    <row r="166" s="846" customFormat="1"/>
    <row r="167" s="846" customFormat="1"/>
    <row r="168" s="846" customFormat="1"/>
    <row r="169" s="846" customFormat="1"/>
    <row r="170" s="846" customFormat="1"/>
    <row r="171" s="846" customFormat="1"/>
    <row r="172" s="846" customFormat="1"/>
    <row r="173" s="846" customFormat="1"/>
    <row r="174" s="846" customFormat="1"/>
    <row r="175" s="846" customFormat="1"/>
    <row r="176" s="846" customFormat="1"/>
    <row r="177" s="846" customFormat="1"/>
    <row r="178" s="846" customFormat="1"/>
    <row r="179" s="846" customFormat="1"/>
    <row r="180" s="846" customFormat="1"/>
    <row r="181" s="846" customFormat="1"/>
    <row r="182" s="846" customFormat="1"/>
    <row r="183" s="846" customFormat="1"/>
    <row r="184" s="846" customFormat="1"/>
    <row r="185" s="846" customFormat="1"/>
    <row r="186" s="846" customFormat="1"/>
    <row r="187" s="846" customFormat="1"/>
    <row r="188" s="846" customFormat="1"/>
    <row r="189" s="846" customFormat="1"/>
    <row r="190" s="846" customFormat="1"/>
    <row r="191" s="846" customFormat="1"/>
    <row r="192" s="846" customFormat="1"/>
    <row r="193" s="846" customFormat="1"/>
    <row r="194" s="846" customFormat="1"/>
    <row r="195" s="846" customFormat="1"/>
    <row r="196" s="846" customFormat="1"/>
    <row r="197" s="846" customFormat="1"/>
    <row r="198" s="846" customFormat="1"/>
    <row r="199" s="846" customFormat="1"/>
    <row r="200" s="846" customFormat="1"/>
    <row r="201" s="846" customFormat="1"/>
    <row r="202" s="846" customFormat="1"/>
    <row r="203" s="846" customFormat="1"/>
    <row r="204" s="846" customFormat="1"/>
    <row r="205" s="846" customFormat="1"/>
    <row r="206" s="846" customFormat="1"/>
    <row r="207" s="846" customFormat="1"/>
    <row r="208" s="846" customFormat="1"/>
    <row r="209" s="846" customFormat="1"/>
    <row r="210" s="846" customFormat="1"/>
    <row r="211" s="846" customFormat="1"/>
    <row r="212" s="846" customFormat="1"/>
    <row r="213" s="846" customFormat="1"/>
    <row r="214" s="846" customFormat="1"/>
    <row r="215" s="846" customFormat="1"/>
    <row r="216" s="846" customFormat="1"/>
    <row r="217" s="846" customFormat="1"/>
    <row r="218" s="846" customFormat="1"/>
    <row r="219" s="846" customFormat="1"/>
    <row r="220" s="846" customFormat="1"/>
    <row r="221" s="846" customFormat="1"/>
    <row r="222" s="846" customFormat="1"/>
    <row r="223" s="846" customFormat="1"/>
    <row r="224" s="846" customFormat="1"/>
    <row r="225" s="846" customFormat="1"/>
    <row r="226" s="846" customFormat="1"/>
    <row r="227" s="846" customFormat="1"/>
    <row r="228" s="846" customFormat="1"/>
    <row r="229" s="846" customFormat="1"/>
    <row r="230" s="846" customFormat="1"/>
    <row r="231" s="846" customFormat="1"/>
    <row r="232" s="846" customFormat="1"/>
    <row r="233" s="846" customFormat="1"/>
    <row r="234" s="846" customFormat="1"/>
    <row r="235" s="846" customFormat="1"/>
    <row r="236" s="846" customFormat="1"/>
    <row r="237" s="846" customFormat="1"/>
    <row r="238" s="846" customFormat="1"/>
    <row r="239" s="846" customFormat="1"/>
    <row r="240" s="846" customFormat="1"/>
    <row r="241" s="846" customFormat="1"/>
    <row r="242" s="846" customFormat="1"/>
    <row r="243" s="846" customFormat="1"/>
    <row r="244" s="846" customFormat="1"/>
    <row r="245" s="846" customFormat="1"/>
    <row r="246" s="846" customFormat="1"/>
    <row r="247" s="846" customFormat="1"/>
    <row r="248" s="846" customFormat="1"/>
    <row r="249" s="846" customFormat="1"/>
    <row r="250" s="846" customFormat="1"/>
    <row r="251" s="846" customFormat="1"/>
    <row r="252" s="846" customFormat="1"/>
    <row r="253" s="846" customFormat="1"/>
    <row r="254" s="846" customFormat="1"/>
    <row r="255" s="846" customFormat="1"/>
    <row r="256" s="846" customFormat="1"/>
    <row r="257" s="846" customFormat="1"/>
    <row r="258" s="846" customFormat="1"/>
    <row r="259" s="846" customFormat="1"/>
    <row r="260" s="846" customFormat="1"/>
    <row r="261" s="846" customFormat="1"/>
    <row r="262" s="846" customFormat="1"/>
    <row r="263" s="846" customFormat="1"/>
    <row r="264" s="846" customFormat="1"/>
    <row r="265" s="846" customFormat="1"/>
    <row r="266" s="846" customFormat="1"/>
    <row r="267" s="846" customFormat="1"/>
    <row r="268" s="846" customFormat="1"/>
    <row r="269" s="846" customFormat="1"/>
    <row r="270" s="846" customFormat="1"/>
    <row r="271" s="846" customFormat="1"/>
    <row r="272" s="846" customFormat="1"/>
    <row r="273" s="846" customFormat="1"/>
    <row r="274" s="846" customFormat="1"/>
    <row r="275" s="846" customFormat="1"/>
    <row r="276" s="846" customFormat="1"/>
    <row r="277" s="846" customFormat="1"/>
    <row r="278" s="846" customFormat="1"/>
    <row r="279" s="846" customFormat="1"/>
    <row r="280" s="846" customFormat="1"/>
    <row r="281" s="846" customFormat="1"/>
    <row r="282" s="846" customFormat="1"/>
    <row r="283" s="846" customFormat="1"/>
    <row r="284" s="846" customFormat="1"/>
    <row r="285" s="846" customFormat="1"/>
    <row r="286" s="846" customFormat="1"/>
    <row r="287" s="846" customFormat="1"/>
    <row r="288" s="846" customFormat="1"/>
    <row r="289" s="846" customFormat="1"/>
    <row r="290" s="846" customFormat="1"/>
    <row r="291" s="846" customFormat="1"/>
    <row r="292" s="846" customFormat="1"/>
    <row r="293" s="846" customFormat="1"/>
    <row r="294" s="846" customFormat="1"/>
    <row r="295" s="846" customFormat="1"/>
    <row r="296" s="846" customFormat="1"/>
    <row r="297" s="846" customFormat="1"/>
    <row r="298" s="846" customFormat="1"/>
    <row r="299" s="846" customFormat="1"/>
    <row r="300" s="846" customFormat="1"/>
    <row r="301" s="846" customFormat="1"/>
    <row r="302" s="846" customFormat="1"/>
    <row r="303" s="846" customFormat="1"/>
    <row r="304" s="846" customFormat="1"/>
    <row r="305" s="846" customFormat="1"/>
    <row r="306" s="846" customFormat="1"/>
    <row r="307" s="846" customFormat="1"/>
    <row r="308" s="846" customFormat="1"/>
    <row r="309" s="846" customFormat="1"/>
    <row r="310" s="846" customFormat="1"/>
    <row r="311" s="846" customFormat="1"/>
    <row r="312" s="846" customFormat="1"/>
    <row r="313" s="846" customFormat="1"/>
    <row r="314" s="846" customFormat="1"/>
    <row r="315" s="846" customFormat="1"/>
    <row r="316" s="846" customFormat="1"/>
    <row r="317" s="846" customFormat="1"/>
    <row r="318" s="846" customFormat="1"/>
    <row r="319" s="846" customFormat="1"/>
    <row r="320" s="846" customFormat="1"/>
    <row r="321" s="846" customFormat="1"/>
    <row r="322" s="846" customFormat="1"/>
    <row r="323" s="846" customFormat="1"/>
    <row r="324" s="846" customFormat="1"/>
    <row r="325" s="846" customFormat="1"/>
    <row r="326" s="846" customFormat="1"/>
    <row r="327" s="846" customFormat="1"/>
    <row r="328" s="846" customFormat="1"/>
    <row r="329" s="846" customFormat="1"/>
    <row r="330" s="846" customFormat="1"/>
    <row r="331" s="846" customFormat="1"/>
    <row r="332" s="846" customFormat="1"/>
    <row r="333" s="846" customFormat="1"/>
    <row r="334" s="846" customFormat="1"/>
    <row r="335" s="846" customFormat="1"/>
    <row r="336" s="846" customFormat="1"/>
    <row r="337" s="846" customFormat="1"/>
    <row r="338" s="846" customFormat="1"/>
    <row r="339" s="846" customFormat="1"/>
    <row r="340" s="846" customFormat="1"/>
    <row r="341" s="846" customFormat="1"/>
    <row r="342" s="846" customFormat="1"/>
    <row r="343" s="846" customFormat="1"/>
    <row r="344" s="846" customFormat="1"/>
    <row r="345" s="846" customFormat="1"/>
    <row r="346" s="846" customFormat="1"/>
    <row r="347" s="846" customFormat="1"/>
    <row r="348" s="846" customFormat="1"/>
    <row r="349" s="846" customFormat="1"/>
    <row r="350" s="846" customFormat="1"/>
    <row r="351" s="846" customFormat="1"/>
    <row r="352" s="846" customFormat="1"/>
    <row r="353" s="846" customFormat="1"/>
    <row r="354" s="846" customFormat="1"/>
    <row r="355" s="846" customFormat="1"/>
    <row r="356" s="846" customFormat="1"/>
    <row r="357" s="846" customFormat="1"/>
    <row r="358" s="846" customFormat="1"/>
    <row r="359" s="846" customFormat="1"/>
    <row r="360" s="846" customFormat="1"/>
    <row r="361" s="846" customFormat="1"/>
    <row r="362" s="846" customFormat="1"/>
    <row r="363" s="846" customFormat="1"/>
    <row r="364" s="846" customFormat="1"/>
    <row r="365" s="846" customFormat="1"/>
    <row r="366" s="846" customFormat="1"/>
    <row r="367" s="846" customFormat="1"/>
    <row r="368" s="846" customFormat="1"/>
    <row r="369" s="846" customFormat="1"/>
    <row r="370" s="846" customFormat="1"/>
    <row r="371" s="846" customFormat="1"/>
    <row r="372" s="846" customFormat="1"/>
    <row r="373" s="846" customFormat="1"/>
    <row r="374" s="846" customFormat="1"/>
    <row r="375" s="846" customFormat="1"/>
    <row r="376" s="846" customFormat="1"/>
    <row r="377" s="846" customFormat="1"/>
    <row r="378" s="846" customFormat="1"/>
    <row r="379" s="846" customFormat="1"/>
    <row r="380" s="846" customFormat="1"/>
    <row r="381" s="846" customFormat="1"/>
    <row r="382" s="846" customFormat="1"/>
    <row r="383" s="846" customFormat="1"/>
    <row r="384" s="846" customFormat="1"/>
    <row r="385" s="846" customFormat="1"/>
    <row r="386" s="846" customFormat="1"/>
    <row r="387" s="846" customFormat="1"/>
    <row r="388" s="846" customFormat="1"/>
    <row r="389" s="846" customFormat="1"/>
    <row r="390" s="846" customFormat="1"/>
    <row r="391" s="846" customFormat="1"/>
    <row r="392" s="846" customFormat="1"/>
    <row r="393" s="846" customFormat="1"/>
    <row r="394" s="846" customFormat="1"/>
    <row r="395" s="846" customFormat="1"/>
    <row r="396" s="846" customFormat="1"/>
    <row r="397" s="846" customFormat="1"/>
    <row r="398" s="846" customFormat="1"/>
    <row r="399" s="846" customFormat="1"/>
    <row r="400" s="846" customFormat="1"/>
    <row r="401" s="846" customFormat="1"/>
    <row r="402" s="846" customFormat="1"/>
    <row r="403" s="846" customFormat="1"/>
    <row r="404" s="846" customFormat="1"/>
    <row r="405" s="846" customFormat="1"/>
    <row r="406" s="846" customFormat="1"/>
    <row r="407" s="846" customFormat="1"/>
    <row r="408" s="846" customFormat="1"/>
    <row r="409" s="846" customFormat="1"/>
    <row r="410" s="846" customFormat="1"/>
    <row r="411" s="846" customFormat="1"/>
    <row r="412" s="846" customFormat="1"/>
    <row r="413" s="846" customFormat="1"/>
    <row r="414" s="846" customFormat="1"/>
    <row r="415" s="846" customFormat="1"/>
    <row r="416" s="846" customFormat="1"/>
    <row r="417" s="846" customFormat="1"/>
    <row r="418" s="846" customFormat="1"/>
    <row r="419" s="846" customFormat="1"/>
    <row r="420" s="846" customFormat="1"/>
    <row r="421" s="846" customFormat="1"/>
    <row r="422" s="846" customFormat="1"/>
    <row r="423" s="846" customFormat="1"/>
    <row r="424" s="846" customFormat="1"/>
    <row r="425" s="846" customFormat="1"/>
    <row r="426" s="846" customFormat="1"/>
    <row r="427" s="846" customFormat="1"/>
    <row r="428" s="846" customFormat="1"/>
    <row r="429" s="846" customFormat="1"/>
    <row r="430" s="846" customFormat="1"/>
    <row r="431" s="846" customFormat="1"/>
    <row r="432" s="846" customFormat="1"/>
    <row r="433" s="846" customFormat="1"/>
    <row r="434" s="846" customFormat="1"/>
    <row r="435" s="846" customFormat="1"/>
    <row r="436" s="846" customFormat="1"/>
  </sheetData>
  <mergeCells count="91">
    <mergeCell ref="D70:D71"/>
    <mergeCell ref="C72:C73"/>
    <mergeCell ref="B41:B44"/>
    <mergeCell ref="C41:C42"/>
    <mergeCell ref="D41:D42"/>
    <mergeCell ref="D72:D73"/>
    <mergeCell ref="C43:C44"/>
    <mergeCell ref="D43:D44"/>
    <mergeCell ref="B66:B73"/>
    <mergeCell ref="C66:C67"/>
    <mergeCell ref="D66:D67"/>
    <mergeCell ref="C68:C69"/>
    <mergeCell ref="D68:D69"/>
    <mergeCell ref="C70:C71"/>
    <mergeCell ref="B58:B61"/>
    <mergeCell ref="C58:C59"/>
    <mergeCell ref="D58:D59"/>
    <mergeCell ref="C60:C61"/>
    <mergeCell ref="D60:D61"/>
    <mergeCell ref="B29:B32"/>
    <mergeCell ref="C29:C30"/>
    <mergeCell ref="D29:D30"/>
    <mergeCell ref="C31:C32"/>
    <mergeCell ref="D31:D32"/>
    <mergeCell ref="B46:C46"/>
    <mergeCell ref="B47:C47"/>
    <mergeCell ref="B48:C48"/>
    <mergeCell ref="B56:B57"/>
    <mergeCell ref="B52:L53"/>
    <mergeCell ref="L31:L32"/>
    <mergeCell ref="B9:B20"/>
    <mergeCell ref="C9:C10"/>
    <mergeCell ref="D9:D10"/>
    <mergeCell ref="C11:C12"/>
    <mergeCell ref="D11:D12"/>
    <mergeCell ref="D17:D18"/>
    <mergeCell ref="C15:C16"/>
    <mergeCell ref="C17:C18"/>
    <mergeCell ref="C19:C20"/>
    <mergeCell ref="D19:D20"/>
    <mergeCell ref="D13:D14"/>
    <mergeCell ref="C13:C14"/>
    <mergeCell ref="D15:D16"/>
    <mergeCell ref="B3:L3"/>
    <mergeCell ref="B4:L4"/>
    <mergeCell ref="B7:B8"/>
    <mergeCell ref="C7:C8"/>
    <mergeCell ref="D7:D8"/>
    <mergeCell ref="E7:H7"/>
    <mergeCell ref="I7:I8"/>
    <mergeCell ref="J7:J8"/>
    <mergeCell ref="K7:K8"/>
    <mergeCell ref="L7:L8"/>
    <mergeCell ref="B23:C23"/>
    <mergeCell ref="B24:C24"/>
    <mergeCell ref="B22:C22"/>
    <mergeCell ref="B34:C34"/>
    <mergeCell ref="B27:B28"/>
    <mergeCell ref="C27:C28"/>
    <mergeCell ref="I27:I28"/>
    <mergeCell ref="J27:J28"/>
    <mergeCell ref="K27:K28"/>
    <mergeCell ref="L27:L28"/>
    <mergeCell ref="B39:B40"/>
    <mergeCell ref="C39:C40"/>
    <mergeCell ref="D39:D40"/>
    <mergeCell ref="E39:H39"/>
    <mergeCell ref="I39:I40"/>
    <mergeCell ref="J39:J40"/>
    <mergeCell ref="K39:K40"/>
    <mergeCell ref="L39:L40"/>
    <mergeCell ref="B35:C35"/>
    <mergeCell ref="B36:C36"/>
    <mergeCell ref="D27:D28"/>
    <mergeCell ref="E27:H27"/>
    <mergeCell ref="L72:L73"/>
    <mergeCell ref="K56:K57"/>
    <mergeCell ref="L56:L57"/>
    <mergeCell ref="B64:B65"/>
    <mergeCell ref="C64:C65"/>
    <mergeCell ref="D64:D65"/>
    <mergeCell ref="E64:H64"/>
    <mergeCell ref="I64:I65"/>
    <mergeCell ref="J64:J65"/>
    <mergeCell ref="K64:K65"/>
    <mergeCell ref="L64:L65"/>
    <mergeCell ref="C56:C57"/>
    <mergeCell ref="D56:D57"/>
    <mergeCell ref="E56:H56"/>
    <mergeCell ref="I56:I57"/>
    <mergeCell ref="J56:J57"/>
  </mergeCells>
  <conditionalFormatting sqref="K9:K26 K41:K51 K66:K73 K58:K63 K29:K38">
    <cfRule type="dataBar" priority="14">
      <dataBar>
        <cfvo type="min" val="0"/>
        <cfvo type="max" val="0"/>
        <color rgb="FFFFB628"/>
      </dataBar>
    </cfRule>
  </conditionalFormatting>
  <conditionalFormatting sqref="K74">
    <cfRule type="dataBar" priority="1">
      <dataBar>
        <cfvo type="min" val="0"/>
        <cfvo type="max" val="0"/>
        <color rgb="FFFFB628"/>
      </dataBar>
    </cfRule>
  </conditionalFormatting>
  <pageMargins left="0.70866141732283472" right="0.70866141732283472" top="0.49" bottom="0.32" header="0.31496062992125984" footer="0.31496062992125984"/>
  <pageSetup paperSize="122" scale="8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>
    <tabColor rgb="FF00B0F0"/>
  </sheetPr>
  <dimension ref="A1:FY904"/>
  <sheetViews>
    <sheetView zoomScale="84" zoomScaleNormal="84" workbookViewId="0">
      <selection activeCell="C3" sqref="C3:L3"/>
    </sheetView>
  </sheetViews>
  <sheetFormatPr baseColWidth="10" defaultColWidth="11.42578125" defaultRowHeight="15"/>
  <cols>
    <col min="1" max="1" width="7.85546875" style="647" customWidth="1"/>
    <col min="2" max="2" width="10.85546875" style="647" customWidth="1"/>
    <col min="3" max="3" width="17.7109375" style="285" customWidth="1"/>
    <col min="4" max="4" width="15" style="285" customWidth="1"/>
    <col min="5" max="5" width="15.7109375" style="285" customWidth="1"/>
    <col min="6" max="6" width="12.7109375" style="285" customWidth="1"/>
    <col min="7" max="7" width="18" style="285" customWidth="1"/>
    <col min="8" max="8" width="12.28515625" style="285" customWidth="1"/>
    <col min="9" max="9" width="14.7109375" style="285" customWidth="1"/>
    <col min="10" max="10" width="10" style="285" customWidth="1"/>
    <col min="11" max="11" width="13.85546875" style="285" customWidth="1"/>
    <col min="12" max="12" width="6.85546875" style="285" customWidth="1"/>
    <col min="13" max="13" width="7.5703125" style="647" customWidth="1"/>
    <col min="14" max="14" width="10.140625" style="647" customWidth="1"/>
    <col min="15" max="15" width="12.85546875" style="647" customWidth="1"/>
    <col min="16" max="181" width="11.42578125" style="647"/>
    <col min="182" max="16384" width="11.42578125" style="285"/>
  </cols>
  <sheetData>
    <row r="1" spans="3:17" s="647" customFormat="1" ht="15.75" thickBot="1"/>
    <row r="2" spans="3:17" ht="32.450000000000003" customHeight="1">
      <c r="C2" s="2873" t="s">
        <v>440</v>
      </c>
      <c r="D2" s="2874"/>
      <c r="E2" s="2874"/>
      <c r="F2" s="2874"/>
      <c r="G2" s="2874"/>
      <c r="H2" s="2874"/>
      <c r="I2" s="2874"/>
      <c r="J2" s="2874"/>
      <c r="K2" s="2874"/>
      <c r="L2" s="2875"/>
    </row>
    <row r="3" spans="3:17" ht="27.95" customHeight="1" thickBot="1">
      <c r="C3" s="2988" t="s">
        <v>760</v>
      </c>
      <c r="D3" s="2989"/>
      <c r="E3" s="2989"/>
      <c r="F3" s="2989"/>
      <c r="G3" s="2989"/>
      <c r="H3" s="2989"/>
      <c r="I3" s="2989"/>
      <c r="J3" s="2989"/>
      <c r="K3" s="2989"/>
      <c r="L3" s="2990"/>
    </row>
    <row r="4" spans="3:17" s="647" customFormat="1" ht="21" customHeight="1">
      <c r="C4" s="253"/>
      <c r="D4" s="253"/>
      <c r="E4" s="253"/>
      <c r="F4" s="253"/>
      <c r="G4" s="253"/>
      <c r="H4" s="253"/>
      <c r="I4" s="253"/>
      <c r="J4" s="253"/>
      <c r="K4" s="253"/>
      <c r="L4" s="253"/>
    </row>
    <row r="5" spans="3:17" ht="15.75" thickBot="1">
      <c r="C5" s="647"/>
      <c r="D5" s="647"/>
      <c r="E5" s="647"/>
      <c r="F5" s="647"/>
      <c r="G5" s="647"/>
      <c r="H5" s="647"/>
      <c r="I5" s="647"/>
      <c r="J5" s="647"/>
      <c r="K5" s="647"/>
      <c r="L5" s="647"/>
    </row>
    <row r="6" spans="3:17" ht="46.5" customHeight="1" thickBot="1">
      <c r="C6" s="2991" t="s">
        <v>570</v>
      </c>
      <c r="D6" s="2992"/>
      <c r="E6" s="2992"/>
      <c r="F6" s="2992"/>
      <c r="G6" s="2992"/>
      <c r="H6" s="2992"/>
      <c r="I6" s="2992"/>
      <c r="J6" s="2992"/>
      <c r="K6" s="2992"/>
      <c r="L6" s="2993"/>
    </row>
    <row r="7" spans="3:17" s="647" customFormat="1" ht="21.75" customHeight="1" thickBot="1">
      <c r="C7" s="252"/>
      <c r="D7" s="199"/>
      <c r="E7" s="199"/>
      <c r="F7" s="199"/>
      <c r="G7" s="199"/>
      <c r="H7" s="199"/>
      <c r="I7" s="199"/>
      <c r="J7" s="199"/>
      <c r="K7" s="199"/>
    </row>
    <row r="8" spans="3:17" ht="20.25" customHeight="1" thickBot="1">
      <c r="C8" s="264" t="s">
        <v>75</v>
      </c>
      <c r="D8" s="647"/>
      <c r="E8" s="647"/>
      <c r="F8" s="647"/>
      <c r="G8" s="647"/>
      <c r="H8" s="647"/>
      <c r="I8" s="647"/>
      <c r="J8" s="647"/>
      <c r="K8" s="647"/>
      <c r="L8" s="647"/>
    </row>
    <row r="9" spans="3:17" ht="30">
      <c r="C9" s="838" t="s">
        <v>263</v>
      </c>
      <c r="D9" s="837" t="s">
        <v>376</v>
      </c>
      <c r="E9" s="284" t="s">
        <v>2</v>
      </c>
      <c r="F9" s="284" t="s">
        <v>3</v>
      </c>
      <c r="G9" s="344" t="s">
        <v>143</v>
      </c>
      <c r="H9" s="200"/>
      <c r="I9" s="200"/>
      <c r="J9" s="200"/>
    </row>
    <row r="10" spans="3:17">
      <c r="C10" s="308" t="s">
        <v>365</v>
      </c>
      <c r="D10" s="307">
        <v>1880</v>
      </c>
      <c r="E10" s="297">
        <f>+E11+E12+E13</f>
        <v>1819.2250000000001</v>
      </c>
      <c r="F10" s="293">
        <f t="shared" ref="F10:F12" si="0">+D10-E10</f>
        <v>60.774999999999864</v>
      </c>
      <c r="G10" s="296">
        <f>+E10/D10</f>
        <v>0.96767287234042565</v>
      </c>
      <c r="H10" s="647"/>
      <c r="I10" s="647"/>
      <c r="J10" s="647"/>
      <c r="K10" s="647"/>
      <c r="L10" s="647"/>
    </row>
    <row r="11" spans="3:17">
      <c r="C11" s="294" t="s">
        <v>366</v>
      </c>
      <c r="D11" s="307">
        <v>37</v>
      </c>
      <c r="E11" s="553">
        <f>+'Pesca de Investigación'!I25+'Pesca de Investigación'!I35+'Pesca de Investigación'!I45</f>
        <v>33.661999999999999</v>
      </c>
      <c r="F11" s="293">
        <f t="shared" si="0"/>
        <v>3.338000000000001</v>
      </c>
      <c r="G11" s="296">
        <f t="shared" ref="G11:G12" si="1">+E11/D11</f>
        <v>0.90978378378378377</v>
      </c>
      <c r="H11" s="647"/>
      <c r="I11" s="647"/>
      <c r="J11" s="391"/>
      <c r="K11" s="647"/>
      <c r="L11" s="647"/>
    </row>
    <row r="12" spans="3:17">
      <c r="C12" s="294" t="s">
        <v>367</v>
      </c>
      <c r="D12" s="307">
        <v>13</v>
      </c>
      <c r="E12" s="287">
        <v>0.19</v>
      </c>
      <c r="F12" s="293">
        <f t="shared" si="0"/>
        <v>12.81</v>
      </c>
      <c r="G12" s="296">
        <f t="shared" si="1"/>
        <v>1.4615384615384615E-2</v>
      </c>
      <c r="H12" s="647"/>
      <c r="I12" s="647"/>
      <c r="J12" s="1195"/>
      <c r="K12" s="647"/>
      <c r="L12" s="647"/>
    </row>
    <row r="13" spans="3:17">
      <c r="C13" s="294" t="s">
        <v>377</v>
      </c>
      <c r="D13" s="307">
        <f>D10-(D11+D12)</f>
        <v>1830</v>
      </c>
      <c r="E13" s="295">
        <f>+I39</f>
        <v>1785.373</v>
      </c>
      <c r="F13" s="293">
        <f>+D13-E13</f>
        <v>44.626999999999953</v>
      </c>
      <c r="G13" s="296">
        <f>+E13/D13</f>
        <v>0.97561366120218584</v>
      </c>
      <c r="H13" s="647"/>
      <c r="I13" s="647"/>
      <c r="J13" s="1195"/>
      <c r="K13" s="647"/>
      <c r="L13" s="647"/>
    </row>
    <row r="14" spans="3:17" s="391" customFormat="1" ht="15.75" thickBot="1">
      <c r="C14" s="203"/>
      <c r="D14" s="202"/>
      <c r="E14" s="9"/>
      <c r="F14" s="9"/>
    </row>
    <row r="15" spans="3:17" ht="14.45" customHeight="1">
      <c r="C15" s="2963" t="s">
        <v>68</v>
      </c>
      <c r="D15" s="2981" t="s">
        <v>69</v>
      </c>
      <c r="E15" s="2981" t="s">
        <v>70</v>
      </c>
      <c r="F15" s="2984" t="s">
        <v>71</v>
      </c>
      <c r="G15" s="2985"/>
      <c r="H15" s="2981" t="s">
        <v>72</v>
      </c>
      <c r="I15" s="2975" t="s">
        <v>5</v>
      </c>
      <c r="J15" s="2976"/>
      <c r="K15" s="2977"/>
      <c r="L15" s="391"/>
      <c r="M15" s="391"/>
      <c r="N15" s="391"/>
      <c r="O15" s="285"/>
      <c r="P15" s="285"/>
      <c r="Q15" s="285"/>
    </row>
    <row r="16" spans="3:17" ht="29.45" customHeight="1" thickBot="1">
      <c r="C16" s="2994"/>
      <c r="D16" s="2995"/>
      <c r="E16" s="2995"/>
      <c r="F16" s="286" t="s">
        <v>73</v>
      </c>
      <c r="G16" s="286" t="s">
        <v>74</v>
      </c>
      <c r="H16" s="2960"/>
      <c r="I16" s="286" t="s">
        <v>2</v>
      </c>
      <c r="J16" s="286" t="s">
        <v>3</v>
      </c>
      <c r="K16" s="286" t="s">
        <v>441</v>
      </c>
      <c r="L16" s="647"/>
      <c r="N16" s="391"/>
    </row>
    <row r="17" spans="3:14" ht="15" customHeight="1">
      <c r="C17" s="2001" t="s">
        <v>166</v>
      </c>
      <c r="D17" s="2002">
        <v>37.590000000000003</v>
      </c>
      <c r="E17" s="1302">
        <v>687.89700000000005</v>
      </c>
      <c r="F17" s="1746">
        <v>335.19896200000005</v>
      </c>
      <c r="G17" s="1746">
        <v>472.30959999999999</v>
      </c>
      <c r="H17" s="1302">
        <v>550.78636200000005</v>
      </c>
      <c r="I17" s="1746">
        <v>550.58600000000001</v>
      </c>
      <c r="J17" s="1303">
        <v>0.20036200000004101</v>
      </c>
      <c r="K17" s="1297">
        <v>0.99963622556071918</v>
      </c>
      <c r="L17" s="647"/>
      <c r="N17" s="391"/>
    </row>
    <row r="18" spans="3:14" ht="15" customHeight="1">
      <c r="C18" s="1295" t="s">
        <v>167</v>
      </c>
      <c r="D18" s="2003">
        <v>18.39038</v>
      </c>
      <c r="E18" s="1747">
        <v>336.54395399999999</v>
      </c>
      <c r="F18" s="2004">
        <v>0</v>
      </c>
      <c r="G18" s="2004">
        <v>336.26814466660005</v>
      </c>
      <c r="H18" s="1747">
        <v>0.27580933339993408</v>
      </c>
      <c r="I18" s="2004">
        <v>0</v>
      </c>
      <c r="J18" s="1747">
        <v>0.27580933339993408</v>
      </c>
      <c r="K18" s="1298">
        <v>0</v>
      </c>
      <c r="L18" s="647"/>
    </row>
    <row r="19" spans="3:14" ht="15" customHeight="1">
      <c r="C19" s="1295" t="s">
        <v>168</v>
      </c>
      <c r="D19" s="2003">
        <v>0.5</v>
      </c>
      <c r="E19" s="1747">
        <v>9.15</v>
      </c>
      <c r="F19" s="2004">
        <v>0</v>
      </c>
      <c r="G19" s="2004">
        <v>9.15</v>
      </c>
      <c r="H19" s="1747">
        <v>0</v>
      </c>
      <c r="I19" s="2004">
        <v>0</v>
      </c>
      <c r="J19" s="1747">
        <v>0</v>
      </c>
      <c r="K19" s="1298">
        <v>0</v>
      </c>
      <c r="L19" s="647"/>
    </row>
    <row r="20" spans="3:14" ht="15" customHeight="1">
      <c r="C20" s="1295" t="s">
        <v>169</v>
      </c>
      <c r="D20" s="2003">
        <v>21.634540000000001</v>
      </c>
      <c r="E20" s="1747">
        <v>395.91208200000005</v>
      </c>
      <c r="F20" s="2004">
        <v>0</v>
      </c>
      <c r="G20" s="2004">
        <v>0</v>
      </c>
      <c r="H20" s="1747">
        <v>395.91208200000005</v>
      </c>
      <c r="I20" s="2004">
        <v>394.19499999999999</v>
      </c>
      <c r="J20" s="1747">
        <v>1.7170820000000617</v>
      </c>
      <c r="K20" s="1298">
        <v>0.99566297145738514</v>
      </c>
      <c r="L20" s="647"/>
    </row>
    <row r="21" spans="3:14" ht="15" customHeight="1">
      <c r="C21" s="1295" t="s">
        <v>522</v>
      </c>
      <c r="D21" s="2003">
        <v>10.51</v>
      </c>
      <c r="E21" s="1747">
        <v>192.333</v>
      </c>
      <c r="F21" s="2004">
        <v>163.3458</v>
      </c>
      <c r="G21" s="2004">
        <v>0</v>
      </c>
      <c r="H21" s="1747">
        <v>355.67880000000002</v>
      </c>
      <c r="I21" s="2004">
        <v>352.851</v>
      </c>
      <c r="J21" s="1747">
        <v>2.8278000000000247</v>
      </c>
      <c r="K21" s="1298">
        <v>0.99204956831838154</v>
      </c>
      <c r="L21" s="647"/>
    </row>
    <row r="22" spans="3:14" ht="15" customHeight="1">
      <c r="C22" s="1295" t="s">
        <v>170</v>
      </c>
      <c r="D22" s="2003">
        <v>0</v>
      </c>
      <c r="E22" s="1747">
        <v>0</v>
      </c>
      <c r="F22" s="2004">
        <v>0</v>
      </c>
      <c r="G22" s="2004">
        <v>0</v>
      </c>
      <c r="H22" s="1747">
        <v>0</v>
      </c>
      <c r="I22" s="2004">
        <v>0</v>
      </c>
      <c r="J22" s="1747">
        <v>0</v>
      </c>
      <c r="K22" s="1298">
        <v>0</v>
      </c>
      <c r="L22" s="647"/>
    </row>
    <row r="23" spans="3:14" ht="15" customHeight="1">
      <c r="C23" s="1295" t="s">
        <v>171</v>
      </c>
      <c r="D23" s="2003">
        <v>0</v>
      </c>
      <c r="E23" s="1747">
        <v>0</v>
      </c>
      <c r="F23" s="2004">
        <v>0</v>
      </c>
      <c r="G23" s="2004">
        <v>0</v>
      </c>
      <c r="H23" s="1747">
        <v>0</v>
      </c>
      <c r="I23" s="2004">
        <v>0</v>
      </c>
      <c r="J23" s="1747">
        <v>0</v>
      </c>
      <c r="K23" s="1298">
        <v>0</v>
      </c>
      <c r="L23" s="647"/>
    </row>
    <row r="24" spans="3:14" ht="15" customHeight="1">
      <c r="C24" s="1295" t="s">
        <v>172</v>
      </c>
      <c r="D24" s="2003">
        <v>7.4420000000000002</v>
      </c>
      <c r="E24" s="1747">
        <v>136.18860000000001</v>
      </c>
      <c r="F24" s="2004">
        <v>0</v>
      </c>
      <c r="G24" s="2004">
        <v>0</v>
      </c>
      <c r="H24" s="1747">
        <v>136.18860000000001</v>
      </c>
      <c r="I24" s="2004">
        <v>136.83099999999999</v>
      </c>
      <c r="J24" s="1747">
        <v>-0.64239999999998076</v>
      </c>
      <c r="K24" s="1298">
        <v>1.004716988059206</v>
      </c>
      <c r="L24" s="646">
        <v>111</v>
      </c>
    </row>
    <row r="25" spans="3:14" ht="15" customHeight="1">
      <c r="C25" s="1295" t="s">
        <v>173</v>
      </c>
      <c r="D25" s="2003">
        <v>1</v>
      </c>
      <c r="E25" s="1747">
        <v>18.3</v>
      </c>
      <c r="F25" s="2004">
        <v>0</v>
      </c>
      <c r="G25" s="2004">
        <v>0</v>
      </c>
      <c r="H25" s="1747">
        <v>18.3</v>
      </c>
      <c r="I25" s="2004">
        <v>0</v>
      </c>
      <c r="J25" s="1747">
        <v>18.3</v>
      </c>
      <c r="K25" s="1298">
        <v>0</v>
      </c>
      <c r="L25" s="647"/>
    </row>
    <row r="26" spans="3:14" ht="15" customHeight="1">
      <c r="C26" s="1295" t="s">
        <v>174</v>
      </c>
      <c r="D26" s="2003">
        <v>1.9543299999999999</v>
      </c>
      <c r="E26" s="1747">
        <v>35.764238999999996</v>
      </c>
      <c r="F26" s="2004">
        <v>0</v>
      </c>
      <c r="G26" s="2004">
        <v>0</v>
      </c>
      <c r="H26" s="1747">
        <v>35.764238999999996</v>
      </c>
      <c r="I26" s="2004">
        <v>35.576999999999998</v>
      </c>
      <c r="J26" s="1747">
        <v>0.18723899999999816</v>
      </c>
      <c r="K26" s="1298">
        <v>0.99476463066920007</v>
      </c>
      <c r="L26" s="647"/>
    </row>
    <row r="27" spans="3:14" ht="15" customHeight="1">
      <c r="C27" s="1295" t="s">
        <v>175</v>
      </c>
      <c r="D27" s="2003">
        <v>0</v>
      </c>
      <c r="E27" s="1747">
        <v>0</v>
      </c>
      <c r="F27" s="2004">
        <v>0</v>
      </c>
      <c r="G27" s="2004">
        <v>0</v>
      </c>
      <c r="H27" s="1747">
        <v>0</v>
      </c>
      <c r="I27" s="2004">
        <v>0</v>
      </c>
      <c r="J27" s="1747">
        <v>0</v>
      </c>
      <c r="K27" s="1298">
        <v>0</v>
      </c>
      <c r="L27" s="647"/>
    </row>
    <row r="28" spans="3:14" ht="15" customHeight="1">
      <c r="C28" s="1295" t="s">
        <v>176</v>
      </c>
      <c r="D28" s="2003">
        <v>0</v>
      </c>
      <c r="E28" s="1747">
        <v>0</v>
      </c>
      <c r="F28" s="2004">
        <v>0</v>
      </c>
      <c r="G28" s="2004">
        <v>0</v>
      </c>
      <c r="H28" s="1747">
        <v>0</v>
      </c>
      <c r="I28" s="2004">
        <v>0</v>
      </c>
      <c r="J28" s="1747">
        <v>0</v>
      </c>
      <c r="K28" s="1298">
        <v>0</v>
      </c>
      <c r="L28" s="647"/>
    </row>
    <row r="29" spans="3:14" ht="15" customHeight="1">
      <c r="C29" s="1295" t="s">
        <v>177</v>
      </c>
      <c r="D29" s="2003">
        <v>0.94</v>
      </c>
      <c r="E29" s="1747">
        <v>17.201999999999998</v>
      </c>
      <c r="F29" s="2004">
        <v>0</v>
      </c>
      <c r="G29" s="2004">
        <v>0</v>
      </c>
      <c r="H29" s="1747">
        <v>17.201999999999998</v>
      </c>
      <c r="I29" s="2004">
        <v>1.554</v>
      </c>
      <c r="J29" s="1747">
        <v>15.647999999999998</v>
      </c>
      <c r="K29" s="1298">
        <v>9.033833275200559E-2</v>
      </c>
      <c r="L29" s="647"/>
    </row>
    <row r="30" spans="3:14" ht="15" customHeight="1">
      <c r="C30" s="1295" t="s">
        <v>178</v>
      </c>
      <c r="D30" s="2003">
        <v>0</v>
      </c>
      <c r="E30" s="1747">
        <v>0</v>
      </c>
      <c r="F30" s="2004">
        <v>1.4288966666</v>
      </c>
      <c r="G30" s="2004">
        <v>0</v>
      </c>
      <c r="H30" s="1747">
        <v>1.4288966666</v>
      </c>
      <c r="I30" s="2004">
        <v>0</v>
      </c>
      <c r="J30" s="1747">
        <v>1.4288966666</v>
      </c>
      <c r="K30" s="1298">
        <v>0</v>
      </c>
      <c r="L30" s="647"/>
    </row>
    <row r="31" spans="3:14" ht="15" customHeight="1">
      <c r="C31" s="1295" t="s">
        <v>179</v>
      </c>
      <c r="D31" s="2003">
        <v>1.9619999999999999E-2</v>
      </c>
      <c r="E31" s="1747">
        <v>0.35904599999999998</v>
      </c>
      <c r="F31" s="2004">
        <v>0</v>
      </c>
      <c r="G31" s="2004">
        <v>0.35904599999999998</v>
      </c>
      <c r="H31" s="1747">
        <v>0</v>
      </c>
      <c r="I31" s="2004">
        <v>0</v>
      </c>
      <c r="J31" s="1747">
        <v>0</v>
      </c>
      <c r="K31" s="1298">
        <v>0</v>
      </c>
      <c r="L31" s="647"/>
    </row>
    <row r="32" spans="3:14" ht="15" customHeight="1">
      <c r="C32" s="1295" t="s">
        <v>306</v>
      </c>
      <c r="D32" s="2003">
        <v>1.367E-2</v>
      </c>
      <c r="E32" s="1747">
        <v>0.25016099999999997</v>
      </c>
      <c r="F32" s="2004">
        <v>0</v>
      </c>
      <c r="G32" s="2004">
        <v>0</v>
      </c>
      <c r="H32" s="1747">
        <v>0.25016099999999997</v>
      </c>
      <c r="I32" s="2004">
        <v>0</v>
      </c>
      <c r="J32" s="1747">
        <v>0.25016099999999997</v>
      </c>
      <c r="K32" s="1298">
        <v>0</v>
      </c>
      <c r="L32" s="647"/>
    </row>
    <row r="33" spans="3:14" ht="15" customHeight="1">
      <c r="C33" s="1296" t="s">
        <v>180</v>
      </c>
      <c r="D33" s="1304">
        <v>5.4599999999999996E-3</v>
      </c>
      <c r="E33" s="1747">
        <v>9.9917999999999993E-2</v>
      </c>
      <c r="F33" s="1299">
        <v>0</v>
      </c>
      <c r="G33" s="1299">
        <v>0</v>
      </c>
      <c r="H33" s="1747">
        <v>9.9917999999999993E-2</v>
      </c>
      <c r="I33" s="2004">
        <v>0</v>
      </c>
      <c r="J33" s="1747">
        <v>9.9917999999999993E-2</v>
      </c>
      <c r="K33" s="1298">
        <v>0</v>
      </c>
      <c r="L33" s="647"/>
    </row>
    <row r="34" spans="3:14" ht="15" customHeight="1">
      <c r="C34" s="1295" t="s">
        <v>181</v>
      </c>
      <c r="D34" s="2004">
        <v>0</v>
      </c>
      <c r="E34" s="1747">
        <v>0</v>
      </c>
      <c r="F34" s="2004">
        <v>0</v>
      </c>
      <c r="G34" s="2004">
        <v>0</v>
      </c>
      <c r="H34" s="1747">
        <v>0</v>
      </c>
      <c r="I34" s="2004">
        <v>0</v>
      </c>
      <c r="J34" s="1747">
        <v>0</v>
      </c>
      <c r="K34" s="1298">
        <v>0</v>
      </c>
      <c r="L34" s="647"/>
    </row>
    <row r="35" spans="3:14" ht="15" customHeight="1">
      <c r="C35" s="1295" t="s">
        <v>182</v>
      </c>
      <c r="D35" s="2004">
        <v>0</v>
      </c>
      <c r="E35" s="1747">
        <v>0</v>
      </c>
      <c r="F35" s="2004">
        <v>152.40199999999999</v>
      </c>
      <c r="G35" s="2004">
        <v>0</v>
      </c>
      <c r="H35" s="1747">
        <v>152.40199999999999</v>
      </c>
      <c r="I35" s="2004">
        <v>151.93700000000001</v>
      </c>
      <c r="J35" s="1747">
        <v>0.46499999999997499</v>
      </c>
      <c r="K35" s="1298">
        <v>0.99694885893885921</v>
      </c>
      <c r="L35" s="647"/>
    </row>
    <row r="36" spans="3:14" ht="15" customHeight="1">
      <c r="C36" s="1295" t="s">
        <v>183</v>
      </c>
      <c r="D36" s="2004">
        <v>0</v>
      </c>
      <c r="E36" s="1747">
        <v>0</v>
      </c>
      <c r="F36" s="2004">
        <v>163.71180000000001</v>
      </c>
      <c r="G36" s="2004">
        <v>0</v>
      </c>
      <c r="H36" s="1747">
        <v>163.71180000000001</v>
      </c>
      <c r="I36" s="2004">
        <v>161.84200000000001</v>
      </c>
      <c r="J36" s="1747">
        <v>1.8697999999999979</v>
      </c>
      <c r="K36" s="1298">
        <v>0.98857870965929151</v>
      </c>
      <c r="L36" s="647"/>
    </row>
    <row r="37" spans="3:14" ht="15" customHeight="1" thickBot="1">
      <c r="C37" s="2005" t="s">
        <v>184</v>
      </c>
      <c r="D37" s="1300">
        <v>0</v>
      </c>
      <c r="E37" s="2006">
        <v>0</v>
      </c>
      <c r="F37" s="1300">
        <v>2</v>
      </c>
      <c r="G37" s="1300">
        <v>0</v>
      </c>
      <c r="H37" s="2006">
        <v>2</v>
      </c>
      <c r="I37" s="1300">
        <v>0</v>
      </c>
      <c r="J37" s="2006">
        <v>2</v>
      </c>
      <c r="K37" s="1301">
        <v>0</v>
      </c>
      <c r="L37" s="647"/>
    </row>
    <row r="38" spans="3:14" ht="15" customHeight="1" thickBot="1">
      <c r="C38" s="261"/>
      <c r="D38" s="14"/>
      <c r="E38" s="14"/>
      <c r="F38" s="14"/>
      <c r="G38" s="12"/>
      <c r="H38" s="14"/>
      <c r="I38" s="14"/>
      <c r="J38" s="15"/>
      <c r="K38" s="13"/>
      <c r="L38" s="16"/>
    </row>
    <row r="39" spans="3:14" ht="15.75" thickBot="1">
      <c r="C39" s="265" t="s">
        <v>429</v>
      </c>
      <c r="D39" s="266">
        <f t="shared" ref="D39:H39" si="2">SUM(D17:D37)</f>
        <v>100.00000000000001</v>
      </c>
      <c r="E39" s="266">
        <f>SUM(E17:E37)</f>
        <v>1830.0000000000002</v>
      </c>
      <c r="F39" s="266">
        <f t="shared" si="2"/>
        <v>818.08745866660001</v>
      </c>
      <c r="G39" s="266">
        <f t="shared" si="2"/>
        <v>818.0867906666</v>
      </c>
      <c r="H39" s="266">
        <f t="shared" si="2"/>
        <v>1830.0006679999999</v>
      </c>
      <c r="I39" s="358">
        <f>SUM(I17:I37)</f>
        <v>1785.373</v>
      </c>
      <c r="J39" s="266">
        <f>SUM(J17:J37)</f>
        <v>44.62766800000005</v>
      </c>
      <c r="K39" s="738">
        <f>+I39/H39</f>
        <v>0.97561330507667343</v>
      </c>
      <c r="L39" s="647"/>
      <c r="N39" s="391"/>
    </row>
    <row r="40" spans="3:14" s="647" customFormat="1">
      <c r="C40" s="311"/>
      <c r="D40" s="94"/>
      <c r="E40" s="94"/>
      <c r="F40" s="94"/>
      <c r="G40" s="94"/>
      <c r="H40" s="94"/>
      <c r="I40" s="95"/>
      <c r="J40" s="94"/>
      <c r="K40" s="201"/>
      <c r="N40" s="391"/>
    </row>
    <row r="41" spans="3:14" s="647" customFormat="1" ht="15" customHeight="1">
      <c r="C41" s="311"/>
      <c r="D41" s="94"/>
      <c r="E41" s="94"/>
      <c r="F41" s="94"/>
      <c r="G41" s="94"/>
      <c r="H41" s="94"/>
      <c r="I41" s="95"/>
      <c r="J41" s="94"/>
      <c r="K41" s="201"/>
      <c r="N41" s="391"/>
    </row>
    <row r="42" spans="3:14" ht="14.25" customHeight="1">
      <c r="C42" s="311"/>
      <c r="D42" s="94"/>
      <c r="E42" s="94"/>
      <c r="F42" s="94"/>
      <c r="G42" s="94"/>
      <c r="H42" s="94"/>
      <c r="I42" s="94"/>
      <c r="J42" s="95"/>
      <c r="K42" s="94"/>
      <c r="L42" s="45"/>
    </row>
    <row r="43" spans="3:14" ht="54" customHeight="1">
      <c r="C43" s="2978" t="s">
        <v>450</v>
      </c>
      <c r="D43" s="2979"/>
      <c r="E43" s="2979"/>
      <c r="F43" s="2979"/>
      <c r="G43" s="2979"/>
      <c r="H43" s="2979"/>
      <c r="I43" s="2979"/>
      <c r="J43" s="2979"/>
      <c r="K43" s="2979"/>
      <c r="L43" s="2980"/>
    </row>
    <row r="44" spans="3:14" ht="15.75" thickBot="1">
      <c r="C44" s="311"/>
      <c r="D44" s="94"/>
      <c r="E44" s="94"/>
      <c r="F44" s="94"/>
      <c r="G44" s="94"/>
      <c r="H44" s="94"/>
      <c r="I44" s="94"/>
      <c r="J44" s="95"/>
      <c r="K44" s="94"/>
      <c r="L44" s="45"/>
    </row>
    <row r="45" spans="3:14" ht="24" customHeight="1" thickBot="1">
      <c r="C45" s="243" t="s">
        <v>75</v>
      </c>
      <c r="D45" s="647"/>
      <c r="E45" s="647"/>
      <c r="F45" s="647"/>
      <c r="G45" s="647"/>
      <c r="I45" s="647"/>
      <c r="J45" s="647"/>
      <c r="K45" s="647"/>
      <c r="L45" s="647"/>
    </row>
    <row r="46" spans="3:14" ht="30.75" thickBot="1">
      <c r="C46" s="242" t="s">
        <v>263</v>
      </c>
      <c r="D46" s="249" t="s">
        <v>376</v>
      </c>
      <c r="E46" s="284" t="s">
        <v>2</v>
      </c>
      <c r="F46" s="284" t="s">
        <v>458</v>
      </c>
      <c r="G46" s="344" t="s">
        <v>143</v>
      </c>
      <c r="H46" s="94"/>
      <c r="I46" s="94"/>
      <c r="J46" s="95"/>
      <c r="K46" s="94"/>
      <c r="L46" s="45"/>
    </row>
    <row r="47" spans="3:14">
      <c r="C47" s="290" t="s">
        <v>460</v>
      </c>
      <c r="D47" s="291">
        <v>4750</v>
      </c>
      <c r="E47" s="289">
        <f>SUM(E48:E50)</f>
        <v>4494.2480000000005</v>
      </c>
      <c r="F47" s="310">
        <f t="shared" ref="F47:F49" si="3">+D47-E47</f>
        <v>255.7519999999995</v>
      </c>
      <c r="G47" s="288">
        <f>+E47/D47</f>
        <v>0.94615747368421066</v>
      </c>
      <c r="H47" s="94"/>
      <c r="I47" s="94"/>
      <c r="J47" s="95"/>
      <c r="K47" s="94"/>
      <c r="L47" s="45"/>
    </row>
    <row r="48" spans="3:14">
      <c r="C48" s="182" t="s">
        <v>366</v>
      </c>
      <c r="D48" s="307">
        <v>95</v>
      </c>
      <c r="E48" s="843">
        <f>+'Pesca de Investigación'!I27+'Pesca de Investigación'!I37+'Pesca de Investigación'!I47</f>
        <v>62.390999999999998</v>
      </c>
      <c r="F48" s="310">
        <f t="shared" si="3"/>
        <v>32.609000000000002</v>
      </c>
      <c r="G48" s="288">
        <f t="shared" ref="G48:G49" si="4">+E48/D48</f>
        <v>0.65674736842105264</v>
      </c>
      <c r="H48" s="95"/>
      <c r="I48" s="94"/>
      <c r="J48" s="95"/>
      <c r="K48" s="94"/>
      <c r="L48" s="45"/>
    </row>
    <row r="49" spans="3:14">
      <c r="C49" s="182" t="s">
        <v>367</v>
      </c>
      <c r="D49" s="307">
        <v>37</v>
      </c>
      <c r="E49" s="1242">
        <v>3.173</v>
      </c>
      <c r="F49" s="310">
        <f t="shared" si="3"/>
        <v>33.826999999999998</v>
      </c>
      <c r="G49" s="288">
        <f t="shared" si="4"/>
        <v>8.5756756756756758E-2</v>
      </c>
      <c r="H49" s="94"/>
      <c r="I49" s="94"/>
      <c r="J49" s="95"/>
      <c r="K49" s="94"/>
      <c r="L49" s="45"/>
    </row>
    <row r="50" spans="3:14" ht="15.75" thickBot="1">
      <c r="C50" s="183" t="s">
        <v>428</v>
      </c>
      <c r="D50" s="262">
        <v>4618</v>
      </c>
      <c r="E50" s="87">
        <f>+I78</f>
        <v>4428.6840000000002</v>
      </c>
      <c r="F50" s="87">
        <f>+D50-E50</f>
        <v>189.3159999999998</v>
      </c>
      <c r="G50" s="240">
        <f>+E50/D50</f>
        <v>0.95900476396708534</v>
      </c>
      <c r="H50" s="94"/>
      <c r="I50" s="94"/>
      <c r="J50" s="95"/>
      <c r="K50" s="94"/>
      <c r="L50" s="45"/>
    </row>
    <row r="51" spans="3:14" s="391" customFormat="1" ht="15.75" thickBot="1">
      <c r="C51" s="198"/>
      <c r="D51" s="202"/>
      <c r="E51" s="94"/>
      <c r="F51" s="94"/>
      <c r="G51" s="94"/>
      <c r="H51" s="94"/>
      <c r="I51" s="94"/>
      <c r="J51" s="95"/>
      <c r="K51" s="94"/>
      <c r="L51" s="45"/>
    </row>
    <row r="52" spans="3:14" ht="15" customHeight="1">
      <c r="C52" s="2963" t="s">
        <v>68</v>
      </c>
      <c r="D52" s="2981" t="s">
        <v>69</v>
      </c>
      <c r="E52" s="2981" t="s">
        <v>70</v>
      </c>
      <c r="F52" s="2984" t="s">
        <v>71</v>
      </c>
      <c r="G52" s="2985"/>
      <c r="H52" s="2981" t="s">
        <v>72</v>
      </c>
      <c r="I52" s="2975" t="s">
        <v>5</v>
      </c>
      <c r="J52" s="2976"/>
      <c r="K52" s="2977"/>
      <c r="L52" s="647"/>
      <c r="M52" s="391"/>
    </row>
    <row r="53" spans="3:14" ht="28.5" customHeight="1" thickBot="1">
      <c r="C53" s="2964"/>
      <c r="D53" s="2960"/>
      <c r="E53" s="2960"/>
      <c r="F53" s="286" t="s">
        <v>73</v>
      </c>
      <c r="G53" s="286" t="s">
        <v>74</v>
      </c>
      <c r="H53" s="2960"/>
      <c r="I53" s="286" t="s">
        <v>2</v>
      </c>
      <c r="J53" s="286" t="s">
        <v>457</v>
      </c>
      <c r="K53" s="286" t="s">
        <v>441</v>
      </c>
      <c r="L53" s="647"/>
      <c r="M53" s="391"/>
      <c r="N53" s="391"/>
    </row>
    <row r="54" spans="3:14" ht="18" customHeight="1">
      <c r="C54" s="1328" t="s">
        <v>166</v>
      </c>
      <c r="D54" s="1335">
        <v>66.305599999999998</v>
      </c>
      <c r="E54" s="1329">
        <v>3061.992608</v>
      </c>
      <c r="F54" s="1330">
        <v>719.17392299999995</v>
      </c>
      <c r="G54" s="1331">
        <v>1359.7701</v>
      </c>
      <c r="H54" s="1746">
        <f>E54+F54-G54</f>
        <v>2421.3964310000001</v>
      </c>
      <c r="I54" s="1329">
        <v>2417.373</v>
      </c>
      <c r="J54" s="1332">
        <v>4.0234310000000733</v>
      </c>
      <c r="K54" s="1333">
        <v>0.99833838402151343</v>
      </c>
      <c r="L54" s="647"/>
      <c r="M54" s="391"/>
      <c r="N54" s="91"/>
    </row>
    <row r="55" spans="3:14" ht="15" customHeight="1">
      <c r="C55" s="1314" t="s">
        <v>167</v>
      </c>
      <c r="D55" s="1336">
        <v>15.617940000000001</v>
      </c>
      <c r="E55" s="1308">
        <v>721.23646919999999</v>
      </c>
      <c r="F55" s="1313">
        <v>0</v>
      </c>
      <c r="G55" s="1334">
        <v>720.75863199999992</v>
      </c>
      <c r="H55" s="1747">
        <f t="shared" ref="H55:H76" si="5">E55+F55-G55</f>
        <v>0.47783720000006724</v>
      </c>
      <c r="I55" s="1308">
        <v>0</v>
      </c>
      <c r="J55" s="1310">
        <v>0.47783720000006724</v>
      </c>
      <c r="K55" s="1327">
        <v>0</v>
      </c>
      <c r="L55" s="647"/>
      <c r="M55" s="391"/>
      <c r="N55" s="400"/>
    </row>
    <row r="56" spans="3:14" ht="15" customHeight="1">
      <c r="C56" s="1314" t="s">
        <v>185</v>
      </c>
      <c r="D56" s="1336">
        <v>0.5</v>
      </c>
      <c r="E56" s="1308">
        <v>23.09</v>
      </c>
      <c r="F56" s="1313">
        <v>0</v>
      </c>
      <c r="G56" s="1321">
        <v>23.09</v>
      </c>
      <c r="H56" s="1747">
        <f t="shared" si="5"/>
        <v>0</v>
      </c>
      <c r="I56" s="1308">
        <v>0</v>
      </c>
      <c r="J56" s="1310">
        <v>0</v>
      </c>
      <c r="K56" s="1327">
        <v>0</v>
      </c>
      <c r="L56" s="647"/>
      <c r="M56" s="391"/>
    </row>
    <row r="57" spans="3:14" ht="15" customHeight="1">
      <c r="C57" s="1314" t="s">
        <v>186</v>
      </c>
      <c r="D57" s="1778">
        <v>6.5388500000000001</v>
      </c>
      <c r="E57" s="1310">
        <v>301.96409299999999</v>
      </c>
      <c r="F57" s="1313">
        <v>0</v>
      </c>
      <c r="G57" s="1313">
        <v>0</v>
      </c>
      <c r="H57" s="1747">
        <f t="shared" si="5"/>
        <v>301.96409299999999</v>
      </c>
      <c r="I57" s="1776">
        <v>297.96100000000001</v>
      </c>
      <c r="J57" s="1310">
        <v>4.0030929999999785</v>
      </c>
      <c r="K57" s="1327">
        <v>0.98674314896109194</v>
      </c>
      <c r="L57" s="647"/>
      <c r="M57" s="1777">
        <f>4618*0.0458</f>
        <v>211.5044</v>
      </c>
    </row>
    <row r="58" spans="3:14" ht="15" customHeight="1">
      <c r="C58" s="1324" t="s">
        <v>522</v>
      </c>
      <c r="D58" s="1336">
        <v>3.0390000000000001</v>
      </c>
      <c r="E58" s="1309">
        <v>140.34102000000001</v>
      </c>
      <c r="F58" s="1321">
        <v>300.16999999999996</v>
      </c>
      <c r="G58" s="1313">
        <v>0</v>
      </c>
      <c r="H58" s="1747">
        <f t="shared" si="5"/>
        <v>440.51101999999997</v>
      </c>
      <c r="I58" s="1308">
        <v>425.68599999999998</v>
      </c>
      <c r="J58" s="1310">
        <v>14.825019999999995</v>
      </c>
      <c r="K58" s="1327">
        <v>0.96634585895263192</v>
      </c>
      <c r="L58" s="648"/>
      <c r="M58" s="391"/>
      <c r="N58" s="402"/>
    </row>
    <row r="59" spans="3:14" ht="15" customHeight="1">
      <c r="C59" s="1314" t="s">
        <v>187</v>
      </c>
      <c r="D59" s="1336">
        <v>0</v>
      </c>
      <c r="E59" s="1309">
        <v>0</v>
      </c>
      <c r="F59" s="1313">
        <v>0</v>
      </c>
      <c r="G59" s="1313">
        <v>0</v>
      </c>
      <c r="H59" s="1747">
        <f t="shared" si="5"/>
        <v>0</v>
      </c>
      <c r="I59" s="1308">
        <v>0</v>
      </c>
      <c r="J59" s="1310">
        <v>0</v>
      </c>
      <c r="K59" s="1327">
        <v>0</v>
      </c>
      <c r="L59" s="85"/>
      <c r="M59" s="391"/>
      <c r="N59" s="92"/>
    </row>
    <row r="60" spans="3:14" ht="15" customHeight="1">
      <c r="C60" s="1314" t="s">
        <v>171</v>
      </c>
      <c r="D60" s="1336">
        <v>0</v>
      </c>
      <c r="E60" s="1309">
        <v>0</v>
      </c>
      <c r="F60" s="1313">
        <v>0</v>
      </c>
      <c r="G60" s="1313">
        <v>0</v>
      </c>
      <c r="H60" s="1747">
        <f t="shared" si="5"/>
        <v>0</v>
      </c>
      <c r="I60" s="1308">
        <v>0</v>
      </c>
      <c r="J60" s="1310">
        <v>0</v>
      </c>
      <c r="K60" s="1327">
        <v>0</v>
      </c>
      <c r="L60" s="402"/>
      <c r="M60" s="391"/>
      <c r="N60" s="402"/>
    </row>
    <row r="61" spans="3:14">
      <c r="C61" s="1314" t="s">
        <v>172</v>
      </c>
      <c r="D61" s="1336">
        <v>4.6102499999999997</v>
      </c>
      <c r="E61" s="1309">
        <v>212.90134499999999</v>
      </c>
      <c r="F61" s="1313">
        <v>0</v>
      </c>
      <c r="G61" s="1313">
        <v>0</v>
      </c>
      <c r="H61" s="1747">
        <f t="shared" si="5"/>
        <v>212.90134499999999</v>
      </c>
      <c r="I61" s="1308">
        <v>205.791</v>
      </c>
      <c r="J61" s="1310">
        <v>7.1103449999999953</v>
      </c>
      <c r="K61" s="1327">
        <v>0.966602629964597</v>
      </c>
      <c r="L61" s="647"/>
      <c r="N61" s="391"/>
    </row>
    <row r="62" spans="3:14">
      <c r="C62" s="1314" t="s">
        <v>188</v>
      </c>
      <c r="D62" s="1336">
        <v>0.5</v>
      </c>
      <c r="E62" s="1309">
        <v>23.09</v>
      </c>
      <c r="F62" s="1313">
        <v>0</v>
      </c>
      <c r="G62" s="1313">
        <v>0</v>
      </c>
      <c r="H62" s="1747">
        <f t="shared" si="5"/>
        <v>23.09</v>
      </c>
      <c r="I62" s="1308">
        <v>0</v>
      </c>
      <c r="J62" s="1310">
        <v>23.09</v>
      </c>
      <c r="K62" s="1327">
        <v>0</v>
      </c>
      <c r="L62" s="647"/>
      <c r="M62" s="391"/>
      <c r="N62" s="391"/>
    </row>
    <row r="63" spans="3:14">
      <c r="C63" s="1314" t="s">
        <v>174</v>
      </c>
      <c r="D63" s="1336">
        <v>0.30149999999999999</v>
      </c>
      <c r="E63" s="1309">
        <v>13.923269999999999</v>
      </c>
      <c r="F63" s="1313">
        <v>0</v>
      </c>
      <c r="G63" s="1313">
        <v>0</v>
      </c>
      <c r="H63" s="1747">
        <f t="shared" si="5"/>
        <v>13.923269999999999</v>
      </c>
      <c r="I63" s="1308">
        <v>13.922000000000001</v>
      </c>
      <c r="J63" s="1310">
        <v>1.269999999998106E-3</v>
      </c>
      <c r="K63" s="1327">
        <v>0.99990878579529108</v>
      </c>
      <c r="L63" s="647"/>
      <c r="M63" s="391"/>
      <c r="N63" s="400"/>
    </row>
    <row r="64" spans="3:14">
      <c r="C64" s="1315" t="s">
        <v>189</v>
      </c>
      <c r="D64" s="1337">
        <v>0</v>
      </c>
      <c r="E64" s="1309">
        <v>0</v>
      </c>
      <c r="F64" s="1313">
        <v>0</v>
      </c>
      <c r="G64" s="1313">
        <v>0</v>
      </c>
      <c r="H64" s="1747">
        <f t="shared" si="5"/>
        <v>0</v>
      </c>
      <c r="I64" s="1308">
        <v>0</v>
      </c>
      <c r="J64" s="1310">
        <v>0</v>
      </c>
      <c r="K64" s="1327">
        <v>0</v>
      </c>
      <c r="L64" s="647"/>
      <c r="M64" s="391"/>
    </row>
    <row r="65" spans="3:13">
      <c r="C65" s="1314" t="s">
        <v>175</v>
      </c>
      <c r="D65" s="1336">
        <v>0</v>
      </c>
      <c r="E65" s="1309">
        <v>0</v>
      </c>
      <c r="F65" s="1313">
        <v>0</v>
      </c>
      <c r="G65" s="1313">
        <v>0</v>
      </c>
      <c r="H65" s="1747">
        <f t="shared" si="5"/>
        <v>0</v>
      </c>
      <c r="I65" s="1308">
        <v>0</v>
      </c>
      <c r="J65" s="1310">
        <v>0</v>
      </c>
      <c r="K65" s="1327">
        <v>0</v>
      </c>
      <c r="L65" s="647"/>
      <c r="M65" s="391"/>
    </row>
    <row r="66" spans="3:13" ht="15" customHeight="1">
      <c r="C66" s="1314" t="s">
        <v>176</v>
      </c>
      <c r="D66" s="1336">
        <v>0</v>
      </c>
      <c r="E66" s="1309">
        <v>0</v>
      </c>
      <c r="F66" s="1313">
        <v>0</v>
      </c>
      <c r="G66" s="1313">
        <v>0</v>
      </c>
      <c r="H66" s="1747">
        <f t="shared" si="5"/>
        <v>0</v>
      </c>
      <c r="I66" s="1308">
        <v>0</v>
      </c>
      <c r="J66" s="1310">
        <v>0</v>
      </c>
      <c r="K66" s="1327">
        <v>0</v>
      </c>
      <c r="L66" s="647"/>
      <c r="M66" s="391"/>
    </row>
    <row r="67" spans="3:13" ht="14.25" customHeight="1">
      <c r="C67" s="1314" t="s">
        <v>177</v>
      </c>
      <c r="D67" s="1336">
        <v>6.6460000000000005E-2</v>
      </c>
      <c r="E67" s="1309">
        <v>3.0691228000000002</v>
      </c>
      <c r="F67" s="1313">
        <v>0</v>
      </c>
      <c r="G67" s="1313">
        <v>0</v>
      </c>
      <c r="H67" s="1747">
        <f t="shared" si="5"/>
        <v>3.0691228000000002</v>
      </c>
      <c r="I67" s="1308">
        <v>0</v>
      </c>
      <c r="J67" s="1310">
        <v>3.0691228000000002</v>
      </c>
      <c r="K67" s="1327">
        <v>0</v>
      </c>
      <c r="L67" s="647"/>
      <c r="M67" s="391"/>
    </row>
    <row r="68" spans="3:13" ht="14.25" customHeight="1">
      <c r="C68" s="1314" t="s">
        <v>190</v>
      </c>
      <c r="D68" s="1336">
        <v>0</v>
      </c>
      <c r="E68" s="1309">
        <v>0</v>
      </c>
      <c r="F68" s="1313">
        <v>0</v>
      </c>
      <c r="G68" s="1313">
        <v>0</v>
      </c>
      <c r="H68" s="1747">
        <f t="shared" si="5"/>
        <v>0</v>
      </c>
      <c r="I68" s="1308">
        <v>0</v>
      </c>
      <c r="J68" s="1310">
        <v>0</v>
      </c>
      <c r="K68" s="1327">
        <v>0</v>
      </c>
      <c r="L68" s="647"/>
      <c r="M68" s="391"/>
    </row>
    <row r="69" spans="3:13" ht="15.75" customHeight="1">
      <c r="C69" s="1315" t="s">
        <v>178</v>
      </c>
      <c r="D69" s="1337">
        <v>0</v>
      </c>
      <c r="E69" s="1309">
        <v>0</v>
      </c>
      <c r="F69" s="1320">
        <v>1.9984821399999999</v>
      </c>
      <c r="G69" s="1313">
        <v>0</v>
      </c>
      <c r="H69" s="1747">
        <f t="shared" si="5"/>
        <v>1.9984821399999999</v>
      </c>
      <c r="I69" s="1308">
        <v>0</v>
      </c>
      <c r="J69" s="1310">
        <v>1.9984821399999999</v>
      </c>
      <c r="K69" s="1327">
        <v>0</v>
      </c>
      <c r="L69" s="647"/>
      <c r="M69" s="391"/>
    </row>
    <row r="70" spans="3:13" ht="15.75" customHeight="1">
      <c r="C70" s="1314" t="s">
        <v>179</v>
      </c>
      <c r="D70" s="1336">
        <v>8.9599999999999992E-3</v>
      </c>
      <c r="E70" s="1309">
        <v>0.4137728</v>
      </c>
      <c r="F70" s="1317">
        <v>0</v>
      </c>
      <c r="G70" s="1320">
        <v>0.4137728</v>
      </c>
      <c r="H70" s="1747">
        <f t="shared" si="5"/>
        <v>0</v>
      </c>
      <c r="I70" s="1308">
        <v>0</v>
      </c>
      <c r="J70" s="1310">
        <v>0</v>
      </c>
      <c r="K70" s="1327">
        <v>0</v>
      </c>
      <c r="L70" s="647"/>
      <c r="M70" s="391"/>
    </row>
    <row r="71" spans="3:13" ht="18" customHeight="1">
      <c r="C71" s="1314" t="s">
        <v>306</v>
      </c>
      <c r="D71" s="1336">
        <v>8.2500000000000004E-3</v>
      </c>
      <c r="E71" s="1309">
        <v>0.38098500000000002</v>
      </c>
      <c r="F71" s="1313">
        <v>0</v>
      </c>
      <c r="G71" s="1313">
        <v>0</v>
      </c>
      <c r="H71" s="1747">
        <f t="shared" si="5"/>
        <v>0.38098500000000002</v>
      </c>
      <c r="I71" s="1308">
        <v>0</v>
      </c>
      <c r="J71" s="1310">
        <v>0.38098500000000002</v>
      </c>
      <c r="K71" s="1327">
        <v>0</v>
      </c>
      <c r="L71" s="647"/>
      <c r="M71" s="391"/>
    </row>
    <row r="72" spans="3:13" ht="16.5" customHeight="1">
      <c r="C72" s="1315" t="s">
        <v>180</v>
      </c>
      <c r="D72" s="1337">
        <v>3.1930000000000001E-3</v>
      </c>
      <c r="E72" s="1309">
        <v>0.14745274</v>
      </c>
      <c r="F72" s="1313">
        <v>0</v>
      </c>
      <c r="G72" s="1313">
        <v>0</v>
      </c>
      <c r="H72" s="1747">
        <f t="shared" si="5"/>
        <v>0.14745274</v>
      </c>
      <c r="I72" s="1308">
        <v>0</v>
      </c>
      <c r="J72" s="1310">
        <v>0.14745274</v>
      </c>
      <c r="K72" s="1327">
        <v>0</v>
      </c>
      <c r="L72" s="647"/>
      <c r="M72" s="391"/>
    </row>
    <row r="73" spans="3:13" ht="16.5" customHeight="1">
      <c r="C73" s="1314" t="s">
        <v>181</v>
      </c>
      <c r="D73" s="1336">
        <v>0</v>
      </c>
      <c r="E73" s="1325">
        <v>0</v>
      </c>
      <c r="F73" s="1313">
        <v>0</v>
      </c>
      <c r="G73" s="1313">
        <v>0</v>
      </c>
      <c r="H73" s="1747">
        <f t="shared" si="5"/>
        <v>0</v>
      </c>
      <c r="I73" s="1308">
        <v>0</v>
      </c>
      <c r="J73" s="1310">
        <v>0</v>
      </c>
      <c r="K73" s="1327">
        <v>0</v>
      </c>
      <c r="L73" s="647"/>
      <c r="M73" s="391"/>
    </row>
    <row r="74" spans="3:13" ht="16.5" customHeight="1">
      <c r="C74" s="1314" t="s">
        <v>182</v>
      </c>
      <c r="D74" s="1336">
        <v>0</v>
      </c>
      <c r="E74" s="1309">
        <v>0</v>
      </c>
      <c r="F74" s="1321">
        <v>484.89</v>
      </c>
      <c r="G74" s="1313">
        <v>0</v>
      </c>
      <c r="H74" s="1747">
        <f t="shared" si="5"/>
        <v>484.89</v>
      </c>
      <c r="I74" s="1308">
        <v>483.63400000000001</v>
      </c>
      <c r="J74" s="1310">
        <v>1.2559999999999718</v>
      </c>
      <c r="K74" s="1327">
        <v>0.99740972179257159</v>
      </c>
      <c r="L74" s="647"/>
      <c r="M74" s="391"/>
    </row>
    <row r="75" spans="3:13" ht="16.5" customHeight="1">
      <c r="C75" s="1315" t="s">
        <v>183</v>
      </c>
      <c r="D75" s="1336">
        <v>0</v>
      </c>
      <c r="E75" s="1308">
        <v>0</v>
      </c>
      <c r="F75" s="1321">
        <v>595.72199999999998</v>
      </c>
      <c r="G75" s="1313">
        <v>0</v>
      </c>
      <c r="H75" s="1747">
        <f t="shared" si="5"/>
        <v>595.72199999999998</v>
      </c>
      <c r="I75" s="1308">
        <v>584.31700000000001</v>
      </c>
      <c r="J75" s="1310">
        <v>11.404999999999973</v>
      </c>
      <c r="K75" s="1327">
        <v>0.98085516398588612</v>
      </c>
      <c r="L75" s="647"/>
      <c r="M75" s="391"/>
    </row>
    <row r="76" spans="3:13" ht="16.5" customHeight="1" thickBot="1">
      <c r="C76" s="1316" t="s">
        <v>191</v>
      </c>
      <c r="D76" s="1326">
        <v>0</v>
      </c>
      <c r="E76" s="1311">
        <v>0</v>
      </c>
      <c r="F76" s="1322">
        <v>2.0781000000000001</v>
      </c>
      <c r="G76" s="1318">
        <v>0</v>
      </c>
      <c r="H76" s="1748">
        <f t="shared" si="5"/>
        <v>2.0781000000000001</v>
      </c>
      <c r="I76" s="1312">
        <v>0</v>
      </c>
      <c r="J76" s="1323">
        <v>2.0781000000000001</v>
      </c>
      <c r="K76" s="1319">
        <v>0</v>
      </c>
      <c r="L76" s="647"/>
      <c r="M76" s="391"/>
    </row>
    <row r="77" spans="3:13" ht="15.75" thickBot="1">
      <c r="C77" s="17"/>
      <c r="D77" s="17"/>
      <c r="E77" s="17"/>
      <c r="F77" s="17"/>
      <c r="G77" s="17"/>
      <c r="H77" s="17"/>
      <c r="I77" s="17"/>
      <c r="J77" s="17"/>
      <c r="K77" s="17"/>
      <c r="L77" s="647"/>
      <c r="M77" s="93"/>
    </row>
    <row r="78" spans="3:13" ht="15.75" thickBot="1">
      <c r="C78" s="265" t="s">
        <v>429</v>
      </c>
      <c r="D78" s="267">
        <f t="shared" ref="D78:J78" si="6">SUM(D54:D76)</f>
        <v>97.500003000000007</v>
      </c>
      <c r="E78" s="267">
        <f t="shared" si="6"/>
        <v>4502.5501385399994</v>
      </c>
      <c r="F78" s="267">
        <f t="shared" si="6"/>
        <v>2104.03250514</v>
      </c>
      <c r="G78" s="267">
        <f t="shared" si="6"/>
        <v>2104.0325048</v>
      </c>
      <c r="H78" s="267">
        <f>SUM(H54:H76)</f>
        <v>4502.5501388799994</v>
      </c>
      <c r="I78" s="358">
        <f t="shared" si="6"/>
        <v>4428.6840000000002</v>
      </c>
      <c r="J78" s="267">
        <f t="shared" si="6"/>
        <v>73.866138880000065</v>
      </c>
      <c r="K78" s="1241">
        <f>+I78/H78</f>
        <v>0.98359459937110816</v>
      </c>
      <c r="L78" s="647"/>
    </row>
    <row r="79" spans="3:13" s="647" customFormat="1">
      <c r="C79" s="311"/>
      <c r="D79" s="94"/>
      <c r="E79" s="94"/>
      <c r="F79" s="94"/>
      <c r="G79" s="94"/>
      <c r="H79" s="94"/>
      <c r="I79" s="94"/>
      <c r="J79" s="94"/>
      <c r="K79" s="94"/>
      <c r="L79" s="45"/>
    </row>
    <row r="80" spans="3:13" s="647" customFormat="1" ht="15.75" thickBot="1">
      <c r="C80" s="311"/>
      <c r="D80" s="94"/>
      <c r="E80" s="94"/>
      <c r="F80" s="94"/>
      <c r="G80" s="94"/>
      <c r="H80" s="94"/>
      <c r="I80" s="94"/>
      <c r="J80" s="94"/>
      <c r="K80" s="94"/>
      <c r="L80" s="45"/>
    </row>
    <row r="81" spans="2:14" s="647" customFormat="1" ht="51.6" customHeight="1" thickBot="1">
      <c r="C81" s="2954" t="s">
        <v>368</v>
      </c>
      <c r="D81" s="2955"/>
      <c r="E81" s="2955"/>
      <c r="F81" s="2955"/>
      <c r="G81" s="2955"/>
      <c r="H81" s="2955"/>
      <c r="I81" s="2955"/>
      <c r="J81" s="2955"/>
      <c r="K81" s="2955"/>
      <c r="L81" s="2956"/>
    </row>
    <row r="82" spans="2:14" s="647" customFormat="1" ht="24" customHeight="1"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391"/>
      <c r="N82" s="391"/>
    </row>
    <row r="83" spans="2:14" s="647" customFormat="1" ht="24" customHeight="1" thickBot="1">
      <c r="C83" s="2986" t="s">
        <v>75</v>
      </c>
      <c r="D83" s="2987"/>
      <c r="I83" s="196"/>
      <c r="J83" s="196"/>
      <c r="L83" s="196"/>
    </row>
    <row r="84" spans="2:14" s="647" customFormat="1" ht="30" customHeight="1" thickBot="1">
      <c r="C84" s="2950" t="s">
        <v>263</v>
      </c>
      <c r="D84" s="2951"/>
      <c r="E84" s="249" t="s">
        <v>376</v>
      </c>
      <c r="F84" s="284" t="s">
        <v>2</v>
      </c>
      <c r="G84" s="250" t="s">
        <v>3</v>
      </c>
      <c r="H84" s="344" t="s">
        <v>477</v>
      </c>
      <c r="I84" s="196"/>
      <c r="J84" s="196"/>
      <c r="K84" s="196"/>
      <c r="L84" s="196"/>
    </row>
    <row r="85" spans="2:14" s="647" customFormat="1" ht="15.75">
      <c r="C85" s="2952" t="s">
        <v>362</v>
      </c>
      <c r="D85" s="2953"/>
      <c r="E85" s="347">
        <v>1656</v>
      </c>
      <c r="F85" s="353">
        <f>SUM(F86:F87)</f>
        <v>1615.0929999999998</v>
      </c>
      <c r="G85" s="354">
        <f t="shared" ref="G85:G86" si="7">E85-F85</f>
        <v>40.907000000000153</v>
      </c>
      <c r="H85" s="341">
        <f>F85/E85</f>
        <v>0.97529770531400961</v>
      </c>
      <c r="I85" s="174"/>
      <c r="J85" s="174"/>
      <c r="K85" s="174"/>
      <c r="L85" s="45"/>
    </row>
    <row r="86" spans="2:14" s="647" customFormat="1">
      <c r="C86" s="2965" t="s">
        <v>363</v>
      </c>
      <c r="D86" s="2966"/>
      <c r="E86" s="345">
        <v>20</v>
      </c>
      <c r="F86" s="339"/>
      <c r="G86" s="357">
        <f t="shared" si="7"/>
        <v>20</v>
      </c>
      <c r="H86" s="342">
        <f>F86/E86</f>
        <v>0</v>
      </c>
      <c r="I86" s="402"/>
      <c r="J86" s="402"/>
      <c r="K86" s="402"/>
      <c r="L86" s="45"/>
    </row>
    <row r="87" spans="2:14" s="647" customFormat="1" ht="15.75" thickBot="1">
      <c r="C87" s="2982" t="s">
        <v>428</v>
      </c>
      <c r="D87" s="2983"/>
      <c r="E87" s="346">
        <v>1636</v>
      </c>
      <c r="F87" s="340">
        <f>+I116</f>
        <v>1615.0929999999998</v>
      </c>
      <c r="G87" s="355">
        <f>E87-F87</f>
        <v>20.907000000000153</v>
      </c>
      <c r="H87" s="241">
        <f>F87/E87</f>
        <v>0.98722066014669918</v>
      </c>
      <c r="I87" s="402"/>
      <c r="J87" s="402"/>
      <c r="K87" s="402"/>
      <c r="L87" s="45"/>
    </row>
    <row r="88" spans="2:14" s="391" customFormat="1" ht="15.75" thickBot="1">
      <c r="C88" s="197"/>
      <c r="D88" s="400"/>
      <c r="E88" s="400"/>
      <c r="F88" s="400"/>
      <c r="G88" s="400"/>
      <c r="H88" s="400"/>
      <c r="I88" s="400"/>
      <c r="J88" s="400"/>
      <c r="K88" s="400"/>
      <c r="L88" s="45"/>
    </row>
    <row r="89" spans="2:14" s="647" customFormat="1" ht="15" customHeight="1">
      <c r="B89" s="2972" t="s">
        <v>364</v>
      </c>
      <c r="C89" s="2963" t="s">
        <v>68</v>
      </c>
      <c r="D89" s="2961" t="s">
        <v>69</v>
      </c>
      <c r="E89" s="2959" t="s">
        <v>70</v>
      </c>
      <c r="F89" s="2957" t="s">
        <v>71</v>
      </c>
      <c r="G89" s="2958"/>
      <c r="H89" s="2959" t="s">
        <v>72</v>
      </c>
      <c r="I89" s="257" t="s">
        <v>5</v>
      </c>
      <c r="J89" s="256"/>
      <c r="K89" s="255"/>
      <c r="N89" s="391"/>
    </row>
    <row r="90" spans="2:14" s="647" customFormat="1" ht="29.1" customHeight="1" thickBot="1">
      <c r="B90" s="2974"/>
      <c r="C90" s="2964"/>
      <c r="D90" s="2962"/>
      <c r="E90" s="2960"/>
      <c r="F90" s="251" t="s">
        <v>73</v>
      </c>
      <c r="G90" s="251" t="s">
        <v>74</v>
      </c>
      <c r="H90" s="2960"/>
      <c r="I90" s="286" t="s">
        <v>2</v>
      </c>
      <c r="J90" s="283" t="s">
        <v>459</v>
      </c>
      <c r="K90" s="286" t="s">
        <v>441</v>
      </c>
      <c r="N90" s="391"/>
    </row>
    <row r="91" spans="2:14" s="647" customFormat="1" ht="14.45" customHeight="1">
      <c r="B91" s="2945" t="s">
        <v>84</v>
      </c>
      <c r="C91" s="2037" t="s">
        <v>351</v>
      </c>
      <c r="D91" s="1725">
        <v>0</v>
      </c>
      <c r="E91" s="1726">
        <v>0</v>
      </c>
      <c r="F91" s="1726">
        <v>0</v>
      </c>
      <c r="G91" s="1726">
        <v>0</v>
      </c>
      <c r="H91" s="1727">
        <v>0</v>
      </c>
      <c r="I91" s="1726">
        <v>0</v>
      </c>
      <c r="J91" s="1726">
        <v>0</v>
      </c>
      <c r="K91" s="1741">
        <v>0</v>
      </c>
      <c r="N91" s="1342"/>
    </row>
    <row r="92" spans="2:14" s="647" customFormat="1">
      <c r="B92" s="2946"/>
      <c r="C92" s="2038" t="s">
        <v>352</v>
      </c>
      <c r="D92" s="1728">
        <v>21.995000000000001</v>
      </c>
      <c r="E92" s="1728">
        <v>359.83820000000003</v>
      </c>
      <c r="F92" s="1729">
        <v>0</v>
      </c>
      <c r="G92" s="1729">
        <v>0</v>
      </c>
      <c r="H92" s="2039">
        <v>359.83820000000003</v>
      </c>
      <c r="I92" s="1729">
        <v>355.49299999999999</v>
      </c>
      <c r="J92" s="2040">
        <v>4.3452000000000339</v>
      </c>
      <c r="K92" s="1742">
        <f t="shared" ref="K92:K115" si="8">+I92/H92</f>
        <v>0.9879245727663154</v>
      </c>
      <c r="N92" s="1342"/>
    </row>
    <row r="93" spans="2:14" s="647" customFormat="1">
      <c r="B93" s="2946"/>
      <c r="C93" s="2038" t="s">
        <v>353</v>
      </c>
      <c r="D93" s="1728">
        <v>42.020470000000003</v>
      </c>
      <c r="E93" s="1728">
        <v>687.45488920000003</v>
      </c>
      <c r="F93" s="1729"/>
      <c r="G93" s="1729"/>
      <c r="H93" s="2039">
        <v>687.45488920000003</v>
      </c>
      <c r="I93" s="1729">
        <v>687.45500000000004</v>
      </c>
      <c r="J93" s="1728">
        <v>-1.1080000001584267E-4</v>
      </c>
      <c r="K93" s="1742">
        <f t="shared" si="8"/>
        <v>1.000000161174212</v>
      </c>
      <c r="N93" s="1342"/>
    </row>
    <row r="94" spans="2:14" s="647" customFormat="1" ht="15.75" thickBot="1">
      <c r="B94" s="2947"/>
      <c r="C94" s="2041" t="s">
        <v>354</v>
      </c>
      <c r="D94" s="2042">
        <v>15.9845232</v>
      </c>
      <c r="E94" s="2042">
        <v>261.50679955200002</v>
      </c>
      <c r="F94" s="1739"/>
      <c r="G94" s="1739"/>
      <c r="H94" s="2043">
        <v>261.50679955200002</v>
      </c>
      <c r="I94" s="1739">
        <v>259.48899999999998</v>
      </c>
      <c r="J94" s="2042">
        <v>2.0177995520000422</v>
      </c>
      <c r="K94" s="1745">
        <f t="shared" si="8"/>
        <v>0.99228394995672453</v>
      </c>
      <c r="N94" s="1342"/>
    </row>
    <row r="95" spans="2:14" s="647" customFormat="1" ht="14.45" customHeight="1">
      <c r="B95" s="2945" t="s">
        <v>83</v>
      </c>
      <c r="C95" s="2044" t="s">
        <v>314</v>
      </c>
      <c r="D95" s="2045">
        <v>1.5</v>
      </c>
      <c r="E95" s="1726">
        <v>24.54</v>
      </c>
      <c r="F95" s="1726">
        <v>0</v>
      </c>
      <c r="G95" s="1726">
        <v>8.18</v>
      </c>
      <c r="H95" s="1727">
        <v>16.36</v>
      </c>
      <c r="I95" s="1726">
        <v>15.487</v>
      </c>
      <c r="J95" s="1726">
        <v>0.87299999999999933</v>
      </c>
      <c r="K95" s="1741">
        <f t="shared" si="8"/>
        <v>0.94663814180929096</v>
      </c>
      <c r="L95" s="356"/>
      <c r="N95" s="1342"/>
    </row>
    <row r="96" spans="2:14" s="647" customFormat="1">
      <c r="B96" s="2946"/>
      <c r="C96" s="2046" t="s">
        <v>192</v>
      </c>
      <c r="D96" s="2047">
        <v>1</v>
      </c>
      <c r="E96" s="1730">
        <v>16.36</v>
      </c>
      <c r="F96" s="1729">
        <v>4</v>
      </c>
      <c r="G96" s="1729">
        <v>0</v>
      </c>
      <c r="H96" s="1731">
        <v>20.36</v>
      </c>
      <c r="I96" s="1729">
        <v>20.326000000000001</v>
      </c>
      <c r="J96" s="1732">
        <v>3.399999999999892E-2</v>
      </c>
      <c r="K96" s="1742">
        <f t="shared" si="8"/>
        <v>0.99833005893909632</v>
      </c>
      <c r="N96" s="1342"/>
    </row>
    <row r="97" spans="2:14" s="647" customFormat="1">
      <c r="B97" s="2946"/>
      <c r="C97" s="2046" t="s">
        <v>196</v>
      </c>
      <c r="D97" s="2047">
        <v>1.5</v>
      </c>
      <c r="E97" s="1729">
        <v>24.54</v>
      </c>
      <c r="F97" s="1729">
        <v>0</v>
      </c>
      <c r="G97" s="1729">
        <v>16.969000000000001</v>
      </c>
      <c r="H97" s="1731">
        <v>7.570999999999998</v>
      </c>
      <c r="I97" s="1729">
        <v>7.5709999999999997</v>
      </c>
      <c r="J97" s="1732">
        <v>0</v>
      </c>
      <c r="K97" s="1742">
        <f t="shared" si="8"/>
        <v>1.0000000000000002</v>
      </c>
      <c r="N97" s="1342"/>
    </row>
    <row r="98" spans="2:14" s="647" customFormat="1">
      <c r="B98" s="2946"/>
      <c r="C98" s="2048" t="s">
        <v>315</v>
      </c>
      <c r="D98" s="2047">
        <v>3.5</v>
      </c>
      <c r="E98" s="1729">
        <v>57.260000000000005</v>
      </c>
      <c r="F98" s="1729">
        <v>0.32700000000000001</v>
      </c>
      <c r="G98" s="1729">
        <v>0</v>
      </c>
      <c r="H98" s="1731">
        <v>57.587000000000003</v>
      </c>
      <c r="I98" s="1729">
        <v>57.491999999999997</v>
      </c>
      <c r="J98" s="1732">
        <v>9.5000000000005969E-2</v>
      </c>
      <c r="K98" s="1744">
        <f t="shared" si="8"/>
        <v>0.99835032212131203</v>
      </c>
      <c r="N98" s="1342"/>
    </row>
    <row r="99" spans="2:14" s="647" customFormat="1" ht="14.45" customHeight="1">
      <c r="B99" s="2946"/>
      <c r="C99" s="2046" t="s">
        <v>316</v>
      </c>
      <c r="D99" s="2047">
        <v>0.5</v>
      </c>
      <c r="E99" s="1729">
        <v>8.18</v>
      </c>
      <c r="F99" s="1729">
        <v>0</v>
      </c>
      <c r="G99" s="1729">
        <v>0</v>
      </c>
      <c r="H99" s="1731">
        <v>8.18</v>
      </c>
      <c r="I99" s="1729">
        <v>8.1750000000000007</v>
      </c>
      <c r="J99" s="1732">
        <v>4.9999999999990052E-3</v>
      </c>
      <c r="K99" s="1742">
        <f t="shared" si="8"/>
        <v>0.99938875305623487</v>
      </c>
      <c r="N99" s="1342"/>
    </row>
    <row r="100" spans="2:14" s="647" customFormat="1">
      <c r="B100" s="2946"/>
      <c r="C100" s="2048" t="s">
        <v>358</v>
      </c>
      <c r="D100" s="2047">
        <v>0</v>
      </c>
      <c r="E100" s="1729">
        <v>0</v>
      </c>
      <c r="F100" s="1729">
        <v>4.8499999999999996</v>
      </c>
      <c r="G100" s="1729">
        <v>0</v>
      </c>
      <c r="H100" s="1731">
        <v>4.8499999999999996</v>
      </c>
      <c r="I100" s="1729">
        <v>4.8460000000000001</v>
      </c>
      <c r="J100" s="1733">
        <v>3.9999999999995595E-3</v>
      </c>
      <c r="K100" s="1742">
        <f t="shared" si="8"/>
        <v>0.99917525773195881</v>
      </c>
      <c r="N100" s="1342"/>
    </row>
    <row r="101" spans="2:14" s="647" customFormat="1">
      <c r="B101" s="2946"/>
      <c r="C101" s="2046" t="s">
        <v>317</v>
      </c>
      <c r="D101" s="2047">
        <v>0.5</v>
      </c>
      <c r="E101" s="1729">
        <v>8.18</v>
      </c>
      <c r="F101" s="1729">
        <v>0</v>
      </c>
      <c r="G101" s="1729">
        <v>8.18</v>
      </c>
      <c r="H101" s="1731">
        <v>0</v>
      </c>
      <c r="I101" s="1729">
        <v>0</v>
      </c>
      <c r="J101" s="1734">
        <v>0</v>
      </c>
      <c r="K101" s="1742">
        <v>1</v>
      </c>
      <c r="N101" s="1342"/>
    </row>
    <row r="102" spans="2:14" s="647" customFormat="1">
      <c r="B102" s="2946"/>
      <c r="C102" s="2048" t="s">
        <v>193</v>
      </c>
      <c r="D102" s="2047">
        <v>0.5</v>
      </c>
      <c r="E102" s="1729">
        <v>8.18</v>
      </c>
      <c r="F102" s="1729">
        <v>0</v>
      </c>
      <c r="G102" s="1729">
        <v>0.32700000000000001</v>
      </c>
      <c r="H102" s="1731">
        <v>7.8529999999999998</v>
      </c>
      <c r="I102" s="1729">
        <v>7.8529999999999998</v>
      </c>
      <c r="J102" s="1732">
        <v>0</v>
      </c>
      <c r="K102" s="1744">
        <f t="shared" si="8"/>
        <v>1</v>
      </c>
      <c r="N102" s="1342"/>
    </row>
    <row r="103" spans="2:14" s="647" customFormat="1" ht="14.45" customHeight="1">
      <c r="B103" s="2946"/>
      <c r="C103" s="2046" t="s">
        <v>318</v>
      </c>
      <c r="D103" s="2047">
        <v>0</v>
      </c>
      <c r="E103" s="1729">
        <v>0</v>
      </c>
      <c r="F103" s="1729">
        <v>40.9</v>
      </c>
      <c r="G103" s="1729">
        <v>0.58699999999999997</v>
      </c>
      <c r="H103" s="1731">
        <v>40.312999999999995</v>
      </c>
      <c r="I103" s="1729">
        <v>40.15</v>
      </c>
      <c r="J103" s="1735">
        <v>0.1629999999999967</v>
      </c>
      <c r="K103" s="1742">
        <f t="shared" si="8"/>
        <v>0.99595663929749711</v>
      </c>
      <c r="N103" s="1342"/>
    </row>
    <row r="104" spans="2:14" s="647" customFormat="1">
      <c r="B104" s="2946"/>
      <c r="C104" s="2048" t="s">
        <v>319</v>
      </c>
      <c r="D104" s="2047">
        <v>1</v>
      </c>
      <c r="E104" s="1729">
        <v>16.36</v>
      </c>
      <c r="F104" s="1729">
        <v>16.969000000000001</v>
      </c>
      <c r="G104" s="1729">
        <v>1.3069999999999999</v>
      </c>
      <c r="H104" s="1731">
        <v>32.021999999999998</v>
      </c>
      <c r="I104" s="1729">
        <v>32.021999999999998</v>
      </c>
      <c r="J104" s="1732">
        <v>0</v>
      </c>
      <c r="K104" s="1742">
        <f t="shared" si="8"/>
        <v>1</v>
      </c>
      <c r="N104" s="1342"/>
    </row>
    <row r="105" spans="2:14" s="647" customFormat="1">
      <c r="B105" s="2946"/>
      <c r="C105" s="2048" t="s">
        <v>305</v>
      </c>
      <c r="D105" s="2047">
        <v>0</v>
      </c>
      <c r="E105" s="1729">
        <v>0</v>
      </c>
      <c r="F105" s="1729">
        <v>8.18</v>
      </c>
      <c r="G105" s="1729">
        <v>0</v>
      </c>
      <c r="H105" s="1731">
        <v>8.18</v>
      </c>
      <c r="I105" s="1729">
        <v>7.2690000000000001</v>
      </c>
      <c r="J105" s="1732">
        <v>0.91099999999999959</v>
      </c>
      <c r="K105" s="1742">
        <f t="shared" si="8"/>
        <v>0.88863080684596585</v>
      </c>
      <c r="N105" s="1342"/>
    </row>
    <row r="106" spans="2:14" s="647" customFormat="1">
      <c r="B106" s="2946"/>
      <c r="C106" s="2068" t="s">
        <v>320</v>
      </c>
      <c r="D106" s="2069">
        <v>0.5</v>
      </c>
      <c r="E106" s="2070">
        <v>8.18</v>
      </c>
      <c r="F106" s="2070">
        <v>0.8</v>
      </c>
      <c r="G106" s="2070">
        <v>0</v>
      </c>
      <c r="H106" s="2071">
        <v>8.98</v>
      </c>
      <c r="I106" s="2070">
        <v>9.0210000000000008</v>
      </c>
      <c r="J106" s="2072">
        <v>-4.1000000000000369E-2</v>
      </c>
      <c r="K106" s="2054">
        <f t="shared" si="8"/>
        <v>1.0045657015590201</v>
      </c>
      <c r="M106" s="1341" t="s">
        <v>756</v>
      </c>
      <c r="N106" s="1342"/>
    </row>
    <row r="107" spans="2:14" s="647" customFormat="1">
      <c r="B107" s="2946"/>
      <c r="C107" s="2048" t="s">
        <v>359</v>
      </c>
      <c r="D107" s="2047">
        <v>0</v>
      </c>
      <c r="E107" s="1729">
        <v>0</v>
      </c>
      <c r="F107" s="1729">
        <v>7.4949999999999992</v>
      </c>
      <c r="G107" s="1729">
        <v>0</v>
      </c>
      <c r="H107" s="1731">
        <v>7.4949999999999992</v>
      </c>
      <c r="I107" s="1729">
        <v>6.5670000000000002</v>
      </c>
      <c r="J107" s="1732">
        <v>0.92799999999999905</v>
      </c>
      <c r="K107" s="1742">
        <f t="shared" si="8"/>
        <v>0.87618412274849911</v>
      </c>
      <c r="N107" s="1342"/>
    </row>
    <row r="108" spans="2:14" s="647" customFormat="1">
      <c r="B108" s="2946"/>
      <c r="C108" s="2048" t="s">
        <v>194</v>
      </c>
      <c r="D108" s="2047">
        <v>2.5</v>
      </c>
      <c r="E108" s="1729">
        <v>40.900000000000006</v>
      </c>
      <c r="F108" s="1729">
        <v>0</v>
      </c>
      <c r="G108" s="1729">
        <v>40.9</v>
      </c>
      <c r="H108" s="1731">
        <v>0</v>
      </c>
      <c r="I108" s="1729">
        <v>0</v>
      </c>
      <c r="J108" s="1732">
        <v>0</v>
      </c>
      <c r="K108" s="1742">
        <v>1</v>
      </c>
      <c r="N108" s="1342"/>
    </row>
    <row r="109" spans="2:14" s="647" customFormat="1">
      <c r="B109" s="2946"/>
      <c r="C109" s="2048" t="s">
        <v>321</v>
      </c>
      <c r="D109" s="2047">
        <v>1</v>
      </c>
      <c r="E109" s="1729">
        <v>16.36</v>
      </c>
      <c r="F109" s="1729">
        <v>0</v>
      </c>
      <c r="G109" s="1729">
        <v>0</v>
      </c>
      <c r="H109" s="1731">
        <v>16.36</v>
      </c>
      <c r="I109" s="1729">
        <v>15.695</v>
      </c>
      <c r="J109" s="1732">
        <v>0.66499999999999915</v>
      </c>
      <c r="K109" s="1742">
        <f t="shared" si="8"/>
        <v>0.95935207823960889</v>
      </c>
      <c r="N109" s="1342"/>
    </row>
    <row r="110" spans="2:14" s="647" customFormat="1">
      <c r="B110" s="2946"/>
      <c r="C110" s="2048" t="s">
        <v>602</v>
      </c>
      <c r="D110" s="2047">
        <v>0</v>
      </c>
      <c r="E110" s="1729">
        <v>0</v>
      </c>
      <c r="F110" s="1729">
        <v>4.18</v>
      </c>
      <c r="G110" s="1729">
        <v>0</v>
      </c>
      <c r="H110" s="1731">
        <v>4.18</v>
      </c>
      <c r="I110" s="1729">
        <v>0.441</v>
      </c>
      <c r="J110" s="1732">
        <v>3.7389999999999999</v>
      </c>
      <c r="K110" s="1742">
        <f t="shared" si="8"/>
        <v>0.10550239234449761</v>
      </c>
      <c r="N110" s="1342"/>
    </row>
    <row r="111" spans="2:14" s="647" customFormat="1">
      <c r="B111" s="2946"/>
      <c r="C111" s="2048" t="s">
        <v>197</v>
      </c>
      <c r="D111" s="2049">
        <v>1</v>
      </c>
      <c r="E111" s="1736">
        <v>16.36</v>
      </c>
      <c r="F111" s="1729">
        <v>1.8939999999999999</v>
      </c>
      <c r="G111" s="1736">
        <v>0</v>
      </c>
      <c r="H111" s="1737">
        <v>18.253999999999998</v>
      </c>
      <c r="I111" s="1736">
        <v>18.254000000000001</v>
      </c>
      <c r="J111" s="1738">
        <v>0</v>
      </c>
      <c r="K111" s="1742">
        <f t="shared" si="8"/>
        <v>1.0000000000000002</v>
      </c>
      <c r="N111" s="1342"/>
    </row>
    <row r="112" spans="2:14" s="647" customFormat="1">
      <c r="B112" s="2946"/>
      <c r="C112" s="2048" t="s">
        <v>322</v>
      </c>
      <c r="D112" s="2047">
        <v>2.5</v>
      </c>
      <c r="E112" s="1729">
        <v>40.900000000000006</v>
      </c>
      <c r="F112" s="1729">
        <v>0</v>
      </c>
      <c r="G112" s="1729">
        <v>0</v>
      </c>
      <c r="H112" s="1731">
        <v>40.900000000000006</v>
      </c>
      <c r="I112" s="1729">
        <v>37.773000000000003</v>
      </c>
      <c r="J112" s="1732">
        <v>3.1270000000000024</v>
      </c>
      <c r="K112" s="1742">
        <f t="shared" si="8"/>
        <v>0.92354523227383856</v>
      </c>
      <c r="N112" s="1342"/>
    </row>
    <row r="113" spans="1:181" s="647" customFormat="1">
      <c r="B113" s="2946"/>
      <c r="C113" s="2046" t="s">
        <v>209</v>
      </c>
      <c r="D113" s="2047">
        <v>0.5</v>
      </c>
      <c r="E113" s="1729">
        <v>8.18</v>
      </c>
      <c r="F113" s="1729">
        <v>0</v>
      </c>
      <c r="G113" s="1729">
        <v>0</v>
      </c>
      <c r="H113" s="1731">
        <v>8.18</v>
      </c>
      <c r="I113" s="1729">
        <v>7.8209999999999997</v>
      </c>
      <c r="J113" s="1732">
        <v>0.35899999999999999</v>
      </c>
      <c r="K113" s="1742">
        <f t="shared" si="8"/>
        <v>0.95611246943765282</v>
      </c>
      <c r="N113" s="1342"/>
      <c r="O113" s="1341"/>
      <c r="P113" s="1341"/>
      <c r="Q113" s="1341"/>
      <c r="R113" s="1341"/>
      <c r="S113" s="1341"/>
      <c r="T113" s="1341"/>
      <c r="U113" s="1341"/>
      <c r="V113" s="1341"/>
      <c r="W113" s="1341"/>
    </row>
    <row r="114" spans="1:181" s="647" customFormat="1">
      <c r="B114" s="2946"/>
      <c r="C114" s="2068" t="s">
        <v>195</v>
      </c>
      <c r="D114" s="2069">
        <v>1</v>
      </c>
      <c r="E114" s="2070">
        <v>16.36</v>
      </c>
      <c r="F114" s="2070">
        <v>0</v>
      </c>
      <c r="G114" s="2070">
        <v>13.145</v>
      </c>
      <c r="H114" s="2071">
        <v>3.2149999999999999</v>
      </c>
      <c r="I114" s="2070">
        <v>3.2149999999999999</v>
      </c>
      <c r="J114" s="2073">
        <v>0</v>
      </c>
      <c r="K114" s="2074">
        <f t="shared" si="8"/>
        <v>1</v>
      </c>
      <c r="N114" s="1342"/>
      <c r="O114" s="1341"/>
      <c r="P114" s="1341"/>
      <c r="Q114" s="1341"/>
      <c r="R114" s="1341"/>
      <c r="S114" s="1341"/>
      <c r="T114" s="1341"/>
      <c r="U114" s="1341"/>
      <c r="V114" s="1341"/>
      <c r="W114" s="1341"/>
    </row>
    <row r="115" spans="1:181" s="647" customFormat="1" ht="15" customHeight="1" thickBot="1">
      <c r="B115" s="2947"/>
      <c r="C115" s="2050" t="s">
        <v>323</v>
      </c>
      <c r="D115" s="2051">
        <v>1</v>
      </c>
      <c r="E115" s="1739">
        <v>16.36</v>
      </c>
      <c r="F115" s="1739">
        <v>0</v>
      </c>
      <c r="G115" s="1739">
        <v>0</v>
      </c>
      <c r="H115" s="2052">
        <v>16.36</v>
      </c>
      <c r="I115" s="1739">
        <v>12.678000000000001</v>
      </c>
      <c r="J115" s="2053">
        <v>3.6819999999999986</v>
      </c>
      <c r="K115" s="1743">
        <f t="shared" si="8"/>
        <v>0.77493887530562355</v>
      </c>
      <c r="N115" s="1342"/>
      <c r="O115" s="1341"/>
      <c r="P115" s="1341"/>
      <c r="Q115" s="1341"/>
      <c r="R115" s="1341"/>
      <c r="S115" s="1341"/>
      <c r="T115" s="1341"/>
      <c r="U115" s="1341"/>
      <c r="V115" s="1341"/>
      <c r="W115" s="1341"/>
    </row>
    <row r="116" spans="1:181" ht="15" customHeight="1" thickBot="1">
      <c r="B116" s="839" t="s">
        <v>429</v>
      </c>
      <c r="C116" s="1724"/>
      <c r="D116" s="1723">
        <f t="shared" ref="D116:I116" si="9">SUM(D91:D115)</f>
        <v>99.999993200000006</v>
      </c>
      <c r="E116" s="358">
        <f t="shared" si="9"/>
        <v>1635.9998887519998</v>
      </c>
      <c r="F116" s="358">
        <f t="shared" si="9"/>
        <v>89.594999999999999</v>
      </c>
      <c r="G116" s="358">
        <f t="shared" si="9"/>
        <v>89.594999999999999</v>
      </c>
      <c r="H116" s="358">
        <f t="shared" si="9"/>
        <v>1635.9998887519996</v>
      </c>
      <c r="I116" s="358">
        <f t="shared" si="9"/>
        <v>1615.0929999999998</v>
      </c>
      <c r="J116" s="358">
        <f>SUM(J91:J115)</f>
        <v>20.906888752000061</v>
      </c>
      <c r="K116" s="268">
        <f>+I116/H116</f>
        <v>0.98722072727770882</v>
      </c>
      <c r="L116" s="647"/>
    </row>
    <row r="117" spans="1:181">
      <c r="C117" s="402"/>
      <c r="D117" s="402"/>
      <c r="E117" s="402"/>
      <c r="G117" s="402"/>
      <c r="H117" s="402"/>
      <c r="I117" s="647"/>
      <c r="J117" s="647"/>
      <c r="K117" s="647"/>
      <c r="L117" s="647"/>
    </row>
    <row r="118" spans="1:181" ht="24.6" customHeight="1" thickBot="1">
      <c r="B118" s="275" t="s">
        <v>449</v>
      </c>
      <c r="C118" s="276"/>
      <c r="D118" s="276"/>
      <c r="E118" s="276"/>
      <c r="F118" s="402"/>
      <c r="G118" s="400"/>
      <c r="H118" s="400"/>
      <c r="I118" s="647"/>
      <c r="J118" s="647"/>
      <c r="K118" s="647"/>
      <c r="L118" s="647"/>
    </row>
    <row r="119" spans="1:181" ht="12" customHeight="1">
      <c r="B119" s="2972" t="s">
        <v>443</v>
      </c>
      <c r="C119" s="2967" t="s">
        <v>447</v>
      </c>
      <c r="D119" s="2968"/>
      <c r="E119" s="2968"/>
      <c r="F119" s="2968"/>
      <c r="G119" s="2969"/>
      <c r="H119" s="2970" t="s">
        <v>442</v>
      </c>
      <c r="I119" s="270"/>
      <c r="J119" s="273"/>
      <c r="K119" s="402"/>
      <c r="L119" s="402"/>
      <c r="M119" s="366"/>
      <c r="N119" s="366"/>
    </row>
    <row r="120" spans="1:181" ht="20.100000000000001" customHeight="1">
      <c r="B120" s="2973"/>
      <c r="C120" s="853" t="s">
        <v>65</v>
      </c>
      <c r="D120" s="854" t="s">
        <v>444</v>
      </c>
      <c r="E120" s="855" t="s">
        <v>445</v>
      </c>
      <c r="F120" s="856" t="s">
        <v>262</v>
      </c>
      <c r="G120" s="857" t="s">
        <v>446</v>
      </c>
      <c r="H120" s="2971"/>
      <c r="I120" s="271"/>
      <c r="J120" s="274"/>
      <c r="K120" s="271"/>
      <c r="L120" s="271"/>
      <c r="M120" s="269"/>
      <c r="N120" s="269"/>
    </row>
    <row r="121" spans="1:181" ht="15.75" customHeight="1">
      <c r="B121" s="847">
        <v>119</v>
      </c>
      <c r="C121" s="1721">
        <v>27.504999999999999</v>
      </c>
      <c r="D121" s="1721">
        <v>108.605</v>
      </c>
      <c r="E121" s="1721">
        <v>6.7859999999999996</v>
      </c>
      <c r="F121" s="1721">
        <v>66.234999999999999</v>
      </c>
      <c r="G121" s="1721">
        <v>46.262</v>
      </c>
      <c r="H121" s="1410">
        <f>SUM(C121:G121)</f>
        <v>255.39300000000003</v>
      </c>
      <c r="I121" s="402"/>
      <c r="J121" s="274"/>
      <c r="K121" s="402"/>
      <c r="L121" s="402"/>
      <c r="M121" s="366"/>
      <c r="N121" s="366"/>
    </row>
    <row r="122" spans="1:181" ht="18.75" customHeight="1" thickBot="1">
      <c r="B122" s="852">
        <v>120</v>
      </c>
      <c r="C122" s="1721">
        <v>2.92</v>
      </c>
      <c r="D122" s="2055">
        <v>64.881</v>
      </c>
      <c r="E122" s="1722">
        <v>0.34200000000000003</v>
      </c>
      <c r="F122" s="1722">
        <v>1237.376</v>
      </c>
      <c r="G122" s="2055">
        <v>54.180999999999997</v>
      </c>
      <c r="H122" s="1410">
        <f>SUM(C122:G122)</f>
        <v>1359.7</v>
      </c>
      <c r="I122" s="402"/>
      <c r="J122" s="400"/>
      <c r="K122" s="402"/>
      <c r="L122" s="402"/>
      <c r="M122" s="366"/>
      <c r="N122" s="366"/>
    </row>
    <row r="123" spans="1:181" ht="12" customHeight="1" thickBot="1">
      <c r="B123" s="848" t="s">
        <v>427</v>
      </c>
      <c r="C123" s="851">
        <f t="shared" ref="C123:E123" si="10">SUM(C121:C122)</f>
        <v>30.424999999999997</v>
      </c>
      <c r="D123" s="850">
        <f t="shared" si="10"/>
        <v>173.48599999999999</v>
      </c>
      <c r="E123" s="850">
        <f t="shared" si="10"/>
        <v>7.1279999999999992</v>
      </c>
      <c r="F123" s="850">
        <f>SUM(F121:F122)</f>
        <v>1303.6109999999999</v>
      </c>
      <c r="G123" s="849">
        <f t="shared" ref="G123" si="11">SUM(G121:G122)</f>
        <v>100.443</v>
      </c>
      <c r="H123" s="264">
        <f>SUM(H121:H122)</f>
        <v>1615.0930000000001</v>
      </c>
      <c r="I123" s="402"/>
      <c r="J123" s="400"/>
      <c r="K123" s="402"/>
      <c r="L123" s="402"/>
      <c r="M123" s="366"/>
      <c r="N123" s="366"/>
    </row>
    <row r="124" spans="1:181" ht="12" customHeight="1">
      <c r="B124" s="402"/>
      <c r="C124" s="402"/>
      <c r="D124" s="402"/>
      <c r="E124" s="402"/>
      <c r="F124" s="402"/>
      <c r="G124" s="272"/>
      <c r="H124" s="272"/>
      <c r="I124" s="402"/>
      <c r="J124" s="402"/>
      <c r="K124" s="402"/>
      <c r="L124" s="402"/>
      <c r="M124" s="366"/>
      <c r="N124" s="366"/>
    </row>
    <row r="125" spans="1:181" ht="24" customHeight="1" thickBot="1">
      <c r="B125" s="275" t="s">
        <v>448</v>
      </c>
      <c r="C125" s="400"/>
      <c r="D125" s="400"/>
      <c r="E125" s="402"/>
      <c r="F125" s="402"/>
      <c r="G125" s="402"/>
      <c r="H125" s="402"/>
      <c r="I125" s="402"/>
      <c r="J125" s="402"/>
      <c r="K125" s="402"/>
      <c r="L125" s="402"/>
      <c r="M125" s="366"/>
      <c r="N125" s="366"/>
    </row>
    <row r="126" spans="1:181" s="343" customFormat="1" ht="21.75" customHeight="1" thickBot="1">
      <c r="A126" s="336"/>
      <c r="B126" s="2948" t="s">
        <v>590</v>
      </c>
      <c r="C126" s="2949"/>
      <c r="D126" s="2949"/>
      <c r="E126" s="740"/>
      <c r="F126" s="740"/>
      <c r="G126" s="740"/>
      <c r="H126" s="740"/>
      <c r="I126" s="740"/>
      <c r="J126" s="366"/>
      <c r="K126" s="366"/>
      <c r="L126" s="366"/>
      <c r="M126" s="366"/>
      <c r="N126" s="366"/>
      <c r="O126" s="366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  <c r="AA126" s="335"/>
      <c r="AB126" s="335"/>
      <c r="AC126" s="335"/>
      <c r="AD126" s="335"/>
      <c r="AE126" s="335"/>
      <c r="AF126" s="335"/>
      <c r="AG126" s="335"/>
      <c r="AH126" s="335"/>
      <c r="AI126" s="335"/>
      <c r="AJ126" s="335"/>
      <c r="AK126" s="335"/>
      <c r="AL126" s="335"/>
      <c r="AM126" s="335"/>
      <c r="AN126" s="335"/>
      <c r="AO126" s="335"/>
      <c r="AP126" s="335"/>
      <c r="AQ126" s="335"/>
      <c r="AR126" s="335"/>
      <c r="AS126" s="335"/>
      <c r="AT126" s="335"/>
      <c r="AU126" s="335"/>
      <c r="AV126" s="335"/>
      <c r="AW126" s="335"/>
      <c r="AX126" s="335"/>
      <c r="AY126" s="335"/>
      <c r="AZ126" s="335"/>
      <c r="BA126" s="335"/>
      <c r="BB126" s="335"/>
      <c r="BC126" s="335"/>
      <c r="BD126" s="335"/>
      <c r="BE126" s="335"/>
      <c r="BF126" s="335"/>
      <c r="BG126" s="335"/>
      <c r="BH126" s="335"/>
      <c r="BI126" s="335"/>
      <c r="BJ126" s="335"/>
      <c r="BK126" s="335"/>
      <c r="BL126" s="335"/>
      <c r="BM126" s="335"/>
      <c r="BN126" s="335"/>
      <c r="BO126" s="335"/>
      <c r="BP126" s="335"/>
      <c r="BQ126" s="335"/>
      <c r="BR126" s="335"/>
      <c r="BS126" s="335"/>
      <c r="BT126" s="335"/>
      <c r="BU126" s="335"/>
      <c r="BV126" s="335"/>
      <c r="BW126" s="335"/>
      <c r="BX126" s="335"/>
      <c r="BY126" s="335"/>
      <c r="BZ126" s="335"/>
      <c r="CA126" s="335"/>
      <c r="CB126" s="335"/>
      <c r="CC126" s="335"/>
      <c r="CD126" s="335"/>
      <c r="CE126" s="335"/>
      <c r="CF126" s="335"/>
      <c r="CG126" s="335"/>
      <c r="CH126" s="335"/>
      <c r="CI126" s="335"/>
      <c r="CJ126" s="335"/>
      <c r="CK126" s="335"/>
      <c r="CL126" s="335"/>
      <c r="CM126" s="335"/>
      <c r="CN126" s="335"/>
      <c r="CO126" s="335"/>
      <c r="CP126" s="335"/>
      <c r="CQ126" s="335"/>
      <c r="CR126" s="335"/>
      <c r="CS126" s="335"/>
      <c r="CT126" s="335"/>
      <c r="CU126" s="335"/>
      <c r="CV126" s="335"/>
      <c r="CW126" s="335"/>
      <c r="CX126" s="335"/>
      <c r="CY126" s="335"/>
      <c r="CZ126" s="335"/>
      <c r="DA126" s="335"/>
      <c r="DB126" s="335"/>
      <c r="DC126" s="335"/>
      <c r="DD126" s="335"/>
      <c r="DE126" s="335"/>
      <c r="DF126" s="335"/>
      <c r="DG126" s="335"/>
      <c r="DH126" s="335"/>
      <c r="DI126" s="335"/>
      <c r="DJ126" s="335"/>
      <c r="DK126" s="335"/>
      <c r="DL126" s="335"/>
      <c r="DM126" s="335"/>
      <c r="DN126" s="335"/>
      <c r="DO126" s="335"/>
      <c r="DP126" s="335"/>
      <c r="DQ126" s="335"/>
      <c r="DR126" s="335"/>
      <c r="DS126" s="335"/>
      <c r="DT126" s="335"/>
      <c r="DU126" s="335"/>
      <c r="DV126" s="335"/>
      <c r="DW126" s="335"/>
      <c r="DX126" s="335"/>
      <c r="DY126" s="335"/>
      <c r="DZ126" s="335"/>
      <c r="EA126" s="335"/>
      <c r="EB126" s="335"/>
      <c r="EC126" s="335"/>
      <c r="ED126" s="335"/>
      <c r="EE126" s="335"/>
      <c r="EF126" s="335"/>
      <c r="EG126" s="335"/>
      <c r="EH126" s="335"/>
      <c r="EI126" s="335"/>
      <c r="EJ126" s="335"/>
      <c r="EK126" s="335"/>
      <c r="EL126" s="335"/>
      <c r="EM126" s="335"/>
      <c r="EN126" s="335"/>
      <c r="EO126" s="335"/>
      <c r="EP126" s="335"/>
      <c r="EQ126" s="335"/>
      <c r="ER126" s="335"/>
      <c r="ES126" s="335"/>
      <c r="ET126" s="335"/>
      <c r="EU126" s="335"/>
      <c r="EV126" s="335"/>
      <c r="EW126" s="335"/>
      <c r="EX126" s="335"/>
      <c r="EY126" s="335"/>
      <c r="EZ126" s="335"/>
      <c r="FA126" s="335"/>
      <c r="FB126" s="335"/>
      <c r="FC126" s="335"/>
      <c r="FD126" s="335"/>
      <c r="FE126" s="335"/>
      <c r="FF126" s="335"/>
      <c r="FG126" s="335"/>
      <c r="FH126" s="335"/>
      <c r="FI126" s="335"/>
      <c r="FJ126" s="335"/>
      <c r="FK126" s="335"/>
      <c r="FL126" s="335"/>
      <c r="FM126" s="335"/>
      <c r="FN126" s="335"/>
      <c r="FO126" s="335"/>
      <c r="FP126" s="335"/>
      <c r="FQ126" s="335"/>
      <c r="FR126" s="335"/>
      <c r="FS126" s="335"/>
      <c r="FT126" s="335"/>
      <c r="FU126" s="335"/>
      <c r="FV126" s="335"/>
      <c r="FW126" s="335"/>
      <c r="FX126" s="335"/>
      <c r="FY126" s="335"/>
    </row>
    <row r="127" spans="1:181" s="343" customFormat="1" ht="15.95" customHeight="1">
      <c r="A127" s="337"/>
      <c r="B127" s="1244" t="s">
        <v>430</v>
      </c>
      <c r="C127" s="1245" t="s">
        <v>431</v>
      </c>
      <c r="D127" s="1246" t="s">
        <v>364</v>
      </c>
      <c r="E127" s="1246" t="s">
        <v>432</v>
      </c>
      <c r="F127" s="1245" t="s">
        <v>567</v>
      </c>
      <c r="G127" s="1245" t="s">
        <v>433</v>
      </c>
      <c r="H127" s="1245" t="s">
        <v>456</v>
      </c>
      <c r="I127" s="1245" t="s">
        <v>435</v>
      </c>
      <c r="J127" s="1245" t="s">
        <v>436</v>
      </c>
      <c r="K127" s="2056" t="s">
        <v>437</v>
      </c>
      <c r="L127" s="2056" t="s">
        <v>370</v>
      </c>
      <c r="M127" s="2056" t="s">
        <v>438</v>
      </c>
      <c r="N127" s="1245" t="s">
        <v>406</v>
      </c>
      <c r="O127" s="1247" t="s">
        <v>439</v>
      </c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  <c r="AA127" s="335"/>
      <c r="AB127" s="335"/>
      <c r="AC127" s="335"/>
      <c r="AD127" s="335"/>
      <c r="AE127" s="335"/>
      <c r="AF127" s="335"/>
      <c r="AG127" s="335"/>
      <c r="AH127" s="335"/>
      <c r="AI127" s="335"/>
      <c r="AJ127" s="335"/>
      <c r="AK127" s="335"/>
      <c r="AL127" s="335"/>
      <c r="AM127" s="335"/>
      <c r="AN127" s="335"/>
      <c r="AO127" s="335"/>
      <c r="AP127" s="335"/>
      <c r="AQ127" s="335"/>
      <c r="AR127" s="335"/>
      <c r="AS127" s="335"/>
      <c r="AT127" s="335"/>
      <c r="AU127" s="335"/>
      <c r="AV127" s="335"/>
      <c r="AW127" s="335"/>
      <c r="AX127" s="335"/>
      <c r="AY127" s="335"/>
      <c r="AZ127" s="335"/>
      <c r="BA127" s="335"/>
      <c r="BB127" s="335"/>
      <c r="BC127" s="335"/>
      <c r="BD127" s="335"/>
      <c r="BE127" s="335"/>
      <c r="BF127" s="335"/>
      <c r="BG127" s="335"/>
      <c r="BH127" s="335"/>
      <c r="BI127" s="335"/>
      <c r="BJ127" s="335"/>
      <c r="BK127" s="335"/>
      <c r="BL127" s="335"/>
      <c r="BM127" s="335"/>
      <c r="BN127" s="335"/>
      <c r="BO127" s="335"/>
      <c r="BP127" s="335"/>
      <c r="BQ127" s="335"/>
      <c r="BR127" s="335"/>
      <c r="BS127" s="335"/>
      <c r="BT127" s="335"/>
      <c r="BU127" s="335"/>
      <c r="BV127" s="335"/>
      <c r="BW127" s="335"/>
      <c r="BX127" s="335"/>
      <c r="BY127" s="335"/>
      <c r="BZ127" s="335"/>
      <c r="CA127" s="335"/>
      <c r="CB127" s="335"/>
      <c r="CC127" s="335"/>
      <c r="CD127" s="335"/>
      <c r="CE127" s="335"/>
      <c r="CF127" s="335"/>
      <c r="CG127" s="335"/>
      <c r="CH127" s="335"/>
      <c r="CI127" s="335"/>
      <c r="CJ127" s="335"/>
      <c r="CK127" s="335"/>
      <c r="CL127" s="335"/>
      <c r="CM127" s="335"/>
      <c r="CN127" s="335"/>
      <c r="CO127" s="335"/>
      <c r="CP127" s="335"/>
      <c r="CQ127" s="335"/>
      <c r="CR127" s="335"/>
      <c r="CS127" s="335"/>
      <c r="CT127" s="335"/>
      <c r="CU127" s="335"/>
      <c r="CV127" s="335"/>
      <c r="CW127" s="335"/>
      <c r="CX127" s="335"/>
      <c r="CY127" s="335"/>
      <c r="CZ127" s="335"/>
      <c r="DA127" s="335"/>
      <c r="DB127" s="335"/>
      <c r="DC127" s="335"/>
      <c r="DD127" s="335"/>
      <c r="DE127" s="335"/>
      <c r="DF127" s="335"/>
      <c r="DG127" s="335"/>
      <c r="DH127" s="335"/>
      <c r="DI127" s="335"/>
      <c r="DJ127" s="335"/>
      <c r="DK127" s="335"/>
      <c r="DL127" s="335"/>
      <c r="DM127" s="335"/>
      <c r="DN127" s="335"/>
      <c r="DO127" s="335"/>
      <c r="DP127" s="335"/>
      <c r="DQ127" s="335"/>
      <c r="DR127" s="335"/>
      <c r="DS127" s="335"/>
      <c r="DT127" s="335"/>
      <c r="DU127" s="335"/>
      <c r="DV127" s="335"/>
      <c r="DW127" s="335"/>
      <c r="DX127" s="335"/>
      <c r="DY127" s="335"/>
      <c r="DZ127" s="335"/>
      <c r="EA127" s="335"/>
      <c r="EB127" s="335"/>
      <c r="EC127" s="335"/>
      <c r="ED127" s="335"/>
      <c r="EE127" s="335"/>
      <c r="EF127" s="335"/>
      <c r="EG127" s="335"/>
      <c r="EH127" s="335"/>
      <c r="EI127" s="335"/>
      <c r="EJ127" s="335"/>
      <c r="EK127" s="335"/>
      <c r="EL127" s="335"/>
      <c r="EM127" s="335"/>
      <c r="EN127" s="335"/>
      <c r="EO127" s="335"/>
      <c r="EP127" s="335"/>
      <c r="EQ127" s="335"/>
      <c r="ER127" s="335"/>
      <c r="ES127" s="335"/>
      <c r="ET127" s="335"/>
      <c r="EU127" s="335"/>
      <c r="EV127" s="335"/>
      <c r="EW127" s="335"/>
      <c r="EX127" s="335"/>
      <c r="EY127" s="335"/>
      <c r="EZ127" s="335"/>
      <c r="FA127" s="335"/>
      <c r="FB127" s="335"/>
      <c r="FC127" s="335"/>
      <c r="FD127" s="335"/>
      <c r="FE127" s="335"/>
      <c r="FF127" s="335"/>
      <c r="FG127" s="335"/>
      <c r="FH127" s="335"/>
      <c r="FI127" s="335"/>
      <c r="FJ127" s="335"/>
      <c r="FK127" s="335"/>
      <c r="FL127" s="335"/>
      <c r="FM127" s="335"/>
      <c r="FN127" s="335"/>
      <c r="FO127" s="335"/>
      <c r="FP127" s="335"/>
      <c r="FQ127" s="335"/>
      <c r="FR127" s="335"/>
      <c r="FS127" s="335"/>
      <c r="FT127" s="335"/>
      <c r="FU127" s="335"/>
      <c r="FV127" s="335"/>
      <c r="FW127" s="335"/>
      <c r="FX127" s="335"/>
      <c r="FY127" s="335"/>
    </row>
    <row r="128" spans="1:181" s="343" customFormat="1" ht="12" hidden="1" customHeight="1">
      <c r="A128" s="337"/>
      <c r="B128" s="1374" t="s">
        <v>312</v>
      </c>
      <c r="C128" s="1375">
        <v>7418</v>
      </c>
      <c r="D128" s="1374" t="s">
        <v>568</v>
      </c>
      <c r="E128" s="1376" t="s">
        <v>324</v>
      </c>
      <c r="F128" s="1377">
        <v>2011</v>
      </c>
      <c r="G128" s="1378" t="s">
        <v>326</v>
      </c>
      <c r="H128" s="1374"/>
      <c r="I128" s="1379">
        <v>42447</v>
      </c>
      <c r="J128" s="1380" t="s">
        <v>475</v>
      </c>
      <c r="K128" s="1377">
        <v>120</v>
      </c>
      <c r="L128" s="1381">
        <v>12</v>
      </c>
      <c r="M128" s="1382">
        <v>12</v>
      </c>
      <c r="N128" s="1381"/>
      <c r="O128" s="1377">
        <v>0.17299999999999999</v>
      </c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335"/>
      <c r="AB128" s="335"/>
      <c r="AC128" s="335"/>
      <c r="AD128" s="335"/>
      <c r="AE128" s="335"/>
      <c r="AF128" s="335"/>
      <c r="AG128" s="335"/>
      <c r="AH128" s="335"/>
      <c r="AI128" s="335"/>
      <c r="AJ128" s="335"/>
      <c r="AK128" s="335"/>
      <c r="AL128" s="335"/>
      <c r="AM128" s="335"/>
      <c r="AN128" s="335"/>
      <c r="AO128" s="335"/>
      <c r="AP128" s="335"/>
      <c r="AQ128" s="335"/>
      <c r="AR128" s="335"/>
      <c r="AS128" s="335"/>
      <c r="AT128" s="335"/>
      <c r="AU128" s="335"/>
      <c r="AV128" s="335"/>
      <c r="AW128" s="335"/>
      <c r="AX128" s="335"/>
      <c r="AY128" s="335"/>
      <c r="AZ128" s="335"/>
      <c r="BA128" s="335"/>
      <c r="BB128" s="335"/>
      <c r="BC128" s="335"/>
      <c r="BD128" s="335"/>
      <c r="BE128" s="335"/>
      <c r="BF128" s="335"/>
      <c r="BG128" s="335"/>
      <c r="BH128" s="335"/>
      <c r="BI128" s="335"/>
      <c r="BJ128" s="335"/>
      <c r="BK128" s="335"/>
      <c r="BL128" s="335"/>
      <c r="BM128" s="335"/>
      <c r="BN128" s="335"/>
      <c r="BO128" s="335"/>
      <c r="BP128" s="335"/>
      <c r="BQ128" s="335"/>
      <c r="BR128" s="335"/>
      <c r="BS128" s="335"/>
      <c r="BT128" s="335"/>
      <c r="BU128" s="335"/>
      <c r="BV128" s="335"/>
      <c r="BW128" s="335"/>
      <c r="BX128" s="335"/>
      <c r="BY128" s="335"/>
      <c r="BZ128" s="335"/>
      <c r="CA128" s="335"/>
      <c r="CB128" s="335"/>
      <c r="CC128" s="335"/>
      <c r="CD128" s="335"/>
      <c r="CE128" s="335"/>
      <c r="CF128" s="335"/>
      <c r="CG128" s="335"/>
      <c r="CH128" s="335"/>
      <c r="CI128" s="335"/>
      <c r="CJ128" s="335"/>
      <c r="CK128" s="335"/>
      <c r="CL128" s="335"/>
      <c r="CM128" s="335"/>
      <c r="CN128" s="335"/>
      <c r="CO128" s="335"/>
      <c r="CP128" s="335"/>
      <c r="CQ128" s="335"/>
      <c r="CR128" s="335"/>
      <c r="CS128" s="335"/>
      <c r="CT128" s="335"/>
      <c r="CU128" s="335"/>
      <c r="CV128" s="335"/>
      <c r="CW128" s="335"/>
      <c r="CX128" s="335"/>
      <c r="CY128" s="335"/>
      <c r="CZ128" s="335"/>
      <c r="DA128" s="335"/>
      <c r="DB128" s="335"/>
      <c r="DC128" s="335"/>
      <c r="DD128" s="335"/>
      <c r="DE128" s="335"/>
      <c r="DF128" s="335"/>
      <c r="DG128" s="335"/>
      <c r="DH128" s="335"/>
      <c r="DI128" s="335"/>
      <c r="DJ128" s="335"/>
      <c r="DK128" s="335"/>
      <c r="DL128" s="335"/>
      <c r="DM128" s="335"/>
      <c r="DN128" s="335"/>
      <c r="DO128" s="335"/>
      <c r="DP128" s="335"/>
      <c r="DQ128" s="335"/>
      <c r="DR128" s="335"/>
      <c r="DS128" s="335"/>
      <c r="DT128" s="335"/>
      <c r="DU128" s="335"/>
      <c r="DV128" s="335"/>
      <c r="DW128" s="335"/>
      <c r="DX128" s="335"/>
      <c r="DY128" s="335"/>
      <c r="DZ128" s="335"/>
      <c r="EA128" s="335"/>
      <c r="EB128" s="335"/>
      <c r="EC128" s="335"/>
      <c r="ED128" s="335"/>
      <c r="EE128" s="335"/>
      <c r="EF128" s="335"/>
      <c r="EG128" s="335"/>
      <c r="EH128" s="335"/>
      <c r="EI128" s="335"/>
      <c r="EJ128" s="335"/>
      <c r="EK128" s="335"/>
      <c r="EL128" s="335"/>
      <c r="EM128" s="335"/>
      <c r="EN128" s="335"/>
      <c r="EO128" s="335"/>
      <c r="EP128" s="335"/>
      <c r="EQ128" s="335"/>
      <c r="ER128" s="335"/>
      <c r="ES128" s="335"/>
      <c r="ET128" s="335"/>
      <c r="EU128" s="335"/>
      <c r="EV128" s="335"/>
      <c r="EW128" s="335"/>
      <c r="EX128" s="335"/>
      <c r="EY128" s="335"/>
      <c r="EZ128" s="335"/>
      <c r="FA128" s="335"/>
      <c r="FB128" s="335"/>
      <c r="FC128" s="335"/>
      <c r="FD128" s="335"/>
      <c r="FE128" s="335"/>
      <c r="FF128" s="335"/>
      <c r="FG128" s="335"/>
      <c r="FH128" s="335"/>
      <c r="FI128" s="335"/>
      <c r="FJ128" s="335"/>
      <c r="FK128" s="335"/>
      <c r="FL128" s="335"/>
      <c r="FM128" s="335"/>
      <c r="FN128" s="335"/>
      <c r="FO128" s="335"/>
      <c r="FP128" s="335"/>
      <c r="FQ128" s="335"/>
      <c r="FR128" s="335"/>
      <c r="FS128" s="335"/>
      <c r="FT128" s="335"/>
      <c r="FU128" s="335"/>
      <c r="FV128" s="335"/>
      <c r="FW128" s="335"/>
      <c r="FX128" s="335"/>
      <c r="FY128" s="335"/>
    </row>
    <row r="129" spans="1:181" s="343" customFormat="1" ht="12" hidden="1" customHeight="1">
      <c r="A129" s="337"/>
      <c r="B129" s="1374" t="s">
        <v>312</v>
      </c>
      <c r="C129" s="1375">
        <v>7463</v>
      </c>
      <c r="D129" s="1374" t="s">
        <v>568</v>
      </c>
      <c r="E129" s="1376" t="s">
        <v>324</v>
      </c>
      <c r="F129" s="1377">
        <v>2011</v>
      </c>
      <c r="G129" s="1378" t="s">
        <v>326</v>
      </c>
      <c r="H129" s="1374"/>
      <c r="I129" s="1379">
        <v>42514</v>
      </c>
      <c r="J129" s="1380" t="s">
        <v>475</v>
      </c>
      <c r="K129" s="1377">
        <v>120</v>
      </c>
      <c r="L129" s="1381">
        <v>12</v>
      </c>
      <c r="M129" s="1382">
        <v>12</v>
      </c>
      <c r="N129" s="1381"/>
      <c r="O129" s="1377">
        <v>0.219</v>
      </c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  <c r="AA129" s="335"/>
      <c r="AB129" s="335"/>
      <c r="AC129" s="335"/>
      <c r="AD129" s="335"/>
      <c r="AE129" s="335"/>
      <c r="AF129" s="335"/>
      <c r="AG129" s="335"/>
      <c r="AH129" s="335"/>
      <c r="AI129" s="335"/>
      <c r="AJ129" s="335"/>
      <c r="AK129" s="335"/>
      <c r="AL129" s="335"/>
      <c r="AM129" s="335"/>
      <c r="AN129" s="335"/>
      <c r="AO129" s="335"/>
      <c r="AP129" s="335"/>
      <c r="AQ129" s="335"/>
      <c r="AR129" s="335"/>
      <c r="AS129" s="335"/>
      <c r="AT129" s="335"/>
      <c r="AU129" s="335"/>
      <c r="AV129" s="335"/>
      <c r="AW129" s="335"/>
      <c r="AX129" s="335"/>
      <c r="AY129" s="335"/>
      <c r="AZ129" s="335"/>
      <c r="BA129" s="335"/>
      <c r="BB129" s="335"/>
      <c r="BC129" s="335"/>
      <c r="BD129" s="335"/>
      <c r="BE129" s="335"/>
      <c r="BF129" s="335"/>
      <c r="BG129" s="335"/>
      <c r="BH129" s="335"/>
      <c r="BI129" s="335"/>
      <c r="BJ129" s="335"/>
      <c r="BK129" s="335"/>
      <c r="BL129" s="335"/>
      <c r="BM129" s="335"/>
      <c r="BN129" s="335"/>
      <c r="BO129" s="335"/>
      <c r="BP129" s="335"/>
      <c r="BQ129" s="335"/>
      <c r="BR129" s="335"/>
      <c r="BS129" s="335"/>
      <c r="BT129" s="335"/>
      <c r="BU129" s="335"/>
      <c r="BV129" s="335"/>
      <c r="BW129" s="335"/>
      <c r="BX129" s="335"/>
      <c r="BY129" s="335"/>
      <c r="BZ129" s="335"/>
      <c r="CA129" s="335"/>
      <c r="CB129" s="335"/>
      <c r="CC129" s="335"/>
      <c r="CD129" s="335"/>
      <c r="CE129" s="335"/>
      <c r="CF129" s="335"/>
      <c r="CG129" s="335"/>
      <c r="CH129" s="335"/>
      <c r="CI129" s="335"/>
      <c r="CJ129" s="335"/>
      <c r="CK129" s="335"/>
      <c r="CL129" s="335"/>
      <c r="CM129" s="335"/>
      <c r="CN129" s="335"/>
      <c r="CO129" s="335"/>
      <c r="CP129" s="335"/>
      <c r="CQ129" s="335"/>
      <c r="CR129" s="335"/>
      <c r="CS129" s="335"/>
      <c r="CT129" s="335"/>
      <c r="CU129" s="335"/>
      <c r="CV129" s="335"/>
      <c r="CW129" s="335"/>
      <c r="CX129" s="335"/>
      <c r="CY129" s="335"/>
      <c r="CZ129" s="335"/>
      <c r="DA129" s="335"/>
      <c r="DB129" s="335"/>
      <c r="DC129" s="335"/>
      <c r="DD129" s="335"/>
      <c r="DE129" s="335"/>
      <c r="DF129" s="335"/>
      <c r="DG129" s="335"/>
      <c r="DH129" s="335"/>
      <c r="DI129" s="335"/>
      <c r="DJ129" s="335"/>
      <c r="DK129" s="335"/>
      <c r="DL129" s="335"/>
      <c r="DM129" s="335"/>
      <c r="DN129" s="335"/>
      <c r="DO129" s="335"/>
      <c r="DP129" s="335"/>
      <c r="DQ129" s="335"/>
      <c r="DR129" s="335"/>
      <c r="DS129" s="335"/>
      <c r="DT129" s="335"/>
      <c r="DU129" s="335"/>
      <c r="DV129" s="335"/>
      <c r="DW129" s="335"/>
      <c r="DX129" s="335"/>
      <c r="DY129" s="335"/>
      <c r="DZ129" s="335"/>
      <c r="EA129" s="335"/>
      <c r="EB129" s="335"/>
      <c r="EC129" s="335"/>
      <c r="ED129" s="335"/>
      <c r="EE129" s="335"/>
      <c r="EF129" s="335"/>
      <c r="EG129" s="335"/>
      <c r="EH129" s="335"/>
      <c r="EI129" s="335"/>
      <c r="EJ129" s="335"/>
      <c r="EK129" s="335"/>
      <c r="EL129" s="335"/>
      <c r="EM129" s="335"/>
      <c r="EN129" s="335"/>
      <c r="EO129" s="335"/>
      <c r="EP129" s="335"/>
      <c r="EQ129" s="335"/>
      <c r="ER129" s="335"/>
      <c r="ES129" s="335"/>
      <c r="ET129" s="335"/>
      <c r="EU129" s="335"/>
      <c r="EV129" s="335"/>
      <c r="EW129" s="335"/>
      <c r="EX129" s="335"/>
      <c r="EY129" s="335"/>
      <c r="EZ129" s="335"/>
      <c r="FA129" s="335"/>
      <c r="FB129" s="335"/>
      <c r="FC129" s="335"/>
      <c r="FD129" s="335"/>
      <c r="FE129" s="335"/>
      <c r="FF129" s="335"/>
      <c r="FG129" s="335"/>
      <c r="FH129" s="335"/>
      <c r="FI129" s="335"/>
      <c r="FJ129" s="335"/>
      <c r="FK129" s="335"/>
      <c r="FL129" s="335"/>
      <c r="FM129" s="335"/>
      <c r="FN129" s="335"/>
      <c r="FO129" s="335"/>
      <c r="FP129" s="335"/>
      <c r="FQ129" s="335"/>
      <c r="FR129" s="335"/>
      <c r="FS129" s="335"/>
      <c r="FT129" s="335"/>
      <c r="FU129" s="335"/>
      <c r="FV129" s="335"/>
      <c r="FW129" s="335"/>
      <c r="FX129" s="335"/>
      <c r="FY129" s="335"/>
    </row>
    <row r="130" spans="1:181" s="343" customFormat="1" ht="12" hidden="1" customHeight="1">
      <c r="A130" s="337"/>
      <c r="B130" s="1374" t="s">
        <v>312</v>
      </c>
      <c r="C130" s="1375">
        <v>7520</v>
      </c>
      <c r="D130" s="1374" t="s">
        <v>568</v>
      </c>
      <c r="E130" s="1376" t="s">
        <v>324</v>
      </c>
      <c r="F130" s="1377">
        <v>2011</v>
      </c>
      <c r="G130" s="1378" t="s">
        <v>326</v>
      </c>
      <c r="H130" s="1374"/>
      <c r="I130" s="1379">
        <v>42578</v>
      </c>
      <c r="J130" s="1380" t="s">
        <v>475</v>
      </c>
      <c r="K130" s="1377">
        <v>120</v>
      </c>
      <c r="L130" s="1381">
        <v>11</v>
      </c>
      <c r="M130" s="1382">
        <v>11</v>
      </c>
      <c r="N130" s="1381"/>
      <c r="O130" s="1377">
        <v>0.34200000000000003</v>
      </c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5"/>
      <c r="AB130" s="335"/>
      <c r="AC130" s="335"/>
      <c r="AD130" s="335"/>
      <c r="AE130" s="335"/>
      <c r="AF130" s="335"/>
      <c r="AG130" s="335"/>
      <c r="AH130" s="335"/>
      <c r="AI130" s="335"/>
      <c r="AJ130" s="335"/>
      <c r="AK130" s="335"/>
      <c r="AL130" s="335"/>
      <c r="AM130" s="335"/>
      <c r="AN130" s="335"/>
      <c r="AO130" s="335"/>
      <c r="AP130" s="335"/>
      <c r="AQ130" s="335"/>
      <c r="AR130" s="335"/>
      <c r="AS130" s="335"/>
      <c r="AT130" s="335"/>
      <c r="AU130" s="335"/>
      <c r="AV130" s="335"/>
      <c r="AW130" s="335"/>
      <c r="AX130" s="335"/>
      <c r="AY130" s="335"/>
      <c r="AZ130" s="335"/>
      <c r="BA130" s="335"/>
      <c r="BB130" s="335"/>
      <c r="BC130" s="335"/>
      <c r="BD130" s="335"/>
      <c r="BE130" s="335"/>
      <c r="BF130" s="335"/>
      <c r="BG130" s="335"/>
      <c r="BH130" s="335"/>
      <c r="BI130" s="335"/>
      <c r="BJ130" s="335"/>
      <c r="BK130" s="335"/>
      <c r="BL130" s="335"/>
      <c r="BM130" s="335"/>
      <c r="BN130" s="335"/>
      <c r="BO130" s="335"/>
      <c r="BP130" s="335"/>
      <c r="BQ130" s="335"/>
      <c r="BR130" s="335"/>
      <c r="BS130" s="335"/>
      <c r="BT130" s="335"/>
      <c r="BU130" s="335"/>
      <c r="BV130" s="335"/>
      <c r="BW130" s="335"/>
      <c r="BX130" s="335"/>
      <c r="BY130" s="335"/>
      <c r="BZ130" s="335"/>
      <c r="CA130" s="335"/>
      <c r="CB130" s="335"/>
      <c r="CC130" s="335"/>
      <c r="CD130" s="335"/>
      <c r="CE130" s="335"/>
      <c r="CF130" s="335"/>
      <c r="CG130" s="335"/>
      <c r="CH130" s="335"/>
      <c r="CI130" s="335"/>
      <c r="CJ130" s="335"/>
      <c r="CK130" s="335"/>
      <c r="CL130" s="335"/>
      <c r="CM130" s="335"/>
      <c r="CN130" s="335"/>
      <c r="CO130" s="335"/>
      <c r="CP130" s="335"/>
      <c r="CQ130" s="335"/>
      <c r="CR130" s="335"/>
      <c r="CS130" s="335"/>
      <c r="CT130" s="335"/>
      <c r="CU130" s="335"/>
      <c r="CV130" s="335"/>
      <c r="CW130" s="335"/>
      <c r="CX130" s="335"/>
      <c r="CY130" s="335"/>
      <c r="CZ130" s="335"/>
      <c r="DA130" s="335"/>
      <c r="DB130" s="335"/>
      <c r="DC130" s="335"/>
      <c r="DD130" s="335"/>
      <c r="DE130" s="335"/>
      <c r="DF130" s="335"/>
      <c r="DG130" s="335"/>
      <c r="DH130" s="335"/>
      <c r="DI130" s="335"/>
      <c r="DJ130" s="335"/>
      <c r="DK130" s="335"/>
      <c r="DL130" s="335"/>
      <c r="DM130" s="335"/>
      <c r="DN130" s="335"/>
      <c r="DO130" s="335"/>
      <c r="DP130" s="335"/>
      <c r="DQ130" s="335"/>
      <c r="DR130" s="335"/>
      <c r="DS130" s="335"/>
      <c r="DT130" s="335"/>
      <c r="DU130" s="335"/>
      <c r="DV130" s="335"/>
      <c r="DW130" s="335"/>
      <c r="DX130" s="335"/>
      <c r="DY130" s="335"/>
      <c r="DZ130" s="335"/>
      <c r="EA130" s="335"/>
      <c r="EB130" s="335"/>
      <c r="EC130" s="335"/>
      <c r="ED130" s="335"/>
      <c r="EE130" s="335"/>
      <c r="EF130" s="335"/>
      <c r="EG130" s="335"/>
      <c r="EH130" s="335"/>
      <c r="EI130" s="335"/>
      <c r="EJ130" s="335"/>
      <c r="EK130" s="335"/>
      <c r="EL130" s="335"/>
      <c r="EM130" s="335"/>
      <c r="EN130" s="335"/>
      <c r="EO130" s="335"/>
      <c r="EP130" s="335"/>
      <c r="EQ130" s="335"/>
      <c r="ER130" s="335"/>
      <c r="ES130" s="335"/>
      <c r="ET130" s="335"/>
      <c r="EU130" s="335"/>
      <c r="EV130" s="335"/>
      <c r="EW130" s="335"/>
      <c r="EX130" s="335"/>
      <c r="EY130" s="335"/>
      <c r="EZ130" s="335"/>
      <c r="FA130" s="335"/>
      <c r="FB130" s="335"/>
      <c r="FC130" s="335"/>
      <c r="FD130" s="335"/>
      <c r="FE130" s="335"/>
      <c r="FF130" s="335"/>
      <c r="FG130" s="335"/>
      <c r="FH130" s="335"/>
      <c r="FI130" s="335"/>
      <c r="FJ130" s="335"/>
      <c r="FK130" s="335"/>
      <c r="FL130" s="335"/>
      <c r="FM130" s="335"/>
      <c r="FN130" s="335"/>
      <c r="FO130" s="335"/>
      <c r="FP130" s="335"/>
      <c r="FQ130" s="335"/>
      <c r="FR130" s="335"/>
      <c r="FS130" s="335"/>
      <c r="FT130" s="335"/>
      <c r="FU130" s="335"/>
      <c r="FV130" s="335"/>
      <c r="FW130" s="335"/>
      <c r="FX130" s="335"/>
      <c r="FY130" s="335"/>
    </row>
    <row r="131" spans="1:181" s="343" customFormat="1" ht="12" hidden="1" customHeight="1">
      <c r="A131" s="337"/>
      <c r="B131" s="1374" t="s">
        <v>312</v>
      </c>
      <c r="C131" s="1375">
        <v>7398</v>
      </c>
      <c r="D131" s="1374" t="s">
        <v>568</v>
      </c>
      <c r="E131" s="1376" t="s">
        <v>324</v>
      </c>
      <c r="F131" s="1377">
        <v>2533</v>
      </c>
      <c r="G131" s="1378" t="s">
        <v>325</v>
      </c>
      <c r="H131" s="1374"/>
      <c r="I131" s="1379">
        <v>42412</v>
      </c>
      <c r="J131" s="1380" t="s">
        <v>475</v>
      </c>
      <c r="K131" s="1377">
        <v>119</v>
      </c>
      <c r="L131" s="1381">
        <v>11</v>
      </c>
      <c r="M131" s="1382">
        <v>11</v>
      </c>
      <c r="N131" s="1381"/>
      <c r="O131" s="1377">
        <v>0.14899999999999999</v>
      </c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  <c r="AA131" s="335"/>
      <c r="AB131" s="335"/>
      <c r="AC131" s="335"/>
      <c r="AD131" s="335"/>
      <c r="AE131" s="335"/>
      <c r="AF131" s="335"/>
      <c r="AG131" s="335"/>
      <c r="AH131" s="335"/>
      <c r="AI131" s="335"/>
      <c r="AJ131" s="335"/>
      <c r="AK131" s="335"/>
      <c r="AL131" s="335"/>
      <c r="AM131" s="335"/>
      <c r="AN131" s="335"/>
      <c r="AO131" s="335"/>
      <c r="AP131" s="335"/>
      <c r="AQ131" s="335"/>
      <c r="AR131" s="335"/>
      <c r="AS131" s="335"/>
      <c r="AT131" s="335"/>
      <c r="AU131" s="335"/>
      <c r="AV131" s="335"/>
      <c r="AW131" s="335"/>
      <c r="AX131" s="335"/>
      <c r="AY131" s="335"/>
      <c r="AZ131" s="335"/>
      <c r="BA131" s="335"/>
      <c r="BB131" s="335"/>
      <c r="BC131" s="335"/>
      <c r="BD131" s="335"/>
      <c r="BE131" s="335"/>
      <c r="BF131" s="335"/>
      <c r="BG131" s="335"/>
      <c r="BH131" s="335"/>
      <c r="BI131" s="335"/>
      <c r="BJ131" s="335"/>
      <c r="BK131" s="335"/>
      <c r="BL131" s="335"/>
      <c r="BM131" s="335"/>
      <c r="BN131" s="335"/>
      <c r="BO131" s="335"/>
      <c r="BP131" s="335"/>
      <c r="BQ131" s="335"/>
      <c r="BR131" s="335"/>
      <c r="BS131" s="335"/>
      <c r="BT131" s="335"/>
      <c r="BU131" s="335"/>
      <c r="BV131" s="335"/>
      <c r="BW131" s="335"/>
      <c r="BX131" s="335"/>
      <c r="BY131" s="335"/>
      <c r="BZ131" s="335"/>
      <c r="CA131" s="335"/>
      <c r="CB131" s="335"/>
      <c r="CC131" s="335"/>
      <c r="CD131" s="335"/>
      <c r="CE131" s="335"/>
      <c r="CF131" s="335"/>
      <c r="CG131" s="335"/>
      <c r="CH131" s="335"/>
      <c r="CI131" s="335"/>
      <c r="CJ131" s="335"/>
      <c r="CK131" s="335"/>
      <c r="CL131" s="335"/>
      <c r="CM131" s="335"/>
      <c r="CN131" s="335"/>
      <c r="CO131" s="335"/>
      <c r="CP131" s="335"/>
      <c r="CQ131" s="335"/>
      <c r="CR131" s="335"/>
      <c r="CS131" s="335"/>
      <c r="CT131" s="335"/>
      <c r="CU131" s="335"/>
      <c r="CV131" s="335"/>
      <c r="CW131" s="335"/>
      <c r="CX131" s="335"/>
      <c r="CY131" s="335"/>
      <c r="CZ131" s="335"/>
      <c r="DA131" s="335"/>
      <c r="DB131" s="335"/>
      <c r="DC131" s="335"/>
      <c r="DD131" s="335"/>
      <c r="DE131" s="335"/>
      <c r="DF131" s="335"/>
      <c r="DG131" s="335"/>
      <c r="DH131" s="335"/>
      <c r="DI131" s="335"/>
      <c r="DJ131" s="335"/>
      <c r="DK131" s="335"/>
      <c r="DL131" s="335"/>
      <c r="DM131" s="335"/>
      <c r="DN131" s="335"/>
      <c r="DO131" s="335"/>
      <c r="DP131" s="335"/>
      <c r="DQ131" s="335"/>
      <c r="DR131" s="335"/>
      <c r="DS131" s="335"/>
      <c r="DT131" s="335"/>
      <c r="DU131" s="335"/>
      <c r="DV131" s="335"/>
      <c r="DW131" s="335"/>
      <c r="DX131" s="335"/>
      <c r="DY131" s="335"/>
      <c r="DZ131" s="335"/>
      <c r="EA131" s="335"/>
      <c r="EB131" s="335"/>
      <c r="EC131" s="335"/>
      <c r="ED131" s="335"/>
      <c r="EE131" s="335"/>
      <c r="EF131" s="335"/>
      <c r="EG131" s="335"/>
      <c r="EH131" s="335"/>
      <c r="EI131" s="335"/>
      <c r="EJ131" s="335"/>
      <c r="EK131" s="335"/>
      <c r="EL131" s="335"/>
      <c r="EM131" s="335"/>
      <c r="EN131" s="335"/>
      <c r="EO131" s="335"/>
      <c r="EP131" s="335"/>
      <c r="EQ131" s="335"/>
      <c r="ER131" s="335"/>
      <c r="ES131" s="335"/>
      <c r="ET131" s="335"/>
      <c r="EU131" s="335"/>
      <c r="EV131" s="335"/>
      <c r="EW131" s="335"/>
      <c r="EX131" s="335"/>
      <c r="EY131" s="335"/>
      <c r="EZ131" s="335"/>
      <c r="FA131" s="335"/>
      <c r="FB131" s="335"/>
      <c r="FC131" s="335"/>
      <c r="FD131" s="335"/>
      <c r="FE131" s="335"/>
      <c r="FF131" s="335"/>
      <c r="FG131" s="335"/>
      <c r="FH131" s="335"/>
      <c r="FI131" s="335"/>
      <c r="FJ131" s="335"/>
      <c r="FK131" s="335"/>
      <c r="FL131" s="335"/>
      <c r="FM131" s="335"/>
      <c r="FN131" s="335"/>
      <c r="FO131" s="335"/>
      <c r="FP131" s="335"/>
      <c r="FQ131" s="335"/>
      <c r="FR131" s="335"/>
      <c r="FS131" s="335"/>
      <c r="FT131" s="335"/>
      <c r="FU131" s="335"/>
      <c r="FV131" s="335"/>
      <c r="FW131" s="335"/>
      <c r="FX131" s="335"/>
      <c r="FY131" s="335"/>
    </row>
    <row r="132" spans="1:181" s="343" customFormat="1" ht="12" hidden="1" customHeight="1">
      <c r="A132" s="337"/>
      <c r="B132" s="1374" t="s">
        <v>312</v>
      </c>
      <c r="C132" s="1375">
        <v>7468</v>
      </c>
      <c r="D132" s="1374" t="s">
        <v>568</v>
      </c>
      <c r="E132" s="1376" t="s">
        <v>324</v>
      </c>
      <c r="F132" s="1377">
        <v>2533</v>
      </c>
      <c r="G132" s="1378" t="s">
        <v>325</v>
      </c>
      <c r="H132" s="1374"/>
      <c r="I132" s="1379">
        <v>42528</v>
      </c>
      <c r="J132" s="1380" t="s">
        <v>475</v>
      </c>
      <c r="K132" s="1377">
        <v>119</v>
      </c>
      <c r="L132" s="1381">
        <v>12</v>
      </c>
      <c r="M132" s="1382">
        <v>12</v>
      </c>
      <c r="N132" s="1381"/>
      <c r="O132" s="1377">
        <v>8.7999999999999995E-2</v>
      </c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  <c r="AA132" s="335"/>
      <c r="AB132" s="335"/>
      <c r="AC132" s="335"/>
      <c r="AD132" s="335"/>
      <c r="AE132" s="335"/>
      <c r="AF132" s="335"/>
      <c r="AG132" s="335"/>
      <c r="AH132" s="335"/>
      <c r="AI132" s="335"/>
      <c r="AJ132" s="335"/>
      <c r="AK132" s="335"/>
      <c r="AL132" s="335"/>
      <c r="AM132" s="335"/>
      <c r="AN132" s="335"/>
      <c r="AO132" s="335"/>
      <c r="AP132" s="335"/>
      <c r="AQ132" s="335"/>
      <c r="AR132" s="335"/>
      <c r="AS132" s="335"/>
      <c r="AT132" s="335"/>
      <c r="AU132" s="335"/>
      <c r="AV132" s="335"/>
      <c r="AW132" s="335"/>
      <c r="AX132" s="335"/>
      <c r="AY132" s="335"/>
      <c r="AZ132" s="335"/>
      <c r="BA132" s="335"/>
      <c r="BB132" s="335"/>
      <c r="BC132" s="335"/>
      <c r="BD132" s="335"/>
      <c r="BE132" s="335"/>
      <c r="BF132" s="335"/>
      <c r="BG132" s="335"/>
      <c r="BH132" s="335"/>
      <c r="BI132" s="335"/>
      <c r="BJ132" s="335"/>
      <c r="BK132" s="335"/>
      <c r="BL132" s="335"/>
      <c r="BM132" s="335"/>
      <c r="BN132" s="335"/>
      <c r="BO132" s="335"/>
      <c r="BP132" s="335"/>
      <c r="BQ132" s="335"/>
      <c r="BR132" s="335"/>
      <c r="BS132" s="335"/>
      <c r="BT132" s="335"/>
      <c r="BU132" s="335"/>
      <c r="BV132" s="335"/>
      <c r="BW132" s="335"/>
      <c r="BX132" s="335"/>
      <c r="BY132" s="335"/>
      <c r="BZ132" s="335"/>
      <c r="CA132" s="335"/>
      <c r="CB132" s="335"/>
      <c r="CC132" s="335"/>
      <c r="CD132" s="335"/>
      <c r="CE132" s="335"/>
      <c r="CF132" s="335"/>
      <c r="CG132" s="335"/>
      <c r="CH132" s="335"/>
      <c r="CI132" s="335"/>
      <c r="CJ132" s="335"/>
      <c r="CK132" s="335"/>
      <c r="CL132" s="335"/>
      <c r="CM132" s="335"/>
      <c r="CN132" s="335"/>
      <c r="CO132" s="335"/>
      <c r="CP132" s="335"/>
      <c r="CQ132" s="335"/>
      <c r="CR132" s="335"/>
      <c r="CS132" s="335"/>
      <c r="CT132" s="335"/>
      <c r="CU132" s="335"/>
      <c r="CV132" s="335"/>
      <c r="CW132" s="335"/>
      <c r="CX132" s="335"/>
      <c r="CY132" s="335"/>
      <c r="CZ132" s="335"/>
      <c r="DA132" s="335"/>
      <c r="DB132" s="335"/>
      <c r="DC132" s="335"/>
      <c r="DD132" s="335"/>
      <c r="DE132" s="335"/>
      <c r="DF132" s="335"/>
      <c r="DG132" s="335"/>
      <c r="DH132" s="335"/>
      <c r="DI132" s="335"/>
      <c r="DJ132" s="335"/>
      <c r="DK132" s="335"/>
      <c r="DL132" s="335"/>
      <c r="DM132" s="335"/>
      <c r="DN132" s="335"/>
      <c r="DO132" s="335"/>
      <c r="DP132" s="335"/>
      <c r="DQ132" s="335"/>
      <c r="DR132" s="335"/>
      <c r="DS132" s="335"/>
      <c r="DT132" s="335"/>
      <c r="DU132" s="335"/>
      <c r="DV132" s="335"/>
      <c r="DW132" s="335"/>
      <c r="DX132" s="335"/>
      <c r="DY132" s="335"/>
      <c r="DZ132" s="335"/>
      <c r="EA132" s="335"/>
      <c r="EB132" s="335"/>
      <c r="EC132" s="335"/>
      <c r="ED132" s="335"/>
      <c r="EE132" s="335"/>
      <c r="EF132" s="335"/>
      <c r="EG132" s="335"/>
      <c r="EH132" s="335"/>
      <c r="EI132" s="335"/>
      <c r="EJ132" s="335"/>
      <c r="EK132" s="335"/>
      <c r="EL132" s="335"/>
      <c r="EM132" s="335"/>
      <c r="EN132" s="335"/>
      <c r="EO132" s="335"/>
      <c r="EP132" s="335"/>
      <c r="EQ132" s="335"/>
      <c r="ER132" s="335"/>
      <c r="ES132" s="335"/>
      <c r="ET132" s="335"/>
      <c r="EU132" s="335"/>
      <c r="EV132" s="335"/>
      <c r="EW132" s="335"/>
      <c r="EX132" s="335"/>
      <c r="EY132" s="335"/>
      <c r="EZ132" s="335"/>
      <c r="FA132" s="335"/>
      <c r="FB132" s="335"/>
      <c r="FC132" s="335"/>
      <c r="FD132" s="335"/>
      <c r="FE132" s="335"/>
      <c r="FF132" s="335"/>
      <c r="FG132" s="335"/>
      <c r="FH132" s="335"/>
      <c r="FI132" s="335"/>
      <c r="FJ132" s="335"/>
      <c r="FK132" s="335"/>
      <c r="FL132" s="335"/>
      <c r="FM132" s="335"/>
      <c r="FN132" s="335"/>
      <c r="FO132" s="335"/>
      <c r="FP132" s="335"/>
      <c r="FQ132" s="335"/>
      <c r="FR132" s="335"/>
      <c r="FS132" s="335"/>
      <c r="FT132" s="335"/>
      <c r="FU132" s="335"/>
      <c r="FV132" s="335"/>
      <c r="FW132" s="335"/>
      <c r="FX132" s="335"/>
      <c r="FY132" s="335"/>
    </row>
    <row r="133" spans="1:181" s="343" customFormat="1" ht="12" hidden="1" customHeight="1">
      <c r="A133" s="337"/>
      <c r="B133" s="1374" t="s">
        <v>312</v>
      </c>
      <c r="C133" s="1375">
        <v>7446</v>
      </c>
      <c r="D133" s="1374" t="s">
        <v>568</v>
      </c>
      <c r="E133" s="1376" t="s">
        <v>324</v>
      </c>
      <c r="F133" s="1377">
        <v>2533</v>
      </c>
      <c r="G133" s="1378" t="s">
        <v>325</v>
      </c>
      <c r="H133" s="1374"/>
      <c r="I133" s="1379">
        <v>42493</v>
      </c>
      <c r="J133" s="1380" t="s">
        <v>475</v>
      </c>
      <c r="K133" s="1377">
        <v>120</v>
      </c>
      <c r="L133" s="1381">
        <v>12</v>
      </c>
      <c r="M133" s="1382">
        <v>12</v>
      </c>
      <c r="N133" s="1381"/>
      <c r="O133" s="1377">
        <v>2.5999999999999999E-2</v>
      </c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  <c r="AA133" s="335"/>
      <c r="AB133" s="335"/>
      <c r="AC133" s="335"/>
      <c r="AD133" s="335"/>
      <c r="AE133" s="335"/>
      <c r="AF133" s="335"/>
      <c r="AG133" s="335"/>
      <c r="AH133" s="335"/>
      <c r="AI133" s="335"/>
      <c r="AJ133" s="335"/>
      <c r="AK133" s="335"/>
      <c r="AL133" s="335"/>
      <c r="AM133" s="335"/>
      <c r="AN133" s="335"/>
      <c r="AO133" s="335"/>
      <c r="AP133" s="335"/>
      <c r="AQ133" s="335"/>
      <c r="AR133" s="335"/>
      <c r="AS133" s="335"/>
      <c r="AT133" s="335"/>
      <c r="AU133" s="335"/>
      <c r="AV133" s="335"/>
      <c r="AW133" s="335"/>
      <c r="AX133" s="335"/>
      <c r="AY133" s="335"/>
      <c r="AZ133" s="335"/>
      <c r="BA133" s="335"/>
      <c r="BB133" s="335"/>
      <c r="BC133" s="335"/>
      <c r="BD133" s="335"/>
      <c r="BE133" s="335"/>
      <c r="BF133" s="335"/>
      <c r="BG133" s="335"/>
      <c r="BH133" s="335"/>
      <c r="BI133" s="335"/>
      <c r="BJ133" s="335"/>
      <c r="BK133" s="335"/>
      <c r="BL133" s="335"/>
      <c r="BM133" s="335"/>
      <c r="BN133" s="335"/>
      <c r="BO133" s="335"/>
      <c r="BP133" s="335"/>
      <c r="BQ133" s="335"/>
      <c r="BR133" s="335"/>
      <c r="BS133" s="335"/>
      <c r="BT133" s="335"/>
      <c r="BU133" s="335"/>
      <c r="BV133" s="335"/>
      <c r="BW133" s="335"/>
      <c r="BX133" s="335"/>
      <c r="BY133" s="335"/>
      <c r="BZ133" s="335"/>
      <c r="CA133" s="335"/>
      <c r="CB133" s="335"/>
      <c r="CC133" s="335"/>
      <c r="CD133" s="335"/>
      <c r="CE133" s="335"/>
      <c r="CF133" s="335"/>
      <c r="CG133" s="335"/>
      <c r="CH133" s="335"/>
      <c r="CI133" s="335"/>
      <c r="CJ133" s="335"/>
      <c r="CK133" s="335"/>
      <c r="CL133" s="335"/>
      <c r="CM133" s="335"/>
      <c r="CN133" s="335"/>
      <c r="CO133" s="335"/>
      <c r="CP133" s="335"/>
      <c r="CQ133" s="335"/>
      <c r="CR133" s="335"/>
      <c r="CS133" s="335"/>
      <c r="CT133" s="335"/>
      <c r="CU133" s="335"/>
      <c r="CV133" s="335"/>
      <c r="CW133" s="335"/>
      <c r="CX133" s="335"/>
      <c r="CY133" s="335"/>
      <c r="CZ133" s="335"/>
      <c r="DA133" s="335"/>
      <c r="DB133" s="335"/>
      <c r="DC133" s="335"/>
      <c r="DD133" s="335"/>
      <c r="DE133" s="335"/>
      <c r="DF133" s="335"/>
      <c r="DG133" s="335"/>
      <c r="DH133" s="335"/>
      <c r="DI133" s="335"/>
      <c r="DJ133" s="335"/>
      <c r="DK133" s="335"/>
      <c r="DL133" s="335"/>
      <c r="DM133" s="335"/>
      <c r="DN133" s="335"/>
      <c r="DO133" s="335"/>
      <c r="DP133" s="335"/>
      <c r="DQ133" s="335"/>
      <c r="DR133" s="335"/>
      <c r="DS133" s="335"/>
      <c r="DT133" s="335"/>
      <c r="DU133" s="335"/>
      <c r="DV133" s="335"/>
      <c r="DW133" s="335"/>
      <c r="DX133" s="335"/>
      <c r="DY133" s="335"/>
      <c r="DZ133" s="335"/>
      <c r="EA133" s="335"/>
      <c r="EB133" s="335"/>
      <c r="EC133" s="335"/>
      <c r="ED133" s="335"/>
      <c r="EE133" s="335"/>
      <c r="EF133" s="335"/>
      <c r="EG133" s="335"/>
      <c r="EH133" s="335"/>
      <c r="EI133" s="335"/>
      <c r="EJ133" s="335"/>
      <c r="EK133" s="335"/>
      <c r="EL133" s="335"/>
      <c r="EM133" s="335"/>
      <c r="EN133" s="335"/>
      <c r="EO133" s="335"/>
      <c r="EP133" s="335"/>
      <c r="EQ133" s="335"/>
      <c r="ER133" s="335"/>
      <c r="ES133" s="335"/>
      <c r="ET133" s="335"/>
      <c r="EU133" s="335"/>
      <c r="EV133" s="335"/>
      <c r="EW133" s="335"/>
      <c r="EX133" s="335"/>
      <c r="EY133" s="335"/>
      <c r="EZ133" s="335"/>
      <c r="FA133" s="335"/>
      <c r="FB133" s="335"/>
      <c r="FC133" s="335"/>
      <c r="FD133" s="335"/>
      <c r="FE133" s="335"/>
      <c r="FF133" s="335"/>
      <c r="FG133" s="335"/>
      <c r="FH133" s="335"/>
      <c r="FI133" s="335"/>
      <c r="FJ133" s="335"/>
      <c r="FK133" s="335"/>
      <c r="FL133" s="335"/>
      <c r="FM133" s="335"/>
      <c r="FN133" s="335"/>
      <c r="FO133" s="335"/>
      <c r="FP133" s="335"/>
      <c r="FQ133" s="335"/>
      <c r="FR133" s="335"/>
      <c r="FS133" s="335"/>
      <c r="FT133" s="335"/>
      <c r="FU133" s="335"/>
      <c r="FV133" s="335"/>
      <c r="FW133" s="335"/>
      <c r="FX133" s="335"/>
      <c r="FY133" s="335"/>
    </row>
    <row r="134" spans="1:181" s="343" customFormat="1" ht="12" hidden="1" customHeight="1">
      <c r="A134" s="337"/>
      <c r="B134" s="1374" t="s">
        <v>312</v>
      </c>
      <c r="C134" s="1375">
        <v>7516</v>
      </c>
      <c r="D134" s="1374" t="s">
        <v>568</v>
      </c>
      <c r="E134" s="1376" t="s">
        <v>324</v>
      </c>
      <c r="F134" s="1377">
        <v>2533</v>
      </c>
      <c r="G134" s="1378" t="s">
        <v>325</v>
      </c>
      <c r="H134" s="1374"/>
      <c r="I134" s="1379">
        <v>42570</v>
      </c>
      <c r="J134" s="1380" t="s">
        <v>475</v>
      </c>
      <c r="K134" s="1377">
        <v>120</v>
      </c>
      <c r="L134" s="1381">
        <v>12</v>
      </c>
      <c r="M134" s="1382">
        <v>12</v>
      </c>
      <c r="N134" s="1381"/>
      <c r="O134" s="1377">
        <v>0.58799999999999997</v>
      </c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  <c r="AA134" s="335"/>
      <c r="AB134" s="335"/>
      <c r="AC134" s="335"/>
      <c r="AD134" s="335"/>
      <c r="AE134" s="335"/>
      <c r="AF134" s="335"/>
      <c r="AG134" s="335"/>
      <c r="AH134" s="335"/>
      <c r="AI134" s="335"/>
      <c r="AJ134" s="335"/>
      <c r="AK134" s="335"/>
      <c r="AL134" s="335"/>
      <c r="AM134" s="335"/>
      <c r="AN134" s="335"/>
      <c r="AO134" s="335"/>
      <c r="AP134" s="335"/>
      <c r="AQ134" s="335"/>
      <c r="AR134" s="335"/>
      <c r="AS134" s="335"/>
      <c r="AT134" s="335"/>
      <c r="AU134" s="335"/>
      <c r="AV134" s="335"/>
      <c r="AW134" s="335"/>
      <c r="AX134" s="335"/>
      <c r="AY134" s="335"/>
      <c r="AZ134" s="335"/>
      <c r="BA134" s="335"/>
      <c r="BB134" s="335"/>
      <c r="BC134" s="335"/>
      <c r="BD134" s="335"/>
      <c r="BE134" s="335"/>
      <c r="BF134" s="335"/>
      <c r="BG134" s="335"/>
      <c r="BH134" s="335"/>
      <c r="BI134" s="335"/>
      <c r="BJ134" s="335"/>
      <c r="BK134" s="335"/>
      <c r="BL134" s="335"/>
      <c r="BM134" s="335"/>
      <c r="BN134" s="335"/>
      <c r="BO134" s="335"/>
      <c r="BP134" s="335"/>
      <c r="BQ134" s="335"/>
      <c r="BR134" s="335"/>
      <c r="BS134" s="335"/>
      <c r="BT134" s="335"/>
      <c r="BU134" s="335"/>
      <c r="BV134" s="335"/>
      <c r="BW134" s="335"/>
      <c r="BX134" s="335"/>
      <c r="BY134" s="335"/>
      <c r="BZ134" s="335"/>
      <c r="CA134" s="335"/>
      <c r="CB134" s="335"/>
      <c r="CC134" s="335"/>
      <c r="CD134" s="335"/>
      <c r="CE134" s="335"/>
      <c r="CF134" s="335"/>
      <c r="CG134" s="335"/>
      <c r="CH134" s="335"/>
      <c r="CI134" s="335"/>
      <c r="CJ134" s="335"/>
      <c r="CK134" s="335"/>
      <c r="CL134" s="335"/>
      <c r="CM134" s="335"/>
      <c r="CN134" s="335"/>
      <c r="CO134" s="335"/>
      <c r="CP134" s="335"/>
      <c r="CQ134" s="335"/>
      <c r="CR134" s="335"/>
      <c r="CS134" s="335"/>
      <c r="CT134" s="335"/>
      <c r="CU134" s="335"/>
      <c r="CV134" s="335"/>
      <c r="CW134" s="335"/>
      <c r="CX134" s="335"/>
      <c r="CY134" s="335"/>
      <c r="CZ134" s="335"/>
      <c r="DA134" s="335"/>
      <c r="DB134" s="335"/>
      <c r="DC134" s="335"/>
      <c r="DD134" s="335"/>
      <c r="DE134" s="335"/>
      <c r="DF134" s="335"/>
      <c r="DG134" s="335"/>
      <c r="DH134" s="335"/>
      <c r="DI134" s="335"/>
      <c r="DJ134" s="335"/>
      <c r="DK134" s="335"/>
      <c r="DL134" s="335"/>
      <c r="DM134" s="335"/>
      <c r="DN134" s="335"/>
      <c r="DO134" s="335"/>
      <c r="DP134" s="335"/>
      <c r="DQ134" s="335"/>
      <c r="DR134" s="335"/>
      <c r="DS134" s="335"/>
      <c r="DT134" s="335"/>
      <c r="DU134" s="335"/>
      <c r="DV134" s="335"/>
      <c r="DW134" s="335"/>
      <c r="DX134" s="335"/>
      <c r="DY134" s="335"/>
      <c r="DZ134" s="335"/>
      <c r="EA134" s="335"/>
      <c r="EB134" s="335"/>
      <c r="EC134" s="335"/>
      <c r="ED134" s="335"/>
      <c r="EE134" s="335"/>
      <c r="EF134" s="335"/>
      <c r="EG134" s="335"/>
      <c r="EH134" s="335"/>
      <c r="EI134" s="335"/>
      <c r="EJ134" s="335"/>
      <c r="EK134" s="335"/>
      <c r="EL134" s="335"/>
      <c r="EM134" s="335"/>
      <c r="EN134" s="335"/>
      <c r="EO134" s="335"/>
      <c r="EP134" s="335"/>
      <c r="EQ134" s="335"/>
      <c r="ER134" s="335"/>
      <c r="ES134" s="335"/>
      <c r="ET134" s="335"/>
      <c r="EU134" s="335"/>
      <c r="EV134" s="335"/>
      <c r="EW134" s="335"/>
      <c r="EX134" s="335"/>
      <c r="EY134" s="335"/>
      <c r="EZ134" s="335"/>
      <c r="FA134" s="335"/>
      <c r="FB134" s="335"/>
      <c r="FC134" s="335"/>
      <c r="FD134" s="335"/>
      <c r="FE134" s="335"/>
      <c r="FF134" s="335"/>
      <c r="FG134" s="335"/>
      <c r="FH134" s="335"/>
      <c r="FI134" s="335"/>
      <c r="FJ134" s="335"/>
      <c r="FK134" s="335"/>
      <c r="FL134" s="335"/>
      <c r="FM134" s="335"/>
      <c r="FN134" s="335"/>
      <c r="FO134" s="335"/>
      <c r="FP134" s="335"/>
      <c r="FQ134" s="335"/>
      <c r="FR134" s="335"/>
      <c r="FS134" s="335"/>
      <c r="FT134" s="335"/>
      <c r="FU134" s="335"/>
      <c r="FV134" s="335"/>
      <c r="FW134" s="335"/>
      <c r="FX134" s="335"/>
      <c r="FY134" s="335"/>
    </row>
    <row r="135" spans="1:181" s="343" customFormat="1" ht="12" hidden="1" customHeight="1">
      <c r="A135" s="337"/>
      <c r="B135" s="1374" t="s">
        <v>312</v>
      </c>
      <c r="C135" s="1375">
        <v>7414</v>
      </c>
      <c r="D135" s="1374" t="s">
        <v>568</v>
      </c>
      <c r="E135" s="1376" t="s">
        <v>324</v>
      </c>
      <c r="F135" s="1377">
        <v>2032</v>
      </c>
      <c r="G135" s="1378" t="s">
        <v>327</v>
      </c>
      <c r="H135" s="1374"/>
      <c r="I135" s="1379">
        <v>42414</v>
      </c>
      <c r="J135" s="1380" t="s">
        <v>475</v>
      </c>
      <c r="K135" s="1377">
        <v>120</v>
      </c>
      <c r="L135" s="1381">
        <v>12</v>
      </c>
      <c r="M135" s="1382">
        <v>12</v>
      </c>
      <c r="N135" s="1381"/>
      <c r="O135" s="1377">
        <v>4.5780000000000003</v>
      </c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  <c r="AA135" s="335"/>
      <c r="AB135" s="335"/>
      <c r="AC135" s="335"/>
      <c r="AD135" s="335"/>
      <c r="AE135" s="335"/>
      <c r="AF135" s="335"/>
      <c r="AG135" s="335"/>
      <c r="AH135" s="335"/>
      <c r="AI135" s="335"/>
      <c r="AJ135" s="335"/>
      <c r="AK135" s="335"/>
      <c r="AL135" s="335"/>
      <c r="AM135" s="335"/>
      <c r="AN135" s="335"/>
      <c r="AO135" s="335"/>
      <c r="AP135" s="335"/>
      <c r="AQ135" s="335"/>
      <c r="AR135" s="335"/>
      <c r="AS135" s="335"/>
      <c r="AT135" s="335"/>
      <c r="AU135" s="335"/>
      <c r="AV135" s="335"/>
      <c r="AW135" s="335"/>
      <c r="AX135" s="335"/>
      <c r="AY135" s="335"/>
      <c r="AZ135" s="335"/>
      <c r="BA135" s="335"/>
      <c r="BB135" s="335"/>
      <c r="BC135" s="335"/>
      <c r="BD135" s="335"/>
      <c r="BE135" s="335"/>
      <c r="BF135" s="335"/>
      <c r="BG135" s="335"/>
      <c r="BH135" s="335"/>
      <c r="BI135" s="335"/>
      <c r="BJ135" s="335"/>
      <c r="BK135" s="335"/>
      <c r="BL135" s="335"/>
      <c r="BM135" s="335"/>
      <c r="BN135" s="335"/>
      <c r="BO135" s="335"/>
      <c r="BP135" s="335"/>
      <c r="BQ135" s="335"/>
      <c r="BR135" s="335"/>
      <c r="BS135" s="335"/>
      <c r="BT135" s="335"/>
      <c r="BU135" s="335"/>
      <c r="BV135" s="335"/>
      <c r="BW135" s="335"/>
      <c r="BX135" s="335"/>
      <c r="BY135" s="335"/>
      <c r="BZ135" s="335"/>
      <c r="CA135" s="335"/>
      <c r="CB135" s="335"/>
      <c r="CC135" s="335"/>
      <c r="CD135" s="335"/>
      <c r="CE135" s="335"/>
      <c r="CF135" s="335"/>
      <c r="CG135" s="335"/>
      <c r="CH135" s="335"/>
      <c r="CI135" s="335"/>
      <c r="CJ135" s="335"/>
      <c r="CK135" s="335"/>
      <c r="CL135" s="335"/>
      <c r="CM135" s="335"/>
      <c r="CN135" s="335"/>
      <c r="CO135" s="335"/>
      <c r="CP135" s="335"/>
      <c r="CQ135" s="335"/>
      <c r="CR135" s="335"/>
      <c r="CS135" s="335"/>
      <c r="CT135" s="335"/>
      <c r="CU135" s="335"/>
      <c r="CV135" s="335"/>
      <c r="CW135" s="335"/>
      <c r="CX135" s="335"/>
      <c r="CY135" s="335"/>
      <c r="CZ135" s="335"/>
      <c r="DA135" s="335"/>
      <c r="DB135" s="335"/>
      <c r="DC135" s="335"/>
      <c r="DD135" s="335"/>
      <c r="DE135" s="335"/>
      <c r="DF135" s="335"/>
      <c r="DG135" s="335"/>
      <c r="DH135" s="335"/>
      <c r="DI135" s="335"/>
      <c r="DJ135" s="335"/>
      <c r="DK135" s="335"/>
      <c r="DL135" s="335"/>
      <c r="DM135" s="335"/>
      <c r="DN135" s="335"/>
      <c r="DO135" s="335"/>
      <c r="DP135" s="335"/>
      <c r="DQ135" s="335"/>
      <c r="DR135" s="335"/>
      <c r="DS135" s="335"/>
      <c r="DT135" s="335"/>
      <c r="DU135" s="335"/>
      <c r="DV135" s="335"/>
      <c r="DW135" s="335"/>
      <c r="DX135" s="335"/>
      <c r="DY135" s="335"/>
      <c r="DZ135" s="335"/>
      <c r="EA135" s="335"/>
      <c r="EB135" s="335"/>
      <c r="EC135" s="335"/>
      <c r="ED135" s="335"/>
      <c r="EE135" s="335"/>
      <c r="EF135" s="335"/>
      <c r="EG135" s="335"/>
      <c r="EH135" s="335"/>
      <c r="EI135" s="335"/>
      <c r="EJ135" s="335"/>
      <c r="EK135" s="335"/>
      <c r="EL135" s="335"/>
      <c r="EM135" s="335"/>
      <c r="EN135" s="335"/>
      <c r="EO135" s="335"/>
      <c r="EP135" s="335"/>
      <c r="EQ135" s="335"/>
      <c r="ER135" s="335"/>
      <c r="ES135" s="335"/>
      <c r="ET135" s="335"/>
      <c r="EU135" s="335"/>
      <c r="EV135" s="335"/>
      <c r="EW135" s="335"/>
      <c r="EX135" s="335"/>
      <c r="EY135" s="335"/>
      <c r="EZ135" s="335"/>
      <c r="FA135" s="335"/>
      <c r="FB135" s="335"/>
      <c r="FC135" s="335"/>
      <c r="FD135" s="335"/>
      <c r="FE135" s="335"/>
      <c r="FF135" s="335"/>
      <c r="FG135" s="335"/>
      <c r="FH135" s="335"/>
      <c r="FI135" s="335"/>
      <c r="FJ135" s="335"/>
      <c r="FK135" s="335"/>
      <c r="FL135" s="335"/>
      <c r="FM135" s="335"/>
      <c r="FN135" s="335"/>
      <c r="FO135" s="335"/>
      <c r="FP135" s="335"/>
      <c r="FQ135" s="335"/>
      <c r="FR135" s="335"/>
      <c r="FS135" s="335"/>
      <c r="FT135" s="335"/>
      <c r="FU135" s="335"/>
      <c r="FV135" s="335"/>
      <c r="FW135" s="335"/>
      <c r="FX135" s="335"/>
      <c r="FY135" s="335"/>
    </row>
    <row r="136" spans="1:181" s="343" customFormat="1" ht="12" hidden="1" customHeight="1">
      <c r="A136" s="337"/>
      <c r="B136" s="1374" t="s">
        <v>312</v>
      </c>
      <c r="C136" s="1375">
        <v>7415</v>
      </c>
      <c r="D136" s="1374" t="s">
        <v>568</v>
      </c>
      <c r="E136" s="1376" t="s">
        <v>324</v>
      </c>
      <c r="F136" s="1377">
        <v>2032</v>
      </c>
      <c r="G136" s="1378" t="s">
        <v>327</v>
      </c>
      <c r="H136" s="1374"/>
      <c r="I136" s="1379">
        <v>42414</v>
      </c>
      <c r="J136" s="1380" t="s">
        <v>475</v>
      </c>
      <c r="K136" s="1377">
        <v>120</v>
      </c>
      <c r="L136" s="1381">
        <v>12</v>
      </c>
      <c r="M136" s="1382">
        <v>12</v>
      </c>
      <c r="N136" s="1381"/>
      <c r="O136" s="1377">
        <v>8.3849999999999998</v>
      </c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  <c r="AA136" s="335"/>
      <c r="AB136" s="335"/>
      <c r="AC136" s="335"/>
      <c r="AD136" s="335"/>
      <c r="AE136" s="335"/>
      <c r="AF136" s="335"/>
      <c r="AG136" s="335"/>
      <c r="AH136" s="335"/>
      <c r="AI136" s="335"/>
      <c r="AJ136" s="335"/>
      <c r="AK136" s="335"/>
      <c r="AL136" s="335"/>
      <c r="AM136" s="335"/>
      <c r="AN136" s="335"/>
      <c r="AO136" s="335"/>
      <c r="AP136" s="335"/>
      <c r="AQ136" s="335"/>
      <c r="AR136" s="335"/>
      <c r="AS136" s="335"/>
      <c r="AT136" s="335"/>
      <c r="AU136" s="335"/>
      <c r="AV136" s="335"/>
      <c r="AW136" s="335"/>
      <c r="AX136" s="335"/>
      <c r="AY136" s="335"/>
      <c r="AZ136" s="335"/>
      <c r="BA136" s="335"/>
      <c r="BB136" s="335"/>
      <c r="BC136" s="335"/>
      <c r="BD136" s="335"/>
      <c r="BE136" s="335"/>
      <c r="BF136" s="335"/>
      <c r="BG136" s="335"/>
      <c r="BH136" s="335"/>
      <c r="BI136" s="335"/>
      <c r="BJ136" s="335"/>
      <c r="BK136" s="335"/>
      <c r="BL136" s="335"/>
      <c r="BM136" s="335"/>
      <c r="BN136" s="335"/>
      <c r="BO136" s="335"/>
      <c r="BP136" s="335"/>
      <c r="BQ136" s="335"/>
      <c r="BR136" s="335"/>
      <c r="BS136" s="335"/>
      <c r="BT136" s="335"/>
      <c r="BU136" s="335"/>
      <c r="BV136" s="335"/>
      <c r="BW136" s="335"/>
      <c r="BX136" s="335"/>
      <c r="BY136" s="335"/>
      <c r="BZ136" s="335"/>
      <c r="CA136" s="335"/>
      <c r="CB136" s="335"/>
      <c r="CC136" s="335"/>
      <c r="CD136" s="335"/>
      <c r="CE136" s="335"/>
      <c r="CF136" s="335"/>
      <c r="CG136" s="335"/>
      <c r="CH136" s="335"/>
      <c r="CI136" s="335"/>
      <c r="CJ136" s="335"/>
      <c r="CK136" s="335"/>
      <c r="CL136" s="335"/>
      <c r="CM136" s="335"/>
      <c r="CN136" s="335"/>
      <c r="CO136" s="335"/>
      <c r="CP136" s="335"/>
      <c r="CQ136" s="335"/>
      <c r="CR136" s="335"/>
      <c r="CS136" s="335"/>
      <c r="CT136" s="335"/>
      <c r="CU136" s="335"/>
      <c r="CV136" s="335"/>
      <c r="CW136" s="335"/>
      <c r="CX136" s="335"/>
      <c r="CY136" s="335"/>
      <c r="CZ136" s="335"/>
      <c r="DA136" s="335"/>
      <c r="DB136" s="335"/>
      <c r="DC136" s="335"/>
      <c r="DD136" s="335"/>
      <c r="DE136" s="335"/>
      <c r="DF136" s="335"/>
      <c r="DG136" s="335"/>
      <c r="DH136" s="335"/>
      <c r="DI136" s="335"/>
      <c r="DJ136" s="335"/>
      <c r="DK136" s="335"/>
      <c r="DL136" s="335"/>
      <c r="DM136" s="335"/>
      <c r="DN136" s="335"/>
      <c r="DO136" s="335"/>
      <c r="DP136" s="335"/>
      <c r="DQ136" s="335"/>
      <c r="DR136" s="335"/>
      <c r="DS136" s="335"/>
      <c r="DT136" s="335"/>
      <c r="DU136" s="335"/>
      <c r="DV136" s="335"/>
      <c r="DW136" s="335"/>
      <c r="DX136" s="335"/>
      <c r="DY136" s="335"/>
      <c r="DZ136" s="335"/>
      <c r="EA136" s="335"/>
      <c r="EB136" s="335"/>
      <c r="EC136" s="335"/>
      <c r="ED136" s="335"/>
      <c r="EE136" s="335"/>
      <c r="EF136" s="335"/>
      <c r="EG136" s="335"/>
      <c r="EH136" s="335"/>
      <c r="EI136" s="335"/>
      <c r="EJ136" s="335"/>
      <c r="EK136" s="335"/>
      <c r="EL136" s="335"/>
      <c r="EM136" s="335"/>
      <c r="EN136" s="335"/>
      <c r="EO136" s="335"/>
      <c r="EP136" s="335"/>
      <c r="EQ136" s="335"/>
      <c r="ER136" s="335"/>
      <c r="ES136" s="335"/>
      <c r="ET136" s="335"/>
      <c r="EU136" s="335"/>
      <c r="EV136" s="335"/>
      <c r="EW136" s="335"/>
      <c r="EX136" s="335"/>
      <c r="EY136" s="335"/>
      <c r="EZ136" s="335"/>
      <c r="FA136" s="335"/>
      <c r="FB136" s="335"/>
      <c r="FC136" s="335"/>
      <c r="FD136" s="335"/>
      <c r="FE136" s="335"/>
      <c r="FF136" s="335"/>
      <c r="FG136" s="335"/>
      <c r="FH136" s="335"/>
      <c r="FI136" s="335"/>
      <c r="FJ136" s="335"/>
      <c r="FK136" s="335"/>
      <c r="FL136" s="335"/>
      <c r="FM136" s="335"/>
      <c r="FN136" s="335"/>
      <c r="FO136" s="335"/>
      <c r="FP136" s="335"/>
      <c r="FQ136" s="335"/>
      <c r="FR136" s="335"/>
      <c r="FS136" s="335"/>
      <c r="FT136" s="335"/>
      <c r="FU136" s="335"/>
      <c r="FV136" s="335"/>
      <c r="FW136" s="335"/>
      <c r="FX136" s="335"/>
      <c r="FY136" s="335"/>
    </row>
    <row r="137" spans="1:181" s="343" customFormat="1" ht="12" hidden="1" customHeight="1">
      <c r="A137" s="337"/>
      <c r="B137" s="1374" t="s">
        <v>312</v>
      </c>
      <c r="C137" s="1375">
        <v>7448</v>
      </c>
      <c r="D137" s="1374" t="s">
        <v>568</v>
      </c>
      <c r="E137" s="1376" t="s">
        <v>324</v>
      </c>
      <c r="F137" s="1377">
        <v>2032</v>
      </c>
      <c r="G137" s="1378" t="s">
        <v>327</v>
      </c>
      <c r="H137" s="1374"/>
      <c r="I137" s="1379">
        <v>42485</v>
      </c>
      <c r="J137" s="1380" t="s">
        <v>475</v>
      </c>
      <c r="K137" s="1377">
        <v>120</v>
      </c>
      <c r="L137" s="1381">
        <v>12</v>
      </c>
      <c r="M137" s="1382">
        <v>12</v>
      </c>
      <c r="N137" s="1381"/>
      <c r="O137" s="1377">
        <v>29.305</v>
      </c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  <c r="AA137" s="335"/>
      <c r="AB137" s="335"/>
      <c r="AC137" s="335"/>
      <c r="AD137" s="335"/>
      <c r="AE137" s="335"/>
      <c r="AF137" s="335"/>
      <c r="AG137" s="335"/>
      <c r="AH137" s="335"/>
      <c r="AI137" s="335"/>
      <c r="AJ137" s="335"/>
      <c r="AK137" s="335"/>
      <c r="AL137" s="335"/>
      <c r="AM137" s="335"/>
      <c r="AN137" s="335"/>
      <c r="AO137" s="335"/>
      <c r="AP137" s="335"/>
      <c r="AQ137" s="335"/>
      <c r="AR137" s="335"/>
      <c r="AS137" s="335"/>
      <c r="AT137" s="335"/>
      <c r="AU137" s="335"/>
      <c r="AV137" s="335"/>
      <c r="AW137" s="335"/>
      <c r="AX137" s="335"/>
      <c r="AY137" s="335"/>
      <c r="AZ137" s="335"/>
      <c r="BA137" s="335"/>
      <c r="BB137" s="335"/>
      <c r="BC137" s="335"/>
      <c r="BD137" s="335"/>
      <c r="BE137" s="335"/>
      <c r="BF137" s="335"/>
      <c r="BG137" s="335"/>
      <c r="BH137" s="335"/>
      <c r="BI137" s="335"/>
      <c r="BJ137" s="335"/>
      <c r="BK137" s="335"/>
      <c r="BL137" s="335"/>
      <c r="BM137" s="335"/>
      <c r="BN137" s="335"/>
      <c r="BO137" s="335"/>
      <c r="BP137" s="335"/>
      <c r="BQ137" s="335"/>
      <c r="BR137" s="335"/>
      <c r="BS137" s="335"/>
      <c r="BT137" s="335"/>
      <c r="BU137" s="335"/>
      <c r="BV137" s="335"/>
      <c r="BW137" s="335"/>
      <c r="BX137" s="335"/>
      <c r="BY137" s="335"/>
      <c r="BZ137" s="335"/>
      <c r="CA137" s="335"/>
      <c r="CB137" s="335"/>
      <c r="CC137" s="335"/>
      <c r="CD137" s="335"/>
      <c r="CE137" s="335"/>
      <c r="CF137" s="335"/>
      <c r="CG137" s="335"/>
      <c r="CH137" s="335"/>
      <c r="CI137" s="335"/>
      <c r="CJ137" s="335"/>
      <c r="CK137" s="335"/>
      <c r="CL137" s="335"/>
      <c r="CM137" s="335"/>
      <c r="CN137" s="335"/>
      <c r="CO137" s="335"/>
      <c r="CP137" s="335"/>
      <c r="CQ137" s="335"/>
      <c r="CR137" s="335"/>
      <c r="CS137" s="335"/>
      <c r="CT137" s="335"/>
      <c r="CU137" s="335"/>
      <c r="CV137" s="335"/>
      <c r="CW137" s="335"/>
      <c r="CX137" s="335"/>
      <c r="CY137" s="335"/>
      <c r="CZ137" s="335"/>
      <c r="DA137" s="335"/>
      <c r="DB137" s="335"/>
      <c r="DC137" s="335"/>
      <c r="DD137" s="335"/>
      <c r="DE137" s="335"/>
      <c r="DF137" s="335"/>
      <c r="DG137" s="335"/>
      <c r="DH137" s="335"/>
      <c r="DI137" s="335"/>
      <c r="DJ137" s="335"/>
      <c r="DK137" s="335"/>
      <c r="DL137" s="335"/>
      <c r="DM137" s="335"/>
      <c r="DN137" s="335"/>
      <c r="DO137" s="335"/>
      <c r="DP137" s="335"/>
      <c r="DQ137" s="335"/>
      <c r="DR137" s="335"/>
      <c r="DS137" s="335"/>
      <c r="DT137" s="335"/>
      <c r="DU137" s="335"/>
      <c r="DV137" s="335"/>
      <c r="DW137" s="335"/>
      <c r="DX137" s="335"/>
      <c r="DY137" s="335"/>
      <c r="DZ137" s="335"/>
      <c r="EA137" s="335"/>
      <c r="EB137" s="335"/>
      <c r="EC137" s="335"/>
      <c r="ED137" s="335"/>
      <c r="EE137" s="335"/>
      <c r="EF137" s="335"/>
      <c r="EG137" s="335"/>
      <c r="EH137" s="335"/>
      <c r="EI137" s="335"/>
      <c r="EJ137" s="335"/>
      <c r="EK137" s="335"/>
      <c r="EL137" s="335"/>
      <c r="EM137" s="335"/>
      <c r="EN137" s="335"/>
      <c r="EO137" s="335"/>
      <c r="EP137" s="335"/>
      <c r="EQ137" s="335"/>
      <c r="ER137" s="335"/>
      <c r="ES137" s="335"/>
      <c r="ET137" s="335"/>
      <c r="EU137" s="335"/>
      <c r="EV137" s="335"/>
      <c r="EW137" s="335"/>
      <c r="EX137" s="335"/>
      <c r="EY137" s="335"/>
      <c r="EZ137" s="335"/>
      <c r="FA137" s="335"/>
      <c r="FB137" s="335"/>
      <c r="FC137" s="335"/>
      <c r="FD137" s="335"/>
      <c r="FE137" s="335"/>
      <c r="FF137" s="335"/>
      <c r="FG137" s="335"/>
      <c r="FH137" s="335"/>
      <c r="FI137" s="335"/>
      <c r="FJ137" s="335"/>
      <c r="FK137" s="335"/>
      <c r="FL137" s="335"/>
      <c r="FM137" s="335"/>
      <c r="FN137" s="335"/>
      <c r="FO137" s="335"/>
      <c r="FP137" s="335"/>
      <c r="FQ137" s="335"/>
      <c r="FR137" s="335"/>
      <c r="FS137" s="335"/>
      <c r="FT137" s="335"/>
      <c r="FU137" s="335"/>
      <c r="FV137" s="335"/>
      <c r="FW137" s="335"/>
      <c r="FX137" s="335"/>
      <c r="FY137" s="335"/>
    </row>
    <row r="138" spans="1:181" s="343" customFormat="1" ht="12" hidden="1" customHeight="1">
      <c r="A138" s="337"/>
      <c r="B138" s="1374" t="s">
        <v>312</v>
      </c>
      <c r="C138" s="1375">
        <v>7510</v>
      </c>
      <c r="D138" s="1374" t="s">
        <v>568</v>
      </c>
      <c r="E138" s="1376" t="s">
        <v>324</v>
      </c>
      <c r="F138" s="1377">
        <v>2032</v>
      </c>
      <c r="G138" s="1378" t="s">
        <v>327</v>
      </c>
      <c r="H138" s="1374"/>
      <c r="I138" s="1379">
        <v>42564</v>
      </c>
      <c r="J138" s="1380" t="s">
        <v>475</v>
      </c>
      <c r="K138" s="1377">
        <v>120</v>
      </c>
      <c r="L138" s="1381">
        <v>12</v>
      </c>
      <c r="M138" s="1382">
        <v>12</v>
      </c>
      <c r="N138" s="1381"/>
      <c r="O138" s="1377">
        <v>53.164999999999999</v>
      </c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5"/>
      <c r="AB138" s="335"/>
      <c r="AC138" s="335"/>
      <c r="AD138" s="335"/>
      <c r="AE138" s="335"/>
      <c r="AF138" s="335"/>
      <c r="AG138" s="335"/>
      <c r="AH138" s="335"/>
      <c r="AI138" s="335"/>
      <c r="AJ138" s="335"/>
      <c r="AK138" s="335"/>
      <c r="AL138" s="335"/>
      <c r="AM138" s="335"/>
      <c r="AN138" s="335"/>
      <c r="AO138" s="335"/>
      <c r="AP138" s="335"/>
      <c r="AQ138" s="335"/>
      <c r="AR138" s="335"/>
      <c r="AS138" s="335"/>
      <c r="AT138" s="335"/>
      <c r="AU138" s="335"/>
      <c r="AV138" s="335"/>
      <c r="AW138" s="335"/>
      <c r="AX138" s="335"/>
      <c r="AY138" s="335"/>
      <c r="AZ138" s="335"/>
      <c r="BA138" s="335"/>
      <c r="BB138" s="335"/>
      <c r="BC138" s="335"/>
      <c r="BD138" s="335"/>
      <c r="BE138" s="335"/>
      <c r="BF138" s="335"/>
      <c r="BG138" s="335"/>
      <c r="BH138" s="335"/>
      <c r="BI138" s="335"/>
      <c r="BJ138" s="335"/>
      <c r="BK138" s="335"/>
      <c r="BL138" s="335"/>
      <c r="BM138" s="335"/>
      <c r="BN138" s="335"/>
      <c r="BO138" s="335"/>
      <c r="BP138" s="335"/>
      <c r="BQ138" s="335"/>
      <c r="BR138" s="335"/>
      <c r="BS138" s="335"/>
      <c r="BT138" s="335"/>
      <c r="BU138" s="335"/>
      <c r="BV138" s="335"/>
      <c r="BW138" s="335"/>
      <c r="BX138" s="335"/>
      <c r="BY138" s="335"/>
      <c r="BZ138" s="335"/>
      <c r="CA138" s="335"/>
      <c r="CB138" s="335"/>
      <c r="CC138" s="335"/>
      <c r="CD138" s="335"/>
      <c r="CE138" s="335"/>
      <c r="CF138" s="335"/>
      <c r="CG138" s="335"/>
      <c r="CH138" s="335"/>
      <c r="CI138" s="335"/>
      <c r="CJ138" s="335"/>
      <c r="CK138" s="335"/>
      <c r="CL138" s="335"/>
      <c r="CM138" s="335"/>
      <c r="CN138" s="335"/>
      <c r="CO138" s="335"/>
      <c r="CP138" s="335"/>
      <c r="CQ138" s="335"/>
      <c r="CR138" s="335"/>
      <c r="CS138" s="335"/>
      <c r="CT138" s="335"/>
      <c r="CU138" s="335"/>
      <c r="CV138" s="335"/>
      <c r="CW138" s="335"/>
      <c r="CX138" s="335"/>
      <c r="CY138" s="335"/>
      <c r="CZ138" s="335"/>
      <c r="DA138" s="335"/>
      <c r="DB138" s="335"/>
      <c r="DC138" s="335"/>
      <c r="DD138" s="335"/>
      <c r="DE138" s="335"/>
      <c r="DF138" s="335"/>
      <c r="DG138" s="335"/>
      <c r="DH138" s="335"/>
      <c r="DI138" s="335"/>
      <c r="DJ138" s="335"/>
      <c r="DK138" s="335"/>
      <c r="DL138" s="335"/>
      <c r="DM138" s="335"/>
      <c r="DN138" s="335"/>
      <c r="DO138" s="335"/>
      <c r="DP138" s="335"/>
      <c r="DQ138" s="335"/>
      <c r="DR138" s="335"/>
      <c r="DS138" s="335"/>
      <c r="DT138" s="335"/>
      <c r="DU138" s="335"/>
      <c r="DV138" s="335"/>
      <c r="DW138" s="335"/>
      <c r="DX138" s="335"/>
      <c r="DY138" s="335"/>
      <c r="DZ138" s="335"/>
      <c r="EA138" s="335"/>
      <c r="EB138" s="335"/>
      <c r="EC138" s="335"/>
      <c r="ED138" s="335"/>
      <c r="EE138" s="335"/>
      <c r="EF138" s="335"/>
      <c r="EG138" s="335"/>
      <c r="EH138" s="335"/>
      <c r="EI138" s="335"/>
      <c r="EJ138" s="335"/>
      <c r="EK138" s="335"/>
      <c r="EL138" s="335"/>
      <c r="EM138" s="335"/>
      <c r="EN138" s="335"/>
      <c r="EO138" s="335"/>
      <c r="EP138" s="335"/>
      <c r="EQ138" s="335"/>
      <c r="ER138" s="335"/>
      <c r="ES138" s="335"/>
      <c r="ET138" s="335"/>
      <c r="EU138" s="335"/>
      <c r="EV138" s="335"/>
      <c r="EW138" s="335"/>
      <c r="EX138" s="335"/>
      <c r="EY138" s="335"/>
      <c r="EZ138" s="335"/>
      <c r="FA138" s="335"/>
      <c r="FB138" s="335"/>
      <c r="FC138" s="335"/>
      <c r="FD138" s="335"/>
      <c r="FE138" s="335"/>
      <c r="FF138" s="335"/>
      <c r="FG138" s="335"/>
      <c r="FH138" s="335"/>
      <c r="FI138" s="335"/>
      <c r="FJ138" s="335"/>
      <c r="FK138" s="335"/>
      <c r="FL138" s="335"/>
      <c r="FM138" s="335"/>
      <c r="FN138" s="335"/>
      <c r="FO138" s="335"/>
      <c r="FP138" s="335"/>
      <c r="FQ138" s="335"/>
      <c r="FR138" s="335"/>
      <c r="FS138" s="335"/>
      <c r="FT138" s="335"/>
      <c r="FU138" s="335"/>
      <c r="FV138" s="335"/>
      <c r="FW138" s="335"/>
      <c r="FX138" s="335"/>
      <c r="FY138" s="335"/>
    </row>
    <row r="139" spans="1:181" s="335" customFormat="1" ht="12" hidden="1" customHeight="1">
      <c r="A139" s="337"/>
      <c r="B139" s="1374" t="s">
        <v>312</v>
      </c>
      <c r="C139" s="1375">
        <v>7515</v>
      </c>
      <c r="D139" s="1374" t="s">
        <v>568</v>
      </c>
      <c r="E139" s="1376" t="s">
        <v>324</v>
      </c>
      <c r="F139" s="1377">
        <v>2032</v>
      </c>
      <c r="G139" s="1378" t="s">
        <v>327</v>
      </c>
      <c r="H139" s="1374"/>
      <c r="I139" s="1379">
        <v>42564</v>
      </c>
      <c r="J139" s="1380" t="s">
        <v>475</v>
      </c>
      <c r="K139" s="1377">
        <v>120</v>
      </c>
      <c r="L139" s="1381">
        <v>12</v>
      </c>
      <c r="M139" s="1382">
        <v>12</v>
      </c>
      <c r="N139" s="1381"/>
      <c r="O139" s="1377">
        <v>29.414000000000001</v>
      </c>
    </row>
    <row r="140" spans="1:181" s="343" customFormat="1" ht="12" hidden="1" customHeight="1">
      <c r="A140" s="337"/>
      <c r="B140" s="1374" t="s">
        <v>312</v>
      </c>
      <c r="C140" s="1375">
        <v>7551</v>
      </c>
      <c r="D140" s="1374" t="s">
        <v>568</v>
      </c>
      <c r="E140" s="1376" t="s">
        <v>324</v>
      </c>
      <c r="F140" s="1377">
        <v>2533</v>
      </c>
      <c r="G140" s="1378" t="s">
        <v>325</v>
      </c>
      <c r="H140" s="1374"/>
      <c r="I140" s="1379">
        <v>42642</v>
      </c>
      <c r="J140" s="1380" t="s">
        <v>475</v>
      </c>
      <c r="K140" s="1377">
        <v>119</v>
      </c>
      <c r="L140" s="1381">
        <v>11</v>
      </c>
      <c r="M140" s="1382">
        <v>12</v>
      </c>
      <c r="N140" s="1381"/>
      <c r="O140" s="1377">
        <v>22.061</v>
      </c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  <c r="AA140" s="335"/>
      <c r="AB140" s="335"/>
      <c r="AC140" s="335"/>
      <c r="AD140" s="335"/>
      <c r="AE140" s="335"/>
      <c r="AF140" s="335"/>
      <c r="AG140" s="335"/>
      <c r="AH140" s="335"/>
      <c r="AI140" s="335"/>
      <c r="AJ140" s="335"/>
      <c r="AK140" s="335"/>
      <c r="AL140" s="335"/>
      <c r="AM140" s="335"/>
      <c r="AN140" s="335"/>
      <c r="AO140" s="335"/>
      <c r="AP140" s="335"/>
      <c r="AQ140" s="335"/>
      <c r="AR140" s="335"/>
      <c r="AS140" s="335"/>
      <c r="AT140" s="335"/>
      <c r="AU140" s="335"/>
      <c r="AV140" s="335"/>
      <c r="AW140" s="335"/>
      <c r="AX140" s="335"/>
      <c r="AY140" s="335"/>
      <c r="AZ140" s="335"/>
      <c r="BA140" s="335"/>
      <c r="BB140" s="335"/>
      <c r="BC140" s="335"/>
      <c r="BD140" s="335"/>
      <c r="BE140" s="335"/>
      <c r="BF140" s="335"/>
      <c r="BG140" s="335"/>
      <c r="BH140" s="335"/>
      <c r="BI140" s="335"/>
      <c r="BJ140" s="335"/>
      <c r="BK140" s="335"/>
      <c r="BL140" s="335"/>
      <c r="BM140" s="335"/>
      <c r="BN140" s="335"/>
      <c r="BO140" s="335"/>
      <c r="BP140" s="335"/>
      <c r="BQ140" s="335"/>
      <c r="BR140" s="335"/>
      <c r="BS140" s="335"/>
      <c r="BT140" s="335"/>
      <c r="BU140" s="335"/>
      <c r="BV140" s="335"/>
      <c r="BW140" s="335"/>
      <c r="BX140" s="335"/>
      <c r="BY140" s="335"/>
      <c r="BZ140" s="335"/>
      <c r="CA140" s="335"/>
      <c r="CB140" s="335"/>
      <c r="CC140" s="335"/>
      <c r="CD140" s="335"/>
      <c r="CE140" s="335"/>
      <c r="CF140" s="335"/>
      <c r="CG140" s="335"/>
      <c r="CH140" s="335"/>
      <c r="CI140" s="335"/>
      <c r="CJ140" s="335"/>
      <c r="CK140" s="335"/>
      <c r="CL140" s="335"/>
      <c r="CM140" s="335"/>
      <c r="CN140" s="335"/>
      <c r="CO140" s="335"/>
      <c r="CP140" s="335"/>
      <c r="CQ140" s="335"/>
      <c r="CR140" s="335"/>
      <c r="CS140" s="335"/>
      <c r="CT140" s="335"/>
      <c r="CU140" s="335"/>
      <c r="CV140" s="335"/>
      <c r="CW140" s="335"/>
      <c r="CX140" s="335"/>
      <c r="CY140" s="335"/>
      <c r="CZ140" s="335"/>
      <c r="DA140" s="335"/>
      <c r="DB140" s="335"/>
      <c r="DC140" s="335"/>
      <c r="DD140" s="335"/>
      <c r="DE140" s="335"/>
      <c r="DF140" s="335"/>
      <c r="DG140" s="335"/>
      <c r="DH140" s="335"/>
      <c r="DI140" s="335"/>
      <c r="DJ140" s="335"/>
      <c r="DK140" s="335"/>
      <c r="DL140" s="335"/>
      <c r="DM140" s="335"/>
      <c r="DN140" s="335"/>
      <c r="DO140" s="335"/>
      <c r="DP140" s="335"/>
      <c r="DQ140" s="335"/>
      <c r="DR140" s="335"/>
      <c r="DS140" s="335"/>
      <c r="DT140" s="335"/>
      <c r="DU140" s="335"/>
      <c r="DV140" s="335"/>
      <c r="DW140" s="335"/>
      <c r="DX140" s="335"/>
      <c r="DY140" s="335"/>
      <c r="DZ140" s="335"/>
      <c r="EA140" s="335"/>
      <c r="EB140" s="335"/>
      <c r="EC140" s="335"/>
      <c r="ED140" s="335"/>
      <c r="EE140" s="335"/>
      <c r="EF140" s="335"/>
      <c r="EG140" s="335"/>
      <c r="EH140" s="335"/>
      <c r="EI140" s="335"/>
      <c r="EJ140" s="335"/>
      <c r="EK140" s="335"/>
      <c r="EL140" s="335"/>
      <c r="EM140" s="335"/>
      <c r="EN140" s="335"/>
      <c r="EO140" s="335"/>
      <c r="EP140" s="335"/>
      <c r="EQ140" s="335"/>
      <c r="ER140" s="335"/>
      <c r="ES140" s="335"/>
      <c r="ET140" s="335"/>
      <c r="EU140" s="335"/>
      <c r="EV140" s="335"/>
      <c r="EW140" s="335"/>
      <c r="EX140" s="335"/>
      <c r="EY140" s="335"/>
      <c r="EZ140" s="335"/>
      <c r="FA140" s="335"/>
      <c r="FB140" s="335"/>
      <c r="FC140" s="335"/>
      <c r="FD140" s="335"/>
      <c r="FE140" s="335"/>
      <c r="FF140" s="335"/>
      <c r="FG140" s="335"/>
      <c r="FH140" s="335"/>
      <c r="FI140" s="335"/>
      <c r="FJ140" s="335"/>
      <c r="FK140" s="335"/>
      <c r="FL140" s="335"/>
      <c r="FM140" s="335"/>
      <c r="FN140" s="335"/>
      <c r="FO140" s="335"/>
      <c r="FP140" s="335"/>
      <c r="FQ140" s="335"/>
      <c r="FR140" s="335"/>
      <c r="FS140" s="335"/>
      <c r="FT140" s="335"/>
      <c r="FU140" s="335"/>
      <c r="FV140" s="335"/>
      <c r="FW140" s="335"/>
      <c r="FX140" s="335"/>
      <c r="FY140" s="335"/>
    </row>
    <row r="141" spans="1:181" s="343" customFormat="1" ht="12" hidden="1" customHeight="1">
      <c r="A141" s="337"/>
      <c r="B141" s="1374" t="s">
        <v>312</v>
      </c>
      <c r="C141" s="1375">
        <v>7552</v>
      </c>
      <c r="D141" s="1374" t="s">
        <v>568</v>
      </c>
      <c r="E141" s="1376" t="s">
        <v>324</v>
      </c>
      <c r="F141" s="1377">
        <v>2533</v>
      </c>
      <c r="G141" s="1378" t="s">
        <v>325</v>
      </c>
      <c r="H141" s="1374"/>
      <c r="I141" s="1379">
        <v>42642</v>
      </c>
      <c r="J141" s="1380" t="s">
        <v>475</v>
      </c>
      <c r="K141" s="1377">
        <v>120</v>
      </c>
      <c r="L141" s="1381">
        <v>12</v>
      </c>
      <c r="M141" s="1382">
        <v>12</v>
      </c>
      <c r="N141" s="1381"/>
      <c r="O141" s="1377">
        <v>22.169</v>
      </c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  <c r="AA141" s="335"/>
      <c r="AB141" s="335"/>
      <c r="AC141" s="335"/>
      <c r="AD141" s="335"/>
      <c r="AE141" s="335"/>
      <c r="AF141" s="335"/>
      <c r="AG141" s="335"/>
      <c r="AH141" s="335"/>
      <c r="AI141" s="335"/>
      <c r="AJ141" s="335"/>
      <c r="AK141" s="335"/>
      <c r="AL141" s="335"/>
      <c r="AM141" s="335"/>
      <c r="AN141" s="335"/>
      <c r="AO141" s="335"/>
      <c r="AP141" s="335"/>
      <c r="AQ141" s="335"/>
      <c r="AR141" s="335"/>
      <c r="AS141" s="335"/>
      <c r="AT141" s="335"/>
      <c r="AU141" s="335"/>
      <c r="AV141" s="335"/>
      <c r="AW141" s="335"/>
      <c r="AX141" s="335"/>
      <c r="AY141" s="335"/>
      <c r="AZ141" s="335"/>
      <c r="BA141" s="335"/>
      <c r="BB141" s="335"/>
      <c r="BC141" s="335"/>
      <c r="BD141" s="335"/>
      <c r="BE141" s="335"/>
      <c r="BF141" s="335"/>
      <c r="BG141" s="335"/>
      <c r="BH141" s="335"/>
      <c r="BI141" s="335"/>
      <c r="BJ141" s="335"/>
      <c r="BK141" s="335"/>
      <c r="BL141" s="335"/>
      <c r="BM141" s="335"/>
      <c r="BN141" s="335"/>
      <c r="BO141" s="335"/>
      <c r="BP141" s="335"/>
      <c r="BQ141" s="335"/>
      <c r="BR141" s="335"/>
      <c r="BS141" s="335"/>
      <c r="BT141" s="335"/>
      <c r="BU141" s="335"/>
      <c r="BV141" s="335"/>
      <c r="BW141" s="335"/>
      <c r="BX141" s="335"/>
      <c r="BY141" s="335"/>
      <c r="BZ141" s="335"/>
      <c r="CA141" s="335"/>
      <c r="CB141" s="335"/>
      <c r="CC141" s="335"/>
      <c r="CD141" s="335"/>
      <c r="CE141" s="335"/>
      <c r="CF141" s="335"/>
      <c r="CG141" s="335"/>
      <c r="CH141" s="335"/>
      <c r="CI141" s="335"/>
      <c r="CJ141" s="335"/>
      <c r="CK141" s="335"/>
      <c r="CL141" s="335"/>
      <c r="CM141" s="335"/>
      <c r="CN141" s="335"/>
      <c r="CO141" s="335"/>
      <c r="CP141" s="335"/>
      <c r="CQ141" s="335"/>
      <c r="CR141" s="335"/>
      <c r="CS141" s="335"/>
      <c r="CT141" s="335"/>
      <c r="CU141" s="335"/>
      <c r="CV141" s="335"/>
      <c r="CW141" s="335"/>
      <c r="CX141" s="335"/>
      <c r="CY141" s="335"/>
      <c r="CZ141" s="335"/>
      <c r="DA141" s="335"/>
      <c r="DB141" s="335"/>
      <c r="DC141" s="335"/>
      <c r="DD141" s="335"/>
      <c r="DE141" s="335"/>
      <c r="DF141" s="335"/>
      <c r="DG141" s="335"/>
      <c r="DH141" s="335"/>
      <c r="DI141" s="335"/>
      <c r="DJ141" s="335"/>
      <c r="DK141" s="335"/>
      <c r="DL141" s="335"/>
      <c r="DM141" s="335"/>
      <c r="DN141" s="335"/>
      <c r="DO141" s="335"/>
      <c r="DP141" s="335"/>
      <c r="DQ141" s="335"/>
      <c r="DR141" s="335"/>
      <c r="DS141" s="335"/>
      <c r="DT141" s="335"/>
      <c r="DU141" s="335"/>
      <c r="DV141" s="335"/>
      <c r="DW141" s="335"/>
      <c r="DX141" s="335"/>
      <c r="DY141" s="335"/>
      <c r="DZ141" s="335"/>
      <c r="EA141" s="335"/>
      <c r="EB141" s="335"/>
      <c r="EC141" s="335"/>
      <c r="ED141" s="335"/>
      <c r="EE141" s="335"/>
      <c r="EF141" s="335"/>
      <c r="EG141" s="335"/>
      <c r="EH141" s="335"/>
      <c r="EI141" s="335"/>
      <c r="EJ141" s="335"/>
      <c r="EK141" s="335"/>
      <c r="EL141" s="335"/>
      <c r="EM141" s="335"/>
      <c r="EN141" s="335"/>
      <c r="EO141" s="335"/>
      <c r="EP141" s="335"/>
      <c r="EQ141" s="335"/>
      <c r="ER141" s="335"/>
      <c r="ES141" s="335"/>
      <c r="ET141" s="335"/>
      <c r="EU141" s="335"/>
      <c r="EV141" s="335"/>
      <c r="EW141" s="335"/>
      <c r="EX141" s="335"/>
      <c r="EY141" s="335"/>
      <c r="EZ141" s="335"/>
      <c r="FA141" s="335"/>
      <c r="FB141" s="335"/>
      <c r="FC141" s="335"/>
      <c r="FD141" s="335"/>
      <c r="FE141" s="335"/>
      <c r="FF141" s="335"/>
      <c r="FG141" s="335"/>
      <c r="FH141" s="335"/>
      <c r="FI141" s="335"/>
      <c r="FJ141" s="335"/>
      <c r="FK141" s="335"/>
      <c r="FL141" s="335"/>
      <c r="FM141" s="335"/>
      <c r="FN141" s="335"/>
      <c r="FO141" s="335"/>
      <c r="FP141" s="335"/>
      <c r="FQ141" s="335"/>
      <c r="FR141" s="335"/>
      <c r="FS141" s="335"/>
      <c r="FT141" s="335"/>
      <c r="FU141" s="335"/>
      <c r="FV141" s="335"/>
      <c r="FW141" s="335"/>
      <c r="FX141" s="335"/>
      <c r="FY141" s="335"/>
    </row>
    <row r="142" spans="1:181" s="343" customFormat="1" ht="12" hidden="1" customHeight="1">
      <c r="A142" s="337"/>
      <c r="B142" s="1374" t="s">
        <v>312</v>
      </c>
      <c r="C142" s="1375">
        <v>7562</v>
      </c>
      <c r="D142" s="1374" t="s">
        <v>568</v>
      </c>
      <c r="E142" s="1376" t="s">
        <v>324</v>
      </c>
      <c r="F142" s="1377">
        <v>2011</v>
      </c>
      <c r="G142" s="1378" t="s">
        <v>326</v>
      </c>
      <c r="H142" s="1374"/>
      <c r="I142" s="1379">
        <v>42647</v>
      </c>
      <c r="J142" s="1380" t="s">
        <v>475</v>
      </c>
      <c r="K142" s="1377">
        <v>120</v>
      </c>
      <c r="L142" s="1381">
        <v>12</v>
      </c>
      <c r="M142" s="1382">
        <v>12</v>
      </c>
      <c r="N142" s="1381"/>
      <c r="O142" s="1377">
        <v>11.882999999999999</v>
      </c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  <c r="AA142" s="335"/>
      <c r="AB142" s="335"/>
      <c r="AC142" s="335"/>
      <c r="AD142" s="335"/>
      <c r="AE142" s="335"/>
      <c r="AF142" s="335"/>
      <c r="AG142" s="335"/>
      <c r="AH142" s="335"/>
      <c r="AI142" s="335"/>
      <c r="AJ142" s="335"/>
      <c r="AK142" s="335"/>
      <c r="AL142" s="335"/>
      <c r="AM142" s="335"/>
      <c r="AN142" s="335"/>
      <c r="AO142" s="335"/>
      <c r="AP142" s="335"/>
      <c r="AQ142" s="335"/>
      <c r="AR142" s="335"/>
      <c r="AS142" s="335"/>
      <c r="AT142" s="335"/>
      <c r="AU142" s="335"/>
      <c r="AV142" s="335"/>
      <c r="AW142" s="335"/>
      <c r="AX142" s="335"/>
      <c r="AY142" s="335"/>
      <c r="AZ142" s="335"/>
      <c r="BA142" s="335"/>
      <c r="BB142" s="335"/>
      <c r="BC142" s="335"/>
      <c r="BD142" s="335"/>
      <c r="BE142" s="335"/>
      <c r="BF142" s="335"/>
      <c r="BG142" s="335"/>
      <c r="BH142" s="335"/>
      <c r="BI142" s="335"/>
      <c r="BJ142" s="335"/>
      <c r="BK142" s="335"/>
      <c r="BL142" s="335"/>
      <c r="BM142" s="335"/>
      <c r="BN142" s="335"/>
      <c r="BO142" s="335"/>
      <c r="BP142" s="335"/>
      <c r="BQ142" s="335"/>
      <c r="BR142" s="335"/>
      <c r="BS142" s="335"/>
      <c r="BT142" s="335"/>
      <c r="BU142" s="335"/>
      <c r="BV142" s="335"/>
      <c r="BW142" s="335"/>
      <c r="BX142" s="335"/>
      <c r="BY142" s="335"/>
      <c r="BZ142" s="335"/>
      <c r="CA142" s="335"/>
      <c r="CB142" s="335"/>
      <c r="CC142" s="335"/>
      <c r="CD142" s="335"/>
      <c r="CE142" s="335"/>
      <c r="CF142" s="335"/>
      <c r="CG142" s="335"/>
      <c r="CH142" s="335"/>
      <c r="CI142" s="335"/>
      <c r="CJ142" s="335"/>
      <c r="CK142" s="335"/>
      <c r="CL142" s="335"/>
      <c r="CM142" s="335"/>
      <c r="CN142" s="335"/>
      <c r="CO142" s="335"/>
      <c r="CP142" s="335"/>
      <c r="CQ142" s="335"/>
      <c r="CR142" s="335"/>
      <c r="CS142" s="335"/>
      <c r="CT142" s="335"/>
      <c r="CU142" s="335"/>
      <c r="CV142" s="335"/>
      <c r="CW142" s="335"/>
      <c r="CX142" s="335"/>
      <c r="CY142" s="335"/>
      <c r="CZ142" s="335"/>
      <c r="DA142" s="335"/>
      <c r="DB142" s="335"/>
      <c r="DC142" s="335"/>
      <c r="DD142" s="335"/>
      <c r="DE142" s="335"/>
      <c r="DF142" s="335"/>
      <c r="DG142" s="335"/>
      <c r="DH142" s="335"/>
      <c r="DI142" s="335"/>
      <c r="DJ142" s="335"/>
      <c r="DK142" s="335"/>
      <c r="DL142" s="335"/>
      <c r="DM142" s="335"/>
      <c r="DN142" s="335"/>
      <c r="DO142" s="335"/>
      <c r="DP142" s="335"/>
      <c r="DQ142" s="335"/>
      <c r="DR142" s="335"/>
      <c r="DS142" s="335"/>
      <c r="DT142" s="335"/>
      <c r="DU142" s="335"/>
      <c r="DV142" s="335"/>
      <c r="DW142" s="335"/>
      <c r="DX142" s="335"/>
      <c r="DY142" s="335"/>
      <c r="DZ142" s="335"/>
      <c r="EA142" s="335"/>
      <c r="EB142" s="335"/>
      <c r="EC142" s="335"/>
      <c r="ED142" s="335"/>
      <c r="EE142" s="335"/>
      <c r="EF142" s="335"/>
      <c r="EG142" s="335"/>
      <c r="EH142" s="335"/>
      <c r="EI142" s="335"/>
      <c r="EJ142" s="335"/>
      <c r="EK142" s="335"/>
      <c r="EL142" s="335"/>
      <c r="EM142" s="335"/>
      <c r="EN142" s="335"/>
      <c r="EO142" s="335"/>
      <c r="EP142" s="335"/>
      <c r="EQ142" s="335"/>
      <c r="ER142" s="335"/>
      <c r="ES142" s="335"/>
      <c r="ET142" s="335"/>
      <c r="EU142" s="335"/>
      <c r="EV142" s="335"/>
      <c r="EW142" s="335"/>
      <c r="EX142" s="335"/>
      <c r="EY142" s="335"/>
      <c r="EZ142" s="335"/>
      <c r="FA142" s="335"/>
      <c r="FB142" s="335"/>
      <c r="FC142" s="335"/>
      <c r="FD142" s="335"/>
      <c r="FE142" s="335"/>
      <c r="FF142" s="335"/>
      <c r="FG142" s="335"/>
      <c r="FH142" s="335"/>
      <c r="FI142" s="335"/>
      <c r="FJ142" s="335"/>
      <c r="FK142" s="335"/>
      <c r="FL142" s="335"/>
      <c r="FM142" s="335"/>
      <c r="FN142" s="335"/>
      <c r="FO142" s="335"/>
      <c r="FP142" s="335"/>
      <c r="FQ142" s="335"/>
      <c r="FR142" s="335"/>
      <c r="FS142" s="335"/>
      <c r="FT142" s="335"/>
      <c r="FU142" s="335"/>
      <c r="FV142" s="335"/>
      <c r="FW142" s="335"/>
      <c r="FX142" s="335"/>
      <c r="FY142" s="335"/>
    </row>
    <row r="143" spans="1:181" s="343" customFormat="1" ht="12" hidden="1" customHeight="1">
      <c r="A143" s="337"/>
      <c r="B143" s="1374" t="s">
        <v>312</v>
      </c>
      <c r="C143" s="1375">
        <v>7563</v>
      </c>
      <c r="D143" s="1374" t="s">
        <v>568</v>
      </c>
      <c r="E143" s="1376" t="s">
        <v>324</v>
      </c>
      <c r="F143" s="1377">
        <v>2011</v>
      </c>
      <c r="G143" s="1378" t="s">
        <v>326</v>
      </c>
      <c r="H143" s="1374"/>
      <c r="I143" s="1379">
        <v>42647</v>
      </c>
      <c r="J143" s="1380" t="s">
        <v>475</v>
      </c>
      <c r="K143" s="1377">
        <v>120</v>
      </c>
      <c r="L143" s="1381">
        <v>12</v>
      </c>
      <c r="M143" s="1382">
        <v>12</v>
      </c>
      <c r="N143" s="1381"/>
      <c r="O143" s="1377">
        <v>28.550999999999998</v>
      </c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  <c r="AA143" s="335"/>
      <c r="AB143" s="335"/>
      <c r="AC143" s="335"/>
      <c r="AD143" s="335"/>
      <c r="AE143" s="335"/>
      <c r="AF143" s="335"/>
      <c r="AG143" s="335"/>
      <c r="AH143" s="335"/>
      <c r="AI143" s="335"/>
      <c r="AJ143" s="335"/>
      <c r="AK143" s="335"/>
      <c r="AL143" s="335"/>
      <c r="AM143" s="335"/>
      <c r="AN143" s="335"/>
      <c r="AO143" s="335"/>
      <c r="AP143" s="335"/>
      <c r="AQ143" s="335"/>
      <c r="AR143" s="335"/>
      <c r="AS143" s="335"/>
      <c r="AT143" s="335"/>
      <c r="AU143" s="335"/>
      <c r="AV143" s="335"/>
      <c r="AW143" s="335"/>
      <c r="AX143" s="335"/>
      <c r="AY143" s="335"/>
      <c r="AZ143" s="335"/>
      <c r="BA143" s="335"/>
      <c r="BB143" s="335"/>
      <c r="BC143" s="335"/>
      <c r="BD143" s="335"/>
      <c r="BE143" s="335"/>
      <c r="BF143" s="335"/>
      <c r="BG143" s="335"/>
      <c r="BH143" s="335"/>
      <c r="BI143" s="335"/>
      <c r="BJ143" s="335"/>
      <c r="BK143" s="335"/>
      <c r="BL143" s="335"/>
      <c r="BM143" s="335"/>
      <c r="BN143" s="335"/>
      <c r="BO143" s="335"/>
      <c r="BP143" s="335"/>
      <c r="BQ143" s="335"/>
      <c r="BR143" s="335"/>
      <c r="BS143" s="335"/>
      <c r="BT143" s="335"/>
      <c r="BU143" s="335"/>
      <c r="BV143" s="335"/>
      <c r="BW143" s="335"/>
      <c r="BX143" s="335"/>
      <c r="BY143" s="335"/>
      <c r="BZ143" s="335"/>
      <c r="CA143" s="335"/>
      <c r="CB143" s="335"/>
      <c r="CC143" s="335"/>
      <c r="CD143" s="335"/>
      <c r="CE143" s="335"/>
      <c r="CF143" s="335"/>
      <c r="CG143" s="335"/>
      <c r="CH143" s="335"/>
      <c r="CI143" s="335"/>
      <c r="CJ143" s="335"/>
      <c r="CK143" s="335"/>
      <c r="CL143" s="335"/>
      <c r="CM143" s="335"/>
      <c r="CN143" s="335"/>
      <c r="CO143" s="335"/>
      <c r="CP143" s="335"/>
      <c r="CQ143" s="335"/>
      <c r="CR143" s="335"/>
      <c r="CS143" s="335"/>
      <c r="CT143" s="335"/>
      <c r="CU143" s="335"/>
      <c r="CV143" s="335"/>
      <c r="CW143" s="335"/>
      <c r="CX143" s="335"/>
      <c r="CY143" s="335"/>
      <c r="CZ143" s="335"/>
      <c r="DA143" s="335"/>
      <c r="DB143" s="335"/>
      <c r="DC143" s="335"/>
      <c r="DD143" s="335"/>
      <c r="DE143" s="335"/>
      <c r="DF143" s="335"/>
      <c r="DG143" s="335"/>
      <c r="DH143" s="335"/>
      <c r="DI143" s="335"/>
      <c r="DJ143" s="335"/>
      <c r="DK143" s="335"/>
      <c r="DL143" s="335"/>
      <c r="DM143" s="335"/>
      <c r="DN143" s="335"/>
      <c r="DO143" s="335"/>
      <c r="DP143" s="335"/>
      <c r="DQ143" s="335"/>
      <c r="DR143" s="335"/>
      <c r="DS143" s="335"/>
      <c r="DT143" s="335"/>
      <c r="DU143" s="335"/>
      <c r="DV143" s="335"/>
      <c r="DW143" s="335"/>
      <c r="DX143" s="335"/>
      <c r="DY143" s="335"/>
      <c r="DZ143" s="335"/>
      <c r="EA143" s="335"/>
      <c r="EB143" s="335"/>
      <c r="EC143" s="335"/>
      <c r="ED143" s="335"/>
      <c r="EE143" s="335"/>
      <c r="EF143" s="335"/>
      <c r="EG143" s="335"/>
      <c r="EH143" s="335"/>
      <c r="EI143" s="335"/>
      <c r="EJ143" s="335"/>
      <c r="EK143" s="335"/>
      <c r="EL143" s="335"/>
      <c r="EM143" s="335"/>
      <c r="EN143" s="335"/>
      <c r="EO143" s="335"/>
      <c r="EP143" s="335"/>
      <c r="EQ143" s="335"/>
      <c r="ER143" s="335"/>
      <c r="ES143" s="335"/>
      <c r="ET143" s="335"/>
      <c r="EU143" s="335"/>
      <c r="EV143" s="335"/>
      <c r="EW143" s="335"/>
      <c r="EX143" s="335"/>
      <c r="EY143" s="335"/>
      <c r="EZ143" s="335"/>
      <c r="FA143" s="335"/>
      <c r="FB143" s="335"/>
      <c r="FC143" s="335"/>
      <c r="FD143" s="335"/>
      <c r="FE143" s="335"/>
      <c r="FF143" s="335"/>
      <c r="FG143" s="335"/>
      <c r="FH143" s="335"/>
      <c r="FI143" s="335"/>
      <c r="FJ143" s="335"/>
      <c r="FK143" s="335"/>
      <c r="FL143" s="335"/>
      <c r="FM143" s="335"/>
      <c r="FN143" s="335"/>
      <c r="FO143" s="335"/>
      <c r="FP143" s="335"/>
      <c r="FQ143" s="335"/>
      <c r="FR143" s="335"/>
      <c r="FS143" s="335"/>
      <c r="FT143" s="335"/>
      <c r="FU143" s="335"/>
      <c r="FV143" s="335"/>
      <c r="FW143" s="335"/>
      <c r="FX143" s="335"/>
      <c r="FY143" s="335"/>
    </row>
    <row r="144" spans="1:181" s="343" customFormat="1" ht="12" hidden="1" customHeight="1">
      <c r="A144" s="337"/>
      <c r="B144" s="1374" t="s">
        <v>312</v>
      </c>
      <c r="C144" s="1381">
        <v>7456</v>
      </c>
      <c r="D144" s="1374" t="s">
        <v>568</v>
      </c>
      <c r="E144" s="1376" t="s">
        <v>434</v>
      </c>
      <c r="F144" s="1382">
        <v>2023</v>
      </c>
      <c r="G144" s="1376" t="s">
        <v>328</v>
      </c>
      <c r="H144" s="1374"/>
      <c r="I144" s="1383">
        <v>42415</v>
      </c>
      <c r="J144" s="1380" t="s">
        <v>475</v>
      </c>
      <c r="K144" s="1382">
        <v>120</v>
      </c>
      <c r="L144" s="1381">
        <v>12</v>
      </c>
      <c r="M144" s="1382">
        <v>12</v>
      </c>
      <c r="N144" s="1381"/>
      <c r="O144" s="1382">
        <v>1.1359999999999999</v>
      </c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  <c r="AA144" s="335"/>
      <c r="AB144" s="335"/>
      <c r="AC144" s="335"/>
      <c r="AD144" s="335"/>
      <c r="AE144" s="335"/>
      <c r="AF144" s="335"/>
      <c r="AG144" s="335"/>
      <c r="AH144" s="335"/>
      <c r="AI144" s="335"/>
      <c r="AJ144" s="335"/>
      <c r="AK144" s="335"/>
      <c r="AL144" s="335"/>
      <c r="AM144" s="335"/>
      <c r="AN144" s="335"/>
      <c r="AO144" s="335"/>
      <c r="AP144" s="335"/>
      <c r="AQ144" s="335"/>
      <c r="AR144" s="335"/>
      <c r="AS144" s="335"/>
      <c r="AT144" s="335"/>
      <c r="AU144" s="335"/>
      <c r="AV144" s="335"/>
      <c r="AW144" s="335"/>
      <c r="AX144" s="335"/>
      <c r="AY144" s="335"/>
      <c r="AZ144" s="335"/>
      <c r="BA144" s="335"/>
      <c r="BB144" s="335"/>
      <c r="BC144" s="335"/>
      <c r="BD144" s="335"/>
      <c r="BE144" s="335"/>
      <c r="BF144" s="335"/>
      <c r="BG144" s="335"/>
      <c r="BH144" s="335"/>
      <c r="BI144" s="335"/>
      <c r="BJ144" s="335"/>
      <c r="BK144" s="335"/>
      <c r="BL144" s="335"/>
      <c r="BM144" s="335"/>
      <c r="BN144" s="335"/>
      <c r="BO144" s="335"/>
      <c r="BP144" s="335"/>
      <c r="BQ144" s="335"/>
      <c r="BR144" s="335"/>
      <c r="BS144" s="335"/>
      <c r="BT144" s="335"/>
      <c r="BU144" s="335"/>
      <c r="BV144" s="335"/>
      <c r="BW144" s="335"/>
      <c r="BX144" s="335"/>
      <c r="BY144" s="335"/>
      <c r="BZ144" s="335"/>
      <c r="CA144" s="335"/>
      <c r="CB144" s="335"/>
      <c r="CC144" s="335"/>
      <c r="CD144" s="335"/>
      <c r="CE144" s="335"/>
      <c r="CF144" s="335"/>
      <c r="CG144" s="335"/>
      <c r="CH144" s="335"/>
      <c r="CI144" s="335"/>
      <c r="CJ144" s="335"/>
      <c r="CK144" s="335"/>
      <c r="CL144" s="335"/>
      <c r="CM144" s="335"/>
      <c r="CN144" s="335"/>
      <c r="CO144" s="335"/>
      <c r="CP144" s="335"/>
      <c r="CQ144" s="335"/>
      <c r="CR144" s="335"/>
      <c r="CS144" s="335"/>
      <c r="CT144" s="335"/>
      <c r="CU144" s="335"/>
      <c r="CV144" s="335"/>
      <c r="CW144" s="335"/>
      <c r="CX144" s="335"/>
      <c r="CY144" s="335"/>
      <c r="CZ144" s="335"/>
      <c r="DA144" s="335"/>
      <c r="DB144" s="335"/>
      <c r="DC144" s="335"/>
      <c r="DD144" s="335"/>
      <c r="DE144" s="335"/>
      <c r="DF144" s="335"/>
      <c r="DG144" s="335"/>
      <c r="DH144" s="335"/>
      <c r="DI144" s="335"/>
      <c r="DJ144" s="335"/>
      <c r="DK144" s="335"/>
      <c r="DL144" s="335"/>
      <c r="DM144" s="335"/>
      <c r="DN144" s="335"/>
      <c r="DO144" s="335"/>
      <c r="DP144" s="335"/>
      <c r="DQ144" s="335"/>
      <c r="DR144" s="335"/>
      <c r="DS144" s="335"/>
      <c r="DT144" s="335"/>
      <c r="DU144" s="335"/>
      <c r="DV144" s="335"/>
      <c r="DW144" s="335"/>
      <c r="DX144" s="335"/>
      <c r="DY144" s="335"/>
      <c r="DZ144" s="335"/>
      <c r="EA144" s="335"/>
      <c r="EB144" s="335"/>
      <c r="EC144" s="335"/>
      <c r="ED144" s="335"/>
      <c r="EE144" s="335"/>
      <c r="EF144" s="335"/>
      <c r="EG144" s="335"/>
      <c r="EH144" s="335"/>
      <c r="EI144" s="335"/>
      <c r="EJ144" s="335"/>
      <c r="EK144" s="335"/>
      <c r="EL144" s="335"/>
      <c r="EM144" s="335"/>
      <c r="EN144" s="335"/>
      <c r="EO144" s="335"/>
      <c r="EP144" s="335"/>
      <c r="EQ144" s="335"/>
      <c r="ER144" s="335"/>
      <c r="ES144" s="335"/>
      <c r="ET144" s="335"/>
      <c r="EU144" s="335"/>
      <c r="EV144" s="335"/>
      <c r="EW144" s="335"/>
      <c r="EX144" s="335"/>
      <c r="EY144" s="335"/>
      <c r="EZ144" s="335"/>
      <c r="FA144" s="335"/>
      <c r="FB144" s="335"/>
      <c r="FC144" s="335"/>
      <c r="FD144" s="335"/>
      <c r="FE144" s="335"/>
      <c r="FF144" s="335"/>
      <c r="FG144" s="335"/>
      <c r="FH144" s="335"/>
      <c r="FI144" s="335"/>
      <c r="FJ144" s="335"/>
      <c r="FK144" s="335"/>
      <c r="FL144" s="335"/>
      <c r="FM144" s="335"/>
      <c r="FN144" s="335"/>
      <c r="FO144" s="335"/>
      <c r="FP144" s="335"/>
      <c r="FQ144" s="335"/>
      <c r="FR144" s="335"/>
      <c r="FS144" s="335"/>
      <c r="FT144" s="335"/>
      <c r="FU144" s="335"/>
      <c r="FV144" s="335"/>
      <c r="FW144" s="335"/>
      <c r="FX144" s="335"/>
      <c r="FY144" s="335"/>
    </row>
    <row r="145" spans="1:181" s="343" customFormat="1" ht="12" hidden="1" customHeight="1">
      <c r="A145" s="337"/>
      <c r="B145" s="1384" t="s">
        <v>312</v>
      </c>
      <c r="C145" s="1385">
        <v>7465</v>
      </c>
      <c r="D145" s="1384" t="s">
        <v>568</v>
      </c>
      <c r="E145" s="1386" t="s">
        <v>434</v>
      </c>
      <c r="F145" s="1385">
        <v>2023</v>
      </c>
      <c r="G145" s="1386" t="s">
        <v>328</v>
      </c>
      <c r="H145" s="1384"/>
      <c r="I145" s="1387">
        <v>42514</v>
      </c>
      <c r="J145" s="1380" t="s">
        <v>475</v>
      </c>
      <c r="K145" s="1385">
        <v>120</v>
      </c>
      <c r="L145" s="1381">
        <v>12</v>
      </c>
      <c r="M145" s="1385">
        <v>12</v>
      </c>
      <c r="N145" s="1388"/>
      <c r="O145" s="1385">
        <v>120.459</v>
      </c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  <c r="AA145" s="335"/>
      <c r="AB145" s="335"/>
      <c r="AC145" s="335"/>
      <c r="AD145" s="335"/>
      <c r="AE145" s="335"/>
      <c r="AF145" s="335"/>
      <c r="AG145" s="335"/>
      <c r="AH145" s="335"/>
      <c r="AI145" s="335"/>
      <c r="AJ145" s="335"/>
      <c r="AK145" s="335"/>
      <c r="AL145" s="335"/>
      <c r="AM145" s="335"/>
      <c r="AN145" s="335"/>
      <c r="AO145" s="335"/>
      <c r="AP145" s="335"/>
      <c r="AQ145" s="335"/>
      <c r="AR145" s="335"/>
      <c r="AS145" s="335"/>
      <c r="AT145" s="335"/>
      <c r="AU145" s="335"/>
      <c r="AV145" s="335"/>
      <c r="AW145" s="335"/>
      <c r="AX145" s="335"/>
      <c r="AY145" s="335"/>
      <c r="AZ145" s="335"/>
      <c r="BA145" s="335"/>
      <c r="BB145" s="335"/>
      <c r="BC145" s="335"/>
      <c r="BD145" s="335"/>
      <c r="BE145" s="335"/>
      <c r="BF145" s="335"/>
      <c r="BG145" s="335"/>
      <c r="BH145" s="335"/>
      <c r="BI145" s="335"/>
      <c r="BJ145" s="335"/>
      <c r="BK145" s="335"/>
      <c r="BL145" s="335"/>
      <c r="BM145" s="335"/>
      <c r="BN145" s="335"/>
      <c r="BO145" s="335"/>
      <c r="BP145" s="335"/>
      <c r="BQ145" s="335"/>
      <c r="BR145" s="335"/>
      <c r="BS145" s="335"/>
      <c r="BT145" s="335"/>
      <c r="BU145" s="335"/>
      <c r="BV145" s="335"/>
      <c r="BW145" s="335"/>
      <c r="BX145" s="335"/>
      <c r="BY145" s="335"/>
      <c r="BZ145" s="335"/>
      <c r="CA145" s="335"/>
      <c r="CB145" s="335"/>
      <c r="CC145" s="335"/>
      <c r="CD145" s="335"/>
      <c r="CE145" s="335"/>
      <c r="CF145" s="335"/>
      <c r="CG145" s="335"/>
      <c r="CH145" s="335"/>
      <c r="CI145" s="335"/>
      <c r="CJ145" s="335"/>
      <c r="CK145" s="335"/>
      <c r="CL145" s="335"/>
      <c r="CM145" s="335"/>
      <c r="CN145" s="335"/>
      <c r="CO145" s="335"/>
      <c r="CP145" s="335"/>
      <c r="CQ145" s="335"/>
      <c r="CR145" s="335"/>
      <c r="CS145" s="335"/>
      <c r="CT145" s="335"/>
      <c r="CU145" s="335"/>
      <c r="CV145" s="335"/>
      <c r="CW145" s="335"/>
      <c r="CX145" s="335"/>
      <c r="CY145" s="335"/>
      <c r="CZ145" s="335"/>
      <c r="DA145" s="335"/>
      <c r="DB145" s="335"/>
      <c r="DC145" s="335"/>
      <c r="DD145" s="335"/>
      <c r="DE145" s="335"/>
      <c r="DF145" s="335"/>
      <c r="DG145" s="335"/>
      <c r="DH145" s="335"/>
      <c r="DI145" s="335"/>
      <c r="DJ145" s="335"/>
      <c r="DK145" s="335"/>
      <c r="DL145" s="335"/>
      <c r="DM145" s="335"/>
      <c r="DN145" s="335"/>
      <c r="DO145" s="335"/>
      <c r="DP145" s="335"/>
      <c r="DQ145" s="335"/>
      <c r="DR145" s="335"/>
      <c r="DS145" s="335"/>
      <c r="DT145" s="335"/>
      <c r="DU145" s="335"/>
      <c r="DV145" s="335"/>
      <c r="DW145" s="335"/>
      <c r="DX145" s="335"/>
      <c r="DY145" s="335"/>
      <c r="DZ145" s="335"/>
      <c r="EA145" s="335"/>
      <c r="EB145" s="335"/>
      <c r="EC145" s="335"/>
      <c r="ED145" s="335"/>
      <c r="EE145" s="335"/>
      <c r="EF145" s="335"/>
      <c r="EG145" s="335"/>
      <c r="EH145" s="335"/>
      <c r="EI145" s="335"/>
      <c r="EJ145" s="335"/>
      <c r="EK145" s="335"/>
      <c r="EL145" s="335"/>
      <c r="EM145" s="335"/>
      <c r="EN145" s="335"/>
      <c r="EO145" s="335"/>
      <c r="EP145" s="335"/>
      <c r="EQ145" s="335"/>
      <c r="ER145" s="335"/>
      <c r="ES145" s="335"/>
      <c r="ET145" s="335"/>
      <c r="EU145" s="335"/>
      <c r="EV145" s="335"/>
      <c r="EW145" s="335"/>
      <c r="EX145" s="335"/>
      <c r="EY145" s="335"/>
      <c r="EZ145" s="335"/>
      <c r="FA145" s="335"/>
      <c r="FB145" s="335"/>
      <c r="FC145" s="335"/>
      <c r="FD145" s="335"/>
      <c r="FE145" s="335"/>
      <c r="FF145" s="335"/>
      <c r="FG145" s="335"/>
      <c r="FH145" s="335"/>
      <c r="FI145" s="335"/>
      <c r="FJ145" s="335"/>
      <c r="FK145" s="335"/>
      <c r="FL145" s="335"/>
      <c r="FM145" s="335"/>
      <c r="FN145" s="335"/>
      <c r="FO145" s="335"/>
      <c r="FP145" s="335"/>
      <c r="FQ145" s="335"/>
      <c r="FR145" s="335"/>
      <c r="FS145" s="335"/>
      <c r="FT145" s="335"/>
      <c r="FU145" s="335"/>
      <c r="FV145" s="335"/>
      <c r="FW145" s="335"/>
      <c r="FX145" s="335"/>
      <c r="FY145" s="335"/>
    </row>
    <row r="146" spans="1:181" s="343" customFormat="1" ht="12" hidden="1" customHeight="1">
      <c r="A146" s="337"/>
      <c r="B146" s="1384" t="s">
        <v>312</v>
      </c>
      <c r="C146" s="1385">
        <v>7538</v>
      </c>
      <c r="D146" s="1384" t="s">
        <v>568</v>
      </c>
      <c r="E146" s="1386" t="s">
        <v>434</v>
      </c>
      <c r="F146" s="1385">
        <v>2023</v>
      </c>
      <c r="G146" s="1386" t="s">
        <v>328</v>
      </c>
      <c r="H146" s="1384"/>
      <c r="I146" s="1387">
        <v>42586</v>
      </c>
      <c r="J146" s="1380" t="s">
        <v>475</v>
      </c>
      <c r="K146" s="1385">
        <v>120</v>
      </c>
      <c r="L146" s="1381">
        <v>12</v>
      </c>
      <c r="M146" s="1385">
        <v>12</v>
      </c>
      <c r="N146" s="1388"/>
      <c r="O146" s="1385">
        <v>0.184</v>
      </c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335"/>
      <c r="AB146" s="335"/>
      <c r="AC146" s="335"/>
      <c r="AD146" s="335"/>
      <c r="AE146" s="335"/>
      <c r="AF146" s="335"/>
      <c r="AG146" s="335"/>
      <c r="AH146" s="335"/>
      <c r="AI146" s="335"/>
      <c r="AJ146" s="335"/>
      <c r="AK146" s="335"/>
      <c r="AL146" s="335"/>
      <c r="AM146" s="335"/>
      <c r="AN146" s="335"/>
      <c r="AO146" s="335"/>
      <c r="AP146" s="335"/>
      <c r="AQ146" s="335"/>
      <c r="AR146" s="335"/>
      <c r="AS146" s="335"/>
      <c r="AT146" s="335"/>
      <c r="AU146" s="335"/>
      <c r="AV146" s="335"/>
      <c r="AW146" s="335"/>
      <c r="AX146" s="335"/>
      <c r="AY146" s="335"/>
      <c r="AZ146" s="335"/>
      <c r="BA146" s="335"/>
      <c r="BB146" s="335"/>
      <c r="BC146" s="335"/>
      <c r="BD146" s="335"/>
      <c r="BE146" s="335"/>
      <c r="BF146" s="335"/>
      <c r="BG146" s="335"/>
      <c r="BH146" s="335"/>
      <c r="BI146" s="335"/>
      <c r="BJ146" s="335"/>
      <c r="BK146" s="335"/>
      <c r="BL146" s="335"/>
      <c r="BM146" s="335"/>
      <c r="BN146" s="335"/>
      <c r="BO146" s="335"/>
      <c r="BP146" s="335"/>
      <c r="BQ146" s="335"/>
      <c r="BR146" s="335"/>
      <c r="BS146" s="335"/>
      <c r="BT146" s="335"/>
      <c r="BU146" s="335"/>
      <c r="BV146" s="335"/>
      <c r="BW146" s="335"/>
      <c r="BX146" s="335"/>
      <c r="BY146" s="335"/>
      <c r="BZ146" s="335"/>
      <c r="CA146" s="335"/>
      <c r="CB146" s="335"/>
      <c r="CC146" s="335"/>
      <c r="CD146" s="335"/>
      <c r="CE146" s="335"/>
      <c r="CF146" s="335"/>
      <c r="CG146" s="335"/>
      <c r="CH146" s="335"/>
      <c r="CI146" s="335"/>
      <c r="CJ146" s="335"/>
      <c r="CK146" s="335"/>
      <c r="CL146" s="335"/>
      <c r="CM146" s="335"/>
      <c r="CN146" s="335"/>
      <c r="CO146" s="335"/>
      <c r="CP146" s="335"/>
      <c r="CQ146" s="335"/>
      <c r="CR146" s="335"/>
      <c r="CS146" s="335"/>
      <c r="CT146" s="335"/>
      <c r="CU146" s="335"/>
      <c r="CV146" s="335"/>
      <c r="CW146" s="335"/>
      <c r="CX146" s="335"/>
      <c r="CY146" s="335"/>
      <c r="CZ146" s="335"/>
      <c r="DA146" s="335"/>
      <c r="DB146" s="335"/>
      <c r="DC146" s="335"/>
      <c r="DD146" s="335"/>
      <c r="DE146" s="335"/>
      <c r="DF146" s="335"/>
      <c r="DG146" s="335"/>
      <c r="DH146" s="335"/>
      <c r="DI146" s="335"/>
      <c r="DJ146" s="335"/>
      <c r="DK146" s="335"/>
      <c r="DL146" s="335"/>
      <c r="DM146" s="335"/>
      <c r="DN146" s="335"/>
      <c r="DO146" s="335"/>
      <c r="DP146" s="335"/>
      <c r="DQ146" s="335"/>
      <c r="DR146" s="335"/>
      <c r="DS146" s="335"/>
      <c r="DT146" s="335"/>
      <c r="DU146" s="335"/>
      <c r="DV146" s="335"/>
      <c r="DW146" s="335"/>
      <c r="DX146" s="335"/>
      <c r="DY146" s="335"/>
      <c r="DZ146" s="335"/>
      <c r="EA146" s="335"/>
      <c r="EB146" s="335"/>
      <c r="EC146" s="335"/>
      <c r="ED146" s="335"/>
      <c r="EE146" s="335"/>
      <c r="EF146" s="335"/>
      <c r="EG146" s="335"/>
      <c r="EH146" s="335"/>
      <c r="EI146" s="335"/>
      <c r="EJ146" s="335"/>
      <c r="EK146" s="335"/>
      <c r="EL146" s="335"/>
      <c r="EM146" s="335"/>
      <c r="EN146" s="335"/>
      <c r="EO146" s="335"/>
      <c r="EP146" s="335"/>
      <c r="EQ146" s="335"/>
      <c r="ER146" s="335"/>
      <c r="ES146" s="335"/>
      <c r="ET146" s="335"/>
      <c r="EU146" s="335"/>
      <c r="EV146" s="335"/>
      <c r="EW146" s="335"/>
      <c r="EX146" s="335"/>
      <c r="EY146" s="335"/>
      <c r="EZ146" s="335"/>
      <c r="FA146" s="335"/>
      <c r="FB146" s="335"/>
      <c r="FC146" s="335"/>
      <c r="FD146" s="335"/>
      <c r="FE146" s="335"/>
      <c r="FF146" s="335"/>
      <c r="FG146" s="335"/>
      <c r="FH146" s="335"/>
      <c r="FI146" s="335"/>
      <c r="FJ146" s="335"/>
      <c r="FK146" s="335"/>
      <c r="FL146" s="335"/>
      <c r="FM146" s="335"/>
      <c r="FN146" s="335"/>
      <c r="FO146" s="335"/>
      <c r="FP146" s="335"/>
      <c r="FQ146" s="335"/>
      <c r="FR146" s="335"/>
      <c r="FS146" s="335"/>
      <c r="FT146" s="335"/>
      <c r="FU146" s="335"/>
      <c r="FV146" s="335"/>
      <c r="FW146" s="335"/>
      <c r="FX146" s="335"/>
      <c r="FY146" s="335"/>
    </row>
    <row r="147" spans="1:181" s="343" customFormat="1" ht="12" hidden="1" customHeight="1">
      <c r="A147" s="337"/>
      <c r="B147" s="1384" t="s">
        <v>312</v>
      </c>
      <c r="C147" s="1385">
        <v>7472</v>
      </c>
      <c r="D147" s="1384" t="s">
        <v>568</v>
      </c>
      <c r="E147" s="1386" t="s">
        <v>465</v>
      </c>
      <c r="F147" s="1385">
        <v>2511</v>
      </c>
      <c r="G147" s="1386" t="s">
        <v>466</v>
      </c>
      <c r="H147" s="1384"/>
      <c r="I147" s="1387">
        <v>42531</v>
      </c>
      <c r="J147" s="1380" t="s">
        <v>475</v>
      </c>
      <c r="K147" s="1385">
        <v>120</v>
      </c>
      <c r="L147" s="1381">
        <v>12</v>
      </c>
      <c r="M147" s="1385">
        <v>12</v>
      </c>
      <c r="N147" s="1388"/>
      <c r="O147" s="1385">
        <v>165.13399999999999</v>
      </c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  <c r="AA147" s="335"/>
      <c r="AB147" s="335"/>
      <c r="AC147" s="335"/>
      <c r="AD147" s="335"/>
      <c r="AE147" s="335"/>
      <c r="AF147" s="335"/>
      <c r="AG147" s="335"/>
      <c r="AH147" s="335"/>
      <c r="AI147" s="335"/>
      <c r="AJ147" s="335"/>
      <c r="AK147" s="335"/>
      <c r="AL147" s="335"/>
      <c r="AM147" s="335"/>
      <c r="AN147" s="335"/>
      <c r="AO147" s="335"/>
      <c r="AP147" s="335"/>
      <c r="AQ147" s="335"/>
      <c r="AR147" s="335"/>
      <c r="AS147" s="335"/>
      <c r="AT147" s="335"/>
      <c r="AU147" s="335"/>
      <c r="AV147" s="335"/>
      <c r="AW147" s="335"/>
      <c r="AX147" s="335"/>
      <c r="AY147" s="335"/>
      <c r="AZ147" s="335"/>
      <c r="BA147" s="335"/>
      <c r="BB147" s="335"/>
      <c r="BC147" s="335"/>
      <c r="BD147" s="335"/>
      <c r="BE147" s="335"/>
      <c r="BF147" s="335"/>
      <c r="BG147" s="335"/>
      <c r="BH147" s="335"/>
      <c r="BI147" s="335"/>
      <c r="BJ147" s="335"/>
      <c r="BK147" s="335"/>
      <c r="BL147" s="335"/>
      <c r="BM147" s="335"/>
      <c r="BN147" s="335"/>
      <c r="BO147" s="335"/>
      <c r="BP147" s="335"/>
      <c r="BQ147" s="335"/>
      <c r="BR147" s="335"/>
      <c r="BS147" s="335"/>
      <c r="BT147" s="335"/>
      <c r="BU147" s="335"/>
      <c r="BV147" s="335"/>
      <c r="BW147" s="335"/>
      <c r="BX147" s="335"/>
      <c r="BY147" s="335"/>
      <c r="BZ147" s="335"/>
      <c r="CA147" s="335"/>
      <c r="CB147" s="335"/>
      <c r="CC147" s="335"/>
      <c r="CD147" s="335"/>
      <c r="CE147" s="335"/>
      <c r="CF147" s="335"/>
      <c r="CG147" s="335"/>
      <c r="CH147" s="335"/>
      <c r="CI147" s="335"/>
      <c r="CJ147" s="335"/>
      <c r="CK147" s="335"/>
      <c r="CL147" s="335"/>
      <c r="CM147" s="335"/>
      <c r="CN147" s="335"/>
      <c r="CO147" s="335"/>
      <c r="CP147" s="335"/>
      <c r="CQ147" s="335"/>
      <c r="CR147" s="335"/>
      <c r="CS147" s="335"/>
      <c r="CT147" s="335"/>
      <c r="CU147" s="335"/>
      <c r="CV147" s="335"/>
      <c r="CW147" s="335"/>
      <c r="CX147" s="335"/>
      <c r="CY147" s="335"/>
      <c r="CZ147" s="335"/>
      <c r="DA147" s="335"/>
      <c r="DB147" s="335"/>
      <c r="DC147" s="335"/>
      <c r="DD147" s="335"/>
      <c r="DE147" s="335"/>
      <c r="DF147" s="335"/>
      <c r="DG147" s="335"/>
      <c r="DH147" s="335"/>
      <c r="DI147" s="335"/>
      <c r="DJ147" s="335"/>
      <c r="DK147" s="335"/>
      <c r="DL147" s="335"/>
      <c r="DM147" s="335"/>
      <c r="DN147" s="335"/>
      <c r="DO147" s="335"/>
      <c r="DP147" s="335"/>
      <c r="DQ147" s="335"/>
      <c r="DR147" s="335"/>
      <c r="DS147" s="335"/>
      <c r="DT147" s="335"/>
      <c r="DU147" s="335"/>
      <c r="DV147" s="335"/>
      <c r="DW147" s="335"/>
      <c r="DX147" s="335"/>
      <c r="DY147" s="335"/>
      <c r="DZ147" s="335"/>
      <c r="EA147" s="335"/>
      <c r="EB147" s="335"/>
      <c r="EC147" s="335"/>
      <c r="ED147" s="335"/>
      <c r="EE147" s="335"/>
      <c r="EF147" s="335"/>
      <c r="EG147" s="335"/>
      <c r="EH147" s="335"/>
      <c r="EI147" s="335"/>
      <c r="EJ147" s="335"/>
      <c r="EK147" s="335"/>
      <c r="EL147" s="335"/>
      <c r="EM147" s="335"/>
      <c r="EN147" s="335"/>
      <c r="EO147" s="335"/>
      <c r="EP147" s="335"/>
      <c r="EQ147" s="335"/>
      <c r="ER147" s="335"/>
      <c r="ES147" s="335"/>
      <c r="ET147" s="335"/>
      <c r="EU147" s="335"/>
      <c r="EV147" s="335"/>
      <c r="EW147" s="335"/>
      <c r="EX147" s="335"/>
      <c r="EY147" s="335"/>
      <c r="EZ147" s="335"/>
      <c r="FA147" s="335"/>
      <c r="FB147" s="335"/>
      <c r="FC147" s="335"/>
      <c r="FD147" s="335"/>
      <c r="FE147" s="335"/>
      <c r="FF147" s="335"/>
      <c r="FG147" s="335"/>
      <c r="FH147" s="335"/>
      <c r="FI147" s="335"/>
      <c r="FJ147" s="335"/>
      <c r="FK147" s="335"/>
      <c r="FL147" s="335"/>
      <c r="FM147" s="335"/>
      <c r="FN147" s="335"/>
      <c r="FO147" s="335"/>
      <c r="FP147" s="335"/>
      <c r="FQ147" s="335"/>
      <c r="FR147" s="335"/>
      <c r="FS147" s="335"/>
      <c r="FT147" s="335"/>
      <c r="FU147" s="335"/>
      <c r="FV147" s="335"/>
      <c r="FW147" s="335"/>
      <c r="FX147" s="335"/>
      <c r="FY147" s="335"/>
    </row>
    <row r="148" spans="1:181" s="343" customFormat="1" ht="12" hidden="1" customHeight="1">
      <c r="A148" s="337"/>
      <c r="B148" s="1384" t="s">
        <v>312</v>
      </c>
      <c r="C148" s="1385">
        <v>7486</v>
      </c>
      <c r="D148" s="1384" t="s">
        <v>568</v>
      </c>
      <c r="E148" s="1386" t="s">
        <v>465</v>
      </c>
      <c r="F148" s="1385">
        <v>2515</v>
      </c>
      <c r="G148" s="1386" t="s">
        <v>476</v>
      </c>
      <c r="H148" s="1384"/>
      <c r="I148" s="1387">
        <v>42534</v>
      </c>
      <c r="J148" s="1380" t="s">
        <v>475</v>
      </c>
      <c r="K148" s="1385">
        <v>120</v>
      </c>
      <c r="L148" s="1381">
        <v>12</v>
      </c>
      <c r="M148" s="1385">
        <v>12</v>
      </c>
      <c r="N148" s="1388"/>
      <c r="O148" s="1385">
        <v>317.77800000000002</v>
      </c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  <c r="AA148" s="335"/>
      <c r="AB148" s="335"/>
      <c r="AC148" s="335"/>
      <c r="AD148" s="335"/>
      <c r="AE148" s="335"/>
      <c r="AF148" s="335"/>
      <c r="AG148" s="335"/>
      <c r="AH148" s="335"/>
      <c r="AI148" s="335"/>
      <c r="AJ148" s="335"/>
      <c r="AK148" s="335"/>
      <c r="AL148" s="335"/>
      <c r="AM148" s="335"/>
      <c r="AN148" s="335"/>
      <c r="AO148" s="335"/>
      <c r="AP148" s="335"/>
      <c r="AQ148" s="335"/>
      <c r="AR148" s="335"/>
      <c r="AS148" s="335"/>
      <c r="AT148" s="335"/>
      <c r="AU148" s="335"/>
      <c r="AV148" s="335"/>
      <c r="AW148" s="335"/>
      <c r="AX148" s="335"/>
      <c r="AY148" s="335"/>
      <c r="AZ148" s="335"/>
      <c r="BA148" s="335"/>
      <c r="BB148" s="335"/>
      <c r="BC148" s="335"/>
      <c r="BD148" s="335"/>
      <c r="BE148" s="335"/>
      <c r="BF148" s="335"/>
      <c r="BG148" s="335"/>
      <c r="BH148" s="335"/>
      <c r="BI148" s="335"/>
      <c r="BJ148" s="335"/>
      <c r="BK148" s="335"/>
      <c r="BL148" s="335"/>
      <c r="BM148" s="335"/>
      <c r="BN148" s="335"/>
      <c r="BO148" s="335"/>
      <c r="BP148" s="335"/>
      <c r="BQ148" s="335"/>
      <c r="BR148" s="335"/>
      <c r="BS148" s="335"/>
      <c r="BT148" s="335"/>
      <c r="BU148" s="335"/>
      <c r="BV148" s="335"/>
      <c r="BW148" s="335"/>
      <c r="BX148" s="335"/>
      <c r="BY148" s="335"/>
      <c r="BZ148" s="335"/>
      <c r="CA148" s="335"/>
      <c r="CB148" s="335"/>
      <c r="CC148" s="335"/>
      <c r="CD148" s="335"/>
      <c r="CE148" s="335"/>
      <c r="CF148" s="335"/>
      <c r="CG148" s="335"/>
      <c r="CH148" s="335"/>
      <c r="CI148" s="335"/>
      <c r="CJ148" s="335"/>
      <c r="CK148" s="335"/>
      <c r="CL148" s="335"/>
      <c r="CM148" s="335"/>
      <c r="CN148" s="335"/>
      <c r="CO148" s="335"/>
      <c r="CP148" s="335"/>
      <c r="CQ148" s="335"/>
      <c r="CR148" s="335"/>
      <c r="CS148" s="335"/>
      <c r="CT148" s="335"/>
      <c r="CU148" s="335"/>
      <c r="CV148" s="335"/>
      <c r="CW148" s="335"/>
      <c r="CX148" s="335"/>
      <c r="CY148" s="335"/>
      <c r="CZ148" s="335"/>
      <c r="DA148" s="335"/>
      <c r="DB148" s="335"/>
      <c r="DC148" s="335"/>
      <c r="DD148" s="335"/>
      <c r="DE148" s="335"/>
      <c r="DF148" s="335"/>
      <c r="DG148" s="335"/>
      <c r="DH148" s="335"/>
      <c r="DI148" s="335"/>
      <c r="DJ148" s="335"/>
      <c r="DK148" s="335"/>
      <c r="DL148" s="335"/>
      <c r="DM148" s="335"/>
      <c r="DN148" s="335"/>
      <c r="DO148" s="335"/>
      <c r="DP148" s="335"/>
      <c r="DQ148" s="335"/>
      <c r="DR148" s="335"/>
      <c r="DS148" s="335"/>
      <c r="DT148" s="335"/>
      <c r="DU148" s="335"/>
      <c r="DV148" s="335"/>
      <c r="DW148" s="335"/>
      <c r="DX148" s="335"/>
      <c r="DY148" s="335"/>
      <c r="DZ148" s="335"/>
      <c r="EA148" s="335"/>
      <c r="EB148" s="335"/>
      <c r="EC148" s="335"/>
      <c r="ED148" s="335"/>
      <c r="EE148" s="335"/>
      <c r="EF148" s="335"/>
      <c r="EG148" s="335"/>
      <c r="EH148" s="335"/>
      <c r="EI148" s="335"/>
      <c r="EJ148" s="335"/>
      <c r="EK148" s="335"/>
      <c r="EL148" s="335"/>
      <c r="EM148" s="335"/>
      <c r="EN148" s="335"/>
      <c r="EO148" s="335"/>
      <c r="EP148" s="335"/>
      <c r="EQ148" s="335"/>
      <c r="ER148" s="335"/>
      <c r="ES148" s="335"/>
      <c r="ET148" s="335"/>
      <c r="EU148" s="335"/>
      <c r="EV148" s="335"/>
      <c r="EW148" s="335"/>
      <c r="EX148" s="335"/>
      <c r="EY148" s="335"/>
      <c r="EZ148" s="335"/>
      <c r="FA148" s="335"/>
      <c r="FB148" s="335"/>
      <c r="FC148" s="335"/>
      <c r="FD148" s="335"/>
      <c r="FE148" s="335"/>
      <c r="FF148" s="335"/>
      <c r="FG148" s="335"/>
      <c r="FH148" s="335"/>
      <c r="FI148" s="335"/>
      <c r="FJ148" s="335"/>
      <c r="FK148" s="335"/>
      <c r="FL148" s="335"/>
      <c r="FM148" s="335"/>
      <c r="FN148" s="335"/>
      <c r="FO148" s="335"/>
      <c r="FP148" s="335"/>
      <c r="FQ148" s="335"/>
      <c r="FR148" s="335"/>
      <c r="FS148" s="335"/>
      <c r="FT148" s="335"/>
      <c r="FU148" s="335"/>
      <c r="FV148" s="335"/>
      <c r="FW148" s="335"/>
      <c r="FX148" s="335"/>
      <c r="FY148" s="335"/>
    </row>
    <row r="149" spans="1:181" s="343" customFormat="1" ht="12" hidden="1" customHeight="1">
      <c r="A149" s="337"/>
      <c r="B149" s="1384" t="s">
        <v>312</v>
      </c>
      <c r="C149" s="1385">
        <v>7471</v>
      </c>
      <c r="D149" s="1384" t="s">
        <v>568</v>
      </c>
      <c r="E149" s="1386" t="s">
        <v>465</v>
      </c>
      <c r="F149" s="1385">
        <v>2531</v>
      </c>
      <c r="G149" s="1386" t="s">
        <v>478</v>
      </c>
      <c r="H149" s="1384"/>
      <c r="I149" s="1387">
        <v>42529</v>
      </c>
      <c r="J149" s="1380" t="s">
        <v>475</v>
      </c>
      <c r="K149" s="1385">
        <v>120</v>
      </c>
      <c r="L149" s="1381">
        <v>12</v>
      </c>
      <c r="M149" s="1385">
        <v>12</v>
      </c>
      <c r="N149" s="1388"/>
      <c r="O149" s="1385">
        <v>204.54300000000001</v>
      </c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  <c r="AA149" s="335"/>
      <c r="AB149" s="335"/>
      <c r="AC149" s="335"/>
      <c r="AD149" s="335"/>
      <c r="AE149" s="335"/>
      <c r="AF149" s="335"/>
      <c r="AG149" s="335"/>
      <c r="AH149" s="335"/>
      <c r="AI149" s="335"/>
      <c r="AJ149" s="335"/>
      <c r="AK149" s="335"/>
      <c r="AL149" s="335"/>
      <c r="AM149" s="335"/>
      <c r="AN149" s="335"/>
      <c r="AO149" s="335"/>
      <c r="AP149" s="335"/>
      <c r="AQ149" s="335"/>
      <c r="AR149" s="335"/>
      <c r="AS149" s="335"/>
      <c r="AT149" s="335"/>
      <c r="AU149" s="335"/>
      <c r="AV149" s="335"/>
      <c r="AW149" s="335"/>
      <c r="AX149" s="335"/>
      <c r="AY149" s="335"/>
      <c r="AZ149" s="335"/>
      <c r="BA149" s="335"/>
      <c r="BB149" s="335"/>
      <c r="BC149" s="335"/>
      <c r="BD149" s="335"/>
      <c r="BE149" s="335"/>
      <c r="BF149" s="335"/>
      <c r="BG149" s="335"/>
      <c r="BH149" s="335"/>
      <c r="BI149" s="335"/>
      <c r="BJ149" s="335"/>
      <c r="BK149" s="335"/>
      <c r="BL149" s="335"/>
      <c r="BM149" s="335"/>
      <c r="BN149" s="335"/>
      <c r="BO149" s="335"/>
      <c r="BP149" s="335"/>
      <c r="BQ149" s="335"/>
      <c r="BR149" s="335"/>
      <c r="BS149" s="335"/>
      <c r="BT149" s="335"/>
      <c r="BU149" s="335"/>
      <c r="BV149" s="335"/>
      <c r="BW149" s="335"/>
      <c r="BX149" s="335"/>
      <c r="BY149" s="335"/>
      <c r="BZ149" s="335"/>
      <c r="CA149" s="335"/>
      <c r="CB149" s="335"/>
      <c r="CC149" s="335"/>
      <c r="CD149" s="335"/>
      <c r="CE149" s="335"/>
      <c r="CF149" s="335"/>
      <c r="CG149" s="335"/>
      <c r="CH149" s="335"/>
      <c r="CI149" s="335"/>
      <c r="CJ149" s="335"/>
      <c r="CK149" s="335"/>
      <c r="CL149" s="335"/>
      <c r="CM149" s="335"/>
      <c r="CN149" s="335"/>
      <c r="CO149" s="335"/>
      <c r="CP149" s="335"/>
      <c r="CQ149" s="335"/>
      <c r="CR149" s="335"/>
      <c r="CS149" s="335"/>
      <c r="CT149" s="335"/>
      <c r="CU149" s="335"/>
      <c r="CV149" s="335"/>
      <c r="CW149" s="335"/>
      <c r="CX149" s="335"/>
      <c r="CY149" s="335"/>
      <c r="CZ149" s="335"/>
      <c r="DA149" s="335"/>
      <c r="DB149" s="335"/>
      <c r="DC149" s="335"/>
      <c r="DD149" s="335"/>
      <c r="DE149" s="335"/>
      <c r="DF149" s="335"/>
      <c r="DG149" s="335"/>
      <c r="DH149" s="335"/>
      <c r="DI149" s="335"/>
      <c r="DJ149" s="335"/>
      <c r="DK149" s="335"/>
      <c r="DL149" s="335"/>
      <c r="DM149" s="335"/>
      <c r="DN149" s="335"/>
      <c r="DO149" s="335"/>
      <c r="DP149" s="335"/>
      <c r="DQ149" s="335"/>
      <c r="DR149" s="335"/>
      <c r="DS149" s="335"/>
      <c r="DT149" s="335"/>
      <c r="DU149" s="335"/>
      <c r="DV149" s="335"/>
      <c r="DW149" s="335"/>
      <c r="DX149" s="335"/>
      <c r="DY149" s="335"/>
      <c r="DZ149" s="335"/>
      <c r="EA149" s="335"/>
      <c r="EB149" s="335"/>
      <c r="EC149" s="335"/>
      <c r="ED149" s="335"/>
      <c r="EE149" s="335"/>
      <c r="EF149" s="335"/>
      <c r="EG149" s="335"/>
      <c r="EH149" s="335"/>
      <c r="EI149" s="335"/>
      <c r="EJ149" s="335"/>
      <c r="EK149" s="335"/>
      <c r="EL149" s="335"/>
      <c r="EM149" s="335"/>
      <c r="EN149" s="335"/>
      <c r="EO149" s="335"/>
      <c r="EP149" s="335"/>
      <c r="EQ149" s="335"/>
      <c r="ER149" s="335"/>
      <c r="ES149" s="335"/>
      <c r="ET149" s="335"/>
      <c r="EU149" s="335"/>
      <c r="EV149" s="335"/>
      <c r="EW149" s="335"/>
      <c r="EX149" s="335"/>
      <c r="EY149" s="335"/>
      <c r="EZ149" s="335"/>
      <c r="FA149" s="335"/>
      <c r="FB149" s="335"/>
      <c r="FC149" s="335"/>
      <c r="FD149" s="335"/>
      <c r="FE149" s="335"/>
      <c r="FF149" s="335"/>
      <c r="FG149" s="335"/>
      <c r="FH149" s="335"/>
      <c r="FI149" s="335"/>
      <c r="FJ149" s="335"/>
      <c r="FK149" s="335"/>
      <c r="FL149" s="335"/>
      <c r="FM149" s="335"/>
      <c r="FN149" s="335"/>
      <c r="FO149" s="335"/>
      <c r="FP149" s="335"/>
      <c r="FQ149" s="335"/>
      <c r="FR149" s="335"/>
      <c r="FS149" s="335"/>
      <c r="FT149" s="335"/>
      <c r="FU149" s="335"/>
      <c r="FV149" s="335"/>
      <c r="FW149" s="335"/>
      <c r="FX149" s="335"/>
      <c r="FY149" s="335"/>
    </row>
    <row r="150" spans="1:181" s="343" customFormat="1" ht="12" hidden="1" customHeight="1">
      <c r="A150" s="337"/>
      <c r="B150" s="1389" t="s">
        <v>312</v>
      </c>
      <c r="C150" s="1390">
        <v>7572</v>
      </c>
      <c r="D150" s="1389" t="s">
        <v>568</v>
      </c>
      <c r="E150" s="1391" t="s">
        <v>324</v>
      </c>
      <c r="F150" s="1392">
        <v>2032</v>
      </c>
      <c r="G150" s="1393" t="s">
        <v>327</v>
      </c>
      <c r="H150" s="1389"/>
      <c r="I150" s="1394">
        <v>42654</v>
      </c>
      <c r="J150" s="1395" t="s">
        <v>475</v>
      </c>
      <c r="K150" s="1392">
        <v>119</v>
      </c>
      <c r="L150" s="1396">
        <v>12</v>
      </c>
      <c r="M150" s="1397">
        <v>12</v>
      </c>
      <c r="N150" s="1396"/>
      <c r="O150" s="1392">
        <v>37.981000000000002</v>
      </c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  <c r="AA150" s="335"/>
      <c r="AB150" s="335"/>
      <c r="AC150" s="335"/>
      <c r="AD150" s="335"/>
      <c r="AE150" s="335"/>
      <c r="AF150" s="335"/>
      <c r="AG150" s="335"/>
      <c r="AH150" s="335"/>
      <c r="AI150" s="335"/>
      <c r="AJ150" s="335"/>
      <c r="AK150" s="335"/>
      <c r="AL150" s="335"/>
      <c r="AM150" s="335"/>
      <c r="AN150" s="335"/>
      <c r="AO150" s="335"/>
      <c r="AP150" s="335"/>
      <c r="AQ150" s="335"/>
      <c r="AR150" s="335"/>
      <c r="AS150" s="335"/>
      <c r="AT150" s="335"/>
      <c r="AU150" s="335"/>
      <c r="AV150" s="335"/>
      <c r="AW150" s="335"/>
      <c r="AX150" s="335"/>
      <c r="AY150" s="335"/>
      <c r="AZ150" s="335"/>
      <c r="BA150" s="335"/>
      <c r="BB150" s="335"/>
      <c r="BC150" s="335"/>
      <c r="BD150" s="335"/>
      <c r="BE150" s="335"/>
      <c r="BF150" s="335"/>
      <c r="BG150" s="335"/>
      <c r="BH150" s="335"/>
      <c r="BI150" s="335"/>
      <c r="BJ150" s="335"/>
      <c r="BK150" s="335"/>
      <c r="BL150" s="335"/>
      <c r="BM150" s="335"/>
      <c r="BN150" s="335"/>
      <c r="BO150" s="335"/>
      <c r="BP150" s="335"/>
      <c r="BQ150" s="335"/>
      <c r="BR150" s="335"/>
      <c r="BS150" s="335"/>
      <c r="BT150" s="335"/>
      <c r="BU150" s="335"/>
      <c r="BV150" s="335"/>
      <c r="BW150" s="335"/>
      <c r="BX150" s="335"/>
      <c r="BY150" s="335"/>
      <c r="BZ150" s="335"/>
      <c r="CA150" s="335"/>
      <c r="CB150" s="335"/>
      <c r="CC150" s="335"/>
      <c r="CD150" s="335"/>
      <c r="CE150" s="335"/>
      <c r="CF150" s="335"/>
      <c r="CG150" s="335"/>
      <c r="CH150" s="335"/>
      <c r="CI150" s="335"/>
      <c r="CJ150" s="335"/>
      <c r="CK150" s="335"/>
      <c r="CL150" s="335"/>
      <c r="CM150" s="335"/>
      <c r="CN150" s="335"/>
      <c r="CO150" s="335"/>
      <c r="CP150" s="335"/>
      <c r="CQ150" s="335"/>
      <c r="CR150" s="335"/>
      <c r="CS150" s="335"/>
      <c r="CT150" s="335"/>
      <c r="CU150" s="335"/>
      <c r="CV150" s="335"/>
      <c r="CW150" s="335"/>
      <c r="CX150" s="335"/>
      <c r="CY150" s="335"/>
      <c r="CZ150" s="335"/>
      <c r="DA150" s="335"/>
      <c r="DB150" s="335"/>
      <c r="DC150" s="335"/>
      <c r="DD150" s="335"/>
      <c r="DE150" s="335"/>
      <c r="DF150" s="335"/>
      <c r="DG150" s="335"/>
      <c r="DH150" s="335"/>
      <c r="DI150" s="335"/>
      <c r="DJ150" s="335"/>
      <c r="DK150" s="335"/>
      <c r="DL150" s="335"/>
      <c r="DM150" s="335"/>
      <c r="DN150" s="335"/>
      <c r="DO150" s="335"/>
      <c r="DP150" s="335"/>
      <c r="DQ150" s="335"/>
      <c r="DR150" s="335"/>
      <c r="DS150" s="335"/>
      <c r="DT150" s="335"/>
      <c r="DU150" s="335"/>
      <c r="DV150" s="335"/>
      <c r="DW150" s="335"/>
      <c r="DX150" s="335"/>
      <c r="DY150" s="335"/>
      <c r="DZ150" s="335"/>
      <c r="EA150" s="335"/>
      <c r="EB150" s="335"/>
      <c r="EC150" s="335"/>
      <c r="ED150" s="335"/>
      <c r="EE150" s="335"/>
      <c r="EF150" s="335"/>
      <c r="EG150" s="335"/>
      <c r="EH150" s="335"/>
      <c r="EI150" s="335"/>
      <c r="EJ150" s="335"/>
      <c r="EK150" s="335"/>
      <c r="EL150" s="335"/>
      <c r="EM150" s="335"/>
      <c r="EN150" s="335"/>
      <c r="EO150" s="335"/>
      <c r="EP150" s="335"/>
      <c r="EQ150" s="335"/>
      <c r="ER150" s="335"/>
      <c r="ES150" s="335"/>
      <c r="ET150" s="335"/>
      <c r="EU150" s="335"/>
      <c r="EV150" s="335"/>
      <c r="EW150" s="335"/>
      <c r="EX150" s="335"/>
      <c r="EY150" s="335"/>
      <c r="EZ150" s="335"/>
      <c r="FA150" s="335"/>
      <c r="FB150" s="335"/>
      <c r="FC150" s="335"/>
      <c r="FD150" s="335"/>
      <c r="FE150" s="335"/>
      <c r="FF150" s="335"/>
      <c r="FG150" s="335"/>
      <c r="FH150" s="335"/>
      <c r="FI150" s="335"/>
      <c r="FJ150" s="335"/>
      <c r="FK150" s="335"/>
      <c r="FL150" s="335"/>
      <c r="FM150" s="335"/>
      <c r="FN150" s="335"/>
      <c r="FO150" s="335"/>
      <c r="FP150" s="335"/>
      <c r="FQ150" s="335"/>
      <c r="FR150" s="335"/>
      <c r="FS150" s="335"/>
      <c r="FT150" s="335"/>
      <c r="FU150" s="335"/>
      <c r="FV150" s="335"/>
      <c r="FW150" s="335"/>
      <c r="FX150" s="335"/>
      <c r="FY150" s="335"/>
    </row>
    <row r="151" spans="1:181" s="343" customFormat="1" ht="12" hidden="1" customHeight="1">
      <c r="A151" s="337"/>
      <c r="B151" s="1389" t="s">
        <v>312</v>
      </c>
      <c r="C151" s="1390">
        <v>7573</v>
      </c>
      <c r="D151" s="1389" t="s">
        <v>568</v>
      </c>
      <c r="E151" s="1391" t="s">
        <v>324</v>
      </c>
      <c r="F151" s="1392">
        <v>2032</v>
      </c>
      <c r="G151" s="1393" t="s">
        <v>327</v>
      </c>
      <c r="H151" s="1389"/>
      <c r="I151" s="1394">
        <v>42654</v>
      </c>
      <c r="J151" s="1395" t="s">
        <v>475</v>
      </c>
      <c r="K151" s="1392">
        <v>120</v>
      </c>
      <c r="L151" s="1396">
        <v>12</v>
      </c>
      <c r="M151" s="1397">
        <v>12</v>
      </c>
      <c r="N151" s="1396"/>
      <c r="O151" s="1392">
        <v>26.082999999999998</v>
      </c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  <c r="AA151" s="335"/>
      <c r="AB151" s="335"/>
      <c r="AC151" s="335"/>
      <c r="AD151" s="335"/>
      <c r="AE151" s="335"/>
      <c r="AF151" s="335"/>
      <c r="AG151" s="335"/>
      <c r="AH151" s="335"/>
      <c r="AI151" s="335"/>
      <c r="AJ151" s="335"/>
      <c r="AK151" s="335"/>
      <c r="AL151" s="335"/>
      <c r="AM151" s="335"/>
      <c r="AN151" s="335"/>
      <c r="AO151" s="335"/>
      <c r="AP151" s="335"/>
      <c r="AQ151" s="335"/>
      <c r="AR151" s="335"/>
      <c r="AS151" s="335"/>
      <c r="AT151" s="335"/>
      <c r="AU151" s="335"/>
      <c r="AV151" s="335"/>
      <c r="AW151" s="335"/>
      <c r="AX151" s="335"/>
      <c r="AY151" s="335"/>
      <c r="AZ151" s="335"/>
      <c r="BA151" s="335"/>
      <c r="BB151" s="335"/>
      <c r="BC151" s="335"/>
      <c r="BD151" s="335"/>
      <c r="BE151" s="335"/>
      <c r="BF151" s="335"/>
      <c r="BG151" s="335"/>
      <c r="BH151" s="335"/>
      <c r="BI151" s="335"/>
      <c r="BJ151" s="335"/>
      <c r="BK151" s="335"/>
      <c r="BL151" s="335"/>
      <c r="BM151" s="335"/>
      <c r="BN151" s="335"/>
      <c r="BO151" s="335"/>
      <c r="BP151" s="335"/>
      <c r="BQ151" s="335"/>
      <c r="BR151" s="335"/>
      <c r="BS151" s="335"/>
      <c r="BT151" s="335"/>
      <c r="BU151" s="335"/>
      <c r="BV151" s="335"/>
      <c r="BW151" s="335"/>
      <c r="BX151" s="335"/>
      <c r="BY151" s="335"/>
      <c r="BZ151" s="335"/>
      <c r="CA151" s="335"/>
      <c r="CB151" s="335"/>
      <c r="CC151" s="335"/>
      <c r="CD151" s="335"/>
      <c r="CE151" s="335"/>
      <c r="CF151" s="335"/>
      <c r="CG151" s="335"/>
      <c r="CH151" s="335"/>
      <c r="CI151" s="335"/>
      <c r="CJ151" s="335"/>
      <c r="CK151" s="335"/>
      <c r="CL151" s="335"/>
      <c r="CM151" s="335"/>
      <c r="CN151" s="335"/>
      <c r="CO151" s="335"/>
      <c r="CP151" s="335"/>
      <c r="CQ151" s="335"/>
      <c r="CR151" s="335"/>
      <c r="CS151" s="335"/>
      <c r="CT151" s="335"/>
      <c r="CU151" s="335"/>
      <c r="CV151" s="335"/>
      <c r="CW151" s="335"/>
      <c r="CX151" s="335"/>
      <c r="CY151" s="335"/>
      <c r="CZ151" s="335"/>
      <c r="DA151" s="335"/>
      <c r="DB151" s="335"/>
      <c r="DC151" s="335"/>
      <c r="DD151" s="335"/>
      <c r="DE151" s="335"/>
      <c r="DF151" s="335"/>
      <c r="DG151" s="335"/>
      <c r="DH151" s="335"/>
      <c r="DI151" s="335"/>
      <c r="DJ151" s="335"/>
      <c r="DK151" s="335"/>
      <c r="DL151" s="335"/>
      <c r="DM151" s="335"/>
      <c r="DN151" s="335"/>
      <c r="DO151" s="335"/>
      <c r="DP151" s="335"/>
      <c r="DQ151" s="335"/>
      <c r="DR151" s="335"/>
      <c r="DS151" s="335"/>
      <c r="DT151" s="335"/>
      <c r="DU151" s="335"/>
      <c r="DV151" s="335"/>
      <c r="DW151" s="335"/>
      <c r="DX151" s="335"/>
      <c r="DY151" s="335"/>
      <c r="DZ151" s="335"/>
      <c r="EA151" s="335"/>
      <c r="EB151" s="335"/>
      <c r="EC151" s="335"/>
      <c r="ED151" s="335"/>
      <c r="EE151" s="335"/>
      <c r="EF151" s="335"/>
      <c r="EG151" s="335"/>
      <c r="EH151" s="335"/>
      <c r="EI151" s="335"/>
      <c r="EJ151" s="335"/>
      <c r="EK151" s="335"/>
      <c r="EL151" s="335"/>
      <c r="EM151" s="335"/>
      <c r="EN151" s="335"/>
      <c r="EO151" s="335"/>
      <c r="EP151" s="335"/>
      <c r="EQ151" s="335"/>
      <c r="ER151" s="335"/>
      <c r="ES151" s="335"/>
      <c r="ET151" s="335"/>
      <c r="EU151" s="335"/>
      <c r="EV151" s="335"/>
      <c r="EW151" s="335"/>
      <c r="EX151" s="335"/>
      <c r="EY151" s="335"/>
      <c r="EZ151" s="335"/>
      <c r="FA151" s="335"/>
      <c r="FB151" s="335"/>
      <c r="FC151" s="335"/>
      <c r="FD151" s="335"/>
      <c r="FE151" s="335"/>
      <c r="FF151" s="335"/>
      <c r="FG151" s="335"/>
      <c r="FH151" s="335"/>
      <c r="FI151" s="335"/>
      <c r="FJ151" s="335"/>
      <c r="FK151" s="335"/>
      <c r="FL151" s="335"/>
      <c r="FM151" s="335"/>
      <c r="FN151" s="335"/>
      <c r="FO151" s="335"/>
      <c r="FP151" s="335"/>
      <c r="FQ151" s="335"/>
      <c r="FR151" s="335"/>
      <c r="FS151" s="335"/>
      <c r="FT151" s="335"/>
      <c r="FU151" s="335"/>
      <c r="FV151" s="335"/>
      <c r="FW151" s="335"/>
      <c r="FX151" s="335"/>
      <c r="FY151" s="335"/>
    </row>
    <row r="152" spans="1:181" s="343" customFormat="1" ht="12" hidden="1" customHeight="1">
      <c r="A152" s="337"/>
      <c r="B152" s="1389" t="s">
        <v>312</v>
      </c>
      <c r="C152" s="1390">
        <v>7588</v>
      </c>
      <c r="D152" s="1389" t="s">
        <v>568</v>
      </c>
      <c r="E152" s="1391" t="s">
        <v>324</v>
      </c>
      <c r="F152" s="1392">
        <v>2032</v>
      </c>
      <c r="G152" s="1393" t="s">
        <v>327</v>
      </c>
      <c r="H152" s="1389"/>
      <c r="I152" s="1394">
        <v>42694</v>
      </c>
      <c r="J152" s="1395" t="s">
        <v>475</v>
      </c>
      <c r="K152" s="1377">
        <v>120</v>
      </c>
      <c r="L152" s="1381">
        <v>12</v>
      </c>
      <c r="M152" s="1382">
        <v>12</v>
      </c>
      <c r="N152" s="1396"/>
      <c r="O152" s="1392">
        <v>37.063000000000002</v>
      </c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335"/>
      <c r="AB152" s="335"/>
      <c r="AC152" s="335"/>
      <c r="AD152" s="335"/>
      <c r="AE152" s="335"/>
      <c r="AF152" s="335"/>
      <c r="AG152" s="335"/>
      <c r="AH152" s="335"/>
      <c r="AI152" s="335"/>
      <c r="AJ152" s="335"/>
      <c r="AK152" s="335"/>
      <c r="AL152" s="335"/>
      <c r="AM152" s="335"/>
      <c r="AN152" s="335"/>
      <c r="AO152" s="335"/>
      <c r="AP152" s="335"/>
      <c r="AQ152" s="335"/>
      <c r="AR152" s="335"/>
      <c r="AS152" s="335"/>
      <c r="AT152" s="335"/>
      <c r="AU152" s="335"/>
      <c r="AV152" s="335"/>
      <c r="AW152" s="335"/>
      <c r="AX152" s="335"/>
      <c r="AY152" s="335"/>
      <c r="AZ152" s="335"/>
      <c r="BA152" s="335"/>
      <c r="BB152" s="335"/>
      <c r="BC152" s="335"/>
      <c r="BD152" s="335"/>
      <c r="BE152" s="335"/>
      <c r="BF152" s="335"/>
      <c r="BG152" s="335"/>
      <c r="BH152" s="335"/>
      <c r="BI152" s="335"/>
      <c r="BJ152" s="335"/>
      <c r="BK152" s="335"/>
      <c r="BL152" s="335"/>
      <c r="BM152" s="335"/>
      <c r="BN152" s="335"/>
      <c r="BO152" s="335"/>
      <c r="BP152" s="335"/>
      <c r="BQ152" s="335"/>
      <c r="BR152" s="335"/>
      <c r="BS152" s="335"/>
      <c r="BT152" s="335"/>
      <c r="BU152" s="335"/>
      <c r="BV152" s="335"/>
      <c r="BW152" s="335"/>
      <c r="BX152" s="335"/>
      <c r="BY152" s="335"/>
      <c r="BZ152" s="335"/>
      <c r="CA152" s="335"/>
      <c r="CB152" s="335"/>
      <c r="CC152" s="335"/>
      <c r="CD152" s="335"/>
      <c r="CE152" s="335"/>
      <c r="CF152" s="335"/>
      <c r="CG152" s="335"/>
      <c r="CH152" s="335"/>
      <c r="CI152" s="335"/>
      <c r="CJ152" s="335"/>
      <c r="CK152" s="335"/>
      <c r="CL152" s="335"/>
      <c r="CM152" s="335"/>
      <c r="CN152" s="335"/>
      <c r="CO152" s="335"/>
      <c r="CP152" s="335"/>
      <c r="CQ152" s="335"/>
      <c r="CR152" s="335"/>
      <c r="CS152" s="335"/>
      <c r="CT152" s="335"/>
      <c r="CU152" s="335"/>
      <c r="CV152" s="335"/>
      <c r="CW152" s="335"/>
      <c r="CX152" s="335"/>
      <c r="CY152" s="335"/>
      <c r="CZ152" s="335"/>
      <c r="DA152" s="335"/>
      <c r="DB152" s="335"/>
      <c r="DC152" s="335"/>
      <c r="DD152" s="335"/>
      <c r="DE152" s="335"/>
      <c r="DF152" s="335"/>
      <c r="DG152" s="335"/>
      <c r="DH152" s="335"/>
      <c r="DI152" s="335"/>
      <c r="DJ152" s="335"/>
      <c r="DK152" s="335"/>
      <c r="DL152" s="335"/>
      <c r="DM152" s="335"/>
      <c r="DN152" s="335"/>
      <c r="DO152" s="335"/>
      <c r="DP152" s="335"/>
      <c r="DQ152" s="335"/>
      <c r="DR152" s="335"/>
      <c r="DS152" s="335"/>
      <c r="DT152" s="335"/>
      <c r="DU152" s="335"/>
      <c r="DV152" s="335"/>
      <c r="DW152" s="335"/>
      <c r="DX152" s="335"/>
      <c r="DY152" s="335"/>
      <c r="DZ152" s="335"/>
      <c r="EA152" s="335"/>
      <c r="EB152" s="335"/>
      <c r="EC152" s="335"/>
      <c r="ED152" s="335"/>
      <c r="EE152" s="335"/>
      <c r="EF152" s="335"/>
      <c r="EG152" s="335"/>
      <c r="EH152" s="335"/>
      <c r="EI152" s="335"/>
      <c r="EJ152" s="335"/>
      <c r="EK152" s="335"/>
      <c r="EL152" s="335"/>
      <c r="EM152" s="335"/>
      <c r="EN152" s="335"/>
      <c r="EO152" s="335"/>
      <c r="EP152" s="335"/>
      <c r="EQ152" s="335"/>
      <c r="ER152" s="335"/>
      <c r="ES152" s="335"/>
      <c r="ET152" s="335"/>
      <c r="EU152" s="335"/>
      <c r="EV152" s="335"/>
      <c r="EW152" s="335"/>
      <c r="EX152" s="335"/>
      <c r="EY152" s="335"/>
      <c r="EZ152" s="335"/>
      <c r="FA152" s="335"/>
      <c r="FB152" s="335"/>
      <c r="FC152" s="335"/>
      <c r="FD152" s="335"/>
      <c r="FE152" s="335"/>
      <c r="FF152" s="335"/>
      <c r="FG152" s="335"/>
      <c r="FH152" s="335"/>
      <c r="FI152" s="335"/>
      <c r="FJ152" s="335"/>
      <c r="FK152" s="335"/>
      <c r="FL152" s="335"/>
      <c r="FM152" s="335"/>
      <c r="FN152" s="335"/>
      <c r="FO152" s="335"/>
      <c r="FP152" s="335"/>
      <c r="FQ152" s="335"/>
      <c r="FR152" s="335"/>
      <c r="FS152" s="335"/>
      <c r="FT152" s="335"/>
      <c r="FU152" s="335"/>
      <c r="FV152" s="335"/>
      <c r="FW152" s="335"/>
      <c r="FX152" s="335"/>
      <c r="FY152" s="335"/>
    </row>
    <row r="153" spans="1:181" s="343" customFormat="1" ht="12" hidden="1" customHeight="1">
      <c r="A153" s="337"/>
      <c r="B153" s="1389" t="s">
        <v>312</v>
      </c>
      <c r="C153" s="1390">
        <v>7589</v>
      </c>
      <c r="D153" s="1389" t="s">
        <v>568</v>
      </c>
      <c r="E153" s="1391" t="s">
        <v>324</v>
      </c>
      <c r="F153" s="1392">
        <v>2032</v>
      </c>
      <c r="G153" s="1393" t="s">
        <v>327</v>
      </c>
      <c r="H153" s="1389"/>
      <c r="I153" s="1394">
        <v>42694</v>
      </c>
      <c r="J153" s="1395" t="s">
        <v>475</v>
      </c>
      <c r="K153" s="1377">
        <v>119</v>
      </c>
      <c r="L153" s="1381">
        <v>11</v>
      </c>
      <c r="M153" s="1382">
        <v>12</v>
      </c>
      <c r="N153" s="1396"/>
      <c r="O153" s="1392">
        <v>6.1050000000000004</v>
      </c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  <c r="AA153" s="335"/>
      <c r="AB153" s="335"/>
      <c r="AC153" s="335"/>
      <c r="AD153" s="335"/>
      <c r="AE153" s="335"/>
      <c r="AF153" s="335"/>
      <c r="AG153" s="335"/>
      <c r="AH153" s="335"/>
      <c r="AI153" s="335"/>
      <c r="AJ153" s="335"/>
      <c r="AK153" s="335"/>
      <c r="AL153" s="335"/>
      <c r="AM153" s="335"/>
      <c r="AN153" s="335"/>
      <c r="AO153" s="335"/>
      <c r="AP153" s="335"/>
      <c r="AQ153" s="335"/>
      <c r="AR153" s="335"/>
      <c r="AS153" s="335"/>
      <c r="AT153" s="335"/>
      <c r="AU153" s="335"/>
      <c r="AV153" s="335"/>
      <c r="AW153" s="335"/>
      <c r="AX153" s="335"/>
      <c r="AY153" s="335"/>
      <c r="AZ153" s="335"/>
      <c r="BA153" s="335"/>
      <c r="BB153" s="335"/>
      <c r="BC153" s="335"/>
      <c r="BD153" s="335"/>
      <c r="BE153" s="335"/>
      <c r="BF153" s="335"/>
      <c r="BG153" s="335"/>
      <c r="BH153" s="335"/>
      <c r="BI153" s="335"/>
      <c r="BJ153" s="335"/>
      <c r="BK153" s="335"/>
      <c r="BL153" s="335"/>
      <c r="BM153" s="335"/>
      <c r="BN153" s="335"/>
      <c r="BO153" s="335"/>
      <c r="BP153" s="335"/>
      <c r="BQ153" s="335"/>
      <c r="BR153" s="335"/>
      <c r="BS153" s="335"/>
      <c r="BT153" s="335"/>
      <c r="BU153" s="335"/>
      <c r="BV153" s="335"/>
      <c r="BW153" s="335"/>
      <c r="BX153" s="335"/>
      <c r="BY153" s="335"/>
      <c r="BZ153" s="335"/>
      <c r="CA153" s="335"/>
      <c r="CB153" s="335"/>
      <c r="CC153" s="335"/>
      <c r="CD153" s="335"/>
      <c r="CE153" s="335"/>
      <c r="CF153" s="335"/>
      <c r="CG153" s="335"/>
      <c r="CH153" s="335"/>
      <c r="CI153" s="335"/>
      <c r="CJ153" s="335"/>
      <c r="CK153" s="335"/>
      <c r="CL153" s="335"/>
      <c r="CM153" s="335"/>
      <c r="CN153" s="335"/>
      <c r="CO153" s="335"/>
      <c r="CP153" s="335"/>
      <c r="CQ153" s="335"/>
      <c r="CR153" s="335"/>
      <c r="CS153" s="335"/>
      <c r="CT153" s="335"/>
      <c r="CU153" s="335"/>
      <c r="CV153" s="335"/>
      <c r="CW153" s="335"/>
      <c r="CX153" s="335"/>
      <c r="CY153" s="335"/>
      <c r="CZ153" s="335"/>
      <c r="DA153" s="335"/>
      <c r="DB153" s="335"/>
      <c r="DC153" s="335"/>
      <c r="DD153" s="335"/>
      <c r="DE153" s="335"/>
      <c r="DF153" s="335"/>
      <c r="DG153" s="335"/>
      <c r="DH153" s="335"/>
      <c r="DI153" s="335"/>
      <c r="DJ153" s="335"/>
      <c r="DK153" s="335"/>
      <c r="DL153" s="335"/>
      <c r="DM153" s="335"/>
      <c r="DN153" s="335"/>
      <c r="DO153" s="335"/>
      <c r="DP153" s="335"/>
      <c r="DQ153" s="335"/>
      <c r="DR153" s="335"/>
      <c r="DS153" s="335"/>
      <c r="DT153" s="335"/>
      <c r="DU153" s="335"/>
      <c r="DV153" s="335"/>
      <c r="DW153" s="335"/>
      <c r="DX153" s="335"/>
      <c r="DY153" s="335"/>
      <c r="DZ153" s="335"/>
      <c r="EA153" s="335"/>
      <c r="EB153" s="335"/>
      <c r="EC153" s="335"/>
      <c r="ED153" s="335"/>
      <c r="EE153" s="335"/>
      <c r="EF153" s="335"/>
      <c r="EG153" s="335"/>
      <c r="EH153" s="335"/>
      <c r="EI153" s="335"/>
      <c r="EJ153" s="335"/>
      <c r="EK153" s="335"/>
      <c r="EL153" s="335"/>
      <c r="EM153" s="335"/>
      <c r="EN153" s="335"/>
      <c r="EO153" s="335"/>
      <c r="EP153" s="335"/>
      <c r="EQ153" s="335"/>
      <c r="ER153" s="335"/>
      <c r="ES153" s="335"/>
      <c r="ET153" s="335"/>
      <c r="EU153" s="335"/>
      <c r="EV153" s="335"/>
      <c r="EW153" s="335"/>
      <c r="EX153" s="335"/>
      <c r="EY153" s="335"/>
      <c r="EZ153" s="335"/>
      <c r="FA153" s="335"/>
      <c r="FB153" s="335"/>
      <c r="FC153" s="335"/>
      <c r="FD153" s="335"/>
      <c r="FE153" s="335"/>
      <c r="FF153" s="335"/>
      <c r="FG153" s="335"/>
      <c r="FH153" s="335"/>
      <c r="FI153" s="335"/>
      <c r="FJ153" s="335"/>
      <c r="FK153" s="335"/>
      <c r="FL153" s="335"/>
      <c r="FM153" s="335"/>
      <c r="FN153" s="335"/>
      <c r="FO153" s="335"/>
      <c r="FP153" s="335"/>
      <c r="FQ153" s="335"/>
      <c r="FR153" s="335"/>
      <c r="FS153" s="335"/>
      <c r="FT153" s="335"/>
      <c r="FU153" s="335"/>
      <c r="FV153" s="335"/>
      <c r="FW153" s="335"/>
      <c r="FX153" s="335"/>
      <c r="FY153" s="335"/>
    </row>
    <row r="154" spans="1:181" s="343" customFormat="1" ht="12" hidden="1" customHeight="1">
      <c r="A154" s="337"/>
      <c r="B154" s="1389" t="s">
        <v>312</v>
      </c>
      <c r="C154" s="1390">
        <v>7591</v>
      </c>
      <c r="D154" s="1389" t="s">
        <v>568</v>
      </c>
      <c r="E154" s="1391" t="s">
        <v>324</v>
      </c>
      <c r="F154" s="1377">
        <v>2011</v>
      </c>
      <c r="G154" s="1393" t="s">
        <v>326</v>
      </c>
      <c r="H154" s="1389"/>
      <c r="I154" s="1394">
        <v>42697</v>
      </c>
      <c r="J154" s="1395" t="s">
        <v>475</v>
      </c>
      <c r="K154" s="1392">
        <v>120</v>
      </c>
      <c r="L154" s="1396">
        <v>12</v>
      </c>
      <c r="M154" s="1397">
        <v>12</v>
      </c>
      <c r="N154" s="1396"/>
      <c r="O154" s="1392">
        <v>2.7E-2</v>
      </c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  <c r="AA154" s="335"/>
      <c r="AB154" s="335"/>
      <c r="AC154" s="335"/>
      <c r="AD154" s="335"/>
      <c r="AE154" s="335"/>
      <c r="AF154" s="335"/>
      <c r="AG154" s="335"/>
      <c r="AH154" s="335"/>
      <c r="AI154" s="335"/>
      <c r="AJ154" s="335"/>
      <c r="AK154" s="335"/>
      <c r="AL154" s="335"/>
      <c r="AM154" s="335"/>
      <c r="AN154" s="335"/>
      <c r="AO154" s="335"/>
      <c r="AP154" s="335"/>
      <c r="AQ154" s="335"/>
      <c r="AR154" s="335"/>
      <c r="AS154" s="335"/>
      <c r="AT154" s="335"/>
      <c r="AU154" s="335"/>
      <c r="AV154" s="335"/>
      <c r="AW154" s="335"/>
      <c r="AX154" s="335"/>
      <c r="AY154" s="335"/>
      <c r="AZ154" s="335"/>
      <c r="BA154" s="335"/>
      <c r="BB154" s="335"/>
      <c r="BC154" s="335"/>
      <c r="BD154" s="335"/>
      <c r="BE154" s="335"/>
      <c r="BF154" s="335"/>
      <c r="BG154" s="335"/>
      <c r="BH154" s="335"/>
      <c r="BI154" s="335"/>
      <c r="BJ154" s="335"/>
      <c r="BK154" s="335"/>
      <c r="BL154" s="335"/>
      <c r="BM154" s="335"/>
      <c r="BN154" s="335"/>
      <c r="BO154" s="335"/>
      <c r="BP154" s="335"/>
      <c r="BQ154" s="335"/>
      <c r="BR154" s="335"/>
      <c r="BS154" s="335"/>
      <c r="BT154" s="335"/>
      <c r="BU154" s="335"/>
      <c r="BV154" s="335"/>
      <c r="BW154" s="335"/>
      <c r="BX154" s="335"/>
      <c r="BY154" s="335"/>
      <c r="BZ154" s="335"/>
      <c r="CA154" s="335"/>
      <c r="CB154" s="335"/>
      <c r="CC154" s="335"/>
      <c r="CD154" s="335"/>
      <c r="CE154" s="335"/>
      <c r="CF154" s="335"/>
      <c r="CG154" s="335"/>
      <c r="CH154" s="335"/>
      <c r="CI154" s="335"/>
      <c r="CJ154" s="335"/>
      <c r="CK154" s="335"/>
      <c r="CL154" s="335"/>
      <c r="CM154" s="335"/>
      <c r="CN154" s="335"/>
      <c r="CO154" s="335"/>
      <c r="CP154" s="335"/>
      <c r="CQ154" s="335"/>
      <c r="CR154" s="335"/>
      <c r="CS154" s="335"/>
      <c r="CT154" s="335"/>
      <c r="CU154" s="335"/>
      <c r="CV154" s="335"/>
      <c r="CW154" s="335"/>
      <c r="CX154" s="335"/>
      <c r="CY154" s="335"/>
      <c r="CZ154" s="335"/>
      <c r="DA154" s="335"/>
      <c r="DB154" s="335"/>
      <c r="DC154" s="335"/>
      <c r="DD154" s="335"/>
      <c r="DE154" s="335"/>
      <c r="DF154" s="335"/>
      <c r="DG154" s="335"/>
      <c r="DH154" s="335"/>
      <c r="DI154" s="335"/>
      <c r="DJ154" s="335"/>
      <c r="DK154" s="335"/>
      <c r="DL154" s="335"/>
      <c r="DM154" s="335"/>
      <c r="DN154" s="335"/>
      <c r="DO154" s="335"/>
      <c r="DP154" s="335"/>
      <c r="DQ154" s="335"/>
      <c r="DR154" s="335"/>
      <c r="DS154" s="335"/>
      <c r="DT154" s="335"/>
      <c r="DU154" s="335"/>
      <c r="DV154" s="335"/>
      <c r="DW154" s="335"/>
      <c r="DX154" s="335"/>
      <c r="DY154" s="335"/>
      <c r="DZ154" s="335"/>
      <c r="EA154" s="335"/>
      <c r="EB154" s="335"/>
      <c r="EC154" s="335"/>
      <c r="ED154" s="335"/>
      <c r="EE154" s="335"/>
      <c r="EF154" s="335"/>
      <c r="EG154" s="335"/>
      <c r="EH154" s="335"/>
      <c r="EI154" s="335"/>
      <c r="EJ154" s="335"/>
      <c r="EK154" s="335"/>
      <c r="EL154" s="335"/>
      <c r="EM154" s="335"/>
      <c r="EN154" s="335"/>
      <c r="EO154" s="335"/>
      <c r="EP154" s="335"/>
      <c r="EQ154" s="335"/>
      <c r="ER154" s="335"/>
      <c r="ES154" s="335"/>
      <c r="ET154" s="335"/>
      <c r="EU154" s="335"/>
      <c r="EV154" s="335"/>
      <c r="EW154" s="335"/>
      <c r="EX154" s="335"/>
      <c r="EY154" s="335"/>
      <c r="EZ154" s="335"/>
      <c r="FA154" s="335"/>
      <c r="FB154" s="335"/>
      <c r="FC154" s="335"/>
      <c r="FD154" s="335"/>
      <c r="FE154" s="335"/>
      <c r="FF154" s="335"/>
      <c r="FG154" s="335"/>
      <c r="FH154" s="335"/>
      <c r="FI154" s="335"/>
      <c r="FJ154" s="335"/>
      <c r="FK154" s="335"/>
      <c r="FL154" s="335"/>
      <c r="FM154" s="335"/>
      <c r="FN154" s="335"/>
      <c r="FO154" s="335"/>
      <c r="FP154" s="335"/>
      <c r="FQ154" s="335"/>
      <c r="FR154" s="335"/>
      <c r="FS154" s="335"/>
      <c r="FT154" s="335"/>
      <c r="FU154" s="335"/>
      <c r="FV154" s="335"/>
      <c r="FW154" s="335"/>
      <c r="FX154" s="335"/>
      <c r="FY154" s="335"/>
    </row>
    <row r="155" spans="1:181" s="343" customFormat="1" ht="12" hidden="1" customHeight="1">
      <c r="A155" s="337"/>
      <c r="B155" s="1389" t="s">
        <v>312</v>
      </c>
      <c r="C155" s="1390">
        <v>7594</v>
      </c>
      <c r="D155" s="1389" t="s">
        <v>568</v>
      </c>
      <c r="E155" s="1391" t="s">
        <v>324</v>
      </c>
      <c r="F155" s="1377">
        <v>2533</v>
      </c>
      <c r="G155" s="1393" t="s">
        <v>325</v>
      </c>
      <c r="H155" s="1389"/>
      <c r="I155" s="1394">
        <v>42697</v>
      </c>
      <c r="J155" s="1395" t="s">
        <v>475</v>
      </c>
      <c r="K155" s="1392">
        <v>120</v>
      </c>
      <c r="L155" s="1396">
        <v>12</v>
      </c>
      <c r="M155" s="1397">
        <v>12</v>
      </c>
      <c r="N155" s="1396"/>
      <c r="O155" s="1392">
        <v>4.9539999999999997</v>
      </c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  <c r="AA155" s="335"/>
      <c r="AB155" s="335"/>
      <c r="AC155" s="335"/>
      <c r="AD155" s="335"/>
      <c r="AE155" s="335"/>
      <c r="AF155" s="335"/>
      <c r="AG155" s="335"/>
      <c r="AH155" s="335"/>
      <c r="AI155" s="335"/>
      <c r="AJ155" s="335"/>
      <c r="AK155" s="335"/>
      <c r="AL155" s="335"/>
      <c r="AM155" s="335"/>
      <c r="AN155" s="335"/>
      <c r="AO155" s="335"/>
      <c r="AP155" s="335"/>
      <c r="AQ155" s="335"/>
      <c r="AR155" s="335"/>
      <c r="AS155" s="335"/>
      <c r="AT155" s="335"/>
      <c r="AU155" s="335"/>
      <c r="AV155" s="335"/>
      <c r="AW155" s="335"/>
      <c r="AX155" s="335"/>
      <c r="AY155" s="335"/>
      <c r="AZ155" s="335"/>
      <c r="BA155" s="335"/>
      <c r="BB155" s="335"/>
      <c r="BC155" s="335"/>
      <c r="BD155" s="335"/>
      <c r="BE155" s="335"/>
      <c r="BF155" s="335"/>
      <c r="BG155" s="335"/>
      <c r="BH155" s="335"/>
      <c r="BI155" s="335"/>
      <c r="BJ155" s="335"/>
      <c r="BK155" s="335"/>
      <c r="BL155" s="335"/>
      <c r="BM155" s="335"/>
      <c r="BN155" s="335"/>
      <c r="BO155" s="335"/>
      <c r="BP155" s="335"/>
      <c r="BQ155" s="335"/>
      <c r="BR155" s="335"/>
      <c r="BS155" s="335"/>
      <c r="BT155" s="335"/>
      <c r="BU155" s="335"/>
      <c r="BV155" s="335"/>
      <c r="BW155" s="335"/>
      <c r="BX155" s="335"/>
      <c r="BY155" s="335"/>
      <c r="BZ155" s="335"/>
      <c r="CA155" s="335"/>
      <c r="CB155" s="335"/>
      <c r="CC155" s="335"/>
      <c r="CD155" s="335"/>
      <c r="CE155" s="335"/>
      <c r="CF155" s="335"/>
      <c r="CG155" s="335"/>
      <c r="CH155" s="335"/>
      <c r="CI155" s="335"/>
      <c r="CJ155" s="335"/>
      <c r="CK155" s="335"/>
      <c r="CL155" s="335"/>
      <c r="CM155" s="335"/>
      <c r="CN155" s="335"/>
      <c r="CO155" s="335"/>
      <c r="CP155" s="335"/>
      <c r="CQ155" s="335"/>
      <c r="CR155" s="335"/>
      <c r="CS155" s="335"/>
      <c r="CT155" s="335"/>
      <c r="CU155" s="335"/>
      <c r="CV155" s="335"/>
      <c r="CW155" s="335"/>
      <c r="CX155" s="335"/>
      <c r="CY155" s="335"/>
      <c r="CZ155" s="335"/>
      <c r="DA155" s="335"/>
      <c r="DB155" s="335"/>
      <c r="DC155" s="335"/>
      <c r="DD155" s="335"/>
      <c r="DE155" s="335"/>
      <c r="DF155" s="335"/>
      <c r="DG155" s="335"/>
      <c r="DH155" s="335"/>
      <c r="DI155" s="335"/>
      <c r="DJ155" s="335"/>
      <c r="DK155" s="335"/>
      <c r="DL155" s="335"/>
      <c r="DM155" s="335"/>
      <c r="DN155" s="335"/>
      <c r="DO155" s="335"/>
      <c r="DP155" s="335"/>
      <c r="DQ155" s="335"/>
      <c r="DR155" s="335"/>
      <c r="DS155" s="335"/>
      <c r="DT155" s="335"/>
      <c r="DU155" s="335"/>
      <c r="DV155" s="335"/>
      <c r="DW155" s="335"/>
      <c r="DX155" s="335"/>
      <c r="DY155" s="335"/>
      <c r="DZ155" s="335"/>
      <c r="EA155" s="335"/>
      <c r="EB155" s="335"/>
      <c r="EC155" s="335"/>
      <c r="ED155" s="335"/>
      <c r="EE155" s="335"/>
      <c r="EF155" s="335"/>
      <c r="EG155" s="335"/>
      <c r="EH155" s="335"/>
      <c r="EI155" s="335"/>
      <c r="EJ155" s="335"/>
      <c r="EK155" s="335"/>
      <c r="EL155" s="335"/>
      <c r="EM155" s="335"/>
      <c r="EN155" s="335"/>
      <c r="EO155" s="335"/>
      <c r="EP155" s="335"/>
      <c r="EQ155" s="335"/>
      <c r="ER155" s="335"/>
      <c r="ES155" s="335"/>
      <c r="ET155" s="335"/>
      <c r="EU155" s="335"/>
      <c r="EV155" s="335"/>
      <c r="EW155" s="335"/>
      <c r="EX155" s="335"/>
      <c r="EY155" s="335"/>
      <c r="EZ155" s="335"/>
      <c r="FA155" s="335"/>
      <c r="FB155" s="335"/>
      <c r="FC155" s="335"/>
      <c r="FD155" s="335"/>
      <c r="FE155" s="335"/>
      <c r="FF155" s="335"/>
      <c r="FG155" s="335"/>
      <c r="FH155" s="335"/>
      <c r="FI155" s="335"/>
      <c r="FJ155" s="335"/>
      <c r="FK155" s="335"/>
      <c r="FL155" s="335"/>
      <c r="FM155" s="335"/>
      <c r="FN155" s="335"/>
      <c r="FO155" s="335"/>
      <c r="FP155" s="335"/>
      <c r="FQ155" s="335"/>
      <c r="FR155" s="335"/>
      <c r="FS155" s="335"/>
      <c r="FT155" s="335"/>
      <c r="FU155" s="335"/>
      <c r="FV155" s="335"/>
      <c r="FW155" s="335"/>
      <c r="FX155" s="335"/>
      <c r="FY155" s="335"/>
    </row>
    <row r="156" spans="1:181" s="343" customFormat="1" ht="12" hidden="1" customHeight="1">
      <c r="A156" s="337"/>
      <c r="B156" s="1389" t="s">
        <v>312</v>
      </c>
      <c r="C156" s="1390">
        <v>7595</v>
      </c>
      <c r="D156" s="1389" t="s">
        <v>568</v>
      </c>
      <c r="E156" s="1391" t="s">
        <v>324</v>
      </c>
      <c r="F156" s="1377">
        <v>2533</v>
      </c>
      <c r="G156" s="1393" t="s">
        <v>325</v>
      </c>
      <c r="H156" s="1389"/>
      <c r="I156" s="1394">
        <v>42697</v>
      </c>
      <c r="J156" s="1395" t="s">
        <v>475</v>
      </c>
      <c r="K156" s="1392">
        <v>120</v>
      </c>
      <c r="L156" s="1396">
        <v>12</v>
      </c>
      <c r="M156" s="1397">
        <v>12</v>
      </c>
      <c r="N156" s="1396"/>
      <c r="O156" s="1392">
        <v>32.183999999999997</v>
      </c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  <c r="AA156" s="335"/>
      <c r="AB156" s="335"/>
      <c r="AC156" s="335"/>
      <c r="AD156" s="335"/>
      <c r="AE156" s="335"/>
      <c r="AF156" s="335"/>
      <c r="AG156" s="335"/>
      <c r="AH156" s="335"/>
      <c r="AI156" s="335"/>
      <c r="AJ156" s="335"/>
      <c r="AK156" s="335"/>
      <c r="AL156" s="335"/>
      <c r="AM156" s="335"/>
      <c r="AN156" s="335"/>
      <c r="AO156" s="335"/>
      <c r="AP156" s="335"/>
      <c r="AQ156" s="335"/>
      <c r="AR156" s="335"/>
      <c r="AS156" s="335"/>
      <c r="AT156" s="335"/>
      <c r="AU156" s="335"/>
      <c r="AV156" s="335"/>
      <c r="AW156" s="335"/>
      <c r="AX156" s="335"/>
      <c r="AY156" s="335"/>
      <c r="AZ156" s="335"/>
      <c r="BA156" s="335"/>
      <c r="BB156" s="335"/>
      <c r="BC156" s="335"/>
      <c r="BD156" s="335"/>
      <c r="BE156" s="335"/>
      <c r="BF156" s="335"/>
      <c r="BG156" s="335"/>
      <c r="BH156" s="335"/>
      <c r="BI156" s="335"/>
      <c r="BJ156" s="335"/>
      <c r="BK156" s="335"/>
      <c r="BL156" s="335"/>
      <c r="BM156" s="335"/>
      <c r="BN156" s="335"/>
      <c r="BO156" s="335"/>
      <c r="BP156" s="335"/>
      <c r="BQ156" s="335"/>
      <c r="BR156" s="335"/>
      <c r="BS156" s="335"/>
      <c r="BT156" s="335"/>
      <c r="BU156" s="335"/>
      <c r="BV156" s="335"/>
      <c r="BW156" s="335"/>
      <c r="BX156" s="335"/>
      <c r="BY156" s="335"/>
      <c r="BZ156" s="335"/>
      <c r="CA156" s="335"/>
      <c r="CB156" s="335"/>
      <c r="CC156" s="335"/>
      <c r="CD156" s="335"/>
      <c r="CE156" s="335"/>
      <c r="CF156" s="335"/>
      <c r="CG156" s="335"/>
      <c r="CH156" s="335"/>
      <c r="CI156" s="335"/>
      <c r="CJ156" s="335"/>
      <c r="CK156" s="335"/>
      <c r="CL156" s="335"/>
      <c r="CM156" s="335"/>
      <c r="CN156" s="335"/>
      <c r="CO156" s="335"/>
      <c r="CP156" s="335"/>
      <c r="CQ156" s="335"/>
      <c r="CR156" s="335"/>
      <c r="CS156" s="335"/>
      <c r="CT156" s="335"/>
      <c r="CU156" s="335"/>
      <c r="CV156" s="335"/>
      <c r="CW156" s="335"/>
      <c r="CX156" s="335"/>
      <c r="CY156" s="335"/>
      <c r="CZ156" s="335"/>
      <c r="DA156" s="335"/>
      <c r="DB156" s="335"/>
      <c r="DC156" s="335"/>
      <c r="DD156" s="335"/>
      <c r="DE156" s="335"/>
      <c r="DF156" s="335"/>
      <c r="DG156" s="335"/>
      <c r="DH156" s="335"/>
      <c r="DI156" s="335"/>
      <c r="DJ156" s="335"/>
      <c r="DK156" s="335"/>
      <c r="DL156" s="335"/>
      <c r="DM156" s="335"/>
      <c r="DN156" s="335"/>
      <c r="DO156" s="335"/>
      <c r="DP156" s="335"/>
      <c r="DQ156" s="335"/>
      <c r="DR156" s="335"/>
      <c r="DS156" s="335"/>
      <c r="DT156" s="335"/>
      <c r="DU156" s="335"/>
      <c r="DV156" s="335"/>
      <c r="DW156" s="335"/>
      <c r="DX156" s="335"/>
      <c r="DY156" s="335"/>
      <c r="DZ156" s="335"/>
      <c r="EA156" s="335"/>
      <c r="EB156" s="335"/>
      <c r="EC156" s="335"/>
      <c r="ED156" s="335"/>
      <c r="EE156" s="335"/>
      <c r="EF156" s="335"/>
      <c r="EG156" s="335"/>
      <c r="EH156" s="335"/>
      <c r="EI156" s="335"/>
      <c r="EJ156" s="335"/>
      <c r="EK156" s="335"/>
      <c r="EL156" s="335"/>
      <c r="EM156" s="335"/>
      <c r="EN156" s="335"/>
      <c r="EO156" s="335"/>
      <c r="EP156" s="335"/>
      <c r="EQ156" s="335"/>
      <c r="ER156" s="335"/>
      <c r="ES156" s="335"/>
      <c r="ET156" s="335"/>
      <c r="EU156" s="335"/>
      <c r="EV156" s="335"/>
      <c r="EW156" s="335"/>
      <c r="EX156" s="335"/>
      <c r="EY156" s="335"/>
      <c r="EZ156" s="335"/>
      <c r="FA156" s="335"/>
      <c r="FB156" s="335"/>
      <c r="FC156" s="335"/>
      <c r="FD156" s="335"/>
      <c r="FE156" s="335"/>
      <c r="FF156" s="335"/>
      <c r="FG156" s="335"/>
      <c r="FH156" s="335"/>
      <c r="FI156" s="335"/>
      <c r="FJ156" s="335"/>
      <c r="FK156" s="335"/>
      <c r="FL156" s="335"/>
      <c r="FM156" s="335"/>
      <c r="FN156" s="335"/>
      <c r="FO156" s="335"/>
      <c r="FP156" s="335"/>
      <c r="FQ156" s="335"/>
      <c r="FR156" s="335"/>
      <c r="FS156" s="335"/>
      <c r="FT156" s="335"/>
      <c r="FU156" s="335"/>
      <c r="FV156" s="335"/>
      <c r="FW156" s="335"/>
      <c r="FX156" s="335"/>
      <c r="FY156" s="335"/>
    </row>
    <row r="157" spans="1:181" s="343" customFormat="1" ht="12" hidden="1" customHeight="1">
      <c r="A157" s="337"/>
      <c r="B157" s="1374" t="s">
        <v>312</v>
      </c>
      <c r="C157" s="1381">
        <v>7598</v>
      </c>
      <c r="D157" s="1374" t="s">
        <v>568</v>
      </c>
      <c r="E157" s="1376" t="s">
        <v>434</v>
      </c>
      <c r="F157" s="1382">
        <v>2023</v>
      </c>
      <c r="G157" s="1376" t="s">
        <v>328</v>
      </c>
      <c r="H157" s="1374"/>
      <c r="I157" s="1383">
        <v>42696</v>
      </c>
      <c r="J157" s="1380" t="s">
        <v>475</v>
      </c>
      <c r="K157" s="1382">
        <v>120</v>
      </c>
      <c r="L157" s="1381">
        <v>12</v>
      </c>
      <c r="M157" s="1382">
        <v>12</v>
      </c>
      <c r="N157" s="1381"/>
      <c r="O157" s="1382">
        <v>137.71</v>
      </c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  <c r="AA157" s="335"/>
      <c r="AB157" s="335"/>
      <c r="AC157" s="335"/>
      <c r="AD157" s="335"/>
      <c r="AE157" s="335"/>
      <c r="AF157" s="335"/>
      <c r="AG157" s="335"/>
      <c r="AH157" s="335"/>
      <c r="AI157" s="335"/>
      <c r="AJ157" s="335"/>
      <c r="AK157" s="335"/>
      <c r="AL157" s="335"/>
      <c r="AM157" s="335"/>
      <c r="AN157" s="335"/>
      <c r="AO157" s="335"/>
      <c r="AP157" s="335"/>
      <c r="AQ157" s="335"/>
      <c r="AR157" s="335"/>
      <c r="AS157" s="335"/>
      <c r="AT157" s="335"/>
      <c r="AU157" s="335"/>
      <c r="AV157" s="335"/>
      <c r="AW157" s="335"/>
      <c r="AX157" s="335"/>
      <c r="AY157" s="335"/>
      <c r="AZ157" s="335"/>
      <c r="BA157" s="335"/>
      <c r="BB157" s="335"/>
      <c r="BC157" s="335"/>
      <c r="BD157" s="335"/>
      <c r="BE157" s="335"/>
      <c r="BF157" s="335"/>
      <c r="BG157" s="335"/>
      <c r="BH157" s="335"/>
      <c r="BI157" s="335"/>
      <c r="BJ157" s="335"/>
      <c r="BK157" s="335"/>
      <c r="BL157" s="335"/>
      <c r="BM157" s="335"/>
      <c r="BN157" s="335"/>
      <c r="BO157" s="335"/>
      <c r="BP157" s="335"/>
      <c r="BQ157" s="335"/>
      <c r="BR157" s="335"/>
      <c r="BS157" s="335"/>
      <c r="BT157" s="335"/>
      <c r="BU157" s="335"/>
      <c r="BV157" s="335"/>
      <c r="BW157" s="335"/>
      <c r="BX157" s="335"/>
      <c r="BY157" s="335"/>
      <c r="BZ157" s="335"/>
      <c r="CA157" s="335"/>
      <c r="CB157" s="335"/>
      <c r="CC157" s="335"/>
      <c r="CD157" s="335"/>
      <c r="CE157" s="335"/>
      <c r="CF157" s="335"/>
      <c r="CG157" s="335"/>
      <c r="CH157" s="335"/>
      <c r="CI157" s="335"/>
      <c r="CJ157" s="335"/>
      <c r="CK157" s="335"/>
      <c r="CL157" s="335"/>
      <c r="CM157" s="335"/>
      <c r="CN157" s="335"/>
      <c r="CO157" s="335"/>
      <c r="CP157" s="335"/>
      <c r="CQ157" s="335"/>
      <c r="CR157" s="335"/>
      <c r="CS157" s="335"/>
      <c r="CT157" s="335"/>
      <c r="CU157" s="335"/>
      <c r="CV157" s="335"/>
      <c r="CW157" s="335"/>
      <c r="CX157" s="335"/>
      <c r="CY157" s="335"/>
      <c r="CZ157" s="335"/>
      <c r="DA157" s="335"/>
      <c r="DB157" s="335"/>
      <c r="DC157" s="335"/>
      <c r="DD157" s="335"/>
      <c r="DE157" s="335"/>
      <c r="DF157" s="335"/>
      <c r="DG157" s="335"/>
      <c r="DH157" s="335"/>
      <c r="DI157" s="335"/>
      <c r="DJ157" s="335"/>
      <c r="DK157" s="335"/>
      <c r="DL157" s="335"/>
      <c r="DM157" s="335"/>
      <c r="DN157" s="335"/>
      <c r="DO157" s="335"/>
      <c r="DP157" s="335"/>
      <c r="DQ157" s="335"/>
      <c r="DR157" s="335"/>
      <c r="DS157" s="335"/>
      <c r="DT157" s="335"/>
      <c r="DU157" s="335"/>
      <c r="DV157" s="335"/>
      <c r="DW157" s="335"/>
      <c r="DX157" s="335"/>
      <c r="DY157" s="335"/>
      <c r="DZ157" s="335"/>
      <c r="EA157" s="335"/>
      <c r="EB157" s="335"/>
      <c r="EC157" s="335"/>
      <c r="ED157" s="335"/>
      <c r="EE157" s="335"/>
      <c r="EF157" s="335"/>
      <c r="EG157" s="335"/>
      <c r="EH157" s="335"/>
      <c r="EI157" s="335"/>
      <c r="EJ157" s="335"/>
      <c r="EK157" s="335"/>
      <c r="EL157" s="335"/>
      <c r="EM157" s="335"/>
      <c r="EN157" s="335"/>
      <c r="EO157" s="335"/>
      <c r="EP157" s="335"/>
      <c r="EQ157" s="335"/>
      <c r="ER157" s="335"/>
      <c r="ES157" s="335"/>
      <c r="ET157" s="335"/>
      <c r="EU157" s="335"/>
      <c r="EV157" s="335"/>
      <c r="EW157" s="335"/>
      <c r="EX157" s="335"/>
      <c r="EY157" s="335"/>
      <c r="EZ157" s="335"/>
      <c r="FA157" s="335"/>
      <c r="FB157" s="335"/>
      <c r="FC157" s="335"/>
      <c r="FD157" s="335"/>
      <c r="FE157" s="335"/>
      <c r="FF157" s="335"/>
      <c r="FG157" s="335"/>
      <c r="FH157" s="335"/>
      <c r="FI157" s="335"/>
      <c r="FJ157" s="335"/>
      <c r="FK157" s="335"/>
      <c r="FL157" s="335"/>
      <c r="FM157" s="335"/>
      <c r="FN157" s="335"/>
      <c r="FO157" s="335"/>
      <c r="FP157" s="335"/>
      <c r="FQ157" s="335"/>
      <c r="FR157" s="335"/>
      <c r="FS157" s="335"/>
      <c r="FT157" s="335"/>
      <c r="FU157" s="335"/>
      <c r="FV157" s="335"/>
      <c r="FW157" s="335"/>
      <c r="FX157" s="335"/>
      <c r="FY157" s="335"/>
    </row>
    <row r="158" spans="1:181" s="343" customFormat="1" ht="12" hidden="1" customHeight="1">
      <c r="A158" s="337"/>
      <c r="B158" s="1384" t="s">
        <v>312</v>
      </c>
      <c r="C158" s="1385">
        <v>1218207</v>
      </c>
      <c r="D158" s="1384" t="s">
        <v>569</v>
      </c>
      <c r="E158" s="1386" t="s">
        <v>314</v>
      </c>
      <c r="F158" s="1385">
        <v>963036</v>
      </c>
      <c r="G158" s="1386" t="s">
        <v>349</v>
      </c>
      <c r="H158" s="1384"/>
      <c r="I158" s="1387">
        <v>42499</v>
      </c>
      <c r="J158" s="1380" t="s">
        <v>475</v>
      </c>
      <c r="K158" s="1385">
        <v>119</v>
      </c>
      <c r="L158" s="1388">
        <v>11</v>
      </c>
      <c r="M158" s="1385">
        <v>8</v>
      </c>
      <c r="N158" s="1388"/>
      <c r="O158" s="1385">
        <v>5.827</v>
      </c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335"/>
      <c r="AB158" s="335"/>
      <c r="AC158" s="335"/>
      <c r="AD158" s="335"/>
      <c r="AE158" s="335"/>
      <c r="AF158" s="335"/>
      <c r="AG158" s="335"/>
      <c r="AH158" s="335"/>
      <c r="AI158" s="335"/>
      <c r="AJ158" s="335"/>
      <c r="AK158" s="335"/>
      <c r="AL158" s="335"/>
      <c r="AM158" s="335"/>
      <c r="AN158" s="335"/>
      <c r="AO158" s="335"/>
      <c r="AP158" s="335"/>
      <c r="AQ158" s="335"/>
      <c r="AR158" s="335"/>
      <c r="AS158" s="335"/>
      <c r="AT158" s="335"/>
      <c r="AU158" s="335"/>
      <c r="AV158" s="335"/>
      <c r="AW158" s="335"/>
      <c r="AX158" s="335"/>
      <c r="AY158" s="335"/>
      <c r="AZ158" s="335"/>
      <c r="BA158" s="335"/>
      <c r="BB158" s="335"/>
      <c r="BC158" s="335"/>
      <c r="BD158" s="335"/>
      <c r="BE158" s="335"/>
      <c r="BF158" s="335"/>
      <c r="BG158" s="335"/>
      <c r="BH158" s="335"/>
      <c r="BI158" s="335"/>
      <c r="BJ158" s="335"/>
      <c r="BK158" s="335"/>
      <c r="BL158" s="335"/>
      <c r="BM158" s="335"/>
      <c r="BN158" s="335"/>
      <c r="BO158" s="335"/>
      <c r="BP158" s="335"/>
      <c r="BQ158" s="335"/>
      <c r="BR158" s="335"/>
      <c r="BS158" s="335"/>
      <c r="BT158" s="335"/>
      <c r="BU158" s="335"/>
      <c r="BV158" s="335"/>
      <c r="BW158" s="335"/>
      <c r="BX158" s="335"/>
      <c r="BY158" s="335"/>
      <c r="BZ158" s="335"/>
      <c r="CA158" s="335"/>
      <c r="CB158" s="335"/>
      <c r="CC158" s="335"/>
      <c r="CD158" s="335"/>
      <c r="CE158" s="335"/>
      <c r="CF158" s="335"/>
      <c r="CG158" s="335"/>
      <c r="CH158" s="335"/>
      <c r="CI158" s="335"/>
      <c r="CJ158" s="335"/>
      <c r="CK158" s="335"/>
      <c r="CL158" s="335"/>
      <c r="CM158" s="335"/>
      <c r="CN158" s="335"/>
      <c r="CO158" s="335"/>
      <c r="CP158" s="335"/>
      <c r="CQ158" s="335"/>
      <c r="CR158" s="335"/>
      <c r="CS158" s="335"/>
      <c r="CT158" s="335"/>
      <c r="CU158" s="335"/>
      <c r="CV158" s="335"/>
      <c r="CW158" s="335"/>
      <c r="CX158" s="335"/>
      <c r="CY158" s="335"/>
      <c r="CZ158" s="335"/>
      <c r="DA158" s="335"/>
      <c r="DB158" s="335"/>
      <c r="DC158" s="335"/>
      <c r="DD158" s="335"/>
      <c r="DE158" s="335"/>
      <c r="DF158" s="335"/>
      <c r="DG158" s="335"/>
      <c r="DH158" s="335"/>
      <c r="DI158" s="335"/>
      <c r="DJ158" s="335"/>
      <c r="DK158" s="335"/>
      <c r="DL158" s="335"/>
      <c r="DM158" s="335"/>
      <c r="DN158" s="335"/>
      <c r="DO158" s="335"/>
      <c r="DP158" s="335"/>
      <c r="DQ158" s="335"/>
      <c r="DR158" s="335"/>
      <c r="DS158" s="335"/>
      <c r="DT158" s="335"/>
      <c r="DU158" s="335"/>
      <c r="DV158" s="335"/>
      <c r="DW158" s="335"/>
      <c r="DX158" s="335"/>
      <c r="DY158" s="335"/>
      <c r="DZ158" s="335"/>
      <c r="EA158" s="335"/>
      <c r="EB158" s="335"/>
      <c r="EC158" s="335"/>
      <c r="ED158" s="335"/>
      <c r="EE158" s="335"/>
      <c r="EF158" s="335"/>
      <c r="EG158" s="335"/>
      <c r="EH158" s="335"/>
      <c r="EI158" s="335"/>
      <c r="EJ158" s="335"/>
      <c r="EK158" s="335"/>
      <c r="EL158" s="335"/>
      <c r="EM158" s="335"/>
      <c r="EN158" s="335"/>
      <c r="EO158" s="335"/>
      <c r="EP158" s="335"/>
      <c r="EQ158" s="335"/>
      <c r="ER158" s="335"/>
      <c r="ES158" s="335"/>
      <c r="ET158" s="335"/>
      <c r="EU158" s="335"/>
      <c r="EV158" s="335"/>
      <c r="EW158" s="335"/>
      <c r="EX158" s="335"/>
      <c r="EY158" s="335"/>
      <c r="EZ158" s="335"/>
      <c r="FA158" s="335"/>
      <c r="FB158" s="335"/>
      <c r="FC158" s="335"/>
      <c r="FD158" s="335"/>
      <c r="FE158" s="335"/>
      <c r="FF158" s="335"/>
      <c r="FG158" s="335"/>
      <c r="FH158" s="335"/>
      <c r="FI158" s="335"/>
      <c r="FJ158" s="335"/>
      <c r="FK158" s="335"/>
      <c r="FL158" s="335"/>
      <c r="FM158" s="335"/>
      <c r="FN158" s="335"/>
      <c r="FO158" s="335"/>
      <c r="FP158" s="335"/>
      <c r="FQ158" s="335"/>
      <c r="FR158" s="335"/>
      <c r="FS158" s="335"/>
      <c r="FT158" s="335"/>
      <c r="FU158" s="335"/>
      <c r="FV158" s="335"/>
      <c r="FW158" s="335"/>
      <c r="FX158" s="335"/>
      <c r="FY158" s="335"/>
    </row>
    <row r="159" spans="1:181" s="343" customFormat="1" ht="12" hidden="1" customHeight="1">
      <c r="A159" s="337"/>
      <c r="B159" s="1384" t="s">
        <v>312</v>
      </c>
      <c r="C159" s="1385">
        <v>296470</v>
      </c>
      <c r="D159" s="1384" t="s">
        <v>569</v>
      </c>
      <c r="E159" s="1386" t="s">
        <v>314</v>
      </c>
      <c r="F159" s="1385">
        <v>963036</v>
      </c>
      <c r="G159" s="1386" t="s">
        <v>349</v>
      </c>
      <c r="H159" s="1384"/>
      <c r="I159" s="1387">
        <v>42453</v>
      </c>
      <c r="J159" s="1380" t="s">
        <v>475</v>
      </c>
      <c r="K159" s="1385">
        <v>119</v>
      </c>
      <c r="L159" s="1388">
        <v>11</v>
      </c>
      <c r="M159" s="1385">
        <v>10</v>
      </c>
      <c r="N159" s="1388"/>
      <c r="O159" s="1385">
        <v>0.17299999999999999</v>
      </c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  <c r="AA159" s="335"/>
      <c r="AB159" s="335"/>
      <c r="AC159" s="335"/>
      <c r="AD159" s="335"/>
      <c r="AE159" s="335"/>
      <c r="AF159" s="335"/>
      <c r="AG159" s="335"/>
      <c r="AH159" s="335"/>
      <c r="AI159" s="335"/>
      <c r="AJ159" s="335"/>
      <c r="AK159" s="335"/>
      <c r="AL159" s="335"/>
      <c r="AM159" s="335"/>
      <c r="AN159" s="335"/>
      <c r="AO159" s="335"/>
      <c r="AP159" s="335"/>
      <c r="AQ159" s="335"/>
      <c r="AR159" s="335"/>
      <c r="AS159" s="335"/>
      <c r="AT159" s="335"/>
      <c r="AU159" s="335"/>
      <c r="AV159" s="335"/>
      <c r="AW159" s="335"/>
      <c r="AX159" s="335"/>
      <c r="AY159" s="335"/>
      <c r="AZ159" s="335"/>
      <c r="BA159" s="335"/>
      <c r="BB159" s="335"/>
      <c r="BC159" s="335"/>
      <c r="BD159" s="335"/>
      <c r="BE159" s="335"/>
      <c r="BF159" s="335"/>
      <c r="BG159" s="335"/>
      <c r="BH159" s="335"/>
      <c r="BI159" s="335"/>
      <c r="BJ159" s="335"/>
      <c r="BK159" s="335"/>
      <c r="BL159" s="335"/>
      <c r="BM159" s="335"/>
      <c r="BN159" s="335"/>
      <c r="BO159" s="335"/>
      <c r="BP159" s="335"/>
      <c r="BQ159" s="335"/>
      <c r="BR159" s="335"/>
      <c r="BS159" s="335"/>
      <c r="BT159" s="335"/>
      <c r="BU159" s="335"/>
      <c r="BV159" s="335"/>
      <c r="BW159" s="335"/>
      <c r="BX159" s="335"/>
      <c r="BY159" s="335"/>
      <c r="BZ159" s="335"/>
      <c r="CA159" s="335"/>
      <c r="CB159" s="335"/>
      <c r="CC159" s="335"/>
      <c r="CD159" s="335"/>
      <c r="CE159" s="335"/>
      <c r="CF159" s="335"/>
      <c r="CG159" s="335"/>
      <c r="CH159" s="335"/>
      <c r="CI159" s="335"/>
      <c r="CJ159" s="335"/>
      <c r="CK159" s="335"/>
      <c r="CL159" s="335"/>
      <c r="CM159" s="335"/>
      <c r="CN159" s="335"/>
      <c r="CO159" s="335"/>
      <c r="CP159" s="335"/>
      <c r="CQ159" s="335"/>
      <c r="CR159" s="335"/>
      <c r="CS159" s="335"/>
      <c r="CT159" s="335"/>
      <c r="CU159" s="335"/>
      <c r="CV159" s="335"/>
      <c r="CW159" s="335"/>
      <c r="CX159" s="335"/>
      <c r="CY159" s="335"/>
      <c r="CZ159" s="335"/>
      <c r="DA159" s="335"/>
      <c r="DB159" s="335"/>
      <c r="DC159" s="335"/>
      <c r="DD159" s="335"/>
      <c r="DE159" s="335"/>
      <c r="DF159" s="335"/>
      <c r="DG159" s="335"/>
      <c r="DH159" s="335"/>
      <c r="DI159" s="335"/>
      <c r="DJ159" s="335"/>
      <c r="DK159" s="335"/>
      <c r="DL159" s="335"/>
      <c r="DM159" s="335"/>
      <c r="DN159" s="335"/>
      <c r="DO159" s="335"/>
      <c r="DP159" s="335"/>
      <c r="DQ159" s="335"/>
      <c r="DR159" s="335"/>
      <c r="DS159" s="335"/>
      <c r="DT159" s="335"/>
      <c r="DU159" s="335"/>
      <c r="DV159" s="335"/>
      <c r="DW159" s="335"/>
      <c r="DX159" s="335"/>
      <c r="DY159" s="335"/>
      <c r="DZ159" s="335"/>
      <c r="EA159" s="335"/>
      <c r="EB159" s="335"/>
      <c r="EC159" s="335"/>
      <c r="ED159" s="335"/>
      <c r="EE159" s="335"/>
      <c r="EF159" s="335"/>
      <c r="EG159" s="335"/>
      <c r="EH159" s="335"/>
      <c r="EI159" s="335"/>
      <c r="EJ159" s="335"/>
      <c r="EK159" s="335"/>
      <c r="EL159" s="335"/>
      <c r="EM159" s="335"/>
      <c r="EN159" s="335"/>
      <c r="EO159" s="335"/>
      <c r="EP159" s="335"/>
      <c r="EQ159" s="335"/>
      <c r="ER159" s="335"/>
      <c r="ES159" s="335"/>
      <c r="ET159" s="335"/>
      <c r="EU159" s="335"/>
      <c r="EV159" s="335"/>
      <c r="EW159" s="335"/>
      <c r="EX159" s="335"/>
      <c r="EY159" s="335"/>
      <c r="EZ159" s="335"/>
      <c r="FA159" s="335"/>
      <c r="FB159" s="335"/>
      <c r="FC159" s="335"/>
      <c r="FD159" s="335"/>
      <c r="FE159" s="335"/>
      <c r="FF159" s="335"/>
      <c r="FG159" s="335"/>
      <c r="FH159" s="335"/>
      <c r="FI159" s="335"/>
      <c r="FJ159" s="335"/>
      <c r="FK159" s="335"/>
      <c r="FL159" s="335"/>
      <c r="FM159" s="335"/>
      <c r="FN159" s="335"/>
      <c r="FO159" s="335"/>
      <c r="FP159" s="335"/>
      <c r="FQ159" s="335"/>
      <c r="FR159" s="335"/>
      <c r="FS159" s="335"/>
      <c r="FT159" s="335"/>
      <c r="FU159" s="335"/>
      <c r="FV159" s="335"/>
      <c r="FW159" s="335"/>
      <c r="FX159" s="335"/>
      <c r="FY159" s="335"/>
    </row>
    <row r="160" spans="1:181" s="343" customFormat="1" ht="12" hidden="1" customHeight="1">
      <c r="A160" s="337"/>
      <c r="B160" s="1384" t="s">
        <v>312</v>
      </c>
      <c r="C160" s="1385">
        <v>1196195</v>
      </c>
      <c r="D160" s="1384" t="s">
        <v>569</v>
      </c>
      <c r="E160" s="1386" t="s">
        <v>314</v>
      </c>
      <c r="F160" s="1385">
        <v>963036</v>
      </c>
      <c r="G160" s="1386" t="s">
        <v>349</v>
      </c>
      <c r="H160" s="1384"/>
      <c r="I160" s="1387">
        <v>42433</v>
      </c>
      <c r="J160" s="1380" t="s">
        <v>475</v>
      </c>
      <c r="K160" s="1385">
        <v>119</v>
      </c>
      <c r="L160" s="1388">
        <v>11</v>
      </c>
      <c r="M160" s="1385">
        <v>10</v>
      </c>
      <c r="N160" s="1388"/>
      <c r="O160" s="1385">
        <v>0.115</v>
      </c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  <c r="AA160" s="335"/>
      <c r="AB160" s="335"/>
      <c r="AC160" s="335"/>
      <c r="AD160" s="335"/>
      <c r="AE160" s="335"/>
      <c r="AF160" s="335"/>
      <c r="AG160" s="335"/>
      <c r="AH160" s="335"/>
      <c r="AI160" s="335"/>
      <c r="AJ160" s="335"/>
      <c r="AK160" s="335"/>
      <c r="AL160" s="335"/>
      <c r="AM160" s="335"/>
      <c r="AN160" s="335"/>
      <c r="AO160" s="335"/>
      <c r="AP160" s="335"/>
      <c r="AQ160" s="335"/>
      <c r="AR160" s="335"/>
      <c r="AS160" s="335"/>
      <c r="AT160" s="335"/>
      <c r="AU160" s="335"/>
      <c r="AV160" s="335"/>
      <c r="AW160" s="335"/>
      <c r="AX160" s="335"/>
      <c r="AY160" s="335"/>
      <c r="AZ160" s="335"/>
      <c r="BA160" s="335"/>
      <c r="BB160" s="335"/>
      <c r="BC160" s="335"/>
      <c r="BD160" s="335"/>
      <c r="BE160" s="335"/>
      <c r="BF160" s="335"/>
      <c r="BG160" s="335"/>
      <c r="BH160" s="335"/>
      <c r="BI160" s="335"/>
      <c r="BJ160" s="335"/>
      <c r="BK160" s="335"/>
      <c r="BL160" s="335"/>
      <c r="BM160" s="335"/>
      <c r="BN160" s="335"/>
      <c r="BO160" s="335"/>
      <c r="BP160" s="335"/>
      <c r="BQ160" s="335"/>
      <c r="BR160" s="335"/>
      <c r="BS160" s="335"/>
      <c r="BT160" s="335"/>
      <c r="BU160" s="335"/>
      <c r="BV160" s="335"/>
      <c r="BW160" s="335"/>
      <c r="BX160" s="335"/>
      <c r="BY160" s="335"/>
      <c r="BZ160" s="335"/>
      <c r="CA160" s="335"/>
      <c r="CB160" s="335"/>
      <c r="CC160" s="335"/>
      <c r="CD160" s="335"/>
      <c r="CE160" s="335"/>
      <c r="CF160" s="335"/>
      <c r="CG160" s="335"/>
      <c r="CH160" s="335"/>
      <c r="CI160" s="335"/>
      <c r="CJ160" s="335"/>
      <c r="CK160" s="335"/>
      <c r="CL160" s="335"/>
      <c r="CM160" s="335"/>
      <c r="CN160" s="335"/>
      <c r="CO160" s="335"/>
      <c r="CP160" s="335"/>
      <c r="CQ160" s="335"/>
      <c r="CR160" s="335"/>
      <c r="CS160" s="335"/>
      <c r="CT160" s="335"/>
      <c r="CU160" s="335"/>
      <c r="CV160" s="335"/>
      <c r="CW160" s="335"/>
      <c r="CX160" s="335"/>
      <c r="CY160" s="335"/>
      <c r="CZ160" s="335"/>
      <c r="DA160" s="335"/>
      <c r="DB160" s="335"/>
      <c r="DC160" s="335"/>
      <c r="DD160" s="335"/>
      <c r="DE160" s="335"/>
      <c r="DF160" s="335"/>
      <c r="DG160" s="335"/>
      <c r="DH160" s="335"/>
      <c r="DI160" s="335"/>
      <c r="DJ160" s="335"/>
      <c r="DK160" s="335"/>
      <c r="DL160" s="335"/>
      <c r="DM160" s="335"/>
      <c r="DN160" s="335"/>
      <c r="DO160" s="335"/>
      <c r="DP160" s="335"/>
      <c r="DQ160" s="335"/>
      <c r="DR160" s="335"/>
      <c r="DS160" s="335"/>
      <c r="DT160" s="335"/>
      <c r="DU160" s="335"/>
      <c r="DV160" s="335"/>
      <c r="DW160" s="335"/>
      <c r="DX160" s="335"/>
      <c r="DY160" s="335"/>
      <c r="DZ160" s="335"/>
      <c r="EA160" s="335"/>
      <c r="EB160" s="335"/>
      <c r="EC160" s="335"/>
      <c r="ED160" s="335"/>
      <c r="EE160" s="335"/>
      <c r="EF160" s="335"/>
      <c r="EG160" s="335"/>
      <c r="EH160" s="335"/>
      <c r="EI160" s="335"/>
      <c r="EJ160" s="335"/>
      <c r="EK160" s="335"/>
      <c r="EL160" s="335"/>
      <c r="EM160" s="335"/>
      <c r="EN160" s="335"/>
      <c r="EO160" s="335"/>
      <c r="EP160" s="335"/>
      <c r="EQ160" s="335"/>
      <c r="ER160" s="335"/>
      <c r="ES160" s="335"/>
      <c r="ET160" s="335"/>
      <c r="EU160" s="335"/>
      <c r="EV160" s="335"/>
      <c r="EW160" s="335"/>
      <c r="EX160" s="335"/>
      <c r="EY160" s="335"/>
      <c r="EZ160" s="335"/>
      <c r="FA160" s="335"/>
      <c r="FB160" s="335"/>
      <c r="FC160" s="335"/>
      <c r="FD160" s="335"/>
      <c r="FE160" s="335"/>
      <c r="FF160" s="335"/>
      <c r="FG160" s="335"/>
      <c r="FH160" s="335"/>
      <c r="FI160" s="335"/>
      <c r="FJ160" s="335"/>
      <c r="FK160" s="335"/>
      <c r="FL160" s="335"/>
      <c r="FM160" s="335"/>
      <c r="FN160" s="335"/>
      <c r="FO160" s="335"/>
      <c r="FP160" s="335"/>
      <c r="FQ160" s="335"/>
      <c r="FR160" s="335"/>
      <c r="FS160" s="335"/>
      <c r="FT160" s="335"/>
      <c r="FU160" s="335"/>
      <c r="FV160" s="335"/>
      <c r="FW160" s="335"/>
      <c r="FX160" s="335"/>
      <c r="FY160" s="335"/>
    </row>
    <row r="161" spans="1:181" s="343" customFormat="1" ht="12" hidden="1" customHeight="1">
      <c r="A161" s="337"/>
      <c r="B161" s="1384" t="s">
        <v>312</v>
      </c>
      <c r="C161" s="1385">
        <v>1004085</v>
      </c>
      <c r="D161" s="1384" t="s">
        <v>569</v>
      </c>
      <c r="E161" s="1386" t="s">
        <v>192</v>
      </c>
      <c r="F161" s="1385">
        <v>925411</v>
      </c>
      <c r="G161" s="1386" t="s">
        <v>336</v>
      </c>
      <c r="H161" s="1384"/>
      <c r="I161" s="1387">
        <v>42394</v>
      </c>
      <c r="J161" s="1380" t="s">
        <v>475</v>
      </c>
      <c r="K161" s="1385">
        <v>119</v>
      </c>
      <c r="L161" s="1388">
        <v>11</v>
      </c>
      <c r="M161" s="1385">
        <v>10</v>
      </c>
      <c r="N161" s="1388"/>
      <c r="O161" s="1385">
        <v>4.7409999999999997</v>
      </c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  <c r="AA161" s="335"/>
      <c r="AB161" s="335"/>
      <c r="AC161" s="335"/>
      <c r="AD161" s="335"/>
      <c r="AE161" s="335"/>
      <c r="AF161" s="335"/>
      <c r="AG161" s="335"/>
      <c r="AH161" s="335"/>
      <c r="AI161" s="335"/>
      <c r="AJ161" s="335"/>
      <c r="AK161" s="335"/>
      <c r="AL161" s="335"/>
      <c r="AM161" s="335"/>
      <c r="AN161" s="335"/>
      <c r="AO161" s="335"/>
      <c r="AP161" s="335"/>
      <c r="AQ161" s="335"/>
      <c r="AR161" s="335"/>
      <c r="AS161" s="335"/>
      <c r="AT161" s="335"/>
      <c r="AU161" s="335"/>
      <c r="AV161" s="335"/>
      <c r="AW161" s="335"/>
      <c r="AX161" s="335"/>
      <c r="AY161" s="335"/>
      <c r="AZ161" s="335"/>
      <c r="BA161" s="335"/>
      <c r="BB161" s="335"/>
      <c r="BC161" s="335"/>
      <c r="BD161" s="335"/>
      <c r="BE161" s="335"/>
      <c r="BF161" s="335"/>
      <c r="BG161" s="335"/>
      <c r="BH161" s="335"/>
      <c r="BI161" s="335"/>
      <c r="BJ161" s="335"/>
      <c r="BK161" s="335"/>
      <c r="BL161" s="335"/>
      <c r="BM161" s="335"/>
      <c r="BN161" s="335"/>
      <c r="BO161" s="335"/>
      <c r="BP161" s="335"/>
      <c r="BQ161" s="335"/>
      <c r="BR161" s="335"/>
      <c r="BS161" s="335"/>
      <c r="BT161" s="335"/>
      <c r="BU161" s="335"/>
      <c r="BV161" s="335"/>
      <c r="BW161" s="335"/>
      <c r="BX161" s="335"/>
      <c r="BY161" s="335"/>
      <c r="BZ161" s="335"/>
      <c r="CA161" s="335"/>
      <c r="CB161" s="335"/>
      <c r="CC161" s="335"/>
      <c r="CD161" s="335"/>
      <c r="CE161" s="335"/>
      <c r="CF161" s="335"/>
      <c r="CG161" s="335"/>
      <c r="CH161" s="335"/>
      <c r="CI161" s="335"/>
      <c r="CJ161" s="335"/>
      <c r="CK161" s="335"/>
      <c r="CL161" s="335"/>
      <c r="CM161" s="335"/>
      <c r="CN161" s="335"/>
      <c r="CO161" s="335"/>
      <c r="CP161" s="335"/>
      <c r="CQ161" s="335"/>
      <c r="CR161" s="335"/>
      <c r="CS161" s="335"/>
      <c r="CT161" s="335"/>
      <c r="CU161" s="335"/>
      <c r="CV161" s="335"/>
      <c r="CW161" s="335"/>
      <c r="CX161" s="335"/>
      <c r="CY161" s="335"/>
      <c r="CZ161" s="335"/>
      <c r="DA161" s="335"/>
      <c r="DB161" s="335"/>
      <c r="DC161" s="335"/>
      <c r="DD161" s="335"/>
      <c r="DE161" s="335"/>
      <c r="DF161" s="335"/>
      <c r="DG161" s="335"/>
      <c r="DH161" s="335"/>
      <c r="DI161" s="335"/>
      <c r="DJ161" s="335"/>
      <c r="DK161" s="335"/>
      <c r="DL161" s="335"/>
      <c r="DM161" s="335"/>
      <c r="DN161" s="335"/>
      <c r="DO161" s="335"/>
      <c r="DP161" s="335"/>
      <c r="DQ161" s="335"/>
      <c r="DR161" s="335"/>
      <c r="DS161" s="335"/>
      <c r="DT161" s="335"/>
      <c r="DU161" s="335"/>
      <c r="DV161" s="335"/>
      <c r="DW161" s="335"/>
      <c r="DX161" s="335"/>
      <c r="DY161" s="335"/>
      <c r="DZ161" s="335"/>
      <c r="EA161" s="335"/>
      <c r="EB161" s="335"/>
      <c r="EC161" s="335"/>
      <c r="ED161" s="335"/>
      <c r="EE161" s="335"/>
      <c r="EF161" s="335"/>
      <c r="EG161" s="335"/>
      <c r="EH161" s="335"/>
      <c r="EI161" s="335"/>
      <c r="EJ161" s="335"/>
      <c r="EK161" s="335"/>
      <c r="EL161" s="335"/>
      <c r="EM161" s="335"/>
      <c r="EN161" s="335"/>
      <c r="EO161" s="335"/>
      <c r="EP161" s="335"/>
      <c r="EQ161" s="335"/>
      <c r="ER161" s="335"/>
      <c r="ES161" s="335"/>
      <c r="ET161" s="335"/>
      <c r="EU161" s="335"/>
      <c r="EV161" s="335"/>
      <c r="EW161" s="335"/>
      <c r="EX161" s="335"/>
      <c r="EY161" s="335"/>
      <c r="EZ161" s="335"/>
      <c r="FA161" s="335"/>
      <c r="FB161" s="335"/>
      <c r="FC161" s="335"/>
      <c r="FD161" s="335"/>
      <c r="FE161" s="335"/>
      <c r="FF161" s="335"/>
      <c r="FG161" s="335"/>
      <c r="FH161" s="335"/>
      <c r="FI161" s="335"/>
      <c r="FJ161" s="335"/>
      <c r="FK161" s="335"/>
      <c r="FL161" s="335"/>
      <c r="FM161" s="335"/>
      <c r="FN161" s="335"/>
      <c r="FO161" s="335"/>
      <c r="FP161" s="335"/>
      <c r="FQ161" s="335"/>
      <c r="FR161" s="335"/>
      <c r="FS161" s="335"/>
      <c r="FT161" s="335"/>
      <c r="FU161" s="335"/>
      <c r="FV161" s="335"/>
      <c r="FW161" s="335"/>
      <c r="FX161" s="335"/>
      <c r="FY161" s="335"/>
    </row>
    <row r="162" spans="1:181" s="343" customFormat="1" ht="12" hidden="1" customHeight="1">
      <c r="A162" s="337"/>
      <c r="B162" s="1384" t="s">
        <v>312</v>
      </c>
      <c r="C162" s="1385">
        <v>1004574</v>
      </c>
      <c r="D162" s="1384" t="s">
        <v>569</v>
      </c>
      <c r="E162" s="1386" t="s">
        <v>192</v>
      </c>
      <c r="F162" s="1385">
        <v>925411</v>
      </c>
      <c r="G162" s="1386" t="s">
        <v>336</v>
      </c>
      <c r="H162" s="1384"/>
      <c r="I162" s="1387">
        <v>42493</v>
      </c>
      <c r="J162" s="1380" t="s">
        <v>475</v>
      </c>
      <c r="K162" s="1385">
        <v>119</v>
      </c>
      <c r="L162" s="1388">
        <v>11</v>
      </c>
      <c r="M162" s="1385">
        <v>10</v>
      </c>
      <c r="N162" s="1388"/>
      <c r="O162" s="1385">
        <v>2.3530000000000002</v>
      </c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  <c r="AA162" s="335"/>
      <c r="AB162" s="335"/>
      <c r="AC162" s="335"/>
      <c r="AD162" s="335"/>
      <c r="AE162" s="335"/>
      <c r="AF162" s="335"/>
      <c r="AG162" s="335"/>
      <c r="AH162" s="335"/>
      <c r="AI162" s="335"/>
      <c r="AJ162" s="335"/>
      <c r="AK162" s="335"/>
      <c r="AL162" s="335"/>
      <c r="AM162" s="335"/>
      <c r="AN162" s="335"/>
      <c r="AO162" s="335"/>
      <c r="AP162" s="335"/>
      <c r="AQ162" s="335"/>
      <c r="AR162" s="335"/>
      <c r="AS162" s="335"/>
      <c r="AT162" s="335"/>
      <c r="AU162" s="335"/>
      <c r="AV162" s="335"/>
      <c r="AW162" s="335"/>
      <c r="AX162" s="335"/>
      <c r="AY162" s="335"/>
      <c r="AZ162" s="335"/>
      <c r="BA162" s="335"/>
      <c r="BB162" s="335"/>
      <c r="BC162" s="335"/>
      <c r="BD162" s="335"/>
      <c r="BE162" s="335"/>
      <c r="BF162" s="335"/>
      <c r="BG162" s="335"/>
      <c r="BH162" s="335"/>
      <c r="BI162" s="335"/>
      <c r="BJ162" s="335"/>
      <c r="BK162" s="335"/>
      <c r="BL162" s="335"/>
      <c r="BM162" s="335"/>
      <c r="BN162" s="335"/>
      <c r="BO162" s="335"/>
      <c r="BP162" s="335"/>
      <c r="BQ162" s="335"/>
      <c r="BR162" s="335"/>
      <c r="BS162" s="335"/>
      <c r="BT162" s="335"/>
      <c r="BU162" s="335"/>
      <c r="BV162" s="335"/>
      <c r="BW162" s="335"/>
      <c r="BX162" s="335"/>
      <c r="BY162" s="335"/>
      <c r="BZ162" s="335"/>
      <c r="CA162" s="335"/>
      <c r="CB162" s="335"/>
      <c r="CC162" s="335"/>
      <c r="CD162" s="335"/>
      <c r="CE162" s="335"/>
      <c r="CF162" s="335"/>
      <c r="CG162" s="335"/>
      <c r="CH162" s="335"/>
      <c r="CI162" s="335"/>
      <c r="CJ162" s="335"/>
      <c r="CK162" s="335"/>
      <c r="CL162" s="335"/>
      <c r="CM162" s="335"/>
      <c r="CN162" s="335"/>
      <c r="CO162" s="335"/>
      <c r="CP162" s="335"/>
      <c r="CQ162" s="335"/>
      <c r="CR162" s="335"/>
      <c r="CS162" s="335"/>
      <c r="CT162" s="335"/>
      <c r="CU162" s="335"/>
      <c r="CV162" s="335"/>
      <c r="CW162" s="335"/>
      <c r="CX162" s="335"/>
      <c r="CY162" s="335"/>
      <c r="CZ162" s="335"/>
      <c r="DA162" s="335"/>
      <c r="DB162" s="335"/>
      <c r="DC162" s="335"/>
      <c r="DD162" s="335"/>
      <c r="DE162" s="335"/>
      <c r="DF162" s="335"/>
      <c r="DG162" s="335"/>
      <c r="DH162" s="335"/>
      <c r="DI162" s="335"/>
      <c r="DJ162" s="335"/>
      <c r="DK162" s="335"/>
      <c r="DL162" s="335"/>
      <c r="DM162" s="335"/>
      <c r="DN162" s="335"/>
      <c r="DO162" s="335"/>
      <c r="DP162" s="335"/>
      <c r="DQ162" s="335"/>
      <c r="DR162" s="335"/>
      <c r="DS162" s="335"/>
      <c r="DT162" s="335"/>
      <c r="DU162" s="335"/>
      <c r="DV162" s="335"/>
      <c r="DW162" s="335"/>
      <c r="DX162" s="335"/>
      <c r="DY162" s="335"/>
      <c r="DZ162" s="335"/>
      <c r="EA162" s="335"/>
      <c r="EB162" s="335"/>
      <c r="EC162" s="335"/>
      <c r="ED162" s="335"/>
      <c r="EE162" s="335"/>
      <c r="EF162" s="335"/>
      <c r="EG162" s="335"/>
      <c r="EH162" s="335"/>
      <c r="EI162" s="335"/>
      <c r="EJ162" s="335"/>
      <c r="EK162" s="335"/>
      <c r="EL162" s="335"/>
      <c r="EM162" s="335"/>
      <c r="EN162" s="335"/>
      <c r="EO162" s="335"/>
      <c r="EP162" s="335"/>
      <c r="EQ162" s="335"/>
      <c r="ER162" s="335"/>
      <c r="ES162" s="335"/>
      <c r="ET162" s="335"/>
      <c r="EU162" s="335"/>
      <c r="EV162" s="335"/>
      <c r="EW162" s="335"/>
      <c r="EX162" s="335"/>
      <c r="EY162" s="335"/>
      <c r="EZ162" s="335"/>
      <c r="FA162" s="335"/>
      <c r="FB162" s="335"/>
      <c r="FC162" s="335"/>
      <c r="FD162" s="335"/>
      <c r="FE162" s="335"/>
      <c r="FF162" s="335"/>
      <c r="FG162" s="335"/>
      <c r="FH162" s="335"/>
      <c r="FI162" s="335"/>
      <c r="FJ162" s="335"/>
      <c r="FK162" s="335"/>
      <c r="FL162" s="335"/>
      <c r="FM162" s="335"/>
      <c r="FN162" s="335"/>
      <c r="FO162" s="335"/>
      <c r="FP162" s="335"/>
      <c r="FQ162" s="335"/>
      <c r="FR162" s="335"/>
      <c r="FS162" s="335"/>
      <c r="FT162" s="335"/>
      <c r="FU162" s="335"/>
      <c r="FV162" s="335"/>
      <c r="FW162" s="335"/>
      <c r="FX162" s="335"/>
      <c r="FY162" s="335"/>
    </row>
    <row r="163" spans="1:181" s="343" customFormat="1" ht="12" hidden="1" customHeight="1">
      <c r="A163" s="337"/>
      <c r="B163" s="1384" t="s">
        <v>312</v>
      </c>
      <c r="C163" s="1385">
        <v>1004760</v>
      </c>
      <c r="D163" s="1384" t="s">
        <v>569</v>
      </c>
      <c r="E163" s="1386" t="s">
        <v>192</v>
      </c>
      <c r="F163" s="1385">
        <v>925411</v>
      </c>
      <c r="G163" s="1386" t="s">
        <v>336</v>
      </c>
      <c r="H163" s="1384"/>
      <c r="I163" s="1387">
        <v>42528</v>
      </c>
      <c r="J163" s="1380" t="s">
        <v>475</v>
      </c>
      <c r="K163" s="1385">
        <v>119</v>
      </c>
      <c r="L163" s="1388">
        <v>11</v>
      </c>
      <c r="M163" s="1385">
        <v>10</v>
      </c>
      <c r="N163" s="1388"/>
      <c r="O163" s="1385">
        <v>3.3759999999999999</v>
      </c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  <c r="AA163" s="335"/>
      <c r="AB163" s="335"/>
      <c r="AC163" s="335"/>
      <c r="AD163" s="335"/>
      <c r="AE163" s="335"/>
      <c r="AF163" s="335"/>
      <c r="AG163" s="335"/>
      <c r="AH163" s="335"/>
      <c r="AI163" s="335"/>
      <c r="AJ163" s="335"/>
      <c r="AK163" s="335"/>
      <c r="AL163" s="335"/>
      <c r="AM163" s="335"/>
      <c r="AN163" s="335"/>
      <c r="AO163" s="335"/>
      <c r="AP163" s="335"/>
      <c r="AQ163" s="335"/>
      <c r="AR163" s="335"/>
      <c r="AS163" s="335"/>
      <c r="AT163" s="335"/>
      <c r="AU163" s="335"/>
      <c r="AV163" s="335"/>
      <c r="AW163" s="335"/>
      <c r="AX163" s="335"/>
      <c r="AY163" s="335"/>
      <c r="AZ163" s="335"/>
      <c r="BA163" s="335"/>
      <c r="BB163" s="335"/>
      <c r="BC163" s="335"/>
      <c r="BD163" s="335"/>
      <c r="BE163" s="335"/>
      <c r="BF163" s="335"/>
      <c r="BG163" s="335"/>
      <c r="BH163" s="335"/>
      <c r="BI163" s="335"/>
      <c r="BJ163" s="335"/>
      <c r="BK163" s="335"/>
      <c r="BL163" s="335"/>
      <c r="BM163" s="335"/>
      <c r="BN163" s="335"/>
      <c r="BO163" s="335"/>
      <c r="BP163" s="335"/>
      <c r="BQ163" s="335"/>
      <c r="BR163" s="335"/>
      <c r="BS163" s="335"/>
      <c r="BT163" s="335"/>
      <c r="BU163" s="335"/>
      <c r="BV163" s="335"/>
      <c r="BW163" s="335"/>
      <c r="BX163" s="335"/>
      <c r="BY163" s="335"/>
      <c r="BZ163" s="335"/>
      <c r="CA163" s="335"/>
      <c r="CB163" s="335"/>
      <c r="CC163" s="335"/>
      <c r="CD163" s="335"/>
      <c r="CE163" s="335"/>
      <c r="CF163" s="335"/>
      <c r="CG163" s="335"/>
      <c r="CH163" s="335"/>
      <c r="CI163" s="335"/>
      <c r="CJ163" s="335"/>
      <c r="CK163" s="335"/>
      <c r="CL163" s="335"/>
      <c r="CM163" s="335"/>
      <c r="CN163" s="335"/>
      <c r="CO163" s="335"/>
      <c r="CP163" s="335"/>
      <c r="CQ163" s="335"/>
      <c r="CR163" s="335"/>
      <c r="CS163" s="335"/>
      <c r="CT163" s="335"/>
      <c r="CU163" s="335"/>
      <c r="CV163" s="335"/>
      <c r="CW163" s="335"/>
      <c r="CX163" s="335"/>
      <c r="CY163" s="335"/>
      <c r="CZ163" s="335"/>
      <c r="DA163" s="335"/>
      <c r="DB163" s="335"/>
      <c r="DC163" s="335"/>
      <c r="DD163" s="335"/>
      <c r="DE163" s="335"/>
      <c r="DF163" s="335"/>
      <c r="DG163" s="335"/>
      <c r="DH163" s="335"/>
      <c r="DI163" s="335"/>
      <c r="DJ163" s="335"/>
      <c r="DK163" s="335"/>
      <c r="DL163" s="335"/>
      <c r="DM163" s="335"/>
      <c r="DN163" s="335"/>
      <c r="DO163" s="335"/>
      <c r="DP163" s="335"/>
      <c r="DQ163" s="335"/>
      <c r="DR163" s="335"/>
      <c r="DS163" s="335"/>
      <c r="DT163" s="335"/>
      <c r="DU163" s="335"/>
      <c r="DV163" s="335"/>
      <c r="DW163" s="335"/>
      <c r="DX163" s="335"/>
      <c r="DY163" s="335"/>
      <c r="DZ163" s="335"/>
      <c r="EA163" s="335"/>
      <c r="EB163" s="335"/>
      <c r="EC163" s="335"/>
      <c r="ED163" s="335"/>
      <c r="EE163" s="335"/>
      <c r="EF163" s="335"/>
      <c r="EG163" s="335"/>
      <c r="EH163" s="335"/>
      <c r="EI163" s="335"/>
      <c r="EJ163" s="335"/>
      <c r="EK163" s="335"/>
      <c r="EL163" s="335"/>
      <c r="EM163" s="335"/>
      <c r="EN163" s="335"/>
      <c r="EO163" s="335"/>
      <c r="EP163" s="335"/>
      <c r="EQ163" s="335"/>
      <c r="ER163" s="335"/>
      <c r="ES163" s="335"/>
      <c r="ET163" s="335"/>
      <c r="EU163" s="335"/>
      <c r="EV163" s="335"/>
      <c r="EW163" s="335"/>
      <c r="EX163" s="335"/>
      <c r="EY163" s="335"/>
      <c r="EZ163" s="335"/>
      <c r="FA163" s="335"/>
      <c r="FB163" s="335"/>
      <c r="FC163" s="335"/>
      <c r="FD163" s="335"/>
      <c r="FE163" s="335"/>
      <c r="FF163" s="335"/>
      <c r="FG163" s="335"/>
      <c r="FH163" s="335"/>
      <c r="FI163" s="335"/>
      <c r="FJ163" s="335"/>
      <c r="FK163" s="335"/>
      <c r="FL163" s="335"/>
      <c r="FM163" s="335"/>
      <c r="FN163" s="335"/>
      <c r="FO163" s="335"/>
      <c r="FP163" s="335"/>
      <c r="FQ163" s="335"/>
      <c r="FR163" s="335"/>
      <c r="FS163" s="335"/>
      <c r="FT163" s="335"/>
      <c r="FU163" s="335"/>
      <c r="FV163" s="335"/>
      <c r="FW163" s="335"/>
      <c r="FX163" s="335"/>
      <c r="FY163" s="335"/>
    </row>
    <row r="164" spans="1:181" s="343" customFormat="1" ht="12" hidden="1" customHeight="1">
      <c r="A164" s="337"/>
      <c r="B164" s="1384" t="s">
        <v>312</v>
      </c>
      <c r="C164" s="1385">
        <v>1004084</v>
      </c>
      <c r="D164" s="1384" t="s">
        <v>569</v>
      </c>
      <c r="E164" s="1386" t="s">
        <v>192</v>
      </c>
      <c r="F164" s="1385">
        <v>963357</v>
      </c>
      <c r="G164" s="1386" t="s">
        <v>337</v>
      </c>
      <c r="H164" s="1384"/>
      <c r="I164" s="1387">
        <v>42394</v>
      </c>
      <c r="J164" s="1380" t="s">
        <v>475</v>
      </c>
      <c r="K164" s="1385">
        <v>119</v>
      </c>
      <c r="L164" s="1388">
        <v>11</v>
      </c>
      <c r="M164" s="1385">
        <v>10</v>
      </c>
      <c r="N164" s="1388"/>
      <c r="O164" s="1385">
        <v>2.2109999999999999</v>
      </c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  <c r="AA164" s="335"/>
      <c r="AB164" s="335"/>
      <c r="AC164" s="335"/>
      <c r="AD164" s="335"/>
      <c r="AE164" s="335"/>
      <c r="AF164" s="335"/>
      <c r="AG164" s="335"/>
      <c r="AH164" s="335"/>
      <c r="AI164" s="335"/>
      <c r="AJ164" s="335"/>
      <c r="AK164" s="335"/>
      <c r="AL164" s="335"/>
      <c r="AM164" s="335"/>
      <c r="AN164" s="335"/>
      <c r="AO164" s="335"/>
      <c r="AP164" s="335"/>
      <c r="AQ164" s="335"/>
      <c r="AR164" s="335"/>
      <c r="AS164" s="335"/>
      <c r="AT164" s="335"/>
      <c r="AU164" s="335"/>
      <c r="AV164" s="335"/>
      <c r="AW164" s="335"/>
      <c r="AX164" s="335"/>
      <c r="AY164" s="335"/>
      <c r="AZ164" s="335"/>
      <c r="BA164" s="335"/>
      <c r="BB164" s="335"/>
      <c r="BC164" s="335"/>
      <c r="BD164" s="335"/>
      <c r="BE164" s="335"/>
      <c r="BF164" s="335"/>
      <c r="BG164" s="335"/>
      <c r="BH164" s="335"/>
      <c r="BI164" s="335"/>
      <c r="BJ164" s="335"/>
      <c r="BK164" s="335"/>
      <c r="BL164" s="335"/>
      <c r="BM164" s="335"/>
      <c r="BN164" s="335"/>
      <c r="BO164" s="335"/>
      <c r="BP164" s="335"/>
      <c r="BQ164" s="335"/>
      <c r="BR164" s="335"/>
      <c r="BS164" s="335"/>
      <c r="BT164" s="335"/>
      <c r="BU164" s="335"/>
      <c r="BV164" s="335"/>
      <c r="BW164" s="335"/>
      <c r="BX164" s="335"/>
      <c r="BY164" s="335"/>
      <c r="BZ164" s="335"/>
      <c r="CA164" s="335"/>
      <c r="CB164" s="335"/>
      <c r="CC164" s="335"/>
      <c r="CD164" s="335"/>
      <c r="CE164" s="335"/>
      <c r="CF164" s="335"/>
      <c r="CG164" s="335"/>
      <c r="CH164" s="335"/>
      <c r="CI164" s="335"/>
      <c r="CJ164" s="335"/>
      <c r="CK164" s="335"/>
      <c r="CL164" s="335"/>
      <c r="CM164" s="335"/>
      <c r="CN164" s="335"/>
      <c r="CO164" s="335"/>
      <c r="CP164" s="335"/>
      <c r="CQ164" s="335"/>
      <c r="CR164" s="335"/>
      <c r="CS164" s="335"/>
      <c r="CT164" s="335"/>
      <c r="CU164" s="335"/>
      <c r="CV164" s="335"/>
      <c r="CW164" s="335"/>
      <c r="CX164" s="335"/>
      <c r="CY164" s="335"/>
      <c r="CZ164" s="335"/>
      <c r="DA164" s="335"/>
      <c r="DB164" s="335"/>
      <c r="DC164" s="335"/>
      <c r="DD164" s="335"/>
      <c r="DE164" s="335"/>
      <c r="DF164" s="335"/>
      <c r="DG164" s="335"/>
      <c r="DH164" s="335"/>
      <c r="DI164" s="335"/>
      <c r="DJ164" s="335"/>
      <c r="DK164" s="335"/>
      <c r="DL164" s="335"/>
      <c r="DM164" s="335"/>
      <c r="DN164" s="335"/>
      <c r="DO164" s="335"/>
      <c r="DP164" s="335"/>
      <c r="DQ164" s="335"/>
      <c r="DR164" s="335"/>
      <c r="DS164" s="335"/>
      <c r="DT164" s="335"/>
      <c r="DU164" s="335"/>
      <c r="DV164" s="335"/>
      <c r="DW164" s="335"/>
      <c r="DX164" s="335"/>
      <c r="DY164" s="335"/>
      <c r="DZ164" s="335"/>
      <c r="EA164" s="335"/>
      <c r="EB164" s="335"/>
      <c r="EC164" s="335"/>
      <c r="ED164" s="335"/>
      <c r="EE164" s="335"/>
      <c r="EF164" s="335"/>
      <c r="EG164" s="335"/>
      <c r="EH164" s="335"/>
      <c r="EI164" s="335"/>
      <c r="EJ164" s="335"/>
      <c r="EK164" s="335"/>
      <c r="EL164" s="335"/>
      <c r="EM164" s="335"/>
      <c r="EN164" s="335"/>
      <c r="EO164" s="335"/>
      <c r="EP164" s="335"/>
      <c r="EQ164" s="335"/>
      <c r="ER164" s="335"/>
      <c r="ES164" s="335"/>
      <c r="ET164" s="335"/>
      <c r="EU164" s="335"/>
      <c r="EV164" s="335"/>
      <c r="EW164" s="335"/>
      <c r="EX164" s="335"/>
      <c r="EY164" s="335"/>
      <c r="EZ164" s="335"/>
      <c r="FA164" s="335"/>
      <c r="FB164" s="335"/>
      <c r="FC164" s="335"/>
      <c r="FD164" s="335"/>
      <c r="FE164" s="335"/>
      <c r="FF164" s="335"/>
      <c r="FG164" s="335"/>
      <c r="FH164" s="335"/>
      <c r="FI164" s="335"/>
      <c r="FJ164" s="335"/>
      <c r="FK164" s="335"/>
      <c r="FL164" s="335"/>
      <c r="FM164" s="335"/>
      <c r="FN164" s="335"/>
      <c r="FO164" s="335"/>
      <c r="FP164" s="335"/>
      <c r="FQ164" s="335"/>
      <c r="FR164" s="335"/>
      <c r="FS164" s="335"/>
      <c r="FT164" s="335"/>
      <c r="FU164" s="335"/>
      <c r="FV164" s="335"/>
      <c r="FW164" s="335"/>
      <c r="FX164" s="335"/>
      <c r="FY164" s="335"/>
    </row>
    <row r="165" spans="1:181" s="343" customFormat="1" ht="12" hidden="1" customHeight="1">
      <c r="A165" s="337"/>
      <c r="B165" s="1384" t="s">
        <v>312</v>
      </c>
      <c r="C165" s="1385">
        <v>1032137</v>
      </c>
      <c r="D165" s="1384" t="s">
        <v>569</v>
      </c>
      <c r="E165" s="1386" t="s">
        <v>192</v>
      </c>
      <c r="F165" s="1385">
        <v>963357</v>
      </c>
      <c r="G165" s="1386" t="s">
        <v>337</v>
      </c>
      <c r="H165" s="1384"/>
      <c r="I165" s="1387">
        <v>42499</v>
      </c>
      <c r="J165" s="1380" t="s">
        <v>475</v>
      </c>
      <c r="K165" s="1385">
        <v>119</v>
      </c>
      <c r="L165" s="1388">
        <v>11</v>
      </c>
      <c r="M165" s="1385">
        <v>14</v>
      </c>
      <c r="N165" s="1388"/>
      <c r="O165" s="1385">
        <v>4.0960000000000001</v>
      </c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335"/>
      <c r="AB165" s="335"/>
      <c r="AC165" s="335"/>
      <c r="AD165" s="335"/>
      <c r="AE165" s="335"/>
      <c r="AF165" s="335"/>
      <c r="AG165" s="335"/>
      <c r="AH165" s="335"/>
      <c r="AI165" s="335"/>
      <c r="AJ165" s="335"/>
      <c r="AK165" s="335"/>
      <c r="AL165" s="335"/>
      <c r="AM165" s="335"/>
      <c r="AN165" s="335"/>
      <c r="AO165" s="335"/>
      <c r="AP165" s="335"/>
      <c r="AQ165" s="335"/>
      <c r="AR165" s="335"/>
      <c r="AS165" s="335"/>
      <c r="AT165" s="335"/>
      <c r="AU165" s="335"/>
      <c r="AV165" s="335"/>
      <c r="AW165" s="335"/>
      <c r="AX165" s="335"/>
      <c r="AY165" s="335"/>
      <c r="AZ165" s="335"/>
      <c r="BA165" s="335"/>
      <c r="BB165" s="335"/>
      <c r="BC165" s="335"/>
      <c r="BD165" s="335"/>
      <c r="BE165" s="335"/>
      <c r="BF165" s="335"/>
      <c r="BG165" s="335"/>
      <c r="BH165" s="335"/>
      <c r="BI165" s="335"/>
      <c r="BJ165" s="335"/>
      <c r="BK165" s="335"/>
      <c r="BL165" s="335"/>
      <c r="BM165" s="335"/>
      <c r="BN165" s="335"/>
      <c r="BO165" s="335"/>
      <c r="BP165" s="335"/>
      <c r="BQ165" s="335"/>
      <c r="BR165" s="335"/>
      <c r="BS165" s="335"/>
      <c r="BT165" s="335"/>
      <c r="BU165" s="335"/>
      <c r="BV165" s="335"/>
      <c r="BW165" s="335"/>
      <c r="BX165" s="335"/>
      <c r="BY165" s="335"/>
      <c r="BZ165" s="335"/>
      <c r="CA165" s="335"/>
      <c r="CB165" s="335"/>
      <c r="CC165" s="335"/>
      <c r="CD165" s="335"/>
      <c r="CE165" s="335"/>
      <c r="CF165" s="335"/>
      <c r="CG165" s="335"/>
      <c r="CH165" s="335"/>
      <c r="CI165" s="335"/>
      <c r="CJ165" s="335"/>
      <c r="CK165" s="335"/>
      <c r="CL165" s="335"/>
      <c r="CM165" s="335"/>
      <c r="CN165" s="335"/>
      <c r="CO165" s="335"/>
      <c r="CP165" s="335"/>
      <c r="CQ165" s="335"/>
      <c r="CR165" s="335"/>
      <c r="CS165" s="335"/>
      <c r="CT165" s="335"/>
      <c r="CU165" s="335"/>
      <c r="CV165" s="335"/>
      <c r="CW165" s="335"/>
      <c r="CX165" s="335"/>
      <c r="CY165" s="335"/>
      <c r="CZ165" s="335"/>
      <c r="DA165" s="335"/>
      <c r="DB165" s="335"/>
      <c r="DC165" s="335"/>
      <c r="DD165" s="335"/>
      <c r="DE165" s="335"/>
      <c r="DF165" s="335"/>
      <c r="DG165" s="335"/>
      <c r="DH165" s="335"/>
      <c r="DI165" s="335"/>
      <c r="DJ165" s="335"/>
      <c r="DK165" s="335"/>
      <c r="DL165" s="335"/>
      <c r="DM165" s="335"/>
      <c r="DN165" s="335"/>
      <c r="DO165" s="335"/>
      <c r="DP165" s="335"/>
      <c r="DQ165" s="335"/>
      <c r="DR165" s="335"/>
      <c r="DS165" s="335"/>
      <c r="DT165" s="335"/>
      <c r="DU165" s="335"/>
      <c r="DV165" s="335"/>
      <c r="DW165" s="335"/>
      <c r="DX165" s="335"/>
      <c r="DY165" s="335"/>
      <c r="DZ165" s="335"/>
      <c r="EA165" s="335"/>
      <c r="EB165" s="335"/>
      <c r="EC165" s="335"/>
      <c r="ED165" s="335"/>
      <c r="EE165" s="335"/>
      <c r="EF165" s="335"/>
      <c r="EG165" s="335"/>
      <c r="EH165" s="335"/>
      <c r="EI165" s="335"/>
      <c r="EJ165" s="335"/>
      <c r="EK165" s="335"/>
      <c r="EL165" s="335"/>
      <c r="EM165" s="335"/>
      <c r="EN165" s="335"/>
      <c r="EO165" s="335"/>
      <c r="EP165" s="335"/>
      <c r="EQ165" s="335"/>
      <c r="ER165" s="335"/>
      <c r="ES165" s="335"/>
      <c r="ET165" s="335"/>
      <c r="EU165" s="335"/>
      <c r="EV165" s="335"/>
      <c r="EW165" s="335"/>
      <c r="EX165" s="335"/>
      <c r="EY165" s="335"/>
      <c r="EZ165" s="335"/>
      <c r="FA165" s="335"/>
      <c r="FB165" s="335"/>
      <c r="FC165" s="335"/>
      <c r="FD165" s="335"/>
      <c r="FE165" s="335"/>
      <c r="FF165" s="335"/>
      <c r="FG165" s="335"/>
      <c r="FH165" s="335"/>
      <c r="FI165" s="335"/>
      <c r="FJ165" s="335"/>
      <c r="FK165" s="335"/>
      <c r="FL165" s="335"/>
      <c r="FM165" s="335"/>
      <c r="FN165" s="335"/>
      <c r="FO165" s="335"/>
      <c r="FP165" s="335"/>
      <c r="FQ165" s="335"/>
      <c r="FR165" s="335"/>
      <c r="FS165" s="335"/>
      <c r="FT165" s="335"/>
      <c r="FU165" s="335"/>
      <c r="FV165" s="335"/>
      <c r="FW165" s="335"/>
      <c r="FX165" s="335"/>
      <c r="FY165" s="335"/>
    </row>
    <row r="166" spans="1:181" s="343" customFormat="1" ht="12" hidden="1" customHeight="1">
      <c r="A166" s="337"/>
      <c r="B166" s="1384" t="s">
        <v>312</v>
      </c>
      <c r="C166" s="1385">
        <v>1031703</v>
      </c>
      <c r="D166" s="1384" t="s">
        <v>569</v>
      </c>
      <c r="E166" s="1386" t="s">
        <v>196</v>
      </c>
      <c r="F166" s="1385">
        <v>915616</v>
      </c>
      <c r="G166" s="1386" t="s">
        <v>335</v>
      </c>
      <c r="H166" s="1384"/>
      <c r="I166" s="1387">
        <v>42394</v>
      </c>
      <c r="J166" s="1380" t="s">
        <v>475</v>
      </c>
      <c r="K166" s="1385">
        <v>120</v>
      </c>
      <c r="L166" s="1388">
        <v>12</v>
      </c>
      <c r="M166" s="1385">
        <v>14</v>
      </c>
      <c r="N166" s="1388"/>
      <c r="O166" s="1385">
        <v>7.5709999999999997</v>
      </c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  <c r="AA166" s="335"/>
      <c r="AB166" s="335"/>
      <c r="AC166" s="335"/>
      <c r="AD166" s="335"/>
      <c r="AE166" s="335"/>
      <c r="AF166" s="335"/>
      <c r="AG166" s="335"/>
      <c r="AH166" s="335"/>
      <c r="AI166" s="335"/>
      <c r="AJ166" s="335"/>
      <c r="AK166" s="335"/>
      <c r="AL166" s="335"/>
      <c r="AM166" s="335"/>
      <c r="AN166" s="335"/>
      <c r="AO166" s="335"/>
      <c r="AP166" s="335"/>
      <c r="AQ166" s="335"/>
      <c r="AR166" s="335"/>
      <c r="AS166" s="335"/>
      <c r="AT166" s="335"/>
      <c r="AU166" s="335"/>
      <c r="AV166" s="335"/>
      <c r="AW166" s="335"/>
      <c r="AX166" s="335"/>
      <c r="AY166" s="335"/>
      <c r="AZ166" s="335"/>
      <c r="BA166" s="335"/>
      <c r="BB166" s="335"/>
      <c r="BC166" s="335"/>
      <c r="BD166" s="335"/>
      <c r="BE166" s="335"/>
      <c r="BF166" s="335"/>
      <c r="BG166" s="335"/>
      <c r="BH166" s="335"/>
      <c r="BI166" s="335"/>
      <c r="BJ166" s="335"/>
      <c r="BK166" s="335"/>
      <c r="BL166" s="335"/>
      <c r="BM166" s="335"/>
      <c r="BN166" s="335"/>
      <c r="BO166" s="335"/>
      <c r="BP166" s="335"/>
      <c r="BQ166" s="335"/>
      <c r="BR166" s="335"/>
      <c r="BS166" s="335"/>
      <c r="BT166" s="335"/>
      <c r="BU166" s="335"/>
      <c r="BV166" s="335"/>
      <c r="BW166" s="335"/>
      <c r="BX166" s="335"/>
      <c r="BY166" s="335"/>
      <c r="BZ166" s="335"/>
      <c r="CA166" s="335"/>
      <c r="CB166" s="335"/>
      <c r="CC166" s="335"/>
      <c r="CD166" s="335"/>
      <c r="CE166" s="335"/>
      <c r="CF166" s="335"/>
      <c r="CG166" s="335"/>
      <c r="CH166" s="335"/>
      <c r="CI166" s="335"/>
      <c r="CJ166" s="335"/>
      <c r="CK166" s="335"/>
      <c r="CL166" s="335"/>
      <c r="CM166" s="335"/>
      <c r="CN166" s="335"/>
      <c r="CO166" s="335"/>
      <c r="CP166" s="335"/>
      <c r="CQ166" s="335"/>
      <c r="CR166" s="335"/>
      <c r="CS166" s="335"/>
      <c r="CT166" s="335"/>
      <c r="CU166" s="335"/>
      <c r="CV166" s="335"/>
      <c r="CW166" s="335"/>
      <c r="CX166" s="335"/>
      <c r="CY166" s="335"/>
      <c r="CZ166" s="335"/>
      <c r="DA166" s="335"/>
      <c r="DB166" s="335"/>
      <c r="DC166" s="335"/>
      <c r="DD166" s="335"/>
      <c r="DE166" s="335"/>
      <c r="DF166" s="335"/>
      <c r="DG166" s="335"/>
      <c r="DH166" s="335"/>
      <c r="DI166" s="335"/>
      <c r="DJ166" s="335"/>
      <c r="DK166" s="335"/>
      <c r="DL166" s="335"/>
      <c r="DM166" s="335"/>
      <c r="DN166" s="335"/>
      <c r="DO166" s="335"/>
      <c r="DP166" s="335"/>
      <c r="DQ166" s="335"/>
      <c r="DR166" s="335"/>
      <c r="DS166" s="335"/>
      <c r="DT166" s="335"/>
      <c r="DU166" s="335"/>
      <c r="DV166" s="335"/>
      <c r="DW166" s="335"/>
      <c r="DX166" s="335"/>
      <c r="DY166" s="335"/>
      <c r="DZ166" s="335"/>
      <c r="EA166" s="335"/>
      <c r="EB166" s="335"/>
      <c r="EC166" s="335"/>
      <c r="ED166" s="335"/>
      <c r="EE166" s="335"/>
      <c r="EF166" s="335"/>
      <c r="EG166" s="335"/>
      <c r="EH166" s="335"/>
      <c r="EI166" s="335"/>
      <c r="EJ166" s="335"/>
      <c r="EK166" s="335"/>
      <c r="EL166" s="335"/>
      <c r="EM166" s="335"/>
      <c r="EN166" s="335"/>
      <c r="EO166" s="335"/>
      <c r="EP166" s="335"/>
      <c r="EQ166" s="335"/>
      <c r="ER166" s="335"/>
      <c r="ES166" s="335"/>
      <c r="ET166" s="335"/>
      <c r="EU166" s="335"/>
      <c r="EV166" s="335"/>
      <c r="EW166" s="335"/>
      <c r="EX166" s="335"/>
      <c r="EY166" s="335"/>
      <c r="EZ166" s="335"/>
      <c r="FA166" s="335"/>
      <c r="FB166" s="335"/>
      <c r="FC166" s="335"/>
      <c r="FD166" s="335"/>
      <c r="FE166" s="335"/>
      <c r="FF166" s="335"/>
      <c r="FG166" s="335"/>
      <c r="FH166" s="335"/>
      <c r="FI166" s="335"/>
      <c r="FJ166" s="335"/>
      <c r="FK166" s="335"/>
      <c r="FL166" s="335"/>
      <c r="FM166" s="335"/>
      <c r="FN166" s="335"/>
      <c r="FO166" s="335"/>
      <c r="FP166" s="335"/>
      <c r="FQ166" s="335"/>
      <c r="FR166" s="335"/>
      <c r="FS166" s="335"/>
      <c r="FT166" s="335"/>
      <c r="FU166" s="335"/>
      <c r="FV166" s="335"/>
      <c r="FW166" s="335"/>
      <c r="FX166" s="335"/>
      <c r="FY166" s="335"/>
    </row>
    <row r="167" spans="1:181" s="343" customFormat="1" ht="12" hidden="1" customHeight="1">
      <c r="A167" s="337"/>
      <c r="B167" s="1384" t="s">
        <v>312</v>
      </c>
      <c r="C167" s="1385">
        <v>15019071</v>
      </c>
      <c r="D167" s="1384" t="s">
        <v>569</v>
      </c>
      <c r="E167" s="1386" t="s">
        <v>319</v>
      </c>
      <c r="F167" s="1385">
        <v>915616</v>
      </c>
      <c r="G167" s="1386" t="s">
        <v>335</v>
      </c>
      <c r="H167" s="1384"/>
      <c r="I167" s="1387">
        <v>42506</v>
      </c>
      <c r="J167" s="1380" t="s">
        <v>475</v>
      </c>
      <c r="K167" s="1385">
        <v>120</v>
      </c>
      <c r="L167" s="1388">
        <v>12</v>
      </c>
      <c r="M167" s="1385">
        <v>14</v>
      </c>
      <c r="N167" s="1388"/>
      <c r="O167" s="1385">
        <v>8.1419999999999995</v>
      </c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  <c r="AA167" s="335"/>
      <c r="AB167" s="335"/>
      <c r="AC167" s="335"/>
      <c r="AD167" s="335"/>
      <c r="AE167" s="335"/>
      <c r="AF167" s="335"/>
      <c r="AG167" s="335"/>
      <c r="AH167" s="335"/>
      <c r="AI167" s="335"/>
      <c r="AJ167" s="335"/>
      <c r="AK167" s="335"/>
      <c r="AL167" s="335"/>
      <c r="AM167" s="335"/>
      <c r="AN167" s="335"/>
      <c r="AO167" s="335"/>
      <c r="AP167" s="335"/>
      <c r="AQ167" s="335"/>
      <c r="AR167" s="335"/>
      <c r="AS167" s="335"/>
      <c r="AT167" s="335"/>
      <c r="AU167" s="335"/>
      <c r="AV167" s="335"/>
      <c r="AW167" s="335"/>
      <c r="AX167" s="335"/>
      <c r="AY167" s="335"/>
      <c r="AZ167" s="335"/>
      <c r="BA167" s="335"/>
      <c r="BB167" s="335"/>
      <c r="BC167" s="335"/>
      <c r="BD167" s="335"/>
      <c r="BE167" s="335"/>
      <c r="BF167" s="335"/>
      <c r="BG167" s="335"/>
      <c r="BH167" s="335"/>
      <c r="BI167" s="335"/>
      <c r="BJ167" s="335"/>
      <c r="BK167" s="335"/>
      <c r="BL167" s="335"/>
      <c r="BM167" s="335"/>
      <c r="BN167" s="335"/>
      <c r="BO167" s="335"/>
      <c r="BP167" s="335"/>
      <c r="BQ167" s="335"/>
      <c r="BR167" s="335"/>
      <c r="BS167" s="335"/>
      <c r="BT167" s="335"/>
      <c r="BU167" s="335"/>
      <c r="BV167" s="335"/>
      <c r="BW167" s="335"/>
      <c r="BX167" s="335"/>
      <c r="BY167" s="335"/>
      <c r="BZ167" s="335"/>
      <c r="CA167" s="335"/>
      <c r="CB167" s="335"/>
      <c r="CC167" s="335"/>
      <c r="CD167" s="335"/>
      <c r="CE167" s="335"/>
      <c r="CF167" s="335"/>
      <c r="CG167" s="335"/>
      <c r="CH167" s="335"/>
      <c r="CI167" s="335"/>
      <c r="CJ167" s="335"/>
      <c r="CK167" s="335"/>
      <c r="CL167" s="335"/>
      <c r="CM167" s="335"/>
      <c r="CN167" s="335"/>
      <c r="CO167" s="335"/>
      <c r="CP167" s="335"/>
      <c r="CQ167" s="335"/>
      <c r="CR167" s="335"/>
      <c r="CS167" s="335"/>
      <c r="CT167" s="335"/>
      <c r="CU167" s="335"/>
      <c r="CV167" s="335"/>
      <c r="CW167" s="335"/>
      <c r="CX167" s="335"/>
      <c r="CY167" s="335"/>
      <c r="CZ167" s="335"/>
      <c r="DA167" s="335"/>
      <c r="DB167" s="335"/>
      <c r="DC167" s="335"/>
      <c r="DD167" s="335"/>
      <c r="DE167" s="335"/>
      <c r="DF167" s="335"/>
      <c r="DG167" s="335"/>
      <c r="DH167" s="335"/>
      <c r="DI167" s="335"/>
      <c r="DJ167" s="335"/>
      <c r="DK167" s="335"/>
      <c r="DL167" s="335"/>
      <c r="DM167" s="335"/>
      <c r="DN167" s="335"/>
      <c r="DO167" s="335"/>
      <c r="DP167" s="335"/>
      <c r="DQ167" s="335"/>
      <c r="DR167" s="335"/>
      <c r="DS167" s="335"/>
      <c r="DT167" s="335"/>
      <c r="DU167" s="335"/>
      <c r="DV167" s="335"/>
      <c r="DW167" s="335"/>
      <c r="DX167" s="335"/>
      <c r="DY167" s="335"/>
      <c r="DZ167" s="335"/>
      <c r="EA167" s="335"/>
      <c r="EB167" s="335"/>
      <c r="EC167" s="335"/>
      <c r="ED167" s="335"/>
      <c r="EE167" s="335"/>
      <c r="EF167" s="335"/>
      <c r="EG167" s="335"/>
      <c r="EH167" s="335"/>
      <c r="EI167" s="335"/>
      <c r="EJ167" s="335"/>
      <c r="EK167" s="335"/>
      <c r="EL167" s="335"/>
      <c r="EM167" s="335"/>
      <c r="EN167" s="335"/>
      <c r="EO167" s="335"/>
      <c r="EP167" s="335"/>
      <c r="EQ167" s="335"/>
      <c r="ER167" s="335"/>
      <c r="ES167" s="335"/>
      <c r="ET167" s="335"/>
      <c r="EU167" s="335"/>
      <c r="EV167" s="335"/>
      <c r="EW167" s="335"/>
      <c r="EX167" s="335"/>
      <c r="EY167" s="335"/>
      <c r="EZ167" s="335"/>
      <c r="FA167" s="335"/>
      <c r="FB167" s="335"/>
      <c r="FC167" s="335"/>
      <c r="FD167" s="335"/>
      <c r="FE167" s="335"/>
      <c r="FF167" s="335"/>
      <c r="FG167" s="335"/>
      <c r="FH167" s="335"/>
      <c r="FI167" s="335"/>
      <c r="FJ167" s="335"/>
      <c r="FK167" s="335"/>
      <c r="FL167" s="335"/>
      <c r="FM167" s="335"/>
      <c r="FN167" s="335"/>
      <c r="FO167" s="335"/>
      <c r="FP167" s="335"/>
      <c r="FQ167" s="335"/>
      <c r="FR167" s="335"/>
      <c r="FS167" s="335"/>
      <c r="FT167" s="335"/>
      <c r="FU167" s="335"/>
      <c r="FV167" s="335"/>
      <c r="FW167" s="335"/>
      <c r="FX167" s="335"/>
      <c r="FY167" s="335"/>
    </row>
    <row r="168" spans="1:181" s="343" customFormat="1" ht="12" hidden="1" customHeight="1">
      <c r="A168" s="337"/>
      <c r="B168" s="1384" t="s">
        <v>312</v>
      </c>
      <c r="C168" s="1385">
        <v>1196619</v>
      </c>
      <c r="D168" s="1384" t="s">
        <v>569</v>
      </c>
      <c r="E168" s="1386" t="s">
        <v>315</v>
      </c>
      <c r="F168" s="1385">
        <v>951030</v>
      </c>
      <c r="G168" s="1386" t="s">
        <v>461</v>
      </c>
      <c r="H168" s="1384"/>
      <c r="I168" s="1387">
        <v>42477</v>
      </c>
      <c r="J168" s="1380" t="s">
        <v>475</v>
      </c>
      <c r="K168" s="1385">
        <v>119</v>
      </c>
      <c r="L168" s="1388">
        <v>11</v>
      </c>
      <c r="M168" s="1385">
        <v>10</v>
      </c>
      <c r="N168" s="1388"/>
      <c r="O168" s="1385">
        <v>4.8029999999999999</v>
      </c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  <c r="AA168" s="335"/>
      <c r="AB168" s="335"/>
      <c r="AC168" s="335"/>
      <c r="AD168" s="335"/>
      <c r="AE168" s="335"/>
      <c r="AF168" s="335"/>
      <c r="AG168" s="335"/>
      <c r="AH168" s="335"/>
      <c r="AI168" s="335"/>
      <c r="AJ168" s="335"/>
      <c r="AK168" s="335"/>
      <c r="AL168" s="335"/>
      <c r="AM168" s="335"/>
      <c r="AN168" s="335"/>
      <c r="AO168" s="335"/>
      <c r="AP168" s="335"/>
      <c r="AQ168" s="335"/>
      <c r="AR168" s="335"/>
      <c r="AS168" s="335"/>
      <c r="AT168" s="335"/>
      <c r="AU168" s="335"/>
      <c r="AV168" s="335"/>
      <c r="AW168" s="335"/>
      <c r="AX168" s="335"/>
      <c r="AY168" s="335"/>
      <c r="AZ168" s="335"/>
      <c r="BA168" s="335"/>
      <c r="BB168" s="335"/>
      <c r="BC168" s="335"/>
      <c r="BD168" s="335"/>
      <c r="BE168" s="335"/>
      <c r="BF168" s="335"/>
      <c r="BG168" s="335"/>
      <c r="BH168" s="335"/>
      <c r="BI168" s="335"/>
      <c r="BJ168" s="335"/>
      <c r="BK168" s="335"/>
      <c r="BL168" s="335"/>
      <c r="BM168" s="335"/>
      <c r="BN168" s="335"/>
      <c r="BO168" s="335"/>
      <c r="BP168" s="335"/>
      <c r="BQ168" s="335"/>
      <c r="BR168" s="335"/>
      <c r="BS168" s="335"/>
      <c r="BT168" s="335"/>
      <c r="BU168" s="335"/>
      <c r="BV168" s="335"/>
      <c r="BW168" s="335"/>
      <c r="BX168" s="335"/>
      <c r="BY168" s="335"/>
      <c r="BZ168" s="335"/>
      <c r="CA168" s="335"/>
      <c r="CB168" s="335"/>
      <c r="CC168" s="335"/>
      <c r="CD168" s="335"/>
      <c r="CE168" s="335"/>
      <c r="CF168" s="335"/>
      <c r="CG168" s="335"/>
      <c r="CH168" s="335"/>
      <c r="CI168" s="335"/>
      <c r="CJ168" s="335"/>
      <c r="CK168" s="335"/>
      <c r="CL168" s="335"/>
      <c r="CM168" s="335"/>
      <c r="CN168" s="335"/>
      <c r="CO168" s="335"/>
      <c r="CP168" s="335"/>
      <c r="CQ168" s="335"/>
      <c r="CR168" s="335"/>
      <c r="CS168" s="335"/>
      <c r="CT168" s="335"/>
      <c r="CU168" s="335"/>
      <c r="CV168" s="335"/>
      <c r="CW168" s="335"/>
      <c r="CX168" s="335"/>
      <c r="CY168" s="335"/>
      <c r="CZ168" s="335"/>
      <c r="DA168" s="335"/>
      <c r="DB168" s="335"/>
      <c r="DC168" s="335"/>
      <c r="DD168" s="335"/>
      <c r="DE168" s="335"/>
      <c r="DF168" s="335"/>
      <c r="DG168" s="335"/>
      <c r="DH168" s="335"/>
      <c r="DI168" s="335"/>
      <c r="DJ168" s="335"/>
      <c r="DK168" s="335"/>
      <c r="DL168" s="335"/>
      <c r="DM168" s="335"/>
      <c r="DN168" s="335"/>
      <c r="DO168" s="335"/>
      <c r="DP168" s="335"/>
      <c r="DQ168" s="335"/>
      <c r="DR168" s="335"/>
      <c r="DS168" s="335"/>
      <c r="DT168" s="335"/>
      <c r="DU168" s="335"/>
      <c r="DV168" s="335"/>
      <c r="DW168" s="335"/>
      <c r="DX168" s="335"/>
      <c r="DY168" s="335"/>
      <c r="DZ168" s="335"/>
      <c r="EA168" s="335"/>
      <c r="EB168" s="335"/>
      <c r="EC168" s="335"/>
      <c r="ED168" s="335"/>
      <c r="EE168" s="335"/>
      <c r="EF168" s="335"/>
      <c r="EG168" s="335"/>
      <c r="EH168" s="335"/>
      <c r="EI168" s="335"/>
      <c r="EJ168" s="335"/>
      <c r="EK168" s="335"/>
      <c r="EL168" s="335"/>
      <c r="EM168" s="335"/>
      <c r="EN168" s="335"/>
      <c r="EO168" s="335"/>
      <c r="EP168" s="335"/>
      <c r="EQ168" s="335"/>
      <c r="ER168" s="335"/>
      <c r="ES168" s="335"/>
      <c r="ET168" s="335"/>
      <c r="EU168" s="335"/>
      <c r="EV168" s="335"/>
      <c r="EW168" s="335"/>
      <c r="EX168" s="335"/>
      <c r="EY168" s="335"/>
      <c r="EZ168" s="335"/>
      <c r="FA168" s="335"/>
      <c r="FB168" s="335"/>
      <c r="FC168" s="335"/>
      <c r="FD168" s="335"/>
      <c r="FE168" s="335"/>
      <c r="FF168" s="335"/>
      <c r="FG168" s="335"/>
      <c r="FH168" s="335"/>
      <c r="FI168" s="335"/>
      <c r="FJ168" s="335"/>
      <c r="FK168" s="335"/>
      <c r="FL168" s="335"/>
      <c r="FM168" s="335"/>
      <c r="FN168" s="335"/>
      <c r="FO168" s="335"/>
      <c r="FP168" s="335"/>
      <c r="FQ168" s="335"/>
      <c r="FR168" s="335"/>
      <c r="FS168" s="335"/>
      <c r="FT168" s="335"/>
      <c r="FU168" s="335"/>
      <c r="FV168" s="335"/>
      <c r="FW168" s="335"/>
      <c r="FX168" s="335"/>
      <c r="FY168" s="335"/>
    </row>
    <row r="169" spans="1:181" s="343" customFormat="1" ht="12" hidden="1" customHeight="1">
      <c r="A169" s="337"/>
      <c r="B169" s="1384" t="s">
        <v>312</v>
      </c>
      <c r="C169" s="1385">
        <v>1195630</v>
      </c>
      <c r="D169" s="1384" t="s">
        <v>569</v>
      </c>
      <c r="E169" s="1386" t="s">
        <v>315</v>
      </c>
      <c r="F169" s="1385">
        <v>951030</v>
      </c>
      <c r="G169" s="1386" t="s">
        <v>461</v>
      </c>
      <c r="H169" s="1384"/>
      <c r="I169" s="1387">
        <v>42392</v>
      </c>
      <c r="J169" s="1380" t="s">
        <v>475</v>
      </c>
      <c r="K169" s="1385">
        <v>120</v>
      </c>
      <c r="L169" s="1388">
        <v>12</v>
      </c>
      <c r="M169" s="1385">
        <v>10</v>
      </c>
      <c r="N169" s="1388"/>
      <c r="O169" s="1385">
        <v>8.2650000000000006</v>
      </c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  <c r="AA169" s="335"/>
      <c r="AB169" s="335"/>
      <c r="AC169" s="335"/>
      <c r="AD169" s="335"/>
      <c r="AE169" s="335"/>
      <c r="AF169" s="335"/>
      <c r="AG169" s="335"/>
      <c r="AH169" s="335"/>
      <c r="AI169" s="335"/>
      <c r="AJ169" s="335"/>
      <c r="AK169" s="335"/>
      <c r="AL169" s="335"/>
      <c r="AM169" s="335"/>
      <c r="AN169" s="335"/>
      <c r="AO169" s="335"/>
      <c r="AP169" s="335"/>
      <c r="AQ169" s="335"/>
      <c r="AR169" s="335"/>
      <c r="AS169" s="335"/>
      <c r="AT169" s="335"/>
      <c r="AU169" s="335"/>
      <c r="AV169" s="335"/>
      <c r="AW169" s="335"/>
      <c r="AX169" s="335"/>
      <c r="AY169" s="335"/>
      <c r="AZ169" s="335"/>
      <c r="BA169" s="335"/>
      <c r="BB169" s="335"/>
      <c r="BC169" s="335"/>
      <c r="BD169" s="335"/>
      <c r="BE169" s="335"/>
      <c r="BF169" s="335"/>
      <c r="BG169" s="335"/>
      <c r="BH169" s="335"/>
      <c r="BI169" s="335"/>
      <c r="BJ169" s="335"/>
      <c r="BK169" s="335"/>
      <c r="BL169" s="335"/>
      <c r="BM169" s="335"/>
      <c r="BN169" s="335"/>
      <c r="BO169" s="335"/>
      <c r="BP169" s="335"/>
      <c r="BQ169" s="335"/>
      <c r="BR169" s="335"/>
      <c r="BS169" s="335"/>
      <c r="BT169" s="335"/>
      <c r="BU169" s="335"/>
      <c r="BV169" s="335"/>
      <c r="BW169" s="335"/>
      <c r="BX169" s="335"/>
      <c r="BY169" s="335"/>
      <c r="BZ169" s="335"/>
      <c r="CA169" s="335"/>
      <c r="CB169" s="335"/>
      <c r="CC169" s="335"/>
      <c r="CD169" s="335"/>
      <c r="CE169" s="335"/>
      <c r="CF169" s="335"/>
      <c r="CG169" s="335"/>
      <c r="CH169" s="335"/>
      <c r="CI169" s="335"/>
      <c r="CJ169" s="335"/>
      <c r="CK169" s="335"/>
      <c r="CL169" s="335"/>
      <c r="CM169" s="335"/>
      <c r="CN169" s="335"/>
      <c r="CO169" s="335"/>
      <c r="CP169" s="335"/>
      <c r="CQ169" s="335"/>
      <c r="CR169" s="335"/>
      <c r="CS169" s="335"/>
      <c r="CT169" s="335"/>
      <c r="CU169" s="335"/>
      <c r="CV169" s="335"/>
      <c r="CW169" s="335"/>
      <c r="CX169" s="335"/>
      <c r="CY169" s="335"/>
      <c r="CZ169" s="335"/>
      <c r="DA169" s="335"/>
      <c r="DB169" s="335"/>
      <c r="DC169" s="335"/>
      <c r="DD169" s="335"/>
      <c r="DE169" s="335"/>
      <c r="DF169" s="335"/>
      <c r="DG169" s="335"/>
      <c r="DH169" s="335"/>
      <c r="DI169" s="335"/>
      <c r="DJ169" s="335"/>
      <c r="DK169" s="335"/>
      <c r="DL169" s="335"/>
      <c r="DM169" s="335"/>
      <c r="DN169" s="335"/>
      <c r="DO169" s="335"/>
      <c r="DP169" s="335"/>
      <c r="DQ169" s="335"/>
      <c r="DR169" s="335"/>
      <c r="DS169" s="335"/>
      <c r="DT169" s="335"/>
      <c r="DU169" s="335"/>
      <c r="DV169" s="335"/>
      <c r="DW169" s="335"/>
      <c r="DX169" s="335"/>
      <c r="DY169" s="335"/>
      <c r="DZ169" s="335"/>
      <c r="EA169" s="335"/>
      <c r="EB169" s="335"/>
      <c r="EC169" s="335"/>
      <c r="ED169" s="335"/>
      <c r="EE169" s="335"/>
      <c r="EF169" s="335"/>
      <c r="EG169" s="335"/>
      <c r="EH169" s="335"/>
      <c r="EI169" s="335"/>
      <c r="EJ169" s="335"/>
      <c r="EK169" s="335"/>
      <c r="EL169" s="335"/>
      <c r="EM169" s="335"/>
      <c r="EN169" s="335"/>
      <c r="EO169" s="335"/>
      <c r="EP169" s="335"/>
      <c r="EQ169" s="335"/>
      <c r="ER169" s="335"/>
      <c r="ES169" s="335"/>
      <c r="ET169" s="335"/>
      <c r="EU169" s="335"/>
      <c r="EV169" s="335"/>
      <c r="EW169" s="335"/>
      <c r="EX169" s="335"/>
      <c r="EY169" s="335"/>
      <c r="EZ169" s="335"/>
      <c r="FA169" s="335"/>
      <c r="FB169" s="335"/>
      <c r="FC169" s="335"/>
      <c r="FD169" s="335"/>
      <c r="FE169" s="335"/>
      <c r="FF169" s="335"/>
      <c r="FG169" s="335"/>
      <c r="FH169" s="335"/>
      <c r="FI169" s="335"/>
      <c r="FJ169" s="335"/>
      <c r="FK169" s="335"/>
      <c r="FL169" s="335"/>
      <c r="FM169" s="335"/>
      <c r="FN169" s="335"/>
      <c r="FO169" s="335"/>
      <c r="FP169" s="335"/>
      <c r="FQ169" s="335"/>
      <c r="FR169" s="335"/>
      <c r="FS169" s="335"/>
      <c r="FT169" s="335"/>
      <c r="FU169" s="335"/>
      <c r="FV169" s="335"/>
      <c r="FW169" s="335"/>
      <c r="FX169" s="335"/>
      <c r="FY169" s="335"/>
    </row>
    <row r="170" spans="1:181" s="343" customFormat="1" ht="12" hidden="1" customHeight="1">
      <c r="A170" s="337"/>
      <c r="B170" s="1384" t="s">
        <v>312</v>
      </c>
      <c r="C170" s="1385">
        <v>1196620</v>
      </c>
      <c r="D170" s="1384" t="s">
        <v>569</v>
      </c>
      <c r="E170" s="1386" t="s">
        <v>315</v>
      </c>
      <c r="F170" s="1385">
        <v>950573</v>
      </c>
      <c r="G170" s="1386" t="s">
        <v>338</v>
      </c>
      <c r="H170" s="1384"/>
      <c r="I170" s="1387">
        <v>42477</v>
      </c>
      <c r="J170" s="1380" t="s">
        <v>475</v>
      </c>
      <c r="K170" s="1385">
        <v>119</v>
      </c>
      <c r="L170" s="1388">
        <v>11</v>
      </c>
      <c r="M170" s="1385">
        <v>10</v>
      </c>
      <c r="N170" s="1388"/>
      <c r="O170" s="1385">
        <v>2.5249999999999999</v>
      </c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  <c r="AA170" s="335"/>
      <c r="AB170" s="335"/>
      <c r="AC170" s="335"/>
      <c r="AD170" s="335"/>
      <c r="AE170" s="335"/>
      <c r="AF170" s="335"/>
      <c r="AG170" s="335"/>
      <c r="AH170" s="335"/>
      <c r="AI170" s="335"/>
      <c r="AJ170" s="335"/>
      <c r="AK170" s="335"/>
      <c r="AL170" s="335"/>
      <c r="AM170" s="335"/>
      <c r="AN170" s="335"/>
      <c r="AO170" s="335"/>
      <c r="AP170" s="335"/>
      <c r="AQ170" s="335"/>
      <c r="AR170" s="335"/>
      <c r="AS170" s="335"/>
      <c r="AT170" s="335"/>
      <c r="AU170" s="335"/>
      <c r="AV170" s="335"/>
      <c r="AW170" s="335"/>
      <c r="AX170" s="335"/>
      <c r="AY170" s="335"/>
      <c r="AZ170" s="335"/>
      <c r="BA170" s="335"/>
      <c r="BB170" s="335"/>
      <c r="BC170" s="335"/>
      <c r="BD170" s="335"/>
      <c r="BE170" s="335"/>
      <c r="BF170" s="335"/>
      <c r="BG170" s="335"/>
      <c r="BH170" s="335"/>
      <c r="BI170" s="335"/>
      <c r="BJ170" s="335"/>
      <c r="BK170" s="335"/>
      <c r="BL170" s="335"/>
      <c r="BM170" s="335"/>
      <c r="BN170" s="335"/>
      <c r="BO170" s="335"/>
      <c r="BP170" s="335"/>
      <c r="BQ170" s="335"/>
      <c r="BR170" s="335"/>
      <c r="BS170" s="335"/>
      <c r="BT170" s="335"/>
      <c r="BU170" s="335"/>
      <c r="BV170" s="335"/>
      <c r="BW170" s="335"/>
      <c r="BX170" s="335"/>
      <c r="BY170" s="335"/>
      <c r="BZ170" s="335"/>
      <c r="CA170" s="335"/>
      <c r="CB170" s="335"/>
      <c r="CC170" s="335"/>
      <c r="CD170" s="335"/>
      <c r="CE170" s="335"/>
      <c r="CF170" s="335"/>
      <c r="CG170" s="335"/>
      <c r="CH170" s="335"/>
      <c r="CI170" s="335"/>
      <c r="CJ170" s="335"/>
      <c r="CK170" s="335"/>
      <c r="CL170" s="335"/>
      <c r="CM170" s="335"/>
      <c r="CN170" s="335"/>
      <c r="CO170" s="335"/>
      <c r="CP170" s="335"/>
      <c r="CQ170" s="335"/>
      <c r="CR170" s="335"/>
      <c r="CS170" s="335"/>
      <c r="CT170" s="335"/>
      <c r="CU170" s="335"/>
      <c r="CV170" s="335"/>
      <c r="CW170" s="335"/>
      <c r="CX170" s="335"/>
      <c r="CY170" s="335"/>
      <c r="CZ170" s="335"/>
      <c r="DA170" s="335"/>
      <c r="DB170" s="335"/>
      <c r="DC170" s="335"/>
      <c r="DD170" s="335"/>
      <c r="DE170" s="335"/>
      <c r="DF170" s="335"/>
      <c r="DG170" s="335"/>
      <c r="DH170" s="335"/>
      <c r="DI170" s="335"/>
      <c r="DJ170" s="335"/>
      <c r="DK170" s="335"/>
      <c r="DL170" s="335"/>
      <c r="DM170" s="335"/>
      <c r="DN170" s="335"/>
      <c r="DO170" s="335"/>
      <c r="DP170" s="335"/>
      <c r="DQ170" s="335"/>
      <c r="DR170" s="335"/>
      <c r="DS170" s="335"/>
      <c r="DT170" s="335"/>
      <c r="DU170" s="335"/>
      <c r="DV170" s="335"/>
      <c r="DW170" s="335"/>
      <c r="DX170" s="335"/>
      <c r="DY170" s="335"/>
      <c r="DZ170" s="335"/>
      <c r="EA170" s="335"/>
      <c r="EB170" s="335"/>
      <c r="EC170" s="335"/>
      <c r="ED170" s="335"/>
      <c r="EE170" s="335"/>
      <c r="EF170" s="335"/>
      <c r="EG170" s="335"/>
      <c r="EH170" s="335"/>
      <c r="EI170" s="335"/>
      <c r="EJ170" s="335"/>
      <c r="EK170" s="335"/>
      <c r="EL170" s="335"/>
      <c r="EM170" s="335"/>
      <c r="EN170" s="335"/>
      <c r="EO170" s="335"/>
      <c r="EP170" s="335"/>
      <c r="EQ170" s="335"/>
      <c r="ER170" s="335"/>
      <c r="ES170" s="335"/>
      <c r="ET170" s="335"/>
      <c r="EU170" s="335"/>
      <c r="EV170" s="335"/>
      <c r="EW170" s="335"/>
      <c r="EX170" s="335"/>
      <c r="EY170" s="335"/>
      <c r="EZ170" s="335"/>
      <c r="FA170" s="335"/>
      <c r="FB170" s="335"/>
      <c r="FC170" s="335"/>
      <c r="FD170" s="335"/>
      <c r="FE170" s="335"/>
      <c r="FF170" s="335"/>
      <c r="FG170" s="335"/>
      <c r="FH170" s="335"/>
      <c r="FI170" s="335"/>
      <c r="FJ170" s="335"/>
      <c r="FK170" s="335"/>
      <c r="FL170" s="335"/>
      <c r="FM170" s="335"/>
      <c r="FN170" s="335"/>
      <c r="FO170" s="335"/>
      <c r="FP170" s="335"/>
      <c r="FQ170" s="335"/>
      <c r="FR170" s="335"/>
      <c r="FS170" s="335"/>
      <c r="FT170" s="335"/>
      <c r="FU170" s="335"/>
      <c r="FV170" s="335"/>
      <c r="FW170" s="335"/>
      <c r="FX170" s="335"/>
      <c r="FY170" s="335"/>
    </row>
    <row r="171" spans="1:181" s="343" customFormat="1" ht="12" hidden="1" customHeight="1">
      <c r="A171" s="337"/>
      <c r="B171" s="1384" t="s">
        <v>312</v>
      </c>
      <c r="C171" s="1385">
        <v>1195629</v>
      </c>
      <c r="D171" s="1384" t="s">
        <v>569</v>
      </c>
      <c r="E171" s="1386" t="s">
        <v>315</v>
      </c>
      <c r="F171" s="1385">
        <v>950573</v>
      </c>
      <c r="G171" s="1386" t="s">
        <v>338</v>
      </c>
      <c r="H171" s="1384"/>
      <c r="I171" s="1387">
        <v>42392</v>
      </c>
      <c r="J171" s="1380" t="s">
        <v>475</v>
      </c>
      <c r="K171" s="1385">
        <v>120</v>
      </c>
      <c r="L171" s="1388">
        <v>12</v>
      </c>
      <c r="M171" s="1385">
        <v>10</v>
      </c>
      <c r="N171" s="1388"/>
      <c r="O171" s="1385">
        <v>8.1620000000000008</v>
      </c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335"/>
      <c r="AB171" s="335"/>
      <c r="AC171" s="335"/>
      <c r="AD171" s="335"/>
      <c r="AE171" s="335"/>
      <c r="AF171" s="335"/>
      <c r="AG171" s="335"/>
      <c r="AH171" s="335"/>
      <c r="AI171" s="335"/>
      <c r="AJ171" s="335"/>
      <c r="AK171" s="335"/>
      <c r="AL171" s="335"/>
      <c r="AM171" s="335"/>
      <c r="AN171" s="335"/>
      <c r="AO171" s="335"/>
      <c r="AP171" s="335"/>
      <c r="AQ171" s="335"/>
      <c r="AR171" s="335"/>
      <c r="AS171" s="335"/>
      <c r="AT171" s="335"/>
      <c r="AU171" s="335"/>
      <c r="AV171" s="335"/>
      <c r="AW171" s="335"/>
      <c r="AX171" s="335"/>
      <c r="AY171" s="335"/>
      <c r="AZ171" s="335"/>
      <c r="BA171" s="335"/>
      <c r="BB171" s="335"/>
      <c r="BC171" s="335"/>
      <c r="BD171" s="335"/>
      <c r="BE171" s="335"/>
      <c r="BF171" s="335"/>
      <c r="BG171" s="335"/>
      <c r="BH171" s="335"/>
      <c r="BI171" s="335"/>
      <c r="BJ171" s="335"/>
      <c r="BK171" s="335"/>
      <c r="BL171" s="335"/>
      <c r="BM171" s="335"/>
      <c r="BN171" s="335"/>
      <c r="BO171" s="335"/>
      <c r="BP171" s="335"/>
      <c r="BQ171" s="335"/>
      <c r="BR171" s="335"/>
      <c r="BS171" s="335"/>
      <c r="BT171" s="335"/>
      <c r="BU171" s="335"/>
      <c r="BV171" s="335"/>
      <c r="BW171" s="335"/>
      <c r="BX171" s="335"/>
      <c r="BY171" s="335"/>
      <c r="BZ171" s="335"/>
      <c r="CA171" s="335"/>
      <c r="CB171" s="335"/>
      <c r="CC171" s="335"/>
      <c r="CD171" s="335"/>
      <c r="CE171" s="335"/>
      <c r="CF171" s="335"/>
      <c r="CG171" s="335"/>
      <c r="CH171" s="335"/>
      <c r="CI171" s="335"/>
      <c r="CJ171" s="335"/>
      <c r="CK171" s="335"/>
      <c r="CL171" s="335"/>
      <c r="CM171" s="335"/>
      <c r="CN171" s="335"/>
      <c r="CO171" s="335"/>
      <c r="CP171" s="335"/>
      <c r="CQ171" s="335"/>
      <c r="CR171" s="335"/>
      <c r="CS171" s="335"/>
      <c r="CT171" s="335"/>
      <c r="CU171" s="335"/>
      <c r="CV171" s="335"/>
      <c r="CW171" s="335"/>
      <c r="CX171" s="335"/>
      <c r="CY171" s="335"/>
      <c r="CZ171" s="335"/>
      <c r="DA171" s="335"/>
      <c r="DB171" s="335"/>
      <c r="DC171" s="335"/>
      <c r="DD171" s="335"/>
      <c r="DE171" s="335"/>
      <c r="DF171" s="335"/>
      <c r="DG171" s="335"/>
      <c r="DH171" s="335"/>
      <c r="DI171" s="335"/>
      <c r="DJ171" s="335"/>
      <c r="DK171" s="335"/>
      <c r="DL171" s="335"/>
      <c r="DM171" s="335"/>
      <c r="DN171" s="335"/>
      <c r="DO171" s="335"/>
      <c r="DP171" s="335"/>
      <c r="DQ171" s="335"/>
      <c r="DR171" s="335"/>
      <c r="DS171" s="335"/>
      <c r="DT171" s="335"/>
      <c r="DU171" s="335"/>
      <c r="DV171" s="335"/>
      <c r="DW171" s="335"/>
      <c r="DX171" s="335"/>
      <c r="DY171" s="335"/>
      <c r="DZ171" s="335"/>
      <c r="EA171" s="335"/>
      <c r="EB171" s="335"/>
      <c r="EC171" s="335"/>
      <c r="ED171" s="335"/>
      <c r="EE171" s="335"/>
      <c r="EF171" s="335"/>
      <c r="EG171" s="335"/>
      <c r="EH171" s="335"/>
      <c r="EI171" s="335"/>
      <c r="EJ171" s="335"/>
      <c r="EK171" s="335"/>
      <c r="EL171" s="335"/>
      <c r="EM171" s="335"/>
      <c r="EN171" s="335"/>
      <c r="EO171" s="335"/>
      <c r="EP171" s="335"/>
      <c r="EQ171" s="335"/>
      <c r="ER171" s="335"/>
      <c r="ES171" s="335"/>
      <c r="ET171" s="335"/>
      <c r="EU171" s="335"/>
      <c r="EV171" s="335"/>
      <c r="EW171" s="335"/>
      <c r="EX171" s="335"/>
      <c r="EY171" s="335"/>
      <c r="EZ171" s="335"/>
      <c r="FA171" s="335"/>
      <c r="FB171" s="335"/>
      <c r="FC171" s="335"/>
      <c r="FD171" s="335"/>
      <c r="FE171" s="335"/>
      <c r="FF171" s="335"/>
      <c r="FG171" s="335"/>
      <c r="FH171" s="335"/>
      <c r="FI171" s="335"/>
      <c r="FJ171" s="335"/>
      <c r="FK171" s="335"/>
      <c r="FL171" s="335"/>
      <c r="FM171" s="335"/>
      <c r="FN171" s="335"/>
      <c r="FO171" s="335"/>
      <c r="FP171" s="335"/>
      <c r="FQ171" s="335"/>
      <c r="FR171" s="335"/>
      <c r="FS171" s="335"/>
      <c r="FT171" s="335"/>
      <c r="FU171" s="335"/>
      <c r="FV171" s="335"/>
      <c r="FW171" s="335"/>
      <c r="FX171" s="335"/>
      <c r="FY171" s="335"/>
    </row>
    <row r="172" spans="1:181" s="343" customFormat="1" ht="12" hidden="1" customHeight="1">
      <c r="A172" s="337"/>
      <c r="B172" s="1384" t="s">
        <v>312</v>
      </c>
      <c r="C172" s="1385">
        <v>1195631</v>
      </c>
      <c r="D172" s="1384" t="s">
        <v>569</v>
      </c>
      <c r="E172" s="1386" t="s">
        <v>315</v>
      </c>
      <c r="F172" s="1385">
        <v>950913</v>
      </c>
      <c r="G172" s="1386" t="s">
        <v>332</v>
      </c>
      <c r="H172" s="1384"/>
      <c r="I172" s="1387">
        <v>42392</v>
      </c>
      <c r="J172" s="1380" t="s">
        <v>475</v>
      </c>
      <c r="K172" s="1385">
        <v>119</v>
      </c>
      <c r="L172" s="1388">
        <v>11</v>
      </c>
      <c r="M172" s="1385">
        <v>10</v>
      </c>
      <c r="N172" s="1388"/>
      <c r="O172" s="1385">
        <v>12.164999999999999</v>
      </c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  <c r="AA172" s="335"/>
      <c r="AB172" s="335"/>
      <c r="AC172" s="335"/>
      <c r="AD172" s="335"/>
      <c r="AE172" s="335"/>
      <c r="AF172" s="335"/>
      <c r="AG172" s="335"/>
      <c r="AH172" s="335"/>
      <c r="AI172" s="335"/>
      <c r="AJ172" s="335"/>
      <c r="AK172" s="335"/>
      <c r="AL172" s="335"/>
      <c r="AM172" s="335"/>
      <c r="AN172" s="335"/>
      <c r="AO172" s="335"/>
      <c r="AP172" s="335"/>
      <c r="AQ172" s="335"/>
      <c r="AR172" s="335"/>
      <c r="AS172" s="335"/>
      <c r="AT172" s="335"/>
      <c r="AU172" s="335"/>
      <c r="AV172" s="335"/>
      <c r="AW172" s="335"/>
      <c r="AX172" s="335"/>
      <c r="AY172" s="335"/>
      <c r="AZ172" s="335"/>
      <c r="BA172" s="335"/>
      <c r="BB172" s="335"/>
      <c r="BC172" s="335"/>
      <c r="BD172" s="335"/>
      <c r="BE172" s="335"/>
      <c r="BF172" s="335"/>
      <c r="BG172" s="335"/>
      <c r="BH172" s="335"/>
      <c r="BI172" s="335"/>
      <c r="BJ172" s="335"/>
      <c r="BK172" s="335"/>
      <c r="BL172" s="335"/>
      <c r="BM172" s="335"/>
      <c r="BN172" s="335"/>
      <c r="BO172" s="335"/>
      <c r="BP172" s="335"/>
      <c r="BQ172" s="335"/>
      <c r="BR172" s="335"/>
      <c r="BS172" s="335"/>
      <c r="BT172" s="335"/>
      <c r="BU172" s="335"/>
      <c r="BV172" s="335"/>
      <c r="BW172" s="335"/>
      <c r="BX172" s="335"/>
      <c r="BY172" s="335"/>
      <c r="BZ172" s="335"/>
      <c r="CA172" s="335"/>
      <c r="CB172" s="335"/>
      <c r="CC172" s="335"/>
      <c r="CD172" s="335"/>
      <c r="CE172" s="335"/>
      <c r="CF172" s="335"/>
      <c r="CG172" s="335"/>
      <c r="CH172" s="335"/>
      <c r="CI172" s="335"/>
      <c r="CJ172" s="335"/>
      <c r="CK172" s="335"/>
      <c r="CL172" s="335"/>
      <c r="CM172" s="335"/>
      <c r="CN172" s="335"/>
      <c r="CO172" s="335"/>
      <c r="CP172" s="335"/>
      <c r="CQ172" s="335"/>
      <c r="CR172" s="335"/>
      <c r="CS172" s="335"/>
      <c r="CT172" s="335"/>
      <c r="CU172" s="335"/>
      <c r="CV172" s="335"/>
      <c r="CW172" s="335"/>
      <c r="CX172" s="335"/>
      <c r="CY172" s="335"/>
      <c r="CZ172" s="335"/>
      <c r="DA172" s="335"/>
      <c r="DB172" s="335"/>
      <c r="DC172" s="335"/>
      <c r="DD172" s="335"/>
      <c r="DE172" s="335"/>
      <c r="DF172" s="335"/>
      <c r="DG172" s="335"/>
      <c r="DH172" s="335"/>
      <c r="DI172" s="335"/>
      <c r="DJ172" s="335"/>
      <c r="DK172" s="335"/>
      <c r="DL172" s="335"/>
      <c r="DM172" s="335"/>
      <c r="DN172" s="335"/>
      <c r="DO172" s="335"/>
      <c r="DP172" s="335"/>
      <c r="DQ172" s="335"/>
      <c r="DR172" s="335"/>
      <c r="DS172" s="335"/>
      <c r="DT172" s="335"/>
      <c r="DU172" s="335"/>
      <c r="DV172" s="335"/>
      <c r="DW172" s="335"/>
      <c r="DX172" s="335"/>
      <c r="DY172" s="335"/>
      <c r="DZ172" s="335"/>
      <c r="EA172" s="335"/>
      <c r="EB172" s="335"/>
      <c r="EC172" s="335"/>
      <c r="ED172" s="335"/>
      <c r="EE172" s="335"/>
      <c r="EF172" s="335"/>
      <c r="EG172" s="335"/>
      <c r="EH172" s="335"/>
      <c r="EI172" s="335"/>
      <c r="EJ172" s="335"/>
      <c r="EK172" s="335"/>
      <c r="EL172" s="335"/>
      <c r="EM172" s="335"/>
      <c r="EN172" s="335"/>
      <c r="EO172" s="335"/>
      <c r="EP172" s="335"/>
      <c r="EQ172" s="335"/>
      <c r="ER172" s="335"/>
      <c r="ES172" s="335"/>
      <c r="ET172" s="335"/>
      <c r="EU172" s="335"/>
      <c r="EV172" s="335"/>
      <c r="EW172" s="335"/>
      <c r="EX172" s="335"/>
      <c r="EY172" s="335"/>
      <c r="EZ172" s="335"/>
      <c r="FA172" s="335"/>
      <c r="FB172" s="335"/>
      <c r="FC172" s="335"/>
      <c r="FD172" s="335"/>
      <c r="FE172" s="335"/>
      <c r="FF172" s="335"/>
      <c r="FG172" s="335"/>
      <c r="FH172" s="335"/>
      <c r="FI172" s="335"/>
      <c r="FJ172" s="335"/>
      <c r="FK172" s="335"/>
      <c r="FL172" s="335"/>
      <c r="FM172" s="335"/>
      <c r="FN172" s="335"/>
      <c r="FO172" s="335"/>
      <c r="FP172" s="335"/>
      <c r="FQ172" s="335"/>
      <c r="FR172" s="335"/>
      <c r="FS172" s="335"/>
      <c r="FT172" s="335"/>
      <c r="FU172" s="335"/>
      <c r="FV172" s="335"/>
      <c r="FW172" s="335"/>
      <c r="FX172" s="335"/>
      <c r="FY172" s="335"/>
    </row>
    <row r="173" spans="1:181" s="343" customFormat="1" ht="12" hidden="1" customHeight="1">
      <c r="A173" s="337"/>
      <c r="B173" s="1384" t="s">
        <v>312</v>
      </c>
      <c r="C173" s="1385">
        <v>1195632</v>
      </c>
      <c r="D173" s="1384" t="s">
        <v>569</v>
      </c>
      <c r="E173" s="1386" t="s">
        <v>315</v>
      </c>
      <c r="F173" s="1385">
        <v>25103</v>
      </c>
      <c r="G173" s="1386" t="s">
        <v>330</v>
      </c>
      <c r="H173" s="1384"/>
      <c r="I173" s="1387">
        <v>42393</v>
      </c>
      <c r="J173" s="1380" t="s">
        <v>475</v>
      </c>
      <c r="K173" s="1385">
        <v>119</v>
      </c>
      <c r="L173" s="1388">
        <v>11</v>
      </c>
      <c r="M173" s="1385">
        <v>10</v>
      </c>
      <c r="N173" s="1388"/>
      <c r="O173" s="1385">
        <v>10.711</v>
      </c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  <c r="AA173" s="335"/>
      <c r="AB173" s="335"/>
      <c r="AC173" s="335"/>
      <c r="AD173" s="335"/>
      <c r="AE173" s="335"/>
      <c r="AF173" s="335"/>
      <c r="AG173" s="335"/>
      <c r="AH173" s="335"/>
      <c r="AI173" s="335"/>
      <c r="AJ173" s="335"/>
      <c r="AK173" s="335"/>
      <c r="AL173" s="335"/>
      <c r="AM173" s="335"/>
      <c r="AN173" s="335"/>
      <c r="AO173" s="335"/>
      <c r="AP173" s="335"/>
      <c r="AQ173" s="335"/>
      <c r="AR173" s="335"/>
      <c r="AS173" s="335"/>
      <c r="AT173" s="335"/>
      <c r="AU173" s="335"/>
      <c r="AV173" s="335"/>
      <c r="AW173" s="335"/>
      <c r="AX173" s="335"/>
      <c r="AY173" s="335"/>
      <c r="AZ173" s="335"/>
      <c r="BA173" s="335"/>
      <c r="BB173" s="335"/>
      <c r="BC173" s="335"/>
      <c r="BD173" s="335"/>
      <c r="BE173" s="335"/>
      <c r="BF173" s="335"/>
      <c r="BG173" s="335"/>
      <c r="BH173" s="335"/>
      <c r="BI173" s="335"/>
      <c r="BJ173" s="335"/>
      <c r="BK173" s="335"/>
      <c r="BL173" s="335"/>
      <c r="BM173" s="335"/>
      <c r="BN173" s="335"/>
      <c r="BO173" s="335"/>
      <c r="BP173" s="335"/>
      <c r="BQ173" s="335"/>
      <c r="BR173" s="335"/>
      <c r="BS173" s="335"/>
      <c r="BT173" s="335"/>
      <c r="BU173" s="335"/>
      <c r="BV173" s="335"/>
      <c r="BW173" s="335"/>
      <c r="BX173" s="335"/>
      <c r="BY173" s="335"/>
      <c r="BZ173" s="335"/>
      <c r="CA173" s="335"/>
      <c r="CB173" s="335"/>
      <c r="CC173" s="335"/>
      <c r="CD173" s="335"/>
      <c r="CE173" s="335"/>
      <c r="CF173" s="335"/>
      <c r="CG173" s="335"/>
      <c r="CH173" s="335"/>
      <c r="CI173" s="335"/>
      <c r="CJ173" s="335"/>
      <c r="CK173" s="335"/>
      <c r="CL173" s="335"/>
      <c r="CM173" s="335"/>
      <c r="CN173" s="335"/>
      <c r="CO173" s="335"/>
      <c r="CP173" s="335"/>
      <c r="CQ173" s="335"/>
      <c r="CR173" s="335"/>
      <c r="CS173" s="335"/>
      <c r="CT173" s="335"/>
      <c r="CU173" s="335"/>
      <c r="CV173" s="335"/>
      <c r="CW173" s="335"/>
      <c r="CX173" s="335"/>
      <c r="CY173" s="335"/>
      <c r="CZ173" s="335"/>
      <c r="DA173" s="335"/>
      <c r="DB173" s="335"/>
      <c r="DC173" s="335"/>
      <c r="DD173" s="335"/>
      <c r="DE173" s="335"/>
      <c r="DF173" s="335"/>
      <c r="DG173" s="335"/>
      <c r="DH173" s="335"/>
      <c r="DI173" s="335"/>
      <c r="DJ173" s="335"/>
      <c r="DK173" s="335"/>
      <c r="DL173" s="335"/>
      <c r="DM173" s="335"/>
      <c r="DN173" s="335"/>
      <c r="DO173" s="335"/>
      <c r="DP173" s="335"/>
      <c r="DQ173" s="335"/>
      <c r="DR173" s="335"/>
      <c r="DS173" s="335"/>
      <c r="DT173" s="335"/>
      <c r="DU173" s="335"/>
      <c r="DV173" s="335"/>
      <c r="DW173" s="335"/>
      <c r="DX173" s="335"/>
      <c r="DY173" s="335"/>
      <c r="DZ173" s="335"/>
      <c r="EA173" s="335"/>
      <c r="EB173" s="335"/>
      <c r="EC173" s="335"/>
      <c r="ED173" s="335"/>
      <c r="EE173" s="335"/>
      <c r="EF173" s="335"/>
      <c r="EG173" s="335"/>
      <c r="EH173" s="335"/>
      <c r="EI173" s="335"/>
      <c r="EJ173" s="335"/>
      <c r="EK173" s="335"/>
      <c r="EL173" s="335"/>
      <c r="EM173" s="335"/>
      <c r="EN173" s="335"/>
      <c r="EO173" s="335"/>
      <c r="EP173" s="335"/>
      <c r="EQ173" s="335"/>
      <c r="ER173" s="335"/>
      <c r="ES173" s="335"/>
      <c r="ET173" s="335"/>
      <c r="EU173" s="335"/>
      <c r="EV173" s="335"/>
      <c r="EW173" s="335"/>
      <c r="EX173" s="335"/>
      <c r="EY173" s="335"/>
      <c r="EZ173" s="335"/>
      <c r="FA173" s="335"/>
      <c r="FB173" s="335"/>
      <c r="FC173" s="335"/>
      <c r="FD173" s="335"/>
      <c r="FE173" s="335"/>
      <c r="FF173" s="335"/>
      <c r="FG173" s="335"/>
      <c r="FH173" s="335"/>
      <c r="FI173" s="335"/>
      <c r="FJ173" s="335"/>
      <c r="FK173" s="335"/>
      <c r="FL173" s="335"/>
      <c r="FM173" s="335"/>
      <c r="FN173" s="335"/>
      <c r="FO173" s="335"/>
      <c r="FP173" s="335"/>
      <c r="FQ173" s="335"/>
      <c r="FR173" s="335"/>
      <c r="FS173" s="335"/>
      <c r="FT173" s="335"/>
      <c r="FU173" s="335"/>
      <c r="FV173" s="335"/>
      <c r="FW173" s="335"/>
      <c r="FX173" s="335"/>
      <c r="FY173" s="335"/>
    </row>
    <row r="174" spans="1:181" s="343" customFormat="1" ht="12" hidden="1" customHeight="1">
      <c r="A174" s="337"/>
      <c r="B174" s="1384" t="s">
        <v>312</v>
      </c>
      <c r="C174" s="1385">
        <v>1197387</v>
      </c>
      <c r="D174" s="1384" t="s">
        <v>569</v>
      </c>
      <c r="E174" s="1386" t="s">
        <v>315</v>
      </c>
      <c r="F174" s="1385">
        <v>25103</v>
      </c>
      <c r="G174" s="1386" t="s">
        <v>330</v>
      </c>
      <c r="H174" s="1384"/>
      <c r="I174" s="1387">
        <v>42488</v>
      </c>
      <c r="J174" s="1380" t="s">
        <v>475</v>
      </c>
      <c r="K174" s="1385">
        <v>119</v>
      </c>
      <c r="L174" s="1388">
        <v>11</v>
      </c>
      <c r="M174" s="1385">
        <v>10</v>
      </c>
      <c r="N174" s="1388"/>
      <c r="O174" s="1385">
        <v>3.2280000000000002</v>
      </c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  <c r="AA174" s="335"/>
      <c r="AB174" s="335"/>
      <c r="AC174" s="335"/>
      <c r="AD174" s="335"/>
      <c r="AE174" s="335"/>
      <c r="AF174" s="335"/>
      <c r="AG174" s="335"/>
      <c r="AH174" s="335"/>
      <c r="AI174" s="335"/>
      <c r="AJ174" s="335"/>
      <c r="AK174" s="335"/>
      <c r="AL174" s="335"/>
      <c r="AM174" s="335"/>
      <c r="AN174" s="335"/>
      <c r="AO174" s="335"/>
      <c r="AP174" s="335"/>
      <c r="AQ174" s="335"/>
      <c r="AR174" s="335"/>
      <c r="AS174" s="335"/>
      <c r="AT174" s="335"/>
      <c r="AU174" s="335"/>
      <c r="AV174" s="335"/>
      <c r="AW174" s="335"/>
      <c r="AX174" s="335"/>
      <c r="AY174" s="335"/>
      <c r="AZ174" s="335"/>
      <c r="BA174" s="335"/>
      <c r="BB174" s="335"/>
      <c r="BC174" s="335"/>
      <c r="BD174" s="335"/>
      <c r="BE174" s="335"/>
      <c r="BF174" s="335"/>
      <c r="BG174" s="335"/>
      <c r="BH174" s="335"/>
      <c r="BI174" s="335"/>
      <c r="BJ174" s="335"/>
      <c r="BK174" s="335"/>
      <c r="BL174" s="335"/>
      <c r="BM174" s="335"/>
      <c r="BN174" s="335"/>
      <c r="BO174" s="335"/>
      <c r="BP174" s="335"/>
      <c r="BQ174" s="335"/>
      <c r="BR174" s="335"/>
      <c r="BS174" s="335"/>
      <c r="BT174" s="335"/>
      <c r="BU174" s="335"/>
      <c r="BV174" s="335"/>
      <c r="BW174" s="335"/>
      <c r="BX174" s="335"/>
      <c r="BY174" s="335"/>
      <c r="BZ174" s="335"/>
      <c r="CA174" s="335"/>
      <c r="CB174" s="335"/>
      <c r="CC174" s="335"/>
      <c r="CD174" s="335"/>
      <c r="CE174" s="335"/>
      <c r="CF174" s="335"/>
      <c r="CG174" s="335"/>
      <c r="CH174" s="335"/>
      <c r="CI174" s="335"/>
      <c r="CJ174" s="335"/>
      <c r="CK174" s="335"/>
      <c r="CL174" s="335"/>
      <c r="CM174" s="335"/>
      <c r="CN174" s="335"/>
      <c r="CO174" s="335"/>
      <c r="CP174" s="335"/>
      <c r="CQ174" s="335"/>
      <c r="CR174" s="335"/>
      <c r="CS174" s="335"/>
      <c r="CT174" s="335"/>
      <c r="CU174" s="335"/>
      <c r="CV174" s="335"/>
      <c r="CW174" s="335"/>
      <c r="CX174" s="335"/>
      <c r="CY174" s="335"/>
      <c r="CZ174" s="335"/>
      <c r="DA174" s="335"/>
      <c r="DB174" s="335"/>
      <c r="DC174" s="335"/>
      <c r="DD174" s="335"/>
      <c r="DE174" s="335"/>
      <c r="DF174" s="335"/>
      <c r="DG174" s="335"/>
      <c r="DH174" s="335"/>
      <c r="DI174" s="335"/>
      <c r="DJ174" s="335"/>
      <c r="DK174" s="335"/>
      <c r="DL174" s="335"/>
      <c r="DM174" s="335"/>
      <c r="DN174" s="335"/>
      <c r="DO174" s="335"/>
      <c r="DP174" s="335"/>
      <c r="DQ174" s="335"/>
      <c r="DR174" s="335"/>
      <c r="DS174" s="335"/>
      <c r="DT174" s="335"/>
      <c r="DU174" s="335"/>
      <c r="DV174" s="335"/>
      <c r="DW174" s="335"/>
      <c r="DX174" s="335"/>
      <c r="DY174" s="335"/>
      <c r="DZ174" s="335"/>
      <c r="EA174" s="335"/>
      <c r="EB174" s="335"/>
      <c r="EC174" s="335"/>
      <c r="ED174" s="335"/>
      <c r="EE174" s="335"/>
      <c r="EF174" s="335"/>
      <c r="EG174" s="335"/>
      <c r="EH174" s="335"/>
      <c r="EI174" s="335"/>
      <c r="EJ174" s="335"/>
      <c r="EK174" s="335"/>
      <c r="EL174" s="335"/>
      <c r="EM174" s="335"/>
      <c r="EN174" s="335"/>
      <c r="EO174" s="335"/>
      <c r="EP174" s="335"/>
      <c r="EQ174" s="335"/>
      <c r="ER174" s="335"/>
      <c r="ES174" s="335"/>
      <c r="ET174" s="335"/>
      <c r="EU174" s="335"/>
      <c r="EV174" s="335"/>
      <c r="EW174" s="335"/>
      <c r="EX174" s="335"/>
      <c r="EY174" s="335"/>
      <c r="EZ174" s="335"/>
      <c r="FA174" s="335"/>
      <c r="FB174" s="335"/>
      <c r="FC174" s="335"/>
      <c r="FD174" s="335"/>
      <c r="FE174" s="335"/>
      <c r="FF174" s="335"/>
      <c r="FG174" s="335"/>
      <c r="FH174" s="335"/>
      <c r="FI174" s="335"/>
      <c r="FJ174" s="335"/>
      <c r="FK174" s="335"/>
      <c r="FL174" s="335"/>
      <c r="FM174" s="335"/>
      <c r="FN174" s="335"/>
      <c r="FO174" s="335"/>
      <c r="FP174" s="335"/>
      <c r="FQ174" s="335"/>
      <c r="FR174" s="335"/>
      <c r="FS174" s="335"/>
      <c r="FT174" s="335"/>
      <c r="FU174" s="335"/>
      <c r="FV174" s="335"/>
      <c r="FW174" s="335"/>
      <c r="FX174" s="335"/>
      <c r="FY174" s="335"/>
    </row>
    <row r="175" spans="1:181" s="343" customFormat="1" ht="12" hidden="1" customHeight="1">
      <c r="A175" s="337"/>
      <c r="B175" s="1384" t="s">
        <v>312</v>
      </c>
      <c r="C175" s="1385">
        <v>1004143</v>
      </c>
      <c r="D175" s="1384" t="s">
        <v>569</v>
      </c>
      <c r="E175" s="1386" t="s">
        <v>316</v>
      </c>
      <c r="F175" s="1385">
        <v>962048</v>
      </c>
      <c r="G175" s="1386" t="s">
        <v>462</v>
      </c>
      <c r="H175" s="1384"/>
      <c r="I175" s="1387">
        <v>42394</v>
      </c>
      <c r="J175" s="1380" t="s">
        <v>475</v>
      </c>
      <c r="K175" s="1385">
        <v>120</v>
      </c>
      <c r="L175" s="1388">
        <v>12</v>
      </c>
      <c r="M175" s="1385">
        <v>10</v>
      </c>
      <c r="N175" s="1388"/>
      <c r="O175" s="1385">
        <v>6.4050000000000002</v>
      </c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  <c r="AA175" s="335"/>
      <c r="AB175" s="335"/>
      <c r="AC175" s="335"/>
      <c r="AD175" s="335"/>
      <c r="AE175" s="335"/>
      <c r="AF175" s="335"/>
      <c r="AG175" s="335"/>
      <c r="AH175" s="335"/>
      <c r="AI175" s="335"/>
      <c r="AJ175" s="335"/>
      <c r="AK175" s="335"/>
      <c r="AL175" s="335"/>
      <c r="AM175" s="335"/>
      <c r="AN175" s="335"/>
      <c r="AO175" s="335"/>
      <c r="AP175" s="335"/>
      <c r="AQ175" s="335"/>
      <c r="AR175" s="335"/>
      <c r="AS175" s="335"/>
      <c r="AT175" s="335"/>
      <c r="AU175" s="335"/>
      <c r="AV175" s="335"/>
      <c r="AW175" s="335"/>
      <c r="AX175" s="335"/>
      <c r="AY175" s="335"/>
      <c r="AZ175" s="335"/>
      <c r="BA175" s="335"/>
      <c r="BB175" s="335"/>
      <c r="BC175" s="335"/>
      <c r="BD175" s="335"/>
      <c r="BE175" s="335"/>
      <c r="BF175" s="335"/>
      <c r="BG175" s="335"/>
      <c r="BH175" s="335"/>
      <c r="BI175" s="335"/>
      <c r="BJ175" s="335"/>
      <c r="BK175" s="335"/>
      <c r="BL175" s="335"/>
      <c r="BM175" s="335"/>
      <c r="BN175" s="335"/>
      <c r="BO175" s="335"/>
      <c r="BP175" s="335"/>
      <c r="BQ175" s="335"/>
      <c r="BR175" s="335"/>
      <c r="BS175" s="335"/>
      <c r="BT175" s="335"/>
      <c r="BU175" s="335"/>
      <c r="BV175" s="335"/>
      <c r="BW175" s="335"/>
      <c r="BX175" s="335"/>
      <c r="BY175" s="335"/>
      <c r="BZ175" s="335"/>
      <c r="CA175" s="335"/>
      <c r="CB175" s="335"/>
      <c r="CC175" s="335"/>
      <c r="CD175" s="335"/>
      <c r="CE175" s="335"/>
      <c r="CF175" s="335"/>
      <c r="CG175" s="335"/>
      <c r="CH175" s="335"/>
      <c r="CI175" s="335"/>
      <c r="CJ175" s="335"/>
      <c r="CK175" s="335"/>
      <c r="CL175" s="335"/>
      <c r="CM175" s="335"/>
      <c r="CN175" s="335"/>
      <c r="CO175" s="335"/>
      <c r="CP175" s="335"/>
      <c r="CQ175" s="335"/>
      <c r="CR175" s="335"/>
      <c r="CS175" s="335"/>
      <c r="CT175" s="335"/>
      <c r="CU175" s="335"/>
      <c r="CV175" s="335"/>
      <c r="CW175" s="335"/>
      <c r="CX175" s="335"/>
      <c r="CY175" s="335"/>
      <c r="CZ175" s="335"/>
      <c r="DA175" s="335"/>
      <c r="DB175" s="335"/>
      <c r="DC175" s="335"/>
      <c r="DD175" s="335"/>
      <c r="DE175" s="335"/>
      <c r="DF175" s="335"/>
      <c r="DG175" s="335"/>
      <c r="DH175" s="335"/>
      <c r="DI175" s="335"/>
      <c r="DJ175" s="335"/>
      <c r="DK175" s="335"/>
      <c r="DL175" s="335"/>
      <c r="DM175" s="335"/>
      <c r="DN175" s="335"/>
      <c r="DO175" s="335"/>
      <c r="DP175" s="335"/>
      <c r="DQ175" s="335"/>
      <c r="DR175" s="335"/>
      <c r="DS175" s="335"/>
      <c r="DT175" s="335"/>
      <c r="DU175" s="335"/>
      <c r="DV175" s="335"/>
      <c r="DW175" s="335"/>
      <c r="DX175" s="335"/>
      <c r="DY175" s="335"/>
      <c r="DZ175" s="335"/>
      <c r="EA175" s="335"/>
      <c r="EB175" s="335"/>
      <c r="EC175" s="335"/>
      <c r="ED175" s="335"/>
      <c r="EE175" s="335"/>
      <c r="EF175" s="335"/>
      <c r="EG175" s="335"/>
      <c r="EH175" s="335"/>
      <c r="EI175" s="335"/>
      <c r="EJ175" s="335"/>
      <c r="EK175" s="335"/>
      <c r="EL175" s="335"/>
      <c r="EM175" s="335"/>
      <c r="EN175" s="335"/>
      <c r="EO175" s="335"/>
      <c r="EP175" s="335"/>
      <c r="EQ175" s="335"/>
      <c r="ER175" s="335"/>
      <c r="ES175" s="335"/>
      <c r="ET175" s="335"/>
      <c r="EU175" s="335"/>
      <c r="EV175" s="335"/>
      <c r="EW175" s="335"/>
      <c r="EX175" s="335"/>
      <c r="EY175" s="335"/>
      <c r="EZ175" s="335"/>
      <c r="FA175" s="335"/>
      <c r="FB175" s="335"/>
      <c r="FC175" s="335"/>
      <c r="FD175" s="335"/>
      <c r="FE175" s="335"/>
      <c r="FF175" s="335"/>
      <c r="FG175" s="335"/>
      <c r="FH175" s="335"/>
      <c r="FI175" s="335"/>
      <c r="FJ175" s="335"/>
      <c r="FK175" s="335"/>
      <c r="FL175" s="335"/>
      <c r="FM175" s="335"/>
      <c r="FN175" s="335"/>
      <c r="FO175" s="335"/>
      <c r="FP175" s="335"/>
      <c r="FQ175" s="335"/>
      <c r="FR175" s="335"/>
      <c r="FS175" s="335"/>
      <c r="FT175" s="335"/>
      <c r="FU175" s="335"/>
      <c r="FV175" s="335"/>
      <c r="FW175" s="335"/>
      <c r="FX175" s="335"/>
      <c r="FY175" s="335"/>
    </row>
    <row r="176" spans="1:181" s="343" customFormat="1" ht="12" hidden="1" customHeight="1">
      <c r="A176" s="337"/>
      <c r="B176" s="1384" t="s">
        <v>312</v>
      </c>
      <c r="C176" s="1385">
        <v>1032135</v>
      </c>
      <c r="D176" s="1384" t="s">
        <v>569</v>
      </c>
      <c r="E176" s="1386" t="s">
        <v>358</v>
      </c>
      <c r="F176" s="1385">
        <v>40073</v>
      </c>
      <c r="G176" s="1386" t="s">
        <v>360</v>
      </c>
      <c r="H176" s="1384"/>
      <c r="I176" s="1387">
        <v>42497</v>
      </c>
      <c r="J176" s="1380" t="s">
        <v>475</v>
      </c>
      <c r="K176" s="1385">
        <v>119</v>
      </c>
      <c r="L176" s="1388">
        <v>11</v>
      </c>
      <c r="M176" s="1385">
        <v>14</v>
      </c>
      <c r="N176" s="1388"/>
      <c r="O176" s="1385">
        <v>3.3809999999999998</v>
      </c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335"/>
      <c r="AB176" s="335"/>
      <c r="AC176" s="335"/>
      <c r="AD176" s="335"/>
      <c r="AE176" s="335"/>
      <c r="AF176" s="335"/>
      <c r="AG176" s="335"/>
      <c r="AH176" s="335"/>
      <c r="AI176" s="335"/>
      <c r="AJ176" s="335"/>
      <c r="AK176" s="335"/>
      <c r="AL176" s="335"/>
      <c r="AM176" s="335"/>
      <c r="AN176" s="335"/>
      <c r="AO176" s="335"/>
      <c r="AP176" s="335"/>
      <c r="AQ176" s="335"/>
      <c r="AR176" s="335"/>
      <c r="AS176" s="335"/>
      <c r="AT176" s="335"/>
      <c r="AU176" s="335"/>
      <c r="AV176" s="335"/>
      <c r="AW176" s="335"/>
      <c r="AX176" s="335"/>
      <c r="AY176" s="335"/>
      <c r="AZ176" s="335"/>
      <c r="BA176" s="335"/>
      <c r="BB176" s="335"/>
      <c r="BC176" s="335"/>
      <c r="BD176" s="335"/>
      <c r="BE176" s="335"/>
      <c r="BF176" s="335"/>
      <c r="BG176" s="335"/>
      <c r="BH176" s="335"/>
      <c r="BI176" s="335"/>
      <c r="BJ176" s="335"/>
      <c r="BK176" s="335"/>
      <c r="BL176" s="335"/>
      <c r="BM176" s="335"/>
      <c r="BN176" s="335"/>
      <c r="BO176" s="335"/>
      <c r="BP176" s="335"/>
      <c r="BQ176" s="335"/>
      <c r="BR176" s="335"/>
      <c r="BS176" s="335"/>
      <c r="BT176" s="335"/>
      <c r="BU176" s="335"/>
      <c r="BV176" s="335"/>
      <c r="BW176" s="335"/>
      <c r="BX176" s="335"/>
      <c r="BY176" s="335"/>
      <c r="BZ176" s="335"/>
      <c r="CA176" s="335"/>
      <c r="CB176" s="335"/>
      <c r="CC176" s="335"/>
      <c r="CD176" s="335"/>
      <c r="CE176" s="335"/>
      <c r="CF176" s="335"/>
      <c r="CG176" s="335"/>
      <c r="CH176" s="335"/>
      <c r="CI176" s="335"/>
      <c r="CJ176" s="335"/>
      <c r="CK176" s="335"/>
      <c r="CL176" s="335"/>
      <c r="CM176" s="335"/>
      <c r="CN176" s="335"/>
      <c r="CO176" s="335"/>
      <c r="CP176" s="335"/>
      <c r="CQ176" s="335"/>
      <c r="CR176" s="335"/>
      <c r="CS176" s="335"/>
      <c r="CT176" s="335"/>
      <c r="CU176" s="335"/>
      <c r="CV176" s="335"/>
      <c r="CW176" s="335"/>
      <c r="CX176" s="335"/>
      <c r="CY176" s="335"/>
      <c r="CZ176" s="335"/>
      <c r="DA176" s="335"/>
      <c r="DB176" s="335"/>
      <c r="DC176" s="335"/>
      <c r="DD176" s="335"/>
      <c r="DE176" s="335"/>
      <c r="DF176" s="335"/>
      <c r="DG176" s="335"/>
      <c r="DH176" s="335"/>
      <c r="DI176" s="335"/>
      <c r="DJ176" s="335"/>
      <c r="DK176" s="335"/>
      <c r="DL176" s="335"/>
      <c r="DM176" s="335"/>
      <c r="DN176" s="335"/>
      <c r="DO176" s="335"/>
      <c r="DP176" s="335"/>
      <c r="DQ176" s="335"/>
      <c r="DR176" s="335"/>
      <c r="DS176" s="335"/>
      <c r="DT176" s="335"/>
      <c r="DU176" s="335"/>
      <c r="DV176" s="335"/>
      <c r="DW176" s="335"/>
      <c r="DX176" s="335"/>
      <c r="DY176" s="335"/>
      <c r="DZ176" s="335"/>
      <c r="EA176" s="335"/>
      <c r="EB176" s="335"/>
      <c r="EC176" s="335"/>
      <c r="ED176" s="335"/>
      <c r="EE176" s="335"/>
      <c r="EF176" s="335"/>
      <c r="EG176" s="335"/>
      <c r="EH176" s="335"/>
      <c r="EI176" s="335"/>
      <c r="EJ176" s="335"/>
      <c r="EK176" s="335"/>
      <c r="EL176" s="335"/>
      <c r="EM176" s="335"/>
      <c r="EN176" s="335"/>
      <c r="EO176" s="335"/>
      <c r="EP176" s="335"/>
      <c r="EQ176" s="335"/>
      <c r="ER176" s="335"/>
      <c r="ES176" s="335"/>
      <c r="ET176" s="335"/>
      <c r="EU176" s="335"/>
      <c r="EV176" s="335"/>
      <c r="EW176" s="335"/>
      <c r="EX176" s="335"/>
      <c r="EY176" s="335"/>
      <c r="EZ176" s="335"/>
      <c r="FA176" s="335"/>
      <c r="FB176" s="335"/>
      <c r="FC176" s="335"/>
      <c r="FD176" s="335"/>
      <c r="FE176" s="335"/>
      <c r="FF176" s="335"/>
      <c r="FG176" s="335"/>
      <c r="FH176" s="335"/>
      <c r="FI176" s="335"/>
      <c r="FJ176" s="335"/>
      <c r="FK176" s="335"/>
      <c r="FL176" s="335"/>
      <c r="FM176" s="335"/>
      <c r="FN176" s="335"/>
      <c r="FO176" s="335"/>
      <c r="FP176" s="335"/>
      <c r="FQ176" s="335"/>
      <c r="FR176" s="335"/>
      <c r="FS176" s="335"/>
      <c r="FT176" s="335"/>
      <c r="FU176" s="335"/>
      <c r="FV176" s="335"/>
      <c r="FW176" s="335"/>
      <c r="FX176" s="335"/>
      <c r="FY176" s="335"/>
    </row>
    <row r="177" spans="1:181" s="343" customFormat="1" ht="12" hidden="1" customHeight="1">
      <c r="A177" s="337"/>
      <c r="B177" s="1384" t="s">
        <v>312</v>
      </c>
      <c r="C177" s="1385">
        <v>1195844</v>
      </c>
      <c r="D177" s="1384" t="s">
        <v>569</v>
      </c>
      <c r="E177" s="1386" t="s">
        <v>193</v>
      </c>
      <c r="F177" s="1385">
        <v>951620</v>
      </c>
      <c r="G177" s="1386" t="s">
        <v>331</v>
      </c>
      <c r="H177" s="1384"/>
      <c r="I177" s="1387">
        <v>42408</v>
      </c>
      <c r="J177" s="1380" t="s">
        <v>475</v>
      </c>
      <c r="K177" s="1385">
        <v>120</v>
      </c>
      <c r="L177" s="1388">
        <v>12</v>
      </c>
      <c r="M177" s="1385">
        <v>10</v>
      </c>
      <c r="N177" s="1388"/>
      <c r="O177" s="1385">
        <v>7.8529999999999998</v>
      </c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  <c r="AA177" s="335"/>
      <c r="AB177" s="335"/>
      <c r="AC177" s="335"/>
      <c r="AD177" s="335"/>
      <c r="AE177" s="335"/>
      <c r="AF177" s="335"/>
      <c r="AG177" s="335"/>
      <c r="AH177" s="335"/>
      <c r="AI177" s="335"/>
      <c r="AJ177" s="335"/>
      <c r="AK177" s="335"/>
      <c r="AL177" s="335"/>
      <c r="AM177" s="335"/>
      <c r="AN177" s="335"/>
      <c r="AO177" s="335"/>
      <c r="AP177" s="335"/>
      <c r="AQ177" s="335"/>
      <c r="AR177" s="335"/>
      <c r="AS177" s="335"/>
      <c r="AT177" s="335"/>
      <c r="AU177" s="335"/>
      <c r="AV177" s="335"/>
      <c r="AW177" s="335"/>
      <c r="AX177" s="335"/>
      <c r="AY177" s="335"/>
      <c r="AZ177" s="335"/>
      <c r="BA177" s="335"/>
      <c r="BB177" s="335"/>
      <c r="BC177" s="335"/>
      <c r="BD177" s="335"/>
      <c r="BE177" s="335"/>
      <c r="BF177" s="335"/>
      <c r="BG177" s="335"/>
      <c r="BH177" s="335"/>
      <c r="BI177" s="335"/>
      <c r="BJ177" s="335"/>
      <c r="BK177" s="335"/>
      <c r="BL177" s="335"/>
      <c r="BM177" s="335"/>
      <c r="BN177" s="335"/>
      <c r="BO177" s="335"/>
      <c r="BP177" s="335"/>
      <c r="BQ177" s="335"/>
      <c r="BR177" s="335"/>
      <c r="BS177" s="335"/>
      <c r="BT177" s="335"/>
      <c r="BU177" s="335"/>
      <c r="BV177" s="335"/>
      <c r="BW177" s="335"/>
      <c r="BX177" s="335"/>
      <c r="BY177" s="335"/>
      <c r="BZ177" s="335"/>
      <c r="CA177" s="335"/>
      <c r="CB177" s="335"/>
      <c r="CC177" s="335"/>
      <c r="CD177" s="335"/>
      <c r="CE177" s="335"/>
      <c r="CF177" s="335"/>
      <c r="CG177" s="335"/>
      <c r="CH177" s="335"/>
      <c r="CI177" s="335"/>
      <c r="CJ177" s="335"/>
      <c r="CK177" s="335"/>
      <c r="CL177" s="335"/>
      <c r="CM177" s="335"/>
      <c r="CN177" s="335"/>
      <c r="CO177" s="335"/>
      <c r="CP177" s="335"/>
      <c r="CQ177" s="335"/>
      <c r="CR177" s="335"/>
      <c r="CS177" s="335"/>
      <c r="CT177" s="335"/>
      <c r="CU177" s="335"/>
      <c r="CV177" s="335"/>
      <c r="CW177" s="335"/>
      <c r="CX177" s="335"/>
      <c r="CY177" s="335"/>
      <c r="CZ177" s="335"/>
      <c r="DA177" s="335"/>
      <c r="DB177" s="335"/>
      <c r="DC177" s="335"/>
      <c r="DD177" s="335"/>
      <c r="DE177" s="335"/>
      <c r="DF177" s="335"/>
      <c r="DG177" s="335"/>
      <c r="DH177" s="335"/>
      <c r="DI177" s="335"/>
      <c r="DJ177" s="335"/>
      <c r="DK177" s="335"/>
      <c r="DL177" s="335"/>
      <c r="DM177" s="335"/>
      <c r="DN177" s="335"/>
      <c r="DO177" s="335"/>
      <c r="DP177" s="335"/>
      <c r="DQ177" s="335"/>
      <c r="DR177" s="335"/>
      <c r="DS177" s="335"/>
      <c r="DT177" s="335"/>
      <c r="DU177" s="335"/>
      <c r="DV177" s="335"/>
      <c r="DW177" s="335"/>
      <c r="DX177" s="335"/>
      <c r="DY177" s="335"/>
      <c r="DZ177" s="335"/>
      <c r="EA177" s="335"/>
      <c r="EB177" s="335"/>
      <c r="EC177" s="335"/>
      <c r="ED177" s="335"/>
      <c r="EE177" s="335"/>
      <c r="EF177" s="335"/>
      <c r="EG177" s="335"/>
      <c r="EH177" s="335"/>
      <c r="EI177" s="335"/>
      <c r="EJ177" s="335"/>
      <c r="EK177" s="335"/>
      <c r="EL177" s="335"/>
      <c r="EM177" s="335"/>
      <c r="EN177" s="335"/>
      <c r="EO177" s="335"/>
      <c r="EP177" s="335"/>
      <c r="EQ177" s="335"/>
      <c r="ER177" s="335"/>
      <c r="ES177" s="335"/>
      <c r="ET177" s="335"/>
      <c r="EU177" s="335"/>
      <c r="EV177" s="335"/>
      <c r="EW177" s="335"/>
      <c r="EX177" s="335"/>
      <c r="EY177" s="335"/>
      <c r="EZ177" s="335"/>
      <c r="FA177" s="335"/>
      <c r="FB177" s="335"/>
      <c r="FC177" s="335"/>
      <c r="FD177" s="335"/>
      <c r="FE177" s="335"/>
      <c r="FF177" s="335"/>
      <c r="FG177" s="335"/>
      <c r="FH177" s="335"/>
      <c r="FI177" s="335"/>
      <c r="FJ177" s="335"/>
      <c r="FK177" s="335"/>
      <c r="FL177" s="335"/>
      <c r="FM177" s="335"/>
      <c r="FN177" s="335"/>
      <c r="FO177" s="335"/>
      <c r="FP177" s="335"/>
      <c r="FQ177" s="335"/>
      <c r="FR177" s="335"/>
      <c r="FS177" s="335"/>
      <c r="FT177" s="335"/>
      <c r="FU177" s="335"/>
      <c r="FV177" s="335"/>
      <c r="FW177" s="335"/>
      <c r="FX177" s="335"/>
      <c r="FY177" s="335"/>
    </row>
    <row r="178" spans="1:181" s="343" customFormat="1" ht="12" hidden="1" customHeight="1">
      <c r="A178" s="337"/>
      <c r="B178" s="1384" t="s">
        <v>312</v>
      </c>
      <c r="C178" s="1385">
        <v>1032222</v>
      </c>
      <c r="D178" s="1384" t="s">
        <v>569</v>
      </c>
      <c r="E178" s="1386" t="s">
        <v>253</v>
      </c>
      <c r="F178" s="1385">
        <v>900428</v>
      </c>
      <c r="G178" s="1386" t="s">
        <v>333</v>
      </c>
      <c r="H178" s="1384"/>
      <c r="I178" s="1387">
        <v>42517</v>
      </c>
      <c r="J178" s="1380" t="s">
        <v>475</v>
      </c>
      <c r="K178" s="1385">
        <v>119</v>
      </c>
      <c r="L178" s="1388">
        <v>11</v>
      </c>
      <c r="M178" s="1385">
        <v>14</v>
      </c>
      <c r="N178" s="1388"/>
      <c r="O178" s="1385">
        <v>3.4620000000000002</v>
      </c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  <c r="AA178" s="335"/>
      <c r="AB178" s="335"/>
      <c r="AC178" s="335"/>
      <c r="AD178" s="335"/>
      <c r="AE178" s="335"/>
      <c r="AF178" s="335"/>
      <c r="AG178" s="335"/>
      <c r="AH178" s="335"/>
      <c r="AI178" s="335"/>
      <c r="AJ178" s="335"/>
      <c r="AK178" s="335"/>
      <c r="AL178" s="335"/>
      <c r="AM178" s="335"/>
      <c r="AN178" s="335"/>
      <c r="AO178" s="335"/>
      <c r="AP178" s="335"/>
      <c r="AQ178" s="335"/>
      <c r="AR178" s="335"/>
      <c r="AS178" s="335"/>
      <c r="AT178" s="335"/>
      <c r="AU178" s="335"/>
      <c r="AV178" s="335"/>
      <c r="AW178" s="335"/>
      <c r="AX178" s="335"/>
      <c r="AY178" s="335"/>
      <c r="AZ178" s="335"/>
      <c r="BA178" s="335"/>
      <c r="BB178" s="335"/>
      <c r="BC178" s="335"/>
      <c r="BD178" s="335"/>
      <c r="BE178" s="335"/>
      <c r="BF178" s="335"/>
      <c r="BG178" s="335"/>
      <c r="BH178" s="335"/>
      <c r="BI178" s="335"/>
      <c r="BJ178" s="335"/>
      <c r="BK178" s="335"/>
      <c r="BL178" s="335"/>
      <c r="BM178" s="335"/>
      <c r="BN178" s="335"/>
      <c r="BO178" s="335"/>
      <c r="BP178" s="335"/>
      <c r="BQ178" s="335"/>
      <c r="BR178" s="335"/>
      <c r="BS178" s="335"/>
      <c r="BT178" s="335"/>
      <c r="BU178" s="335"/>
      <c r="BV178" s="335"/>
      <c r="BW178" s="335"/>
      <c r="BX178" s="335"/>
      <c r="BY178" s="335"/>
      <c r="BZ178" s="335"/>
      <c r="CA178" s="335"/>
      <c r="CB178" s="335"/>
      <c r="CC178" s="335"/>
      <c r="CD178" s="335"/>
      <c r="CE178" s="335"/>
      <c r="CF178" s="335"/>
      <c r="CG178" s="335"/>
      <c r="CH178" s="335"/>
      <c r="CI178" s="335"/>
      <c r="CJ178" s="335"/>
      <c r="CK178" s="335"/>
      <c r="CL178" s="335"/>
      <c r="CM178" s="335"/>
      <c r="CN178" s="335"/>
      <c r="CO178" s="335"/>
      <c r="CP178" s="335"/>
      <c r="CQ178" s="335"/>
      <c r="CR178" s="335"/>
      <c r="CS178" s="335"/>
      <c r="CT178" s="335"/>
      <c r="CU178" s="335"/>
      <c r="CV178" s="335"/>
      <c r="CW178" s="335"/>
      <c r="CX178" s="335"/>
      <c r="CY178" s="335"/>
      <c r="CZ178" s="335"/>
      <c r="DA178" s="335"/>
      <c r="DB178" s="335"/>
      <c r="DC178" s="335"/>
      <c r="DD178" s="335"/>
      <c r="DE178" s="335"/>
      <c r="DF178" s="335"/>
      <c r="DG178" s="335"/>
      <c r="DH178" s="335"/>
      <c r="DI178" s="335"/>
      <c r="DJ178" s="335"/>
      <c r="DK178" s="335"/>
      <c r="DL178" s="335"/>
      <c r="DM178" s="335"/>
      <c r="DN178" s="335"/>
      <c r="DO178" s="335"/>
      <c r="DP178" s="335"/>
      <c r="DQ178" s="335"/>
      <c r="DR178" s="335"/>
      <c r="DS178" s="335"/>
      <c r="DT178" s="335"/>
      <c r="DU178" s="335"/>
      <c r="DV178" s="335"/>
      <c r="DW178" s="335"/>
      <c r="DX178" s="335"/>
      <c r="DY178" s="335"/>
      <c r="DZ178" s="335"/>
      <c r="EA178" s="335"/>
      <c r="EB178" s="335"/>
      <c r="EC178" s="335"/>
      <c r="ED178" s="335"/>
      <c r="EE178" s="335"/>
      <c r="EF178" s="335"/>
      <c r="EG178" s="335"/>
      <c r="EH178" s="335"/>
      <c r="EI178" s="335"/>
      <c r="EJ178" s="335"/>
      <c r="EK178" s="335"/>
      <c r="EL178" s="335"/>
      <c r="EM178" s="335"/>
      <c r="EN178" s="335"/>
      <c r="EO178" s="335"/>
      <c r="EP178" s="335"/>
      <c r="EQ178" s="335"/>
      <c r="ER178" s="335"/>
      <c r="ES178" s="335"/>
      <c r="ET178" s="335"/>
      <c r="EU178" s="335"/>
      <c r="EV178" s="335"/>
      <c r="EW178" s="335"/>
      <c r="EX178" s="335"/>
      <c r="EY178" s="335"/>
      <c r="EZ178" s="335"/>
      <c r="FA178" s="335"/>
      <c r="FB178" s="335"/>
      <c r="FC178" s="335"/>
      <c r="FD178" s="335"/>
      <c r="FE178" s="335"/>
      <c r="FF178" s="335"/>
      <c r="FG178" s="335"/>
      <c r="FH178" s="335"/>
      <c r="FI178" s="335"/>
      <c r="FJ178" s="335"/>
      <c r="FK178" s="335"/>
      <c r="FL178" s="335"/>
      <c r="FM178" s="335"/>
      <c r="FN178" s="335"/>
      <c r="FO178" s="335"/>
      <c r="FP178" s="335"/>
      <c r="FQ178" s="335"/>
      <c r="FR178" s="335"/>
      <c r="FS178" s="335"/>
      <c r="FT178" s="335"/>
      <c r="FU178" s="335"/>
      <c r="FV178" s="335"/>
      <c r="FW178" s="335"/>
      <c r="FX178" s="335"/>
      <c r="FY178" s="335"/>
    </row>
    <row r="179" spans="1:181" s="343" customFormat="1" ht="12" hidden="1" customHeight="1">
      <c r="A179" s="337"/>
      <c r="B179" s="1384" t="s">
        <v>312</v>
      </c>
      <c r="C179" s="1385">
        <v>1004427</v>
      </c>
      <c r="D179" s="1384" t="s">
        <v>569</v>
      </c>
      <c r="E179" s="1386" t="s">
        <v>253</v>
      </c>
      <c r="F179" s="1385">
        <v>959154</v>
      </c>
      <c r="G179" s="1386" t="s">
        <v>344</v>
      </c>
      <c r="H179" s="1384"/>
      <c r="I179" s="1387">
        <v>42434</v>
      </c>
      <c r="J179" s="1380" t="s">
        <v>475</v>
      </c>
      <c r="K179" s="1385">
        <v>119</v>
      </c>
      <c r="L179" s="1388">
        <v>11</v>
      </c>
      <c r="M179" s="1385">
        <v>10</v>
      </c>
      <c r="N179" s="1388"/>
      <c r="O179" s="1385">
        <v>8.5370000000000008</v>
      </c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  <c r="AA179" s="335"/>
      <c r="AB179" s="335"/>
      <c r="AC179" s="335"/>
      <c r="AD179" s="335"/>
      <c r="AE179" s="335"/>
      <c r="AF179" s="335"/>
      <c r="AG179" s="335"/>
      <c r="AH179" s="335"/>
      <c r="AI179" s="335"/>
      <c r="AJ179" s="335"/>
      <c r="AK179" s="335"/>
      <c r="AL179" s="335"/>
      <c r="AM179" s="335"/>
      <c r="AN179" s="335"/>
      <c r="AO179" s="335"/>
      <c r="AP179" s="335"/>
      <c r="AQ179" s="335"/>
      <c r="AR179" s="335"/>
      <c r="AS179" s="335"/>
      <c r="AT179" s="335"/>
      <c r="AU179" s="335"/>
      <c r="AV179" s="335"/>
      <c r="AW179" s="335"/>
      <c r="AX179" s="335"/>
      <c r="AY179" s="335"/>
      <c r="AZ179" s="335"/>
      <c r="BA179" s="335"/>
      <c r="BB179" s="335"/>
      <c r="BC179" s="335"/>
      <c r="BD179" s="335"/>
      <c r="BE179" s="335"/>
      <c r="BF179" s="335"/>
      <c r="BG179" s="335"/>
      <c r="BH179" s="335"/>
      <c r="BI179" s="335"/>
      <c r="BJ179" s="335"/>
      <c r="BK179" s="335"/>
      <c r="BL179" s="335"/>
      <c r="BM179" s="335"/>
      <c r="BN179" s="335"/>
      <c r="BO179" s="335"/>
      <c r="BP179" s="335"/>
      <c r="BQ179" s="335"/>
      <c r="BR179" s="335"/>
      <c r="BS179" s="335"/>
      <c r="BT179" s="335"/>
      <c r="BU179" s="335"/>
      <c r="BV179" s="335"/>
      <c r="BW179" s="335"/>
      <c r="BX179" s="335"/>
      <c r="BY179" s="335"/>
      <c r="BZ179" s="335"/>
      <c r="CA179" s="335"/>
      <c r="CB179" s="335"/>
      <c r="CC179" s="335"/>
      <c r="CD179" s="335"/>
      <c r="CE179" s="335"/>
      <c r="CF179" s="335"/>
      <c r="CG179" s="335"/>
      <c r="CH179" s="335"/>
      <c r="CI179" s="335"/>
      <c r="CJ179" s="335"/>
      <c r="CK179" s="335"/>
      <c r="CL179" s="335"/>
      <c r="CM179" s="335"/>
      <c r="CN179" s="335"/>
      <c r="CO179" s="335"/>
      <c r="CP179" s="335"/>
      <c r="CQ179" s="335"/>
      <c r="CR179" s="335"/>
      <c r="CS179" s="335"/>
      <c r="CT179" s="335"/>
      <c r="CU179" s="335"/>
      <c r="CV179" s="335"/>
      <c r="CW179" s="335"/>
      <c r="CX179" s="335"/>
      <c r="CY179" s="335"/>
      <c r="CZ179" s="335"/>
      <c r="DA179" s="335"/>
      <c r="DB179" s="335"/>
      <c r="DC179" s="335"/>
      <c r="DD179" s="335"/>
      <c r="DE179" s="335"/>
      <c r="DF179" s="335"/>
      <c r="DG179" s="335"/>
      <c r="DH179" s="335"/>
      <c r="DI179" s="335"/>
      <c r="DJ179" s="335"/>
      <c r="DK179" s="335"/>
      <c r="DL179" s="335"/>
      <c r="DM179" s="335"/>
      <c r="DN179" s="335"/>
      <c r="DO179" s="335"/>
      <c r="DP179" s="335"/>
      <c r="DQ179" s="335"/>
      <c r="DR179" s="335"/>
      <c r="DS179" s="335"/>
      <c r="DT179" s="335"/>
      <c r="DU179" s="335"/>
      <c r="DV179" s="335"/>
      <c r="DW179" s="335"/>
      <c r="DX179" s="335"/>
      <c r="DY179" s="335"/>
      <c r="DZ179" s="335"/>
      <c r="EA179" s="335"/>
      <c r="EB179" s="335"/>
      <c r="EC179" s="335"/>
      <c r="ED179" s="335"/>
      <c r="EE179" s="335"/>
      <c r="EF179" s="335"/>
      <c r="EG179" s="335"/>
      <c r="EH179" s="335"/>
      <c r="EI179" s="335"/>
      <c r="EJ179" s="335"/>
      <c r="EK179" s="335"/>
      <c r="EL179" s="335"/>
      <c r="EM179" s="335"/>
      <c r="EN179" s="335"/>
      <c r="EO179" s="335"/>
      <c r="EP179" s="335"/>
      <c r="EQ179" s="335"/>
      <c r="ER179" s="335"/>
      <c r="ES179" s="335"/>
      <c r="ET179" s="335"/>
      <c r="EU179" s="335"/>
      <c r="EV179" s="335"/>
      <c r="EW179" s="335"/>
      <c r="EX179" s="335"/>
      <c r="EY179" s="335"/>
      <c r="EZ179" s="335"/>
      <c r="FA179" s="335"/>
      <c r="FB179" s="335"/>
      <c r="FC179" s="335"/>
      <c r="FD179" s="335"/>
      <c r="FE179" s="335"/>
      <c r="FF179" s="335"/>
      <c r="FG179" s="335"/>
      <c r="FH179" s="335"/>
      <c r="FI179" s="335"/>
      <c r="FJ179" s="335"/>
      <c r="FK179" s="335"/>
      <c r="FL179" s="335"/>
      <c r="FM179" s="335"/>
      <c r="FN179" s="335"/>
      <c r="FO179" s="335"/>
      <c r="FP179" s="335"/>
      <c r="FQ179" s="335"/>
      <c r="FR179" s="335"/>
      <c r="FS179" s="335"/>
      <c r="FT179" s="335"/>
      <c r="FU179" s="335"/>
      <c r="FV179" s="335"/>
      <c r="FW179" s="335"/>
      <c r="FX179" s="335"/>
      <c r="FY179" s="335"/>
    </row>
    <row r="180" spans="1:181" s="343" customFormat="1" ht="12" hidden="1" customHeight="1">
      <c r="A180" s="337"/>
      <c r="B180" s="1384" t="s">
        <v>312</v>
      </c>
      <c r="C180" s="1385">
        <v>1032078</v>
      </c>
      <c r="D180" s="1384" t="s">
        <v>569</v>
      </c>
      <c r="E180" s="1386" t="s">
        <v>253</v>
      </c>
      <c r="F180" s="1385">
        <v>959154</v>
      </c>
      <c r="G180" s="1386" t="s">
        <v>344</v>
      </c>
      <c r="H180" s="1384"/>
      <c r="I180" s="1387">
        <v>42476</v>
      </c>
      <c r="J180" s="1380" t="s">
        <v>475</v>
      </c>
      <c r="K180" s="1385">
        <v>119</v>
      </c>
      <c r="L180" s="1388">
        <v>11</v>
      </c>
      <c r="M180" s="1385">
        <v>14</v>
      </c>
      <c r="N180" s="1388"/>
      <c r="O180" s="1385">
        <v>7.6779999999999999</v>
      </c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  <c r="AA180" s="335"/>
      <c r="AB180" s="335"/>
      <c r="AC180" s="335"/>
      <c r="AD180" s="335"/>
      <c r="AE180" s="335"/>
      <c r="AF180" s="335"/>
      <c r="AG180" s="335"/>
      <c r="AH180" s="335"/>
      <c r="AI180" s="335"/>
      <c r="AJ180" s="335"/>
      <c r="AK180" s="335"/>
      <c r="AL180" s="335"/>
      <c r="AM180" s="335"/>
      <c r="AN180" s="335"/>
      <c r="AO180" s="335"/>
      <c r="AP180" s="335"/>
      <c r="AQ180" s="335"/>
      <c r="AR180" s="335"/>
      <c r="AS180" s="335"/>
      <c r="AT180" s="335"/>
      <c r="AU180" s="335"/>
      <c r="AV180" s="335"/>
      <c r="AW180" s="335"/>
      <c r="AX180" s="335"/>
      <c r="AY180" s="335"/>
      <c r="AZ180" s="335"/>
      <c r="BA180" s="335"/>
      <c r="BB180" s="335"/>
      <c r="BC180" s="335"/>
      <c r="BD180" s="335"/>
      <c r="BE180" s="335"/>
      <c r="BF180" s="335"/>
      <c r="BG180" s="335"/>
      <c r="BH180" s="335"/>
      <c r="BI180" s="335"/>
      <c r="BJ180" s="335"/>
      <c r="BK180" s="335"/>
      <c r="BL180" s="335"/>
      <c r="BM180" s="335"/>
      <c r="BN180" s="335"/>
      <c r="BO180" s="335"/>
      <c r="BP180" s="335"/>
      <c r="BQ180" s="335"/>
      <c r="BR180" s="335"/>
      <c r="BS180" s="335"/>
      <c r="BT180" s="335"/>
      <c r="BU180" s="335"/>
      <c r="BV180" s="335"/>
      <c r="BW180" s="335"/>
      <c r="BX180" s="335"/>
      <c r="BY180" s="335"/>
      <c r="BZ180" s="335"/>
      <c r="CA180" s="335"/>
      <c r="CB180" s="335"/>
      <c r="CC180" s="335"/>
      <c r="CD180" s="335"/>
      <c r="CE180" s="335"/>
      <c r="CF180" s="335"/>
      <c r="CG180" s="335"/>
      <c r="CH180" s="335"/>
      <c r="CI180" s="335"/>
      <c r="CJ180" s="335"/>
      <c r="CK180" s="335"/>
      <c r="CL180" s="335"/>
      <c r="CM180" s="335"/>
      <c r="CN180" s="335"/>
      <c r="CO180" s="335"/>
      <c r="CP180" s="335"/>
      <c r="CQ180" s="335"/>
      <c r="CR180" s="335"/>
      <c r="CS180" s="335"/>
      <c r="CT180" s="335"/>
      <c r="CU180" s="335"/>
      <c r="CV180" s="335"/>
      <c r="CW180" s="335"/>
      <c r="CX180" s="335"/>
      <c r="CY180" s="335"/>
      <c r="CZ180" s="335"/>
      <c r="DA180" s="335"/>
      <c r="DB180" s="335"/>
      <c r="DC180" s="335"/>
      <c r="DD180" s="335"/>
      <c r="DE180" s="335"/>
      <c r="DF180" s="335"/>
      <c r="DG180" s="335"/>
      <c r="DH180" s="335"/>
      <c r="DI180" s="335"/>
      <c r="DJ180" s="335"/>
      <c r="DK180" s="335"/>
      <c r="DL180" s="335"/>
      <c r="DM180" s="335"/>
      <c r="DN180" s="335"/>
      <c r="DO180" s="335"/>
      <c r="DP180" s="335"/>
      <c r="DQ180" s="335"/>
      <c r="DR180" s="335"/>
      <c r="DS180" s="335"/>
      <c r="DT180" s="335"/>
      <c r="DU180" s="335"/>
      <c r="DV180" s="335"/>
      <c r="DW180" s="335"/>
      <c r="DX180" s="335"/>
      <c r="DY180" s="335"/>
      <c r="DZ180" s="335"/>
      <c r="EA180" s="335"/>
      <c r="EB180" s="335"/>
      <c r="EC180" s="335"/>
      <c r="ED180" s="335"/>
      <c r="EE180" s="335"/>
      <c r="EF180" s="335"/>
      <c r="EG180" s="335"/>
      <c r="EH180" s="335"/>
      <c r="EI180" s="335"/>
      <c r="EJ180" s="335"/>
      <c r="EK180" s="335"/>
      <c r="EL180" s="335"/>
      <c r="EM180" s="335"/>
      <c r="EN180" s="335"/>
      <c r="EO180" s="335"/>
      <c r="EP180" s="335"/>
      <c r="EQ180" s="335"/>
      <c r="ER180" s="335"/>
      <c r="ES180" s="335"/>
      <c r="ET180" s="335"/>
      <c r="EU180" s="335"/>
      <c r="EV180" s="335"/>
      <c r="EW180" s="335"/>
      <c r="EX180" s="335"/>
      <c r="EY180" s="335"/>
      <c r="EZ180" s="335"/>
      <c r="FA180" s="335"/>
      <c r="FB180" s="335"/>
      <c r="FC180" s="335"/>
      <c r="FD180" s="335"/>
      <c r="FE180" s="335"/>
      <c r="FF180" s="335"/>
      <c r="FG180" s="335"/>
      <c r="FH180" s="335"/>
      <c r="FI180" s="335"/>
      <c r="FJ180" s="335"/>
      <c r="FK180" s="335"/>
      <c r="FL180" s="335"/>
      <c r="FM180" s="335"/>
      <c r="FN180" s="335"/>
      <c r="FO180" s="335"/>
      <c r="FP180" s="335"/>
      <c r="FQ180" s="335"/>
      <c r="FR180" s="335"/>
      <c r="FS180" s="335"/>
      <c r="FT180" s="335"/>
      <c r="FU180" s="335"/>
      <c r="FV180" s="335"/>
      <c r="FW180" s="335"/>
      <c r="FX180" s="335"/>
      <c r="FY180" s="335"/>
    </row>
    <row r="181" spans="1:181" s="343" customFormat="1" ht="12" hidden="1" customHeight="1">
      <c r="A181" s="337"/>
      <c r="B181" s="1384" t="s">
        <v>312</v>
      </c>
      <c r="C181" s="1385">
        <v>1032209</v>
      </c>
      <c r="D181" s="1384" t="s">
        <v>569</v>
      </c>
      <c r="E181" s="1386" t="s">
        <v>253</v>
      </c>
      <c r="F181" s="1385">
        <v>959154</v>
      </c>
      <c r="G181" s="1386" t="s">
        <v>344</v>
      </c>
      <c r="H181" s="1384"/>
      <c r="I181" s="1387">
        <v>42509</v>
      </c>
      <c r="J181" s="1380" t="s">
        <v>475</v>
      </c>
      <c r="K181" s="1385">
        <v>120</v>
      </c>
      <c r="L181" s="1388">
        <v>12</v>
      </c>
      <c r="M181" s="1385">
        <v>14</v>
      </c>
      <c r="N181" s="1388"/>
      <c r="O181" s="1385">
        <v>9.3879999999999999</v>
      </c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  <c r="AA181" s="335"/>
      <c r="AB181" s="335"/>
      <c r="AC181" s="335"/>
      <c r="AD181" s="335"/>
      <c r="AE181" s="335"/>
      <c r="AF181" s="335"/>
      <c r="AG181" s="335"/>
      <c r="AH181" s="335"/>
      <c r="AI181" s="335"/>
      <c r="AJ181" s="335"/>
      <c r="AK181" s="335"/>
      <c r="AL181" s="335"/>
      <c r="AM181" s="335"/>
      <c r="AN181" s="335"/>
      <c r="AO181" s="335"/>
      <c r="AP181" s="335"/>
      <c r="AQ181" s="335"/>
      <c r="AR181" s="335"/>
      <c r="AS181" s="335"/>
      <c r="AT181" s="335"/>
      <c r="AU181" s="335"/>
      <c r="AV181" s="335"/>
      <c r="AW181" s="335"/>
      <c r="AX181" s="335"/>
      <c r="AY181" s="335"/>
      <c r="AZ181" s="335"/>
      <c r="BA181" s="335"/>
      <c r="BB181" s="335"/>
      <c r="BC181" s="335"/>
      <c r="BD181" s="335"/>
      <c r="BE181" s="335"/>
      <c r="BF181" s="335"/>
      <c r="BG181" s="335"/>
      <c r="BH181" s="335"/>
      <c r="BI181" s="335"/>
      <c r="BJ181" s="335"/>
      <c r="BK181" s="335"/>
      <c r="BL181" s="335"/>
      <c r="BM181" s="335"/>
      <c r="BN181" s="335"/>
      <c r="BO181" s="335"/>
      <c r="BP181" s="335"/>
      <c r="BQ181" s="335"/>
      <c r="BR181" s="335"/>
      <c r="BS181" s="335"/>
      <c r="BT181" s="335"/>
      <c r="BU181" s="335"/>
      <c r="BV181" s="335"/>
      <c r="BW181" s="335"/>
      <c r="BX181" s="335"/>
      <c r="BY181" s="335"/>
      <c r="BZ181" s="335"/>
      <c r="CA181" s="335"/>
      <c r="CB181" s="335"/>
      <c r="CC181" s="335"/>
      <c r="CD181" s="335"/>
      <c r="CE181" s="335"/>
      <c r="CF181" s="335"/>
      <c r="CG181" s="335"/>
      <c r="CH181" s="335"/>
      <c r="CI181" s="335"/>
      <c r="CJ181" s="335"/>
      <c r="CK181" s="335"/>
      <c r="CL181" s="335"/>
      <c r="CM181" s="335"/>
      <c r="CN181" s="335"/>
      <c r="CO181" s="335"/>
      <c r="CP181" s="335"/>
      <c r="CQ181" s="335"/>
      <c r="CR181" s="335"/>
      <c r="CS181" s="335"/>
      <c r="CT181" s="335"/>
      <c r="CU181" s="335"/>
      <c r="CV181" s="335"/>
      <c r="CW181" s="335"/>
      <c r="CX181" s="335"/>
      <c r="CY181" s="335"/>
      <c r="CZ181" s="335"/>
      <c r="DA181" s="335"/>
      <c r="DB181" s="335"/>
      <c r="DC181" s="335"/>
      <c r="DD181" s="335"/>
      <c r="DE181" s="335"/>
      <c r="DF181" s="335"/>
      <c r="DG181" s="335"/>
      <c r="DH181" s="335"/>
      <c r="DI181" s="335"/>
      <c r="DJ181" s="335"/>
      <c r="DK181" s="335"/>
      <c r="DL181" s="335"/>
      <c r="DM181" s="335"/>
      <c r="DN181" s="335"/>
      <c r="DO181" s="335"/>
      <c r="DP181" s="335"/>
      <c r="DQ181" s="335"/>
      <c r="DR181" s="335"/>
      <c r="DS181" s="335"/>
      <c r="DT181" s="335"/>
      <c r="DU181" s="335"/>
      <c r="DV181" s="335"/>
      <c r="DW181" s="335"/>
      <c r="DX181" s="335"/>
      <c r="DY181" s="335"/>
      <c r="DZ181" s="335"/>
      <c r="EA181" s="335"/>
      <c r="EB181" s="335"/>
      <c r="EC181" s="335"/>
      <c r="ED181" s="335"/>
      <c r="EE181" s="335"/>
      <c r="EF181" s="335"/>
      <c r="EG181" s="335"/>
      <c r="EH181" s="335"/>
      <c r="EI181" s="335"/>
      <c r="EJ181" s="335"/>
      <c r="EK181" s="335"/>
      <c r="EL181" s="335"/>
      <c r="EM181" s="335"/>
      <c r="EN181" s="335"/>
      <c r="EO181" s="335"/>
      <c r="EP181" s="335"/>
      <c r="EQ181" s="335"/>
      <c r="ER181" s="335"/>
      <c r="ES181" s="335"/>
      <c r="ET181" s="335"/>
      <c r="EU181" s="335"/>
      <c r="EV181" s="335"/>
      <c r="EW181" s="335"/>
      <c r="EX181" s="335"/>
      <c r="EY181" s="335"/>
      <c r="EZ181" s="335"/>
      <c r="FA181" s="335"/>
      <c r="FB181" s="335"/>
      <c r="FC181" s="335"/>
      <c r="FD181" s="335"/>
      <c r="FE181" s="335"/>
      <c r="FF181" s="335"/>
      <c r="FG181" s="335"/>
      <c r="FH181" s="335"/>
      <c r="FI181" s="335"/>
      <c r="FJ181" s="335"/>
      <c r="FK181" s="335"/>
      <c r="FL181" s="335"/>
      <c r="FM181" s="335"/>
      <c r="FN181" s="335"/>
      <c r="FO181" s="335"/>
      <c r="FP181" s="335"/>
      <c r="FQ181" s="335"/>
      <c r="FR181" s="335"/>
      <c r="FS181" s="335"/>
      <c r="FT181" s="335"/>
      <c r="FU181" s="335"/>
      <c r="FV181" s="335"/>
      <c r="FW181" s="335"/>
      <c r="FX181" s="335"/>
      <c r="FY181" s="335"/>
    </row>
    <row r="182" spans="1:181" s="343" customFormat="1" ht="12" hidden="1" customHeight="1" thickBot="1">
      <c r="A182" s="338"/>
      <c r="B182" s="1384" t="s">
        <v>312</v>
      </c>
      <c r="C182" s="1385">
        <v>1031722</v>
      </c>
      <c r="D182" s="1384" t="s">
        <v>569</v>
      </c>
      <c r="E182" s="1386" t="s">
        <v>319</v>
      </c>
      <c r="F182" s="1385">
        <v>960037</v>
      </c>
      <c r="G182" s="1386" t="s">
        <v>343</v>
      </c>
      <c r="H182" s="1384"/>
      <c r="I182" s="1387">
        <v>42398</v>
      </c>
      <c r="J182" s="1380" t="s">
        <v>475</v>
      </c>
      <c r="K182" s="1385">
        <v>120</v>
      </c>
      <c r="L182" s="1388">
        <v>12</v>
      </c>
      <c r="M182" s="1385">
        <v>14</v>
      </c>
      <c r="N182" s="1388"/>
      <c r="O182" s="1385">
        <v>8.6999999999999993</v>
      </c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335"/>
      <c r="AB182" s="335"/>
      <c r="AC182" s="335"/>
      <c r="AD182" s="335"/>
      <c r="AE182" s="335"/>
      <c r="AF182" s="335"/>
      <c r="AG182" s="335"/>
      <c r="AH182" s="335"/>
      <c r="AI182" s="335"/>
      <c r="AJ182" s="335"/>
      <c r="AK182" s="335"/>
      <c r="AL182" s="335"/>
      <c r="AM182" s="335"/>
      <c r="AN182" s="335"/>
      <c r="AO182" s="335"/>
      <c r="AP182" s="335"/>
      <c r="AQ182" s="335"/>
      <c r="AR182" s="335"/>
      <c r="AS182" s="335"/>
      <c r="AT182" s="335"/>
      <c r="AU182" s="335"/>
      <c r="AV182" s="335"/>
      <c r="AW182" s="335"/>
      <c r="AX182" s="335"/>
      <c r="AY182" s="335"/>
      <c r="AZ182" s="335"/>
      <c r="BA182" s="335"/>
      <c r="BB182" s="335"/>
      <c r="BC182" s="335"/>
      <c r="BD182" s="335"/>
      <c r="BE182" s="335"/>
      <c r="BF182" s="335"/>
      <c r="BG182" s="335"/>
      <c r="BH182" s="335"/>
      <c r="BI182" s="335"/>
      <c r="BJ182" s="335"/>
      <c r="BK182" s="335"/>
      <c r="BL182" s="335"/>
      <c r="BM182" s="335"/>
      <c r="BN182" s="335"/>
      <c r="BO182" s="335"/>
      <c r="BP182" s="335"/>
      <c r="BQ182" s="335"/>
      <c r="BR182" s="335"/>
      <c r="BS182" s="335"/>
      <c r="BT182" s="335"/>
      <c r="BU182" s="335"/>
      <c r="BV182" s="335"/>
      <c r="BW182" s="335"/>
      <c r="BX182" s="335"/>
      <c r="BY182" s="335"/>
      <c r="BZ182" s="335"/>
      <c r="CA182" s="335"/>
      <c r="CB182" s="335"/>
      <c r="CC182" s="335"/>
      <c r="CD182" s="335"/>
      <c r="CE182" s="335"/>
      <c r="CF182" s="335"/>
      <c r="CG182" s="335"/>
      <c r="CH182" s="335"/>
      <c r="CI182" s="335"/>
      <c r="CJ182" s="335"/>
      <c r="CK182" s="335"/>
      <c r="CL182" s="335"/>
      <c r="CM182" s="335"/>
      <c r="CN182" s="335"/>
      <c r="CO182" s="335"/>
      <c r="CP182" s="335"/>
      <c r="CQ182" s="335"/>
      <c r="CR182" s="335"/>
      <c r="CS182" s="335"/>
      <c r="CT182" s="335"/>
      <c r="CU182" s="335"/>
      <c r="CV182" s="335"/>
      <c r="CW182" s="335"/>
      <c r="CX182" s="335"/>
      <c r="CY182" s="335"/>
      <c r="CZ182" s="335"/>
      <c r="DA182" s="335"/>
      <c r="DB182" s="335"/>
      <c r="DC182" s="335"/>
      <c r="DD182" s="335"/>
      <c r="DE182" s="335"/>
      <c r="DF182" s="335"/>
      <c r="DG182" s="335"/>
      <c r="DH182" s="335"/>
      <c r="DI182" s="335"/>
      <c r="DJ182" s="335"/>
      <c r="DK182" s="335"/>
      <c r="DL182" s="335"/>
      <c r="DM182" s="335"/>
      <c r="DN182" s="335"/>
      <c r="DO182" s="335"/>
      <c r="DP182" s="335"/>
      <c r="DQ182" s="335"/>
      <c r="DR182" s="335"/>
      <c r="DS182" s="335"/>
      <c r="DT182" s="335"/>
      <c r="DU182" s="335"/>
      <c r="DV182" s="335"/>
      <c r="DW182" s="335"/>
      <c r="DX182" s="335"/>
      <c r="DY182" s="335"/>
      <c r="DZ182" s="335"/>
      <c r="EA182" s="335"/>
      <c r="EB182" s="335"/>
      <c r="EC182" s="335"/>
      <c r="ED182" s="335"/>
      <c r="EE182" s="335"/>
      <c r="EF182" s="335"/>
      <c r="EG182" s="335"/>
      <c r="EH182" s="335"/>
      <c r="EI182" s="335"/>
      <c r="EJ182" s="335"/>
      <c r="EK182" s="335"/>
      <c r="EL182" s="335"/>
      <c r="EM182" s="335"/>
      <c r="EN182" s="335"/>
      <c r="EO182" s="335"/>
      <c r="EP182" s="335"/>
      <c r="EQ182" s="335"/>
      <c r="ER182" s="335"/>
      <c r="ES182" s="335"/>
      <c r="ET182" s="335"/>
      <c r="EU182" s="335"/>
      <c r="EV182" s="335"/>
      <c r="EW182" s="335"/>
      <c r="EX182" s="335"/>
      <c r="EY182" s="335"/>
      <c r="EZ182" s="335"/>
      <c r="FA182" s="335"/>
      <c r="FB182" s="335"/>
      <c r="FC182" s="335"/>
      <c r="FD182" s="335"/>
      <c r="FE182" s="335"/>
      <c r="FF182" s="335"/>
      <c r="FG182" s="335"/>
      <c r="FH182" s="335"/>
      <c r="FI182" s="335"/>
      <c r="FJ182" s="335"/>
      <c r="FK182" s="335"/>
      <c r="FL182" s="335"/>
      <c r="FM182" s="335"/>
      <c r="FN182" s="335"/>
      <c r="FO182" s="335"/>
      <c r="FP182" s="335"/>
      <c r="FQ182" s="335"/>
      <c r="FR182" s="335"/>
      <c r="FS182" s="335"/>
      <c r="FT182" s="335"/>
      <c r="FU182" s="335"/>
      <c r="FV182" s="335"/>
      <c r="FW182" s="335"/>
      <c r="FX182" s="335"/>
      <c r="FY182" s="335"/>
    </row>
    <row r="183" spans="1:181" s="335" customFormat="1" ht="12" hidden="1" customHeight="1">
      <c r="B183" s="1384" t="s">
        <v>312</v>
      </c>
      <c r="C183" s="1385">
        <v>1031934</v>
      </c>
      <c r="D183" s="1384" t="s">
        <v>569</v>
      </c>
      <c r="E183" s="1386" t="s">
        <v>319</v>
      </c>
      <c r="F183" s="1385">
        <v>960037</v>
      </c>
      <c r="G183" s="1386" t="s">
        <v>343</v>
      </c>
      <c r="H183" s="1384"/>
      <c r="I183" s="1387">
        <v>42445</v>
      </c>
      <c r="J183" s="1380" t="s">
        <v>475</v>
      </c>
      <c r="K183" s="1385">
        <v>120</v>
      </c>
      <c r="L183" s="1388">
        <v>12</v>
      </c>
      <c r="M183" s="1385">
        <v>14</v>
      </c>
      <c r="N183" s="1388"/>
      <c r="O183" s="1385">
        <v>6.7830000000000004</v>
      </c>
    </row>
    <row r="184" spans="1:181" s="335" customFormat="1" ht="12" hidden="1" customHeight="1">
      <c r="B184" s="1384" t="s">
        <v>312</v>
      </c>
      <c r="C184" s="1385">
        <v>15019373</v>
      </c>
      <c r="D184" s="1384" t="s">
        <v>569</v>
      </c>
      <c r="E184" s="1386" t="s">
        <v>319</v>
      </c>
      <c r="F184" s="1385">
        <v>960037</v>
      </c>
      <c r="G184" s="1386" t="s">
        <v>343</v>
      </c>
      <c r="H184" s="1384"/>
      <c r="I184" s="1387">
        <v>42513</v>
      </c>
      <c r="J184" s="1380" t="s">
        <v>475</v>
      </c>
      <c r="K184" s="1385">
        <v>120</v>
      </c>
      <c r="L184" s="1388">
        <v>12</v>
      </c>
      <c r="M184" s="1385">
        <v>14</v>
      </c>
      <c r="N184" s="1388"/>
      <c r="O184" s="1385">
        <v>8.3970000000000002</v>
      </c>
    </row>
    <row r="185" spans="1:181" s="335" customFormat="1" ht="12" customHeight="1">
      <c r="B185" s="1384" t="s">
        <v>312</v>
      </c>
      <c r="C185" s="1385">
        <v>1218199</v>
      </c>
      <c r="D185" s="1384" t="s">
        <v>569</v>
      </c>
      <c r="E185" s="1386" t="s">
        <v>305</v>
      </c>
      <c r="F185" s="1385">
        <v>962728</v>
      </c>
      <c r="G185" s="1386" t="s">
        <v>348</v>
      </c>
      <c r="H185" s="1384"/>
      <c r="I185" s="1387">
        <v>42499</v>
      </c>
      <c r="J185" s="1380" t="s">
        <v>475</v>
      </c>
      <c r="K185" s="1385">
        <v>119</v>
      </c>
      <c r="L185" s="1388">
        <v>11</v>
      </c>
      <c r="M185" s="1385">
        <v>8</v>
      </c>
      <c r="N185" s="1388"/>
      <c r="O185" s="1385">
        <v>4.016</v>
      </c>
    </row>
    <row r="186" spans="1:181" s="335" customFormat="1" ht="12" customHeight="1">
      <c r="B186" s="1384" t="s">
        <v>312</v>
      </c>
      <c r="C186" s="1385">
        <v>1031706</v>
      </c>
      <c r="D186" s="1384" t="s">
        <v>569</v>
      </c>
      <c r="E186" s="1386" t="s">
        <v>320</v>
      </c>
      <c r="F186" s="1385">
        <v>902203</v>
      </c>
      <c r="G186" s="1386" t="s">
        <v>334</v>
      </c>
      <c r="H186" s="1384"/>
      <c r="I186" s="1387">
        <v>42395</v>
      </c>
      <c r="J186" s="1380" t="s">
        <v>475</v>
      </c>
      <c r="K186" s="1385">
        <v>119</v>
      </c>
      <c r="L186" s="1388">
        <v>11</v>
      </c>
      <c r="M186" s="1385">
        <v>14</v>
      </c>
      <c r="N186" s="1388"/>
      <c r="O186" s="1385">
        <v>5.3780000000000001</v>
      </c>
    </row>
    <row r="187" spans="1:181" s="335" customFormat="1" ht="12" hidden="1" customHeight="1">
      <c r="B187" s="1384" t="s">
        <v>312</v>
      </c>
      <c r="C187" s="1385">
        <v>15018475</v>
      </c>
      <c r="D187" s="1384" t="s">
        <v>569</v>
      </c>
      <c r="E187" s="1386" t="s">
        <v>359</v>
      </c>
      <c r="F187" s="1385">
        <v>955418</v>
      </c>
      <c r="G187" s="1386" t="s">
        <v>361</v>
      </c>
      <c r="H187" s="1384"/>
      <c r="I187" s="1387">
        <v>42494</v>
      </c>
      <c r="J187" s="1380" t="s">
        <v>475</v>
      </c>
      <c r="K187" s="1385">
        <v>119</v>
      </c>
      <c r="L187" s="1388">
        <v>11</v>
      </c>
      <c r="M187" s="1385">
        <v>10</v>
      </c>
      <c r="N187" s="1388"/>
      <c r="O187" s="1385">
        <v>4.8940000000000001</v>
      </c>
    </row>
    <row r="188" spans="1:181" s="335" customFormat="1" ht="12" hidden="1" customHeight="1">
      <c r="B188" s="1384" t="s">
        <v>312</v>
      </c>
      <c r="C188" s="1385">
        <v>1004624</v>
      </c>
      <c r="D188" s="1384" t="s">
        <v>569</v>
      </c>
      <c r="E188" s="1386" t="s">
        <v>345</v>
      </c>
      <c r="F188" s="1385">
        <v>913818</v>
      </c>
      <c r="G188" s="1386" t="s">
        <v>347</v>
      </c>
      <c r="H188" s="1384"/>
      <c r="I188" s="1387">
        <v>42494</v>
      </c>
      <c r="J188" s="1380" t="s">
        <v>475</v>
      </c>
      <c r="K188" s="1385">
        <v>119</v>
      </c>
      <c r="L188" s="1388">
        <v>11</v>
      </c>
      <c r="M188" s="1385">
        <v>10</v>
      </c>
      <c r="N188" s="1388"/>
      <c r="O188" s="1385">
        <v>4.3849999999999998</v>
      </c>
    </row>
    <row r="189" spans="1:181" s="335" customFormat="1" ht="12" hidden="1" customHeight="1">
      <c r="B189" s="1384" t="s">
        <v>312</v>
      </c>
      <c r="C189" s="1385">
        <v>1004628</v>
      </c>
      <c r="D189" s="1384" t="s">
        <v>569</v>
      </c>
      <c r="E189" s="1386" t="s">
        <v>345</v>
      </c>
      <c r="F189" s="1385">
        <v>913819</v>
      </c>
      <c r="G189" s="1386" t="s">
        <v>346</v>
      </c>
      <c r="H189" s="1384"/>
      <c r="I189" s="1387">
        <v>42494</v>
      </c>
      <c r="J189" s="1380" t="s">
        <v>475</v>
      </c>
      <c r="K189" s="1385">
        <v>119</v>
      </c>
      <c r="L189" s="1388">
        <v>11</v>
      </c>
      <c r="M189" s="1385">
        <v>10</v>
      </c>
      <c r="N189" s="1388"/>
      <c r="O189" s="1385">
        <v>4.1349999999999998</v>
      </c>
    </row>
    <row r="190" spans="1:181" s="335" customFormat="1" ht="12" hidden="1" customHeight="1">
      <c r="B190" s="1384" t="s">
        <v>312</v>
      </c>
      <c r="C190" s="1385">
        <v>1032104</v>
      </c>
      <c r="D190" s="1384" t="s">
        <v>569</v>
      </c>
      <c r="E190" s="1386" t="s">
        <v>197</v>
      </c>
      <c r="F190" s="1385">
        <v>11854</v>
      </c>
      <c r="G190" s="1386" t="s">
        <v>339</v>
      </c>
      <c r="H190" s="1384"/>
      <c r="I190" s="1387">
        <v>42487</v>
      </c>
      <c r="J190" s="1380" t="s">
        <v>475</v>
      </c>
      <c r="K190" s="1385">
        <v>119</v>
      </c>
      <c r="L190" s="1388">
        <v>11</v>
      </c>
      <c r="M190" s="1385">
        <v>14</v>
      </c>
      <c r="N190" s="1388"/>
      <c r="O190" s="1385">
        <v>4.3940000000000001</v>
      </c>
    </row>
    <row r="191" spans="1:181" s="335" customFormat="1" ht="12" hidden="1" customHeight="1">
      <c r="B191" s="1398" t="s">
        <v>312</v>
      </c>
      <c r="C191" s="1399">
        <v>1032106</v>
      </c>
      <c r="D191" s="1398" t="s">
        <v>569</v>
      </c>
      <c r="E191" s="1400" t="s">
        <v>197</v>
      </c>
      <c r="F191" s="1399">
        <v>915628</v>
      </c>
      <c r="G191" s="1400" t="s">
        <v>451</v>
      </c>
      <c r="H191" s="1398"/>
      <c r="I191" s="1394">
        <v>42487</v>
      </c>
      <c r="J191" s="1395" t="s">
        <v>475</v>
      </c>
      <c r="K191" s="1399">
        <v>119</v>
      </c>
      <c r="L191" s="1401">
        <v>11</v>
      </c>
      <c r="M191" s="1399">
        <v>14</v>
      </c>
      <c r="N191" s="1388"/>
      <c r="O191" s="1399">
        <v>3.9550000000000001</v>
      </c>
    </row>
    <row r="192" spans="1:181" s="335" customFormat="1" ht="12" hidden="1" customHeight="1">
      <c r="B192" s="1384" t="s">
        <v>312</v>
      </c>
      <c r="C192" s="1385">
        <v>312503</v>
      </c>
      <c r="D192" s="1384" t="s">
        <v>569</v>
      </c>
      <c r="E192" s="1386" t="s">
        <v>322</v>
      </c>
      <c r="F192" s="1385">
        <v>32011</v>
      </c>
      <c r="G192" s="1386" t="s">
        <v>350</v>
      </c>
      <c r="H192" s="1384"/>
      <c r="I192" s="1387">
        <v>42529</v>
      </c>
      <c r="J192" s="1380" t="s">
        <v>475</v>
      </c>
      <c r="K192" s="1385">
        <v>119</v>
      </c>
      <c r="L192" s="1388">
        <v>11</v>
      </c>
      <c r="M192" s="1385">
        <v>10</v>
      </c>
      <c r="N192" s="1388"/>
      <c r="O192" s="1385">
        <v>3.1309999999999998</v>
      </c>
    </row>
    <row r="193" spans="2:15" s="335" customFormat="1" ht="12" hidden="1" customHeight="1">
      <c r="B193" s="1384" t="s">
        <v>312</v>
      </c>
      <c r="C193" s="1385">
        <v>312501</v>
      </c>
      <c r="D193" s="1384" t="s">
        <v>569</v>
      </c>
      <c r="E193" s="1386" t="s">
        <v>322</v>
      </c>
      <c r="F193" s="1385">
        <v>32011</v>
      </c>
      <c r="G193" s="1386" t="s">
        <v>350</v>
      </c>
      <c r="H193" s="1384"/>
      <c r="I193" s="1387">
        <v>42450</v>
      </c>
      <c r="J193" s="1380" t="s">
        <v>475</v>
      </c>
      <c r="K193" s="1385">
        <v>120</v>
      </c>
      <c r="L193" s="1388">
        <v>12</v>
      </c>
      <c r="M193" s="1385">
        <v>10</v>
      </c>
      <c r="N193" s="1388"/>
      <c r="O193" s="1385">
        <v>8.3689999999999998</v>
      </c>
    </row>
    <row r="194" spans="2:15" s="335" customFormat="1" ht="12" hidden="1" customHeight="1">
      <c r="B194" s="1384" t="s">
        <v>312</v>
      </c>
      <c r="C194" s="1385">
        <v>312502</v>
      </c>
      <c r="D194" s="1384" t="s">
        <v>569</v>
      </c>
      <c r="E194" s="1386" t="s">
        <v>322</v>
      </c>
      <c r="F194" s="1385">
        <v>32011</v>
      </c>
      <c r="G194" s="1386" t="s">
        <v>350</v>
      </c>
      <c r="H194" s="1384"/>
      <c r="I194" s="1387">
        <v>42491</v>
      </c>
      <c r="J194" s="1380" t="s">
        <v>475</v>
      </c>
      <c r="K194" s="1385">
        <v>120</v>
      </c>
      <c r="L194" s="1388">
        <v>12</v>
      </c>
      <c r="M194" s="1385">
        <v>10</v>
      </c>
      <c r="N194" s="1388"/>
      <c r="O194" s="1385">
        <v>7.6239999999999997</v>
      </c>
    </row>
    <row r="195" spans="2:15" s="335" customFormat="1" ht="12" hidden="1" customHeight="1">
      <c r="B195" s="1384" t="s">
        <v>312</v>
      </c>
      <c r="C195" s="1385">
        <v>600851</v>
      </c>
      <c r="D195" s="1384" t="s">
        <v>569</v>
      </c>
      <c r="E195" s="1386" t="s">
        <v>322</v>
      </c>
      <c r="F195" s="1385">
        <v>32011</v>
      </c>
      <c r="G195" s="1386" t="s">
        <v>350</v>
      </c>
      <c r="H195" s="1384"/>
      <c r="I195" s="1387">
        <v>42416</v>
      </c>
      <c r="J195" s="1380" t="s">
        <v>475</v>
      </c>
      <c r="K195" s="1385">
        <v>120</v>
      </c>
      <c r="L195" s="1388">
        <v>12</v>
      </c>
      <c r="M195" s="1385">
        <v>10</v>
      </c>
      <c r="N195" s="1388"/>
      <c r="O195" s="1385">
        <v>7.4290000000000003</v>
      </c>
    </row>
    <row r="196" spans="2:15" s="335" customFormat="1" ht="12" hidden="1" customHeight="1">
      <c r="B196" s="1384" t="s">
        <v>312</v>
      </c>
      <c r="C196" s="1248">
        <v>312504</v>
      </c>
      <c r="D196" s="1384" t="s">
        <v>569</v>
      </c>
      <c r="E196" s="1386" t="s">
        <v>322</v>
      </c>
      <c r="F196" s="1385">
        <v>32011</v>
      </c>
      <c r="G196" s="1386" t="s">
        <v>350</v>
      </c>
      <c r="H196" s="1384"/>
      <c r="I196" s="1387">
        <v>42629</v>
      </c>
      <c r="J196" s="1380" t="s">
        <v>475</v>
      </c>
      <c r="K196" s="1385">
        <v>119</v>
      </c>
      <c r="L196" s="1388">
        <v>11</v>
      </c>
      <c r="M196" s="1385">
        <v>10</v>
      </c>
      <c r="N196" s="1388"/>
      <c r="O196" s="1385">
        <v>0.876</v>
      </c>
    </row>
    <row r="197" spans="2:15" s="335" customFormat="1" ht="12" hidden="1" customHeight="1">
      <c r="B197" s="1384" t="s">
        <v>312</v>
      </c>
      <c r="C197" s="1385">
        <v>1195612</v>
      </c>
      <c r="D197" s="1384" t="s">
        <v>569</v>
      </c>
      <c r="E197" s="1386" t="s">
        <v>322</v>
      </c>
      <c r="F197" s="1385">
        <v>960108</v>
      </c>
      <c r="G197" s="1386" t="s">
        <v>342</v>
      </c>
      <c r="H197" s="1384"/>
      <c r="I197" s="1387">
        <v>42401</v>
      </c>
      <c r="J197" s="1380" t="s">
        <v>475</v>
      </c>
      <c r="K197" s="1385">
        <v>120</v>
      </c>
      <c r="L197" s="1388">
        <v>12</v>
      </c>
      <c r="M197" s="1385">
        <v>10</v>
      </c>
      <c r="N197" s="1388"/>
      <c r="O197" s="1385">
        <v>4.4089999999999998</v>
      </c>
    </row>
    <row r="198" spans="2:15" s="335" customFormat="1" ht="12" hidden="1" customHeight="1">
      <c r="B198" s="1384" t="s">
        <v>312</v>
      </c>
      <c r="C198" s="1385">
        <v>296572</v>
      </c>
      <c r="D198" s="1384" t="s">
        <v>569</v>
      </c>
      <c r="E198" s="1386" t="s">
        <v>195</v>
      </c>
      <c r="F198" s="1385">
        <v>951473</v>
      </c>
      <c r="G198" s="1386" t="s">
        <v>341</v>
      </c>
      <c r="H198" s="1384"/>
      <c r="I198" s="1387">
        <v>42474</v>
      </c>
      <c r="J198" s="1380" t="s">
        <v>475</v>
      </c>
      <c r="K198" s="1385">
        <v>119</v>
      </c>
      <c r="L198" s="1388">
        <v>11</v>
      </c>
      <c r="M198" s="1385">
        <v>10</v>
      </c>
      <c r="N198" s="1388"/>
      <c r="O198" s="1385">
        <v>3.2149999999999999</v>
      </c>
    </row>
    <row r="199" spans="2:15" s="335" customFormat="1" ht="12" hidden="1" customHeight="1">
      <c r="B199" s="1384" t="s">
        <v>312</v>
      </c>
      <c r="C199" s="1385">
        <v>15017720</v>
      </c>
      <c r="D199" s="1384" t="s">
        <v>569</v>
      </c>
      <c r="E199" s="1386" t="s">
        <v>323</v>
      </c>
      <c r="F199" s="1385">
        <v>959358</v>
      </c>
      <c r="G199" s="1386" t="s">
        <v>340</v>
      </c>
      <c r="H199" s="1384"/>
      <c r="I199" s="1387">
        <v>42477</v>
      </c>
      <c r="J199" s="1380" t="s">
        <v>475</v>
      </c>
      <c r="K199" s="1385">
        <v>119</v>
      </c>
      <c r="L199" s="1388">
        <v>11</v>
      </c>
      <c r="M199" s="1385">
        <v>8</v>
      </c>
      <c r="N199" s="1388"/>
      <c r="O199" s="1385">
        <v>1.6359999999999999</v>
      </c>
    </row>
    <row r="200" spans="2:15" s="335" customFormat="1" ht="12" hidden="1" customHeight="1">
      <c r="B200" s="1384" t="s">
        <v>312</v>
      </c>
      <c r="C200" s="1385">
        <v>1195562</v>
      </c>
      <c r="D200" s="1384" t="s">
        <v>569</v>
      </c>
      <c r="E200" s="1386" t="s">
        <v>323</v>
      </c>
      <c r="F200" s="1385">
        <v>959358</v>
      </c>
      <c r="G200" s="1386" t="s">
        <v>340</v>
      </c>
      <c r="H200" s="1374"/>
      <c r="I200" s="1387">
        <v>42413</v>
      </c>
      <c r="J200" s="1380" t="s">
        <v>475</v>
      </c>
      <c r="K200" s="1385">
        <v>119</v>
      </c>
      <c r="L200" s="1381">
        <v>11</v>
      </c>
      <c r="M200" s="1385">
        <v>10</v>
      </c>
      <c r="N200" s="1388"/>
      <c r="O200" s="1385">
        <v>1.5449999999999999</v>
      </c>
    </row>
    <row r="201" spans="2:15" s="335" customFormat="1" ht="12" hidden="1" customHeight="1">
      <c r="B201" s="1384" t="s">
        <v>312</v>
      </c>
      <c r="C201" s="1385">
        <v>1196260</v>
      </c>
      <c r="D201" s="1384" t="s">
        <v>569</v>
      </c>
      <c r="E201" s="1386" t="s">
        <v>323</v>
      </c>
      <c r="F201" s="1385">
        <v>959358</v>
      </c>
      <c r="G201" s="1386" t="s">
        <v>340</v>
      </c>
      <c r="H201" s="1374"/>
      <c r="I201" s="1387">
        <v>42441</v>
      </c>
      <c r="J201" s="1380" t="s">
        <v>475</v>
      </c>
      <c r="K201" s="1385">
        <v>119</v>
      </c>
      <c r="L201" s="1381">
        <v>11</v>
      </c>
      <c r="M201" s="1385">
        <v>10</v>
      </c>
      <c r="N201" s="1388"/>
      <c r="O201" s="1385">
        <v>1.7050000000000001</v>
      </c>
    </row>
    <row r="202" spans="2:15" s="335" customFormat="1" ht="12" hidden="1" customHeight="1">
      <c r="B202" s="1384" t="s">
        <v>312</v>
      </c>
      <c r="C202" s="1402">
        <v>1195562</v>
      </c>
      <c r="D202" s="1384" t="s">
        <v>569</v>
      </c>
      <c r="E202" s="1402" t="s">
        <v>323</v>
      </c>
      <c r="F202" s="1402">
        <v>959358</v>
      </c>
      <c r="G202" s="1402" t="s">
        <v>340</v>
      </c>
      <c r="H202" s="1402"/>
      <c r="I202" s="1403">
        <v>42413</v>
      </c>
      <c r="J202" s="1380" t="s">
        <v>475</v>
      </c>
      <c r="K202" s="1402">
        <v>120</v>
      </c>
      <c r="L202" s="1402">
        <v>12</v>
      </c>
      <c r="M202" s="1402">
        <v>10</v>
      </c>
      <c r="N202" s="1388"/>
      <c r="O202" s="1402">
        <v>1.952</v>
      </c>
    </row>
    <row r="203" spans="2:15" s="335" customFormat="1" ht="12" hidden="1" customHeight="1">
      <c r="B203" s="1384" t="s">
        <v>312</v>
      </c>
      <c r="C203" s="1404">
        <v>297622</v>
      </c>
      <c r="D203" s="1384" t="s">
        <v>569</v>
      </c>
      <c r="E203" s="1405" t="s">
        <v>314</v>
      </c>
      <c r="F203" s="1404">
        <v>963036</v>
      </c>
      <c r="G203" s="1405" t="s">
        <v>349</v>
      </c>
      <c r="H203" s="1402"/>
      <c r="I203" s="1406">
        <v>42644</v>
      </c>
      <c r="J203" s="1380" t="s">
        <v>475</v>
      </c>
      <c r="K203" s="1404">
        <v>119</v>
      </c>
      <c r="L203" s="1402">
        <v>11</v>
      </c>
      <c r="M203" s="1402">
        <v>10</v>
      </c>
      <c r="N203" s="1388"/>
      <c r="O203" s="1404">
        <v>0.66</v>
      </c>
    </row>
    <row r="204" spans="2:15" s="335" customFormat="1" ht="12" hidden="1" customHeight="1">
      <c r="B204" s="1384" t="s">
        <v>312</v>
      </c>
      <c r="C204" s="1404">
        <v>1032538</v>
      </c>
      <c r="D204" s="1384" t="s">
        <v>569</v>
      </c>
      <c r="E204" s="1405" t="s">
        <v>253</v>
      </c>
      <c r="F204" s="1404">
        <v>959154</v>
      </c>
      <c r="G204" s="1405" t="s">
        <v>344</v>
      </c>
      <c r="H204" s="1402"/>
      <c r="I204" s="1406">
        <v>42650</v>
      </c>
      <c r="J204" s="1380" t="s">
        <v>475</v>
      </c>
      <c r="K204" s="1404">
        <v>119</v>
      </c>
      <c r="L204" s="1402">
        <v>11</v>
      </c>
      <c r="M204" s="1402">
        <v>14</v>
      </c>
      <c r="N204" s="1388"/>
      <c r="O204" s="1404">
        <v>5.8849999999999998</v>
      </c>
    </row>
    <row r="205" spans="2:15" s="335" customFormat="1" ht="12" hidden="1" customHeight="1">
      <c r="B205" s="1384" t="s">
        <v>312</v>
      </c>
      <c r="C205" s="1385">
        <v>3714584</v>
      </c>
      <c r="D205" s="1384" t="s">
        <v>569</v>
      </c>
      <c r="E205" s="1386" t="s">
        <v>315</v>
      </c>
      <c r="F205" s="1385">
        <v>951030</v>
      </c>
      <c r="G205" s="1386" t="s">
        <v>461</v>
      </c>
      <c r="H205" s="1384"/>
      <c r="I205" s="1387">
        <v>42676</v>
      </c>
      <c r="J205" s="1380" t="s">
        <v>475</v>
      </c>
      <c r="K205" s="1385">
        <v>119</v>
      </c>
      <c r="L205" s="1388">
        <v>11</v>
      </c>
      <c r="M205" s="1385">
        <v>10</v>
      </c>
      <c r="N205" s="1388"/>
      <c r="O205" s="1385">
        <v>3.39</v>
      </c>
    </row>
    <row r="206" spans="2:15" s="335" customFormat="1" ht="12" hidden="1" customHeight="1">
      <c r="B206" s="1384" t="s">
        <v>312</v>
      </c>
      <c r="C206" s="1407">
        <v>312504</v>
      </c>
      <c r="D206" s="1384" t="s">
        <v>569</v>
      </c>
      <c r="E206" s="1386" t="s">
        <v>322</v>
      </c>
      <c r="F206" s="1385">
        <v>32011</v>
      </c>
      <c r="G206" s="1386" t="s">
        <v>350</v>
      </c>
      <c r="H206" s="1384"/>
      <c r="I206" s="1387">
        <v>42669</v>
      </c>
      <c r="J206" s="1380" t="s">
        <v>475</v>
      </c>
      <c r="K206" s="1385">
        <v>120</v>
      </c>
      <c r="L206" s="1388">
        <v>12</v>
      </c>
      <c r="M206" s="1385">
        <v>10</v>
      </c>
      <c r="N206" s="1388"/>
      <c r="O206" s="1385">
        <v>4.4130000000000003</v>
      </c>
    </row>
    <row r="207" spans="2:15" s="335" customFormat="1" ht="12" hidden="1" customHeight="1">
      <c r="B207" s="1384" t="s">
        <v>312</v>
      </c>
      <c r="C207" s="1385">
        <v>1003351</v>
      </c>
      <c r="D207" s="1384" t="s">
        <v>569</v>
      </c>
      <c r="E207" s="1386" t="s">
        <v>345</v>
      </c>
      <c r="F207" s="1385">
        <v>913818</v>
      </c>
      <c r="G207" s="1386" t="s">
        <v>347</v>
      </c>
      <c r="H207" s="1384"/>
      <c r="I207" s="1387">
        <v>42684</v>
      </c>
      <c r="J207" s="1380" t="s">
        <v>475</v>
      </c>
      <c r="K207" s="1385">
        <v>119</v>
      </c>
      <c r="L207" s="1388">
        <v>11</v>
      </c>
      <c r="M207" s="1385">
        <v>10</v>
      </c>
      <c r="N207" s="1388"/>
      <c r="O207" s="1385">
        <v>3.851</v>
      </c>
    </row>
    <row r="208" spans="2:15" s="335" customFormat="1" ht="12" hidden="1" customHeight="1">
      <c r="B208" s="1384" t="s">
        <v>312</v>
      </c>
      <c r="C208" s="1385">
        <v>1198869</v>
      </c>
      <c r="D208" s="1384" t="s">
        <v>569</v>
      </c>
      <c r="E208" s="1386" t="s">
        <v>197</v>
      </c>
      <c r="F208" s="1385">
        <v>11854</v>
      </c>
      <c r="G208" s="1386" t="s">
        <v>339</v>
      </c>
      <c r="H208" s="1384"/>
      <c r="I208" s="1387">
        <v>42683</v>
      </c>
      <c r="J208" s="1380" t="s">
        <v>475</v>
      </c>
      <c r="K208" s="1385">
        <v>119</v>
      </c>
      <c r="L208" s="1388">
        <v>11</v>
      </c>
      <c r="M208" s="1385">
        <v>10</v>
      </c>
      <c r="N208" s="1388"/>
      <c r="O208" s="1385">
        <v>1.6379999999999999</v>
      </c>
    </row>
    <row r="209" spans="2:15" s="335" customFormat="1" ht="12" hidden="1" customHeight="1">
      <c r="B209" s="1398" t="s">
        <v>312</v>
      </c>
      <c r="C209" s="1399">
        <v>1199013</v>
      </c>
      <c r="D209" s="1398" t="s">
        <v>569</v>
      </c>
      <c r="E209" s="1400" t="s">
        <v>197</v>
      </c>
      <c r="F209" s="1399">
        <v>915628</v>
      </c>
      <c r="G209" s="1400" t="s">
        <v>451</v>
      </c>
      <c r="H209" s="1398"/>
      <c r="I209" s="1387">
        <v>42683</v>
      </c>
      <c r="J209" s="1395" t="s">
        <v>475</v>
      </c>
      <c r="K209" s="1399">
        <v>119</v>
      </c>
      <c r="L209" s="1401">
        <v>11</v>
      </c>
      <c r="M209" s="1385">
        <v>10</v>
      </c>
      <c r="N209" s="1388"/>
      <c r="O209" s="1399">
        <v>1.6990000000000001</v>
      </c>
    </row>
    <row r="210" spans="2:15" s="335" customFormat="1" ht="12" customHeight="1">
      <c r="B210" s="1398" t="s">
        <v>312</v>
      </c>
      <c r="C210" s="1399">
        <v>297914</v>
      </c>
      <c r="D210" s="1398" t="s">
        <v>569</v>
      </c>
      <c r="E210" s="1400" t="s">
        <v>320</v>
      </c>
      <c r="F210" s="1399">
        <v>902203</v>
      </c>
      <c r="G210" s="1400" t="s">
        <v>334</v>
      </c>
      <c r="H210" s="1398"/>
      <c r="I210" s="1394">
        <v>42691</v>
      </c>
      <c r="J210" s="1395" t="s">
        <v>475</v>
      </c>
      <c r="K210" s="1399">
        <v>119</v>
      </c>
      <c r="L210" s="1401">
        <v>11</v>
      </c>
      <c r="M210" s="1399">
        <v>10</v>
      </c>
      <c r="N210" s="1388"/>
      <c r="O210" s="1408">
        <v>1.3859999999999999</v>
      </c>
    </row>
    <row r="211" spans="2:15" s="335" customFormat="1" ht="12" customHeight="1">
      <c r="B211" s="1398" t="s">
        <v>312</v>
      </c>
      <c r="C211" s="1408">
        <v>297914</v>
      </c>
      <c r="D211" s="1398" t="s">
        <v>569</v>
      </c>
      <c r="E211" s="1400" t="s">
        <v>320</v>
      </c>
      <c r="F211" s="1399">
        <v>902203</v>
      </c>
      <c r="G211" s="1400" t="s">
        <v>334</v>
      </c>
      <c r="H211" s="1398"/>
      <c r="I211" s="1394">
        <v>42691</v>
      </c>
      <c r="J211" s="1395" t="s">
        <v>475</v>
      </c>
      <c r="K211" s="1399">
        <v>119</v>
      </c>
      <c r="L211" s="1408">
        <v>11</v>
      </c>
      <c r="M211" s="1408">
        <v>10</v>
      </c>
      <c r="N211" s="1388"/>
      <c r="O211" s="1408">
        <v>0.152</v>
      </c>
    </row>
    <row r="212" spans="2:15" s="335" customFormat="1" ht="12" hidden="1" customHeight="1">
      <c r="B212" s="1384" t="s">
        <v>312</v>
      </c>
      <c r="C212" s="1385">
        <v>15029241</v>
      </c>
      <c r="D212" s="1384" t="s">
        <v>569</v>
      </c>
      <c r="E212" s="1386" t="s">
        <v>192</v>
      </c>
      <c r="F212" s="1385">
        <v>925411</v>
      </c>
      <c r="G212" s="1386" t="s">
        <v>336</v>
      </c>
      <c r="H212" s="1384"/>
      <c r="I212" s="1387">
        <v>42687</v>
      </c>
      <c r="J212" s="1380" t="s">
        <v>475</v>
      </c>
      <c r="K212" s="1385">
        <v>119</v>
      </c>
      <c r="L212" s="1388">
        <v>11</v>
      </c>
      <c r="M212" s="1385">
        <v>10</v>
      </c>
      <c r="N212" s="1388"/>
      <c r="O212" s="1385">
        <v>1.7999999999999999E-2</v>
      </c>
    </row>
    <row r="213" spans="2:15" s="335" customFormat="1" ht="12" hidden="1" customHeight="1">
      <c r="B213" s="1384" t="s">
        <v>312</v>
      </c>
      <c r="C213" s="1402">
        <v>15029241</v>
      </c>
      <c r="D213" s="1384" t="s">
        <v>569</v>
      </c>
      <c r="E213" s="1386" t="s">
        <v>192</v>
      </c>
      <c r="F213" s="1385">
        <v>925411</v>
      </c>
      <c r="G213" s="1386" t="s">
        <v>336</v>
      </c>
      <c r="H213" s="1384"/>
      <c r="I213" s="1387">
        <v>42687</v>
      </c>
      <c r="J213" s="1380" t="s">
        <v>475</v>
      </c>
      <c r="K213" s="1385">
        <v>119</v>
      </c>
      <c r="L213" s="1388">
        <v>11</v>
      </c>
      <c r="M213" s="1385">
        <v>10</v>
      </c>
      <c r="N213" s="1388"/>
      <c r="O213" s="1402">
        <v>3.5310000000000001</v>
      </c>
    </row>
    <row r="214" spans="2:15" s="335" customFormat="1" ht="12" hidden="1" customHeight="1">
      <c r="B214" s="1384" t="s">
        <v>312</v>
      </c>
      <c r="C214" s="1385">
        <v>1003354</v>
      </c>
      <c r="D214" s="1384" t="s">
        <v>569</v>
      </c>
      <c r="E214" s="1386" t="s">
        <v>345</v>
      </c>
      <c r="F214" s="1385">
        <v>913819</v>
      </c>
      <c r="G214" s="1386" t="s">
        <v>346</v>
      </c>
      <c r="H214" s="1384"/>
      <c r="I214" s="1387">
        <v>42687</v>
      </c>
      <c r="J214" s="1380" t="s">
        <v>475</v>
      </c>
      <c r="K214" s="1385">
        <v>119</v>
      </c>
      <c r="L214" s="1388">
        <v>11</v>
      </c>
      <c r="M214" s="1385">
        <v>10</v>
      </c>
      <c r="N214" s="1388"/>
      <c r="O214" s="1385">
        <v>3.2589999999999999</v>
      </c>
    </row>
    <row r="215" spans="2:15" s="335" customFormat="1" ht="12" hidden="1" customHeight="1">
      <c r="B215" s="1384" t="s">
        <v>312</v>
      </c>
      <c r="C215" s="1385">
        <v>1003354</v>
      </c>
      <c r="D215" s="1384" t="s">
        <v>569</v>
      </c>
      <c r="E215" s="1386" t="s">
        <v>345</v>
      </c>
      <c r="F215" s="1385">
        <v>913819</v>
      </c>
      <c r="G215" s="1386" t="s">
        <v>346</v>
      </c>
      <c r="H215" s="1384"/>
      <c r="I215" s="1387">
        <v>42687</v>
      </c>
      <c r="J215" s="1380" t="s">
        <v>475</v>
      </c>
      <c r="K215" s="1385">
        <v>119</v>
      </c>
      <c r="L215" s="1388">
        <v>11</v>
      </c>
      <c r="M215" s="1385">
        <v>10</v>
      </c>
      <c r="N215" s="1388"/>
      <c r="O215" s="1385">
        <v>6.5000000000000002E-2</v>
      </c>
    </row>
    <row r="216" spans="2:15" s="335" customFormat="1" ht="12" hidden="1" customHeight="1">
      <c r="B216" s="1384" t="s">
        <v>312</v>
      </c>
      <c r="C216" s="1404">
        <v>15029562</v>
      </c>
      <c r="D216" s="1384" t="s">
        <v>569</v>
      </c>
      <c r="E216" s="1405" t="s">
        <v>314</v>
      </c>
      <c r="F216" s="1404">
        <v>962637</v>
      </c>
      <c r="G216" s="1405" t="s">
        <v>574</v>
      </c>
      <c r="H216" s="1402"/>
      <c r="I216" s="1406">
        <v>42689</v>
      </c>
      <c r="J216" s="1380" t="s">
        <v>475</v>
      </c>
      <c r="K216" s="1404">
        <v>119</v>
      </c>
      <c r="L216" s="1402">
        <v>11</v>
      </c>
      <c r="M216" s="1402">
        <v>8</v>
      </c>
      <c r="N216" s="1388"/>
      <c r="O216" s="1404">
        <v>4.0960000000000001</v>
      </c>
    </row>
    <row r="217" spans="2:15" s="335" customFormat="1" ht="12" hidden="1" customHeight="1">
      <c r="B217" s="1384" t="s">
        <v>312</v>
      </c>
      <c r="C217" s="1385">
        <v>1199014</v>
      </c>
      <c r="D217" s="1384" t="s">
        <v>569</v>
      </c>
      <c r="E217" s="1386" t="s">
        <v>315</v>
      </c>
      <c r="F217" s="1385">
        <v>950573</v>
      </c>
      <c r="G217" s="1386" t="s">
        <v>338</v>
      </c>
      <c r="H217" s="1384"/>
      <c r="I217" s="1387">
        <v>42688</v>
      </c>
      <c r="J217" s="1380" t="s">
        <v>475</v>
      </c>
      <c r="K217" s="1385">
        <v>119</v>
      </c>
      <c r="L217" s="1388">
        <v>11</v>
      </c>
      <c r="M217" s="1385">
        <v>10</v>
      </c>
      <c r="N217" s="1388"/>
      <c r="O217" s="1385">
        <v>1.754</v>
      </c>
    </row>
    <row r="218" spans="2:15" s="335" customFormat="1" ht="12" hidden="1" customHeight="1">
      <c r="B218" s="1384" t="s">
        <v>312</v>
      </c>
      <c r="C218" s="1404">
        <v>15029496</v>
      </c>
      <c r="D218" s="1384" t="s">
        <v>569</v>
      </c>
      <c r="E218" s="1405" t="s">
        <v>314</v>
      </c>
      <c r="F218" s="1404">
        <v>902330</v>
      </c>
      <c r="G218" s="1405" t="s">
        <v>582</v>
      </c>
      <c r="H218" s="1402"/>
      <c r="I218" s="1406">
        <v>42689</v>
      </c>
      <c r="J218" s="1380" t="s">
        <v>475</v>
      </c>
      <c r="K218" s="1404">
        <v>119</v>
      </c>
      <c r="L218" s="1402">
        <v>11</v>
      </c>
      <c r="M218" s="1402">
        <v>8</v>
      </c>
      <c r="N218" s="1388"/>
      <c r="O218" s="1404">
        <v>2.762</v>
      </c>
    </row>
    <row r="219" spans="2:15" s="335" customFormat="1" ht="12" hidden="1" customHeight="1">
      <c r="B219" s="1384" t="s">
        <v>312</v>
      </c>
      <c r="C219" s="1404">
        <v>1199015</v>
      </c>
      <c r="D219" s="1384" t="s">
        <v>569</v>
      </c>
      <c r="E219" s="1405" t="s">
        <v>665</v>
      </c>
      <c r="F219" s="1404">
        <v>902330</v>
      </c>
      <c r="G219" s="2057" t="s">
        <v>738</v>
      </c>
      <c r="H219" s="1402"/>
      <c r="I219" s="1406">
        <v>42689</v>
      </c>
      <c r="J219" s="1380" t="s">
        <v>475</v>
      </c>
      <c r="K219" s="1404">
        <v>119</v>
      </c>
      <c r="L219" s="1402">
        <v>11</v>
      </c>
      <c r="M219" s="1402">
        <v>8</v>
      </c>
      <c r="N219" s="1388"/>
      <c r="O219" s="1404">
        <v>1.173</v>
      </c>
    </row>
    <row r="220" spans="2:15" s="335" customFormat="1" ht="12" hidden="1" customHeight="1">
      <c r="B220" s="1384" t="s">
        <v>312</v>
      </c>
      <c r="C220" s="1404">
        <v>1360001</v>
      </c>
      <c r="D220" s="1384" t="s">
        <v>569</v>
      </c>
      <c r="E220" s="1405" t="s">
        <v>665</v>
      </c>
      <c r="F220" s="1404">
        <v>923236</v>
      </c>
      <c r="G220" s="1405" t="s">
        <v>453</v>
      </c>
      <c r="H220" s="1402"/>
      <c r="I220" s="1406">
        <v>42689</v>
      </c>
      <c r="J220" s="1380" t="s">
        <v>475</v>
      </c>
      <c r="K220" s="1404">
        <v>119</v>
      </c>
      <c r="L220" s="1402">
        <v>11</v>
      </c>
      <c r="M220" s="1402">
        <v>8</v>
      </c>
      <c r="N220" s="1388"/>
      <c r="O220" s="1404">
        <v>1.8220000000000001</v>
      </c>
    </row>
    <row r="221" spans="2:15" s="335" customFormat="1" ht="12" hidden="1" customHeight="1">
      <c r="B221" s="1384" t="s">
        <v>312</v>
      </c>
      <c r="C221" s="1385">
        <v>1199133</v>
      </c>
      <c r="D221" s="1384" t="s">
        <v>569</v>
      </c>
      <c r="E221" s="1386" t="s">
        <v>315</v>
      </c>
      <c r="F221" s="1385">
        <v>950913</v>
      </c>
      <c r="G221" s="1386" t="s">
        <v>332</v>
      </c>
      <c r="H221" s="1384"/>
      <c r="I221" s="1406">
        <v>42698</v>
      </c>
      <c r="J221" s="1380" t="s">
        <v>475</v>
      </c>
      <c r="K221" s="1385">
        <v>119</v>
      </c>
      <c r="L221" s="1388">
        <v>11</v>
      </c>
      <c r="M221" s="1385">
        <v>10</v>
      </c>
      <c r="N221" s="1388"/>
      <c r="O221" s="1385">
        <v>2.4889999999999999</v>
      </c>
    </row>
    <row r="222" spans="2:15" s="335" customFormat="1" ht="12" hidden="1" customHeight="1">
      <c r="B222" s="1398" t="s">
        <v>312</v>
      </c>
      <c r="C222" s="1399">
        <v>15030906</v>
      </c>
      <c r="D222" s="1398" t="s">
        <v>569</v>
      </c>
      <c r="E222" s="1400" t="s">
        <v>197</v>
      </c>
      <c r="F222" s="1399">
        <v>915628</v>
      </c>
      <c r="G222" s="1400" t="s">
        <v>451</v>
      </c>
      <c r="H222" s="1398"/>
      <c r="I222" s="1387">
        <v>42703</v>
      </c>
      <c r="J222" s="1395" t="s">
        <v>475</v>
      </c>
      <c r="K222" s="1399">
        <v>119</v>
      </c>
      <c r="L222" s="1401">
        <v>11</v>
      </c>
      <c r="M222" s="1385">
        <v>14</v>
      </c>
      <c r="N222" s="1388"/>
      <c r="O222" s="1399">
        <v>2E-3</v>
      </c>
    </row>
    <row r="223" spans="2:15" s="335" customFormat="1" ht="12" hidden="1" customHeight="1">
      <c r="B223" s="1398" t="s">
        <v>312</v>
      </c>
      <c r="C223" s="1399">
        <v>15030906</v>
      </c>
      <c r="D223" s="1398" t="s">
        <v>569</v>
      </c>
      <c r="E223" s="1400" t="s">
        <v>197</v>
      </c>
      <c r="F223" s="1399">
        <v>915628</v>
      </c>
      <c r="G223" s="1400" t="s">
        <v>451</v>
      </c>
      <c r="H223" s="1398"/>
      <c r="I223" s="1387">
        <v>42703</v>
      </c>
      <c r="J223" s="1395" t="s">
        <v>475</v>
      </c>
      <c r="K223" s="1399">
        <v>119</v>
      </c>
      <c r="L223" s="1401">
        <v>11</v>
      </c>
      <c r="M223" s="1385">
        <v>14</v>
      </c>
      <c r="N223" s="1388"/>
      <c r="O223" s="1399">
        <v>2.9990000000000001</v>
      </c>
    </row>
    <row r="224" spans="2:15" s="335" customFormat="1" ht="12" hidden="1" customHeight="1">
      <c r="B224" s="1384" t="s">
        <v>312</v>
      </c>
      <c r="C224" s="1404">
        <v>1032696</v>
      </c>
      <c r="D224" s="1384" t="s">
        <v>569</v>
      </c>
      <c r="E224" s="1405" t="s">
        <v>253</v>
      </c>
      <c r="F224" s="1404">
        <v>959154</v>
      </c>
      <c r="G224" s="1405" t="s">
        <v>344</v>
      </c>
      <c r="H224" s="1402"/>
      <c r="I224" s="1406">
        <v>42706</v>
      </c>
      <c r="J224" s="1380" t="s">
        <v>475</v>
      </c>
      <c r="K224" s="1404">
        <v>120</v>
      </c>
      <c r="L224" s="1402">
        <v>12</v>
      </c>
      <c r="M224" s="1402">
        <v>14</v>
      </c>
      <c r="N224" s="1388"/>
      <c r="O224" s="1404">
        <v>5.2</v>
      </c>
    </row>
    <row r="225" spans="2:15" s="335" customFormat="1" ht="12" hidden="1" customHeight="1">
      <c r="B225" s="1384" t="s">
        <v>312</v>
      </c>
      <c r="C225" s="1385">
        <v>15030791</v>
      </c>
      <c r="D225" s="1384" t="s">
        <v>569</v>
      </c>
      <c r="E225" s="1386" t="s">
        <v>358</v>
      </c>
      <c r="F225" s="1385">
        <v>40073</v>
      </c>
      <c r="G225" s="1386" t="s">
        <v>360</v>
      </c>
      <c r="H225" s="1384"/>
      <c r="I225" s="1387">
        <v>42703</v>
      </c>
      <c r="J225" s="1380" t="s">
        <v>475</v>
      </c>
      <c r="K225" s="1385">
        <v>119</v>
      </c>
      <c r="L225" s="1388">
        <v>11</v>
      </c>
      <c r="M225" s="1385">
        <v>14</v>
      </c>
      <c r="N225" s="1388"/>
      <c r="O225" s="1385">
        <v>1.4650000000000001</v>
      </c>
    </row>
    <row r="226" spans="2:15" s="335" customFormat="1" ht="12" hidden="1" customHeight="1">
      <c r="B226" s="1384" t="s">
        <v>312</v>
      </c>
      <c r="C226" s="1385">
        <v>15031807</v>
      </c>
      <c r="D226" s="1384" t="s">
        <v>569</v>
      </c>
      <c r="E226" s="1386" t="s">
        <v>197</v>
      </c>
      <c r="F226" s="1385">
        <v>11854</v>
      </c>
      <c r="G226" s="1386" t="s">
        <v>339</v>
      </c>
      <c r="H226" s="1384"/>
      <c r="I226" s="1387">
        <v>42714</v>
      </c>
      <c r="J226" s="1380" t="s">
        <v>475</v>
      </c>
      <c r="K226" s="1385">
        <v>119</v>
      </c>
      <c r="L226" s="1388">
        <v>11</v>
      </c>
      <c r="M226" s="1402">
        <v>14</v>
      </c>
      <c r="N226" s="1388"/>
      <c r="O226" s="1409">
        <v>3.5459999999999998</v>
      </c>
    </row>
    <row r="227" spans="2:15" s="335" customFormat="1" ht="12" hidden="1" customHeight="1">
      <c r="B227" s="1384" t="s">
        <v>312</v>
      </c>
      <c r="C227" s="1385">
        <v>15031807</v>
      </c>
      <c r="D227" s="1384" t="s">
        <v>569</v>
      </c>
      <c r="E227" s="1386" t="s">
        <v>197</v>
      </c>
      <c r="F227" s="1385">
        <v>11854</v>
      </c>
      <c r="G227" s="1386" t="s">
        <v>339</v>
      </c>
      <c r="H227" s="1384"/>
      <c r="I227" s="1387">
        <v>42714</v>
      </c>
      <c r="J227" s="1380" t="s">
        <v>475</v>
      </c>
      <c r="K227" s="1385">
        <v>119</v>
      </c>
      <c r="L227" s="1388">
        <v>11</v>
      </c>
      <c r="M227" s="1385">
        <v>14</v>
      </c>
      <c r="N227" s="1388"/>
      <c r="O227" s="1409">
        <v>2.1000000000000001E-2</v>
      </c>
    </row>
    <row r="228" spans="2:15" s="335" customFormat="1" ht="12" hidden="1" customHeight="1">
      <c r="B228" s="1384" t="s">
        <v>312</v>
      </c>
      <c r="C228" s="1404">
        <v>1004936</v>
      </c>
      <c r="D228" s="1384" t="s">
        <v>569</v>
      </c>
      <c r="E228" s="1405" t="s">
        <v>665</v>
      </c>
      <c r="F228" s="1404">
        <v>923236</v>
      </c>
      <c r="G228" s="1402" t="s">
        <v>453</v>
      </c>
      <c r="H228" s="1402"/>
      <c r="I228" s="1387">
        <v>42716</v>
      </c>
      <c r="J228" s="1380" t="s">
        <v>475</v>
      </c>
      <c r="K228" s="1402">
        <v>119</v>
      </c>
      <c r="L228" s="1402">
        <v>11</v>
      </c>
      <c r="M228" s="1402">
        <v>10</v>
      </c>
      <c r="N228" s="1388"/>
      <c r="O228" s="1402">
        <v>2.262</v>
      </c>
    </row>
    <row r="229" spans="2:15" s="335" customFormat="1" ht="12" hidden="1" customHeight="1">
      <c r="B229" s="1384" t="s">
        <v>312</v>
      </c>
      <c r="C229" s="1402">
        <v>15032120</v>
      </c>
      <c r="D229" s="1384" t="s">
        <v>569</v>
      </c>
      <c r="E229" s="1402" t="s">
        <v>323</v>
      </c>
      <c r="F229" s="1402">
        <v>963988</v>
      </c>
      <c r="G229" s="1402" t="s">
        <v>715</v>
      </c>
      <c r="H229" s="1402"/>
      <c r="I229" s="1387">
        <v>42720</v>
      </c>
      <c r="J229" s="1380" t="s">
        <v>475</v>
      </c>
      <c r="K229" s="1402">
        <v>119</v>
      </c>
      <c r="L229" s="1402">
        <v>11</v>
      </c>
      <c r="M229" s="1402">
        <v>8</v>
      </c>
      <c r="N229" s="1388"/>
      <c r="O229" s="1402">
        <v>2.92</v>
      </c>
    </row>
    <row r="230" spans="2:15" s="335" customFormat="1" ht="12" customHeight="1">
      <c r="B230" s="1384" t="s">
        <v>312</v>
      </c>
      <c r="C230" s="1385">
        <v>15031969</v>
      </c>
      <c r="D230" s="1384" t="s">
        <v>569</v>
      </c>
      <c r="E230" s="1386" t="s">
        <v>305</v>
      </c>
      <c r="F230" s="1385">
        <v>962728</v>
      </c>
      <c r="G230" s="1402" t="s">
        <v>348</v>
      </c>
      <c r="H230" s="1402"/>
      <c r="I230" s="1387">
        <v>42718</v>
      </c>
      <c r="J230" s="1380" t="s">
        <v>475</v>
      </c>
      <c r="K230" s="1402">
        <v>119</v>
      </c>
      <c r="L230" s="1402">
        <v>11</v>
      </c>
      <c r="M230" s="1402">
        <v>8</v>
      </c>
      <c r="N230" s="1388"/>
      <c r="O230" s="1402">
        <v>3.2530000000000001</v>
      </c>
    </row>
    <row r="231" spans="2:15" s="335" customFormat="1" ht="12" hidden="1" customHeight="1">
      <c r="B231" s="1384" t="s">
        <v>312</v>
      </c>
      <c r="C231" s="1740">
        <v>15032120</v>
      </c>
      <c r="D231" s="1384" t="s">
        <v>569</v>
      </c>
      <c r="E231" s="1740" t="s">
        <v>323</v>
      </c>
      <c r="F231" s="1740">
        <v>963988</v>
      </c>
      <c r="G231" s="1740" t="s">
        <v>715</v>
      </c>
      <c r="H231" s="1740"/>
      <c r="I231" s="1387">
        <v>42720</v>
      </c>
      <c r="J231" s="1374" t="s">
        <v>475</v>
      </c>
      <c r="K231" s="1740">
        <v>120</v>
      </c>
      <c r="L231" s="1740">
        <v>12</v>
      </c>
      <c r="M231" s="1740">
        <v>8</v>
      </c>
      <c r="N231" s="1388"/>
      <c r="O231" s="1740">
        <v>2.92</v>
      </c>
    </row>
    <row r="232" spans="2:15" s="335" customFormat="1" ht="12" hidden="1" customHeight="1">
      <c r="B232" s="1384" t="s">
        <v>312</v>
      </c>
      <c r="C232" s="2057">
        <v>1004957</v>
      </c>
      <c r="D232" s="1384" t="s">
        <v>569</v>
      </c>
      <c r="E232" s="1405" t="s">
        <v>665</v>
      </c>
      <c r="F232" s="2057">
        <v>954554</v>
      </c>
      <c r="G232" s="2057" t="s">
        <v>738</v>
      </c>
      <c r="H232" s="1740"/>
      <c r="I232" s="1387">
        <v>42726</v>
      </c>
      <c r="J232" s="1374" t="s">
        <v>475</v>
      </c>
      <c r="K232" s="1407">
        <v>120</v>
      </c>
      <c r="L232" s="1740">
        <v>12</v>
      </c>
      <c r="M232" s="1407">
        <v>12</v>
      </c>
      <c r="N232" s="1740"/>
      <c r="O232" s="2058">
        <v>1.1100000000000001</v>
      </c>
    </row>
    <row r="233" spans="2:15" s="335" customFormat="1" ht="12" hidden="1" customHeight="1">
      <c r="B233" s="1384" t="s">
        <v>312</v>
      </c>
      <c r="C233" s="2057">
        <v>1004957</v>
      </c>
      <c r="D233" s="1384" t="s">
        <v>569</v>
      </c>
      <c r="E233" s="1405" t="s">
        <v>665</v>
      </c>
      <c r="F233" s="2057">
        <v>954554</v>
      </c>
      <c r="G233" s="2057" t="s">
        <v>738</v>
      </c>
      <c r="H233" s="1740"/>
      <c r="I233" s="1387">
        <v>42726</v>
      </c>
      <c r="J233" s="1374" t="s">
        <v>475</v>
      </c>
      <c r="K233" s="1407">
        <v>119</v>
      </c>
      <c r="L233" s="1740">
        <v>11</v>
      </c>
      <c r="M233" s="1407">
        <v>11</v>
      </c>
      <c r="N233" s="1740"/>
      <c r="O233" s="2057">
        <v>1.454</v>
      </c>
    </row>
    <row r="234" spans="2:15" s="335" customFormat="1" ht="12" hidden="1" customHeight="1">
      <c r="B234" s="1384" t="s">
        <v>312</v>
      </c>
      <c r="C234" s="2057">
        <v>15032252</v>
      </c>
      <c r="D234" s="1384" t="s">
        <v>569</v>
      </c>
      <c r="E234" s="1386" t="s">
        <v>314</v>
      </c>
      <c r="F234" s="2057">
        <v>963036</v>
      </c>
      <c r="G234" s="2057" t="s">
        <v>349</v>
      </c>
      <c r="H234" s="1740"/>
      <c r="I234" s="1387">
        <v>42723</v>
      </c>
      <c r="J234" s="1374" t="s">
        <v>475</v>
      </c>
      <c r="K234" s="1407">
        <v>119</v>
      </c>
      <c r="L234" s="1740">
        <v>11</v>
      </c>
      <c r="M234" s="1407">
        <v>11</v>
      </c>
      <c r="N234" s="1740"/>
      <c r="O234" s="2057">
        <v>1.8540000000000001</v>
      </c>
    </row>
    <row r="235" spans="2:15" s="335" customFormat="1" ht="12" hidden="1" customHeight="1">
      <c r="B235" s="1384" t="s">
        <v>312</v>
      </c>
      <c r="C235" s="2057">
        <v>15032376</v>
      </c>
      <c r="D235" s="1384" t="s">
        <v>569</v>
      </c>
      <c r="E235" s="2059" t="s">
        <v>739</v>
      </c>
      <c r="F235" s="2057">
        <v>902118</v>
      </c>
      <c r="G235" s="2057" t="s">
        <v>740</v>
      </c>
      <c r="H235" s="1740"/>
      <c r="I235" s="1387">
        <v>42725</v>
      </c>
      <c r="J235" s="1374" t="s">
        <v>475</v>
      </c>
      <c r="K235" s="1407">
        <v>119</v>
      </c>
      <c r="L235" s="1740">
        <v>11</v>
      </c>
      <c r="M235" s="1407">
        <v>11</v>
      </c>
      <c r="N235" s="1740"/>
      <c r="O235" s="2057">
        <v>0.441</v>
      </c>
    </row>
    <row r="236" spans="2:15" s="335" customFormat="1" ht="12" hidden="1" customHeight="1">
      <c r="B236" s="1384" t="s">
        <v>312</v>
      </c>
      <c r="C236" s="2057">
        <v>15032509</v>
      </c>
      <c r="D236" s="1384" t="s">
        <v>569</v>
      </c>
      <c r="E236" s="2060" t="s">
        <v>316</v>
      </c>
      <c r="F236" s="2057">
        <v>962048</v>
      </c>
      <c r="G236" s="2057" t="s">
        <v>741</v>
      </c>
      <c r="H236" s="1740"/>
      <c r="I236" s="1387">
        <v>42730</v>
      </c>
      <c r="J236" s="1374" t="s">
        <v>475</v>
      </c>
      <c r="K236" s="1407">
        <v>120</v>
      </c>
      <c r="L236" s="1740">
        <v>12</v>
      </c>
      <c r="M236" s="1407">
        <v>12</v>
      </c>
      <c r="N236" s="1740"/>
      <c r="O236" s="2057">
        <v>0.55500000000000005</v>
      </c>
    </row>
    <row r="237" spans="2:15" s="335" customFormat="1" ht="12" hidden="1" customHeight="1">
      <c r="B237" s="1384" t="s">
        <v>312</v>
      </c>
      <c r="C237" s="2057">
        <v>15032509</v>
      </c>
      <c r="D237" s="1384" t="s">
        <v>569</v>
      </c>
      <c r="E237" s="2060" t="s">
        <v>316</v>
      </c>
      <c r="F237" s="2057">
        <v>962048</v>
      </c>
      <c r="G237" s="2057" t="s">
        <v>741</v>
      </c>
      <c r="H237" s="1740"/>
      <c r="I237" s="1387">
        <v>42730</v>
      </c>
      <c r="J237" s="1374" t="s">
        <v>475</v>
      </c>
      <c r="K237" s="1407">
        <v>119</v>
      </c>
      <c r="L237" s="1740">
        <v>11</v>
      </c>
      <c r="M237" s="1407">
        <v>11</v>
      </c>
      <c r="N237" s="1740"/>
      <c r="O237" s="2057">
        <v>1.2150000000000001</v>
      </c>
    </row>
    <row r="238" spans="2:15" s="335" customFormat="1" ht="12" hidden="1" customHeight="1">
      <c r="B238" s="1384" t="s">
        <v>312</v>
      </c>
      <c r="C238" s="2057">
        <v>15032443</v>
      </c>
      <c r="D238" s="1384" t="s">
        <v>569</v>
      </c>
      <c r="E238" s="1386" t="s">
        <v>359</v>
      </c>
      <c r="F238" s="2057">
        <v>955418</v>
      </c>
      <c r="G238" s="2057" t="s">
        <v>361</v>
      </c>
      <c r="H238" s="1740"/>
      <c r="I238" s="1387">
        <v>42726</v>
      </c>
      <c r="J238" s="1374" t="s">
        <v>475</v>
      </c>
      <c r="K238" s="1407">
        <v>119</v>
      </c>
      <c r="L238" s="1740">
        <v>11</v>
      </c>
      <c r="M238" s="1407">
        <v>11</v>
      </c>
      <c r="N238" s="1740"/>
      <c r="O238" s="2057">
        <v>1.673</v>
      </c>
    </row>
    <row r="239" spans="2:15" s="335" customFormat="1" ht="12" hidden="1" customHeight="1">
      <c r="B239" s="1384" t="s">
        <v>312</v>
      </c>
      <c r="C239" s="2057">
        <v>312506</v>
      </c>
      <c r="D239" s="1384" t="s">
        <v>569</v>
      </c>
      <c r="E239" s="1386" t="s">
        <v>322</v>
      </c>
      <c r="F239" s="1385">
        <v>32011</v>
      </c>
      <c r="G239" s="1386" t="s">
        <v>350</v>
      </c>
      <c r="H239" s="1740"/>
      <c r="I239" s="1387">
        <v>42726</v>
      </c>
      <c r="J239" s="1374" t="s">
        <v>475</v>
      </c>
      <c r="K239" s="1740">
        <v>119</v>
      </c>
      <c r="L239" s="1740">
        <v>11</v>
      </c>
      <c r="M239" s="1740">
        <v>10</v>
      </c>
      <c r="N239" s="1740"/>
      <c r="O239" s="2057">
        <v>1.522</v>
      </c>
    </row>
    <row r="240" spans="2:15" s="335" customFormat="1" ht="12" customHeight="1">
      <c r="B240" s="1398" t="s">
        <v>312</v>
      </c>
      <c r="C240" s="2061">
        <v>298252</v>
      </c>
      <c r="D240" s="1398" t="s">
        <v>569</v>
      </c>
      <c r="E240" s="1400" t="s">
        <v>320</v>
      </c>
      <c r="F240" s="1399">
        <v>902203</v>
      </c>
      <c r="G240" s="1400" t="s">
        <v>334</v>
      </c>
      <c r="H240" s="2062"/>
      <c r="I240" s="2061" t="s">
        <v>757</v>
      </c>
      <c r="J240" s="1389" t="s">
        <v>475</v>
      </c>
      <c r="K240" s="2061">
        <v>119</v>
      </c>
      <c r="L240" s="2061">
        <v>10</v>
      </c>
      <c r="M240" s="2062">
        <v>10</v>
      </c>
      <c r="N240" s="2062"/>
      <c r="O240" s="2062">
        <v>2.105</v>
      </c>
    </row>
    <row r="241" spans="15:15" s="335" customFormat="1" ht="12" hidden="1" customHeight="1" thickBot="1">
      <c r="O241" s="2075">
        <f>SUM(O128:O240)</f>
        <v>1615.0930000000008</v>
      </c>
    </row>
    <row r="242" spans="15:15" s="335" customFormat="1" ht="12" customHeight="1"/>
    <row r="243" spans="15:15" s="335" customFormat="1" ht="12" customHeight="1"/>
    <row r="244" spans="15:15" s="335" customFormat="1" ht="12" customHeight="1"/>
    <row r="245" spans="15:15" s="335" customFormat="1" ht="12" customHeight="1"/>
    <row r="246" spans="15:15" s="647" customFormat="1" ht="12" customHeight="1"/>
    <row r="247" spans="15:15" s="647" customFormat="1" ht="12" customHeight="1"/>
    <row r="248" spans="15:15" s="647" customFormat="1" ht="12" customHeight="1"/>
    <row r="249" spans="15:15" s="647" customFormat="1" ht="12" customHeight="1"/>
    <row r="250" spans="15:15" s="647" customFormat="1" ht="12" customHeight="1"/>
    <row r="251" spans="15:15" s="647" customFormat="1" ht="12" customHeight="1"/>
    <row r="252" spans="15:15" s="647" customFormat="1" ht="12" customHeight="1"/>
    <row r="253" spans="15:15" s="647" customFormat="1" ht="12" customHeight="1"/>
    <row r="254" spans="15:15" s="647" customFormat="1" ht="12" customHeight="1"/>
    <row r="255" spans="15:15" s="647" customFormat="1" ht="12" customHeight="1"/>
    <row r="256" spans="15:15" s="647" customFormat="1" ht="12" customHeight="1"/>
    <row r="257" s="647" customFormat="1" ht="12" customHeight="1"/>
    <row r="258" s="647" customFormat="1" ht="12" customHeight="1"/>
    <row r="259" s="647" customFormat="1" ht="12" customHeight="1"/>
    <row r="260" s="647" customFormat="1" ht="12" customHeight="1"/>
    <row r="261" s="647" customFormat="1" ht="12" customHeight="1"/>
    <row r="262" s="647" customFormat="1" ht="12" customHeight="1"/>
    <row r="263" s="647" customFormat="1" ht="12" customHeight="1"/>
    <row r="264" s="647" customFormat="1" ht="12" customHeight="1"/>
    <row r="265" s="647" customFormat="1" ht="12" customHeight="1"/>
    <row r="266" s="647" customFormat="1" ht="12" customHeight="1"/>
    <row r="267" s="647" customFormat="1" ht="12" customHeight="1"/>
    <row r="268" s="647" customFormat="1" ht="12" customHeight="1"/>
    <row r="269" s="647" customFormat="1" ht="12" customHeight="1"/>
    <row r="270" s="647" customFormat="1" ht="12" customHeight="1"/>
    <row r="271" s="647" customFormat="1" ht="12" customHeight="1"/>
    <row r="272" s="647" customFormat="1" ht="12" customHeight="1"/>
    <row r="273" s="647" customFormat="1" ht="12" customHeight="1"/>
    <row r="274" s="647" customFormat="1" ht="12" customHeight="1"/>
    <row r="275" s="647" customFormat="1" ht="12" customHeight="1"/>
    <row r="276" s="647" customFormat="1" ht="12" customHeight="1"/>
    <row r="277" s="647" customFormat="1" ht="12" customHeight="1"/>
    <row r="278" s="647" customFormat="1" ht="12" customHeight="1"/>
    <row r="279" s="647" customFormat="1" ht="12" customHeight="1"/>
    <row r="280" s="647" customFormat="1" ht="12" customHeight="1"/>
    <row r="281" s="647" customFormat="1" ht="12" customHeight="1"/>
    <row r="282" s="647" customFormat="1" ht="12" customHeight="1"/>
    <row r="283" s="647" customFormat="1" ht="12" customHeight="1"/>
    <row r="284" s="647" customFormat="1" ht="12" customHeight="1"/>
    <row r="285" s="647" customFormat="1" ht="12" customHeight="1"/>
    <row r="286" s="647" customFormat="1" ht="12" customHeight="1"/>
    <row r="287" s="647" customFormat="1" ht="12" customHeight="1"/>
    <row r="288" s="647" customFormat="1" ht="12" customHeight="1"/>
    <row r="289" s="647" customFormat="1" ht="12" customHeight="1"/>
    <row r="290" s="647" customFormat="1" ht="12" customHeight="1"/>
    <row r="291" s="647" customFormat="1" ht="12" customHeight="1"/>
    <row r="292" s="647" customFormat="1" ht="12" customHeight="1"/>
    <row r="293" s="647" customFormat="1" ht="12" customHeight="1"/>
    <row r="294" s="647" customFormat="1" ht="12" customHeight="1"/>
    <row r="295" s="647" customFormat="1" ht="12" customHeight="1"/>
    <row r="296" s="647" customFormat="1" ht="12" customHeight="1"/>
    <row r="297" s="647" customFormat="1" ht="12" customHeight="1"/>
    <row r="298" s="647" customFormat="1" ht="12" customHeight="1"/>
    <row r="299" s="647" customFormat="1" ht="12" customHeight="1"/>
    <row r="300" s="647" customFormat="1" ht="12" customHeight="1"/>
    <row r="301" s="647" customFormat="1" ht="12" customHeight="1"/>
    <row r="302" s="647" customFormat="1" ht="12" customHeight="1"/>
    <row r="303" s="647" customFormat="1" ht="12" customHeight="1"/>
    <row r="304" s="647" customFormat="1" ht="12" customHeight="1"/>
    <row r="305" s="647" customFormat="1" ht="12" customHeight="1"/>
    <row r="306" s="647" customFormat="1" ht="12" customHeight="1"/>
    <row r="307" s="647" customFormat="1" ht="12" customHeight="1"/>
    <row r="308" s="647" customFormat="1" ht="12" customHeight="1"/>
    <row r="309" s="647" customFormat="1" ht="12" customHeight="1"/>
    <row r="310" s="647" customFormat="1" ht="12" customHeight="1"/>
    <row r="311" s="647" customFormat="1" ht="12" customHeight="1"/>
    <row r="312" s="647" customFormat="1" ht="12" customHeight="1"/>
    <row r="313" s="647" customFormat="1" ht="12" customHeight="1"/>
    <row r="314" s="647" customFormat="1" ht="12" customHeight="1"/>
    <row r="315" s="647" customFormat="1" ht="12" customHeight="1"/>
    <row r="316" s="647" customFormat="1" ht="12" customHeight="1"/>
    <row r="317" s="647" customFormat="1" ht="12" customHeight="1"/>
    <row r="318" s="647" customFormat="1" ht="12" customHeight="1"/>
    <row r="319" s="647" customFormat="1" ht="12" customHeight="1"/>
    <row r="320" s="647" customFormat="1" ht="12" customHeight="1"/>
    <row r="321" s="647" customFormat="1" ht="12" customHeight="1"/>
    <row r="322" s="647" customFormat="1" ht="12" customHeight="1"/>
    <row r="323" s="647" customFormat="1" ht="12" customHeight="1"/>
    <row r="324" s="647" customFormat="1" ht="12" customHeight="1"/>
    <row r="325" s="647" customFormat="1" ht="12" customHeight="1"/>
    <row r="326" s="647" customFormat="1" ht="12" customHeight="1"/>
    <row r="327" s="647" customFormat="1" ht="12" customHeight="1"/>
    <row r="328" s="647" customFormat="1" ht="12" customHeight="1"/>
    <row r="329" s="647" customFormat="1" ht="12" customHeight="1"/>
    <row r="330" s="647" customFormat="1" ht="12" customHeight="1"/>
    <row r="331" s="647" customFormat="1"/>
    <row r="332" s="647" customFormat="1"/>
    <row r="333" s="647" customFormat="1"/>
    <row r="334" s="647" customFormat="1"/>
    <row r="335" s="647" customFormat="1"/>
    <row r="336" s="647" customFormat="1"/>
    <row r="337" s="647" customFormat="1"/>
    <row r="338" s="647" customFormat="1"/>
    <row r="339" s="647" customFormat="1"/>
    <row r="340" s="647" customFormat="1"/>
    <row r="341" s="647" customFormat="1"/>
    <row r="342" s="647" customFormat="1"/>
    <row r="343" s="647" customFormat="1"/>
    <row r="344" s="647" customFormat="1"/>
    <row r="345" s="647" customFormat="1"/>
    <row r="346" s="647" customFormat="1"/>
    <row r="347" s="647" customFormat="1"/>
    <row r="348" s="647" customFormat="1"/>
    <row r="349" s="647" customFormat="1"/>
    <row r="350" s="647" customFormat="1"/>
    <row r="351" s="647" customFormat="1"/>
    <row r="352" s="647" customFormat="1"/>
    <row r="353" s="647" customFormat="1"/>
    <row r="354" s="647" customFormat="1"/>
    <row r="355" s="647" customFormat="1"/>
    <row r="356" s="647" customFormat="1"/>
    <row r="357" s="647" customFormat="1"/>
    <row r="358" s="647" customFormat="1"/>
    <row r="359" s="647" customFormat="1"/>
    <row r="360" s="647" customFormat="1"/>
    <row r="361" s="647" customFormat="1"/>
    <row r="362" s="647" customFormat="1"/>
    <row r="363" s="647" customFormat="1"/>
    <row r="364" s="647" customFormat="1"/>
    <row r="365" s="647" customFormat="1"/>
    <row r="366" s="647" customFormat="1"/>
    <row r="367" s="647" customFormat="1"/>
    <row r="368" s="647" customFormat="1"/>
    <row r="369" s="647" customFormat="1"/>
    <row r="370" s="647" customFormat="1"/>
    <row r="371" s="647" customFormat="1"/>
    <row r="372" s="647" customFormat="1"/>
    <row r="373" s="647" customFormat="1"/>
    <row r="374" s="647" customFormat="1"/>
    <row r="375" s="647" customFormat="1"/>
    <row r="376" s="647" customFormat="1"/>
    <row r="377" s="647" customFormat="1"/>
    <row r="378" s="647" customFormat="1"/>
    <row r="379" s="647" customFormat="1"/>
    <row r="380" s="647" customFormat="1"/>
    <row r="381" s="647" customFormat="1"/>
    <row r="382" s="647" customFormat="1"/>
    <row r="383" s="647" customFormat="1"/>
    <row r="384" s="647" customFormat="1"/>
    <row r="385" s="647" customFormat="1"/>
    <row r="386" s="647" customFormat="1"/>
    <row r="387" s="647" customFormat="1"/>
    <row r="388" s="647" customFormat="1"/>
    <row r="389" s="647" customFormat="1"/>
    <row r="390" s="647" customFormat="1"/>
    <row r="391" s="647" customFormat="1"/>
    <row r="392" s="647" customFormat="1"/>
    <row r="393" s="647" customFormat="1"/>
    <row r="394" s="647" customFormat="1"/>
    <row r="395" s="647" customFormat="1"/>
    <row r="396" s="647" customFormat="1"/>
    <row r="397" s="647" customFormat="1"/>
    <row r="398" s="647" customFormat="1"/>
    <row r="399" s="647" customFormat="1"/>
    <row r="400" s="647" customFormat="1"/>
    <row r="401" spans="3:12" s="647" customFormat="1"/>
    <row r="402" spans="3:12" s="647" customFormat="1"/>
    <row r="403" spans="3:12" s="647" customFormat="1"/>
    <row r="404" spans="3:12" s="647" customFormat="1"/>
    <row r="405" spans="3:12" s="647" customFormat="1"/>
    <row r="406" spans="3:12">
      <c r="C406" s="647"/>
      <c r="D406" s="647"/>
      <c r="E406" s="647"/>
      <c r="F406" s="647"/>
      <c r="G406" s="647"/>
      <c r="H406" s="647"/>
      <c r="I406" s="647"/>
      <c r="J406" s="647"/>
      <c r="K406" s="647"/>
      <c r="L406" s="647"/>
    </row>
    <row r="407" spans="3:12"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</row>
    <row r="408" spans="3:12"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</row>
    <row r="409" spans="3:12"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</row>
    <row r="410" spans="3:12"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</row>
    <row r="411" spans="3:12">
      <c r="C411" s="647"/>
      <c r="D411" s="647"/>
      <c r="E411" s="647"/>
      <c r="F411" s="647"/>
      <c r="G411" s="647"/>
      <c r="H411" s="647"/>
      <c r="I411" s="647"/>
      <c r="J411" s="647"/>
      <c r="K411" s="647"/>
      <c r="L411" s="647"/>
    </row>
    <row r="412" spans="3:12">
      <c r="C412" s="647"/>
      <c r="D412" s="647"/>
      <c r="E412" s="647"/>
      <c r="F412" s="647"/>
      <c r="G412" s="647"/>
      <c r="H412" s="647"/>
      <c r="I412" s="647"/>
      <c r="J412" s="647"/>
      <c r="K412" s="647"/>
      <c r="L412" s="647"/>
    </row>
    <row r="413" spans="3:12"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</row>
    <row r="414" spans="3:12"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</row>
    <row r="415" spans="3:12"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</row>
    <row r="416" spans="3:12"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</row>
    <row r="417" spans="3:12">
      <c r="C417" s="647"/>
      <c r="D417" s="647"/>
      <c r="E417" s="647"/>
      <c r="F417" s="647"/>
      <c r="G417" s="647"/>
      <c r="H417" s="647"/>
      <c r="I417" s="647"/>
      <c r="J417" s="647"/>
      <c r="K417" s="647"/>
      <c r="L417" s="647"/>
    </row>
    <row r="418" spans="3:12"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</row>
    <row r="419" spans="3:12">
      <c r="C419" s="647"/>
      <c r="D419" s="647"/>
      <c r="E419" s="647"/>
      <c r="F419" s="647"/>
      <c r="G419" s="647"/>
      <c r="H419" s="647"/>
      <c r="I419" s="647"/>
      <c r="J419" s="647"/>
      <c r="K419" s="647"/>
      <c r="L419" s="647"/>
    </row>
    <row r="420" spans="3:12"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</row>
    <row r="421" spans="3:12"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</row>
    <row r="422" spans="3:12"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</row>
    <row r="423" spans="3:12"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</row>
    <row r="424" spans="3:12"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</row>
    <row r="425" spans="3:12">
      <c r="C425" s="647"/>
      <c r="D425" s="647"/>
      <c r="E425" s="647"/>
      <c r="F425" s="647"/>
      <c r="G425" s="647"/>
      <c r="H425" s="647"/>
      <c r="I425" s="647"/>
      <c r="J425" s="647"/>
      <c r="K425" s="647"/>
      <c r="L425" s="647"/>
    </row>
    <row r="426" spans="3:12"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</row>
    <row r="427" spans="3:12"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</row>
    <row r="428" spans="3:12"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</row>
    <row r="429" spans="3:12"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</row>
    <row r="430" spans="3:12"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</row>
    <row r="431" spans="3:12">
      <c r="C431" s="647"/>
      <c r="D431" s="647"/>
      <c r="E431" s="647"/>
      <c r="F431" s="647"/>
      <c r="G431" s="647"/>
      <c r="H431" s="647"/>
      <c r="I431" s="647"/>
      <c r="J431" s="647"/>
      <c r="K431" s="647"/>
      <c r="L431" s="647"/>
    </row>
    <row r="432" spans="3:12">
      <c r="C432" s="647"/>
      <c r="D432" s="647"/>
      <c r="E432" s="647"/>
      <c r="F432" s="647"/>
      <c r="G432" s="647"/>
      <c r="H432" s="647"/>
      <c r="I432" s="647"/>
      <c r="J432" s="647"/>
      <c r="K432" s="647"/>
      <c r="L432" s="647"/>
    </row>
    <row r="433" spans="3:12"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</row>
    <row r="434" spans="3:12"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</row>
    <row r="435" spans="3:12"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</row>
    <row r="436" spans="3:12">
      <c r="C436" s="647"/>
      <c r="D436" s="647"/>
      <c r="E436" s="647"/>
      <c r="F436" s="647"/>
      <c r="G436" s="647"/>
      <c r="H436" s="647"/>
      <c r="I436" s="647"/>
      <c r="J436" s="647"/>
      <c r="K436" s="647"/>
      <c r="L436" s="647"/>
    </row>
    <row r="437" spans="3:12"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</row>
    <row r="438" spans="3:12"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</row>
    <row r="439" spans="3:12"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</row>
    <row r="440" spans="3:12"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</row>
    <row r="441" spans="3:12">
      <c r="C441" s="647"/>
      <c r="D441" s="647"/>
      <c r="E441" s="647"/>
      <c r="F441" s="647"/>
      <c r="G441" s="647"/>
      <c r="H441" s="647"/>
      <c r="I441" s="647"/>
      <c r="J441" s="647"/>
      <c r="K441" s="647"/>
      <c r="L441" s="647"/>
    </row>
    <row r="442" spans="3:12">
      <c r="C442" s="647"/>
      <c r="D442" s="647"/>
      <c r="E442" s="647"/>
      <c r="F442" s="647"/>
      <c r="G442" s="647"/>
      <c r="H442" s="647"/>
      <c r="I442" s="647"/>
      <c r="J442" s="647"/>
      <c r="K442" s="647"/>
      <c r="L442" s="647"/>
    </row>
    <row r="443" spans="3:12">
      <c r="C443" s="647"/>
      <c r="D443" s="647"/>
      <c r="E443" s="647"/>
      <c r="F443" s="647"/>
      <c r="G443" s="647"/>
      <c r="H443" s="647"/>
      <c r="I443" s="647"/>
      <c r="J443" s="647"/>
      <c r="K443" s="647"/>
      <c r="L443" s="647"/>
    </row>
    <row r="444" spans="3:12">
      <c r="C444" s="647"/>
      <c r="D444" s="647"/>
      <c r="E444" s="647"/>
      <c r="F444" s="647"/>
      <c r="G444" s="647"/>
      <c r="H444" s="647"/>
      <c r="I444" s="647"/>
      <c r="J444" s="647"/>
      <c r="K444" s="647"/>
      <c r="L444" s="647"/>
    </row>
    <row r="445" spans="3:12"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</row>
    <row r="446" spans="3:12"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</row>
    <row r="447" spans="3:12"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</row>
    <row r="448" spans="3:12"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</row>
    <row r="449" spans="3:12"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</row>
    <row r="450" spans="3:12"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</row>
    <row r="451" spans="3:12"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</row>
    <row r="452" spans="3:12">
      <c r="C452" s="647"/>
      <c r="D452" s="647"/>
      <c r="E452" s="647"/>
      <c r="F452" s="647"/>
      <c r="G452" s="647"/>
      <c r="H452" s="647"/>
      <c r="I452" s="647"/>
      <c r="J452" s="647"/>
      <c r="K452" s="647"/>
      <c r="L452" s="647"/>
    </row>
    <row r="453" spans="3:12"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</row>
    <row r="454" spans="3:12"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</row>
    <row r="455" spans="3:12"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</row>
    <row r="456" spans="3:12"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</row>
    <row r="457" spans="3:12"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</row>
    <row r="458" spans="3:12">
      <c r="C458" s="647"/>
      <c r="D458" s="647"/>
      <c r="E458" s="647"/>
      <c r="F458" s="647"/>
      <c r="G458" s="647"/>
      <c r="H458" s="647"/>
      <c r="I458" s="647"/>
      <c r="J458" s="647"/>
      <c r="K458" s="647"/>
      <c r="L458" s="647"/>
    </row>
    <row r="459" spans="3:12"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</row>
    <row r="460" spans="3:12"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</row>
    <row r="461" spans="3:12"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</row>
    <row r="462" spans="3:12">
      <c r="C462" s="647"/>
      <c r="D462" s="647"/>
      <c r="E462" s="647"/>
      <c r="F462" s="647"/>
      <c r="G462" s="647"/>
      <c r="H462" s="647"/>
      <c r="I462" s="647"/>
      <c r="J462" s="647"/>
      <c r="K462" s="647"/>
      <c r="L462" s="647"/>
    </row>
    <row r="463" spans="3:12"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</row>
    <row r="464" spans="3:12"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</row>
    <row r="465" spans="3:12"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</row>
    <row r="466" spans="3:12"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</row>
    <row r="467" spans="3:12"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</row>
    <row r="468" spans="3:12">
      <c r="C468" s="647"/>
      <c r="D468" s="647"/>
      <c r="E468" s="647"/>
      <c r="F468" s="647"/>
      <c r="G468" s="647"/>
      <c r="H468" s="647"/>
      <c r="I468" s="647"/>
      <c r="J468" s="647"/>
      <c r="K468" s="647"/>
      <c r="L468" s="647"/>
    </row>
    <row r="469" spans="3:12">
      <c r="C469" s="647"/>
      <c r="D469" s="647"/>
      <c r="E469" s="647"/>
      <c r="F469" s="647"/>
      <c r="G469" s="647"/>
      <c r="H469" s="647"/>
      <c r="I469" s="647"/>
      <c r="J469" s="647"/>
      <c r="K469" s="647"/>
      <c r="L469" s="647"/>
    </row>
    <row r="470" spans="3:12"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</row>
    <row r="471" spans="3:12"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</row>
    <row r="472" spans="3:12"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</row>
    <row r="473" spans="3:12">
      <c r="C473" s="647"/>
      <c r="D473" s="647"/>
      <c r="E473" s="647"/>
      <c r="F473" s="647"/>
      <c r="G473" s="647"/>
      <c r="H473" s="647"/>
      <c r="I473" s="647"/>
      <c r="J473" s="647"/>
      <c r="K473" s="647"/>
      <c r="L473" s="647"/>
    </row>
    <row r="474" spans="3:12"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</row>
    <row r="475" spans="3:12"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</row>
    <row r="476" spans="3:12"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</row>
    <row r="477" spans="3:12"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</row>
    <row r="478" spans="3:12"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</row>
    <row r="479" spans="3:12">
      <c r="C479" s="647"/>
      <c r="D479" s="647"/>
      <c r="E479" s="647"/>
      <c r="F479" s="647"/>
      <c r="G479" s="647"/>
      <c r="H479" s="647"/>
      <c r="I479" s="647"/>
      <c r="J479" s="647"/>
      <c r="K479" s="647"/>
      <c r="L479" s="647"/>
    </row>
    <row r="480" spans="3:12"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</row>
    <row r="481" spans="3:12"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</row>
    <row r="482" spans="3:12"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</row>
    <row r="483" spans="3:12"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</row>
    <row r="484" spans="3:12"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</row>
    <row r="485" spans="3:12"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</row>
    <row r="486" spans="3:12">
      <c r="C486" s="647"/>
      <c r="D486" s="647"/>
      <c r="E486" s="647"/>
      <c r="F486" s="647"/>
      <c r="G486" s="647"/>
      <c r="H486" s="647"/>
      <c r="I486" s="647"/>
      <c r="J486" s="647"/>
      <c r="K486" s="647"/>
      <c r="L486" s="647"/>
    </row>
    <row r="487" spans="3:12"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</row>
    <row r="488" spans="3:12"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</row>
    <row r="489" spans="3:12">
      <c r="C489" s="647"/>
      <c r="D489" s="647"/>
      <c r="E489" s="647"/>
      <c r="F489" s="647"/>
      <c r="G489" s="647"/>
      <c r="H489" s="647"/>
      <c r="I489" s="647"/>
      <c r="J489" s="647"/>
      <c r="K489" s="647"/>
      <c r="L489" s="647"/>
    </row>
    <row r="490" spans="3:12">
      <c r="C490" s="647"/>
      <c r="D490" s="647"/>
      <c r="E490" s="647"/>
      <c r="F490" s="647"/>
      <c r="G490" s="647"/>
      <c r="H490" s="647"/>
      <c r="I490" s="647"/>
      <c r="J490" s="647"/>
      <c r="K490" s="647"/>
      <c r="L490" s="647"/>
    </row>
    <row r="491" spans="3:12"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</row>
    <row r="492" spans="3:12"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</row>
    <row r="493" spans="3:12"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</row>
    <row r="494" spans="3:12"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</row>
    <row r="495" spans="3:12"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</row>
    <row r="496" spans="3:12"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</row>
    <row r="497" spans="3:12"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</row>
    <row r="498" spans="3:12"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</row>
    <row r="499" spans="3:12">
      <c r="C499" s="647"/>
      <c r="D499" s="647"/>
      <c r="E499" s="647"/>
      <c r="F499" s="647"/>
      <c r="G499" s="647"/>
      <c r="H499" s="647"/>
      <c r="I499" s="647"/>
      <c r="J499" s="647"/>
      <c r="K499" s="647"/>
      <c r="L499" s="647"/>
    </row>
    <row r="500" spans="3:12"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</row>
    <row r="501" spans="3:12"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</row>
    <row r="502" spans="3:12"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</row>
    <row r="503" spans="3:12">
      <c r="C503" s="647"/>
      <c r="D503" s="647"/>
      <c r="E503" s="647"/>
      <c r="F503" s="647"/>
      <c r="G503" s="647"/>
      <c r="H503" s="647"/>
      <c r="I503" s="647"/>
      <c r="J503" s="647"/>
      <c r="K503" s="647"/>
      <c r="L503" s="647"/>
    </row>
    <row r="504" spans="3:12">
      <c r="C504" s="647"/>
      <c r="D504" s="647"/>
      <c r="E504" s="647"/>
      <c r="F504" s="647"/>
      <c r="G504" s="647"/>
      <c r="H504" s="647"/>
      <c r="I504" s="647"/>
      <c r="J504" s="647"/>
      <c r="K504" s="647"/>
      <c r="L504" s="647"/>
    </row>
    <row r="505" spans="3:12">
      <c r="C505" s="647"/>
      <c r="D505" s="647"/>
      <c r="E505" s="647"/>
      <c r="F505" s="647"/>
      <c r="G505" s="647"/>
      <c r="H505" s="647"/>
      <c r="I505" s="647"/>
      <c r="J505" s="647"/>
      <c r="K505" s="647"/>
      <c r="L505" s="647"/>
    </row>
    <row r="506" spans="3:12"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</row>
    <row r="507" spans="3:12"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</row>
    <row r="508" spans="3:12"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</row>
    <row r="509" spans="3:12"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</row>
    <row r="510" spans="3:12"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</row>
    <row r="511" spans="3:12">
      <c r="C511" s="647"/>
      <c r="D511" s="647"/>
      <c r="E511" s="647"/>
      <c r="F511" s="647"/>
      <c r="G511" s="647"/>
      <c r="H511" s="647"/>
      <c r="I511" s="647"/>
      <c r="J511" s="647"/>
      <c r="K511" s="647"/>
      <c r="L511" s="647"/>
    </row>
    <row r="512" spans="3:12">
      <c r="C512" s="647"/>
      <c r="D512" s="647"/>
      <c r="E512" s="647"/>
      <c r="F512" s="647"/>
      <c r="G512" s="647"/>
      <c r="H512" s="647"/>
      <c r="I512" s="647"/>
      <c r="J512" s="647"/>
      <c r="K512" s="647"/>
      <c r="L512" s="647"/>
    </row>
    <row r="513" spans="3:12"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</row>
    <row r="514" spans="3:12"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</row>
    <row r="515" spans="3:12">
      <c r="C515" s="647"/>
      <c r="D515" s="647"/>
      <c r="E515" s="647"/>
      <c r="F515" s="647"/>
      <c r="G515" s="647"/>
      <c r="H515" s="647"/>
      <c r="I515" s="647"/>
      <c r="J515" s="647"/>
      <c r="K515" s="647"/>
      <c r="L515" s="647"/>
    </row>
    <row r="516" spans="3:12">
      <c r="C516" s="647"/>
      <c r="D516" s="647"/>
      <c r="E516" s="647"/>
      <c r="F516" s="647"/>
      <c r="G516" s="647"/>
      <c r="H516" s="647"/>
      <c r="I516" s="647"/>
      <c r="J516" s="647"/>
      <c r="K516" s="647"/>
      <c r="L516" s="647"/>
    </row>
    <row r="517" spans="3:12">
      <c r="C517" s="647"/>
      <c r="D517" s="647"/>
      <c r="E517" s="647"/>
      <c r="F517" s="647"/>
      <c r="G517" s="647"/>
      <c r="H517" s="647"/>
      <c r="I517" s="647"/>
      <c r="J517" s="647"/>
      <c r="K517" s="647"/>
      <c r="L517" s="647"/>
    </row>
    <row r="518" spans="3:12">
      <c r="C518" s="647"/>
      <c r="D518" s="647"/>
      <c r="E518" s="647"/>
      <c r="F518" s="647"/>
      <c r="G518" s="647"/>
      <c r="H518" s="647"/>
      <c r="I518" s="647"/>
      <c r="J518" s="647"/>
      <c r="K518" s="647"/>
      <c r="L518" s="647"/>
    </row>
    <row r="519" spans="3:12"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</row>
    <row r="520" spans="3:12"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</row>
    <row r="521" spans="3:12"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</row>
    <row r="522" spans="3:12">
      <c r="C522" s="647"/>
      <c r="D522" s="647"/>
      <c r="E522" s="647"/>
      <c r="F522" s="647"/>
      <c r="G522" s="647"/>
      <c r="H522" s="647"/>
      <c r="I522" s="647"/>
      <c r="J522" s="647"/>
      <c r="K522" s="647"/>
      <c r="L522" s="647"/>
    </row>
    <row r="523" spans="3:12"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</row>
    <row r="524" spans="3:12"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</row>
    <row r="525" spans="3:12"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</row>
    <row r="526" spans="3:12"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</row>
    <row r="527" spans="3:12"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</row>
    <row r="528" spans="3:12">
      <c r="C528" s="647"/>
      <c r="D528" s="647"/>
      <c r="E528" s="647"/>
      <c r="F528" s="647"/>
      <c r="G528" s="647"/>
      <c r="H528" s="647"/>
      <c r="I528" s="647"/>
      <c r="J528" s="647"/>
      <c r="K528" s="647"/>
      <c r="L528" s="647"/>
    </row>
    <row r="529" spans="3:12"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</row>
    <row r="530" spans="3:12"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</row>
    <row r="531" spans="3:12">
      <c r="C531" s="647"/>
      <c r="D531" s="647"/>
      <c r="E531" s="647"/>
      <c r="F531" s="647"/>
      <c r="G531" s="647"/>
      <c r="H531" s="647"/>
      <c r="I531" s="647"/>
      <c r="J531" s="647"/>
      <c r="K531" s="647"/>
      <c r="L531" s="647"/>
    </row>
    <row r="532" spans="3:12">
      <c r="C532" s="647"/>
      <c r="D532" s="647"/>
      <c r="E532" s="647"/>
      <c r="F532" s="647"/>
      <c r="G532" s="647"/>
      <c r="H532" s="647"/>
      <c r="I532" s="647"/>
      <c r="J532" s="647"/>
      <c r="K532" s="647"/>
      <c r="L532" s="647"/>
    </row>
    <row r="533" spans="3:12"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</row>
    <row r="534" spans="3:12"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</row>
    <row r="535" spans="3:12"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</row>
    <row r="536" spans="3:12"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</row>
    <row r="537" spans="3:12"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</row>
    <row r="538" spans="3:12"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</row>
    <row r="539" spans="3:12"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</row>
    <row r="540" spans="3:12">
      <c r="C540" s="647"/>
      <c r="D540" s="647"/>
      <c r="E540" s="647"/>
      <c r="F540" s="647"/>
      <c r="G540" s="647"/>
      <c r="H540" s="647"/>
      <c r="I540" s="647"/>
      <c r="J540" s="647"/>
      <c r="K540" s="647"/>
      <c r="L540" s="647"/>
    </row>
    <row r="541" spans="3:12"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</row>
    <row r="542" spans="3:12"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</row>
    <row r="543" spans="3:12"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</row>
    <row r="544" spans="3:12">
      <c r="C544" s="647"/>
      <c r="D544" s="647"/>
      <c r="E544" s="647"/>
      <c r="F544" s="647"/>
      <c r="G544" s="647"/>
      <c r="H544" s="647"/>
      <c r="I544" s="647"/>
      <c r="J544" s="647"/>
      <c r="K544" s="647"/>
      <c r="L544" s="647"/>
    </row>
    <row r="545" spans="3:12"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</row>
    <row r="546" spans="3:12"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</row>
    <row r="547" spans="3:12"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</row>
    <row r="548" spans="3:12">
      <c r="C548" s="647"/>
      <c r="D548" s="647"/>
      <c r="E548" s="647"/>
      <c r="F548" s="647"/>
      <c r="G548" s="647"/>
      <c r="H548" s="647"/>
      <c r="I548" s="647"/>
      <c r="J548" s="647"/>
      <c r="K548" s="647"/>
      <c r="L548" s="647"/>
    </row>
    <row r="549" spans="3:12"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</row>
    <row r="550" spans="3:12"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</row>
    <row r="551" spans="3:12"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</row>
    <row r="552" spans="3:12"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</row>
    <row r="553" spans="3:12"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</row>
    <row r="554" spans="3:12"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</row>
    <row r="555" spans="3:12"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</row>
    <row r="556" spans="3:12"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</row>
    <row r="557" spans="3:12"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</row>
    <row r="558" spans="3:12"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</row>
    <row r="559" spans="3:12"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</row>
    <row r="560" spans="3:12"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</row>
    <row r="561" spans="3:12"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</row>
    <row r="562" spans="3:12">
      <c r="C562" s="647"/>
      <c r="D562" s="647"/>
      <c r="E562" s="647"/>
      <c r="F562" s="647"/>
      <c r="G562" s="647"/>
      <c r="H562" s="647"/>
      <c r="I562" s="647"/>
      <c r="J562" s="647"/>
      <c r="K562" s="647"/>
      <c r="L562" s="647"/>
    </row>
    <row r="563" spans="3:12"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</row>
    <row r="564" spans="3:12"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</row>
    <row r="565" spans="3:12"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</row>
    <row r="566" spans="3:12"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</row>
    <row r="567" spans="3:12"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</row>
    <row r="568" spans="3:12"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</row>
    <row r="569" spans="3:12"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</row>
    <row r="570" spans="3:12"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</row>
    <row r="571" spans="3:12">
      <c r="C571" s="647"/>
      <c r="D571" s="647"/>
      <c r="E571" s="647"/>
      <c r="F571" s="647"/>
      <c r="G571" s="647"/>
      <c r="H571" s="647"/>
      <c r="I571" s="647"/>
      <c r="J571" s="647"/>
      <c r="K571" s="647"/>
      <c r="L571" s="647"/>
    </row>
    <row r="572" spans="3:12">
      <c r="C572" s="647"/>
      <c r="D572" s="647"/>
      <c r="E572" s="647"/>
      <c r="F572" s="647"/>
      <c r="G572" s="647"/>
      <c r="H572" s="647"/>
      <c r="I572" s="647"/>
      <c r="J572" s="647"/>
      <c r="K572" s="647"/>
      <c r="L572" s="647"/>
    </row>
    <row r="573" spans="3:12">
      <c r="C573" s="647"/>
      <c r="D573" s="647"/>
      <c r="E573" s="647"/>
      <c r="F573" s="647"/>
      <c r="G573" s="647"/>
      <c r="H573" s="647"/>
      <c r="I573" s="647"/>
      <c r="J573" s="647"/>
      <c r="K573" s="647"/>
      <c r="L573" s="647"/>
    </row>
    <row r="574" spans="3:12">
      <c r="C574" s="647"/>
      <c r="D574" s="647"/>
      <c r="E574" s="647"/>
      <c r="F574" s="647"/>
      <c r="G574" s="647"/>
      <c r="H574" s="647"/>
      <c r="I574" s="647"/>
      <c r="J574" s="647"/>
      <c r="K574" s="647"/>
      <c r="L574" s="647"/>
    </row>
    <row r="575" spans="3:12">
      <c r="C575" s="647"/>
      <c r="D575" s="647"/>
      <c r="E575" s="647"/>
      <c r="F575" s="647"/>
      <c r="G575" s="647"/>
      <c r="H575" s="647"/>
      <c r="I575" s="647"/>
      <c r="J575" s="647"/>
      <c r="K575" s="647"/>
      <c r="L575" s="647"/>
    </row>
    <row r="576" spans="3:12">
      <c r="C576" s="647"/>
      <c r="D576" s="647"/>
      <c r="E576" s="647"/>
      <c r="F576" s="647"/>
      <c r="G576" s="647"/>
      <c r="H576" s="647"/>
      <c r="I576" s="647"/>
      <c r="J576" s="647"/>
      <c r="K576" s="647"/>
      <c r="L576" s="647"/>
    </row>
    <row r="577" spans="3:12">
      <c r="C577" s="647"/>
      <c r="D577" s="647"/>
      <c r="E577" s="647"/>
      <c r="F577" s="647"/>
      <c r="G577" s="647"/>
      <c r="H577" s="647"/>
      <c r="I577" s="647"/>
      <c r="J577" s="647"/>
      <c r="K577" s="647"/>
      <c r="L577" s="647"/>
    </row>
    <row r="578" spans="3:12">
      <c r="C578" s="647"/>
      <c r="D578" s="647"/>
      <c r="E578" s="647"/>
      <c r="F578" s="647"/>
      <c r="G578" s="647"/>
      <c r="H578" s="647"/>
      <c r="I578" s="647"/>
      <c r="J578" s="647"/>
      <c r="K578" s="647"/>
      <c r="L578" s="647"/>
    </row>
    <row r="579" spans="3:12">
      <c r="C579" s="647"/>
      <c r="D579" s="647"/>
      <c r="E579" s="647"/>
      <c r="F579" s="647"/>
      <c r="G579" s="647"/>
      <c r="H579" s="647"/>
      <c r="I579" s="647"/>
      <c r="J579" s="647"/>
      <c r="K579" s="647"/>
      <c r="L579" s="647"/>
    </row>
    <row r="580" spans="3:12">
      <c r="C580" s="647"/>
      <c r="D580" s="647"/>
      <c r="E580" s="647"/>
      <c r="F580" s="647"/>
      <c r="G580" s="647"/>
      <c r="H580" s="647"/>
      <c r="I580" s="647"/>
      <c r="J580" s="647"/>
      <c r="K580" s="647"/>
      <c r="L580" s="647"/>
    </row>
    <row r="581" spans="3:12">
      <c r="C581" s="647"/>
      <c r="D581" s="647"/>
      <c r="E581" s="647"/>
      <c r="F581" s="647"/>
      <c r="G581" s="647"/>
      <c r="H581" s="647"/>
      <c r="I581" s="647"/>
      <c r="J581" s="647"/>
      <c r="K581" s="647"/>
      <c r="L581" s="647"/>
    </row>
    <row r="582" spans="3:12">
      <c r="C582" s="647"/>
      <c r="D582" s="647"/>
      <c r="E582" s="647"/>
      <c r="F582" s="647"/>
      <c r="G582" s="647"/>
      <c r="H582" s="647"/>
      <c r="I582" s="647"/>
      <c r="J582" s="647"/>
      <c r="K582" s="647"/>
      <c r="L582" s="647"/>
    </row>
    <row r="583" spans="3:12">
      <c r="C583" s="647"/>
      <c r="D583" s="647"/>
      <c r="E583" s="647"/>
      <c r="F583" s="647"/>
      <c r="G583" s="647"/>
      <c r="H583" s="647"/>
      <c r="I583" s="647"/>
      <c r="J583" s="647"/>
      <c r="K583" s="647"/>
      <c r="L583" s="647"/>
    </row>
    <row r="584" spans="3:12">
      <c r="C584" s="647"/>
      <c r="D584" s="647"/>
      <c r="E584" s="647"/>
      <c r="F584" s="647"/>
      <c r="G584" s="647"/>
      <c r="H584" s="647"/>
      <c r="I584" s="647"/>
      <c r="J584" s="647"/>
      <c r="K584" s="647"/>
      <c r="L584" s="647"/>
    </row>
    <row r="585" spans="3:12">
      <c r="C585" s="647"/>
      <c r="D585" s="647"/>
      <c r="E585" s="647"/>
      <c r="F585" s="647"/>
      <c r="G585" s="647"/>
      <c r="H585" s="647"/>
      <c r="I585" s="647"/>
      <c r="J585" s="647"/>
      <c r="K585" s="647"/>
      <c r="L585" s="647"/>
    </row>
    <row r="586" spans="3:12">
      <c r="C586" s="647"/>
      <c r="D586" s="647"/>
      <c r="E586" s="647"/>
      <c r="F586" s="647"/>
      <c r="G586" s="647"/>
      <c r="H586" s="647"/>
      <c r="I586" s="647"/>
      <c r="J586" s="647"/>
      <c r="K586" s="647"/>
      <c r="L586" s="647"/>
    </row>
    <row r="587" spans="3:12">
      <c r="C587" s="647"/>
      <c r="D587" s="647"/>
      <c r="E587" s="647"/>
      <c r="F587" s="647"/>
      <c r="G587" s="647"/>
      <c r="H587" s="647"/>
      <c r="I587" s="647"/>
      <c r="J587" s="647"/>
      <c r="K587" s="647"/>
      <c r="L587" s="647"/>
    </row>
    <row r="588" spans="3:12">
      <c r="C588" s="647"/>
      <c r="D588" s="647"/>
      <c r="E588" s="647"/>
      <c r="F588" s="647"/>
      <c r="G588" s="647"/>
      <c r="H588" s="647"/>
      <c r="I588" s="647"/>
      <c r="J588" s="647"/>
      <c r="K588" s="647"/>
      <c r="L588" s="647"/>
    </row>
    <row r="589" spans="3:12">
      <c r="C589" s="647"/>
      <c r="D589" s="647"/>
      <c r="E589" s="647"/>
      <c r="F589" s="647"/>
      <c r="G589" s="647"/>
      <c r="H589" s="647"/>
      <c r="I589" s="647"/>
      <c r="J589" s="647"/>
      <c r="K589" s="647"/>
      <c r="L589" s="647"/>
    </row>
    <row r="590" spans="3:12">
      <c r="C590" s="647"/>
      <c r="D590" s="647"/>
      <c r="E590" s="647"/>
      <c r="F590" s="647"/>
      <c r="G590" s="647"/>
      <c r="H590" s="647"/>
      <c r="I590" s="647"/>
      <c r="J590" s="647"/>
      <c r="K590" s="647"/>
      <c r="L590" s="647"/>
    </row>
    <row r="591" spans="3:12">
      <c r="C591" s="647"/>
      <c r="D591" s="647"/>
      <c r="E591" s="647"/>
      <c r="F591" s="647"/>
      <c r="G591" s="647"/>
      <c r="H591" s="647"/>
      <c r="I591" s="647"/>
      <c r="J591" s="647"/>
      <c r="K591" s="647"/>
      <c r="L591" s="647"/>
    </row>
    <row r="592" spans="3:12">
      <c r="C592" s="647"/>
      <c r="D592" s="647"/>
      <c r="E592" s="647"/>
      <c r="F592" s="647"/>
      <c r="G592" s="647"/>
      <c r="H592" s="647"/>
      <c r="I592" s="647"/>
      <c r="J592" s="647"/>
      <c r="K592" s="647"/>
      <c r="L592" s="647"/>
    </row>
    <row r="593" spans="3:12">
      <c r="C593" s="647"/>
      <c r="D593" s="647"/>
      <c r="E593" s="647"/>
      <c r="F593" s="647"/>
      <c r="G593" s="647"/>
      <c r="H593" s="647"/>
      <c r="I593" s="647"/>
      <c r="J593" s="647"/>
      <c r="K593" s="647"/>
      <c r="L593" s="647"/>
    </row>
    <row r="594" spans="3:12">
      <c r="C594" s="647"/>
      <c r="D594" s="647"/>
      <c r="E594" s="647"/>
      <c r="F594" s="647"/>
      <c r="G594" s="647"/>
      <c r="H594" s="647"/>
      <c r="I594" s="647"/>
      <c r="J594" s="647"/>
      <c r="K594" s="647"/>
      <c r="L594" s="647"/>
    </row>
    <row r="595" spans="3:12">
      <c r="C595" s="647"/>
      <c r="D595" s="647"/>
      <c r="E595" s="647"/>
      <c r="F595" s="647"/>
      <c r="G595" s="647"/>
      <c r="H595" s="647"/>
      <c r="I595" s="647"/>
      <c r="J595" s="647"/>
      <c r="K595" s="647"/>
      <c r="L595" s="647"/>
    </row>
    <row r="596" spans="3:12">
      <c r="C596" s="647"/>
      <c r="D596" s="647"/>
      <c r="E596" s="647"/>
      <c r="F596" s="647"/>
      <c r="G596" s="647"/>
      <c r="H596" s="647"/>
      <c r="I596" s="647"/>
      <c r="J596" s="647"/>
      <c r="K596" s="647"/>
      <c r="L596" s="647"/>
    </row>
    <row r="597" spans="3:12">
      <c r="C597" s="647"/>
      <c r="D597" s="647"/>
      <c r="E597" s="647"/>
      <c r="F597" s="647"/>
      <c r="G597" s="647"/>
      <c r="H597" s="647"/>
      <c r="I597" s="647"/>
      <c r="J597" s="647"/>
      <c r="K597" s="647"/>
      <c r="L597" s="647"/>
    </row>
    <row r="598" spans="3:12">
      <c r="C598" s="647"/>
      <c r="D598" s="647"/>
      <c r="E598" s="647"/>
      <c r="F598" s="647"/>
      <c r="G598" s="647"/>
      <c r="H598" s="647"/>
      <c r="I598" s="647"/>
      <c r="J598" s="647"/>
      <c r="K598" s="647"/>
      <c r="L598" s="647"/>
    </row>
    <row r="599" spans="3:12">
      <c r="C599" s="647"/>
      <c r="D599" s="647"/>
      <c r="E599" s="647"/>
      <c r="F599" s="647"/>
      <c r="G599" s="647"/>
      <c r="H599" s="647"/>
      <c r="I599" s="647"/>
      <c r="J599" s="647"/>
      <c r="K599" s="647"/>
      <c r="L599" s="647"/>
    </row>
    <row r="600" spans="3:12">
      <c r="C600" s="647"/>
      <c r="D600" s="647"/>
      <c r="E600" s="647"/>
      <c r="F600" s="647"/>
      <c r="G600" s="647"/>
      <c r="H600" s="647"/>
      <c r="I600" s="647"/>
      <c r="J600" s="647"/>
      <c r="K600" s="647"/>
      <c r="L600" s="647"/>
    </row>
    <row r="601" spans="3:12">
      <c r="C601" s="647"/>
      <c r="D601" s="647"/>
      <c r="E601" s="647"/>
      <c r="F601" s="647"/>
      <c r="G601" s="647"/>
      <c r="H601" s="647"/>
      <c r="I601" s="647"/>
      <c r="J601" s="647"/>
      <c r="K601" s="647"/>
      <c r="L601" s="647"/>
    </row>
    <row r="602" spans="3:12">
      <c r="C602" s="647"/>
      <c r="D602" s="647"/>
      <c r="E602" s="647"/>
      <c r="F602" s="647"/>
      <c r="G602" s="647"/>
      <c r="H602" s="647"/>
      <c r="I602" s="647"/>
      <c r="J602" s="647"/>
      <c r="K602" s="647"/>
      <c r="L602" s="647"/>
    </row>
    <row r="603" spans="3:12">
      <c r="C603" s="647"/>
      <c r="D603" s="647"/>
      <c r="E603" s="647"/>
      <c r="F603" s="647"/>
      <c r="G603" s="647"/>
      <c r="H603" s="647"/>
      <c r="I603" s="647"/>
      <c r="J603" s="647"/>
      <c r="K603" s="647"/>
      <c r="L603" s="647"/>
    </row>
    <row r="604" spans="3:12">
      <c r="C604" s="647"/>
      <c r="D604" s="647"/>
      <c r="E604" s="647"/>
      <c r="F604" s="647"/>
      <c r="G604" s="647"/>
      <c r="H604" s="647"/>
      <c r="I604" s="647"/>
      <c r="J604" s="647"/>
      <c r="K604" s="647"/>
      <c r="L604" s="647"/>
    </row>
    <row r="605" spans="3:12">
      <c r="C605" s="647"/>
      <c r="D605" s="647"/>
      <c r="E605" s="647"/>
      <c r="F605" s="647"/>
      <c r="G605" s="647"/>
      <c r="H605" s="647"/>
      <c r="I605" s="647"/>
      <c r="J605" s="647"/>
      <c r="K605" s="647"/>
      <c r="L605" s="647"/>
    </row>
    <row r="606" spans="3:12">
      <c r="C606" s="647"/>
      <c r="D606" s="647"/>
      <c r="E606" s="647"/>
      <c r="F606" s="647"/>
      <c r="G606" s="647"/>
      <c r="H606" s="647"/>
      <c r="I606" s="647"/>
      <c r="J606" s="647"/>
      <c r="K606" s="647"/>
      <c r="L606" s="647"/>
    </row>
    <row r="607" spans="3:12">
      <c r="C607" s="647"/>
      <c r="D607" s="647"/>
      <c r="E607" s="647"/>
      <c r="F607" s="647"/>
      <c r="G607" s="647"/>
      <c r="H607" s="647"/>
      <c r="I607" s="647"/>
      <c r="J607" s="647"/>
      <c r="K607" s="647"/>
      <c r="L607" s="647"/>
    </row>
    <row r="608" spans="3:12">
      <c r="C608" s="647"/>
      <c r="D608" s="647"/>
      <c r="E608" s="647"/>
      <c r="F608" s="647"/>
      <c r="G608" s="647"/>
      <c r="H608" s="647"/>
      <c r="I608" s="647"/>
      <c r="J608" s="647"/>
      <c r="K608" s="647"/>
      <c r="L608" s="647"/>
    </row>
    <row r="609" spans="3:12">
      <c r="C609" s="647"/>
      <c r="D609" s="647"/>
      <c r="E609" s="647"/>
      <c r="F609" s="647"/>
      <c r="G609" s="647"/>
      <c r="H609" s="647"/>
      <c r="I609" s="647"/>
      <c r="J609" s="647"/>
      <c r="K609" s="647"/>
      <c r="L609" s="647"/>
    </row>
    <row r="610" spans="3:12">
      <c r="C610" s="647"/>
      <c r="D610" s="647"/>
      <c r="E610" s="647"/>
      <c r="F610" s="647"/>
      <c r="G610" s="647"/>
      <c r="H610" s="647"/>
      <c r="I610" s="647"/>
      <c r="J610" s="647"/>
      <c r="K610" s="647"/>
      <c r="L610" s="647"/>
    </row>
    <row r="611" spans="3:12">
      <c r="C611" s="647"/>
      <c r="D611" s="647"/>
      <c r="E611" s="647"/>
      <c r="F611" s="647"/>
      <c r="G611" s="647"/>
      <c r="H611" s="647"/>
      <c r="I611" s="647"/>
      <c r="J611" s="647"/>
      <c r="K611" s="647"/>
      <c r="L611" s="647"/>
    </row>
    <row r="612" spans="3:12">
      <c r="C612" s="647"/>
      <c r="D612" s="647"/>
      <c r="E612" s="647"/>
      <c r="F612" s="647"/>
      <c r="G612" s="647"/>
      <c r="H612" s="647"/>
      <c r="I612" s="647"/>
      <c r="J612" s="647"/>
      <c r="K612" s="647"/>
      <c r="L612" s="647"/>
    </row>
    <row r="613" spans="3:12">
      <c r="C613" s="647"/>
      <c r="D613" s="647"/>
      <c r="E613" s="647"/>
      <c r="F613" s="647"/>
      <c r="G613" s="647"/>
      <c r="H613" s="647"/>
      <c r="I613" s="647"/>
      <c r="J613" s="647"/>
      <c r="K613" s="647"/>
      <c r="L613" s="647"/>
    </row>
    <row r="614" spans="3:12">
      <c r="C614" s="647"/>
      <c r="D614" s="647"/>
      <c r="E614" s="647"/>
      <c r="F614" s="647"/>
      <c r="G614" s="647"/>
      <c r="H614" s="647"/>
      <c r="I614" s="647"/>
      <c r="J614" s="647"/>
      <c r="K614" s="647"/>
      <c r="L614" s="647"/>
    </row>
    <row r="615" spans="3:12">
      <c r="C615" s="647"/>
      <c r="D615" s="647"/>
      <c r="E615" s="647"/>
      <c r="F615" s="647"/>
      <c r="G615" s="647"/>
      <c r="H615" s="647"/>
      <c r="I615" s="647"/>
      <c r="J615" s="647"/>
      <c r="K615" s="647"/>
      <c r="L615" s="647"/>
    </row>
    <row r="616" spans="3:12">
      <c r="C616" s="647"/>
      <c r="D616" s="647"/>
      <c r="E616" s="647"/>
      <c r="F616" s="647"/>
      <c r="G616" s="647"/>
      <c r="H616" s="647"/>
      <c r="I616" s="647"/>
      <c r="J616" s="647"/>
      <c r="K616" s="647"/>
      <c r="L616" s="647"/>
    </row>
    <row r="617" spans="3:12">
      <c r="C617" s="647"/>
      <c r="D617" s="647"/>
      <c r="E617" s="647"/>
      <c r="F617" s="647"/>
      <c r="G617" s="647"/>
      <c r="H617" s="647"/>
      <c r="I617" s="647"/>
      <c r="J617" s="647"/>
      <c r="K617" s="647"/>
      <c r="L617" s="647"/>
    </row>
    <row r="618" spans="3:12">
      <c r="C618" s="647"/>
      <c r="D618" s="647"/>
      <c r="E618" s="647"/>
      <c r="F618" s="647"/>
      <c r="G618" s="647"/>
      <c r="H618" s="647"/>
      <c r="I618" s="647"/>
      <c r="J618" s="647"/>
      <c r="K618" s="647"/>
      <c r="L618" s="647"/>
    </row>
    <row r="619" spans="3:12">
      <c r="C619" s="647"/>
      <c r="D619" s="647"/>
      <c r="E619" s="647"/>
      <c r="F619" s="647"/>
      <c r="G619" s="647"/>
      <c r="H619" s="647"/>
      <c r="I619" s="647"/>
      <c r="J619" s="647"/>
      <c r="K619" s="647"/>
      <c r="L619" s="647"/>
    </row>
    <row r="620" spans="3:12">
      <c r="C620" s="647"/>
      <c r="D620" s="647"/>
      <c r="E620" s="647"/>
      <c r="F620" s="647"/>
      <c r="G620" s="647"/>
      <c r="H620" s="647"/>
      <c r="I620" s="647"/>
      <c r="J620" s="647"/>
      <c r="K620" s="647"/>
      <c r="L620" s="647"/>
    </row>
    <row r="621" spans="3:12">
      <c r="C621" s="647"/>
      <c r="D621" s="647"/>
      <c r="E621" s="647"/>
      <c r="F621" s="647"/>
      <c r="G621" s="647"/>
      <c r="H621" s="647"/>
      <c r="I621" s="647"/>
      <c r="J621" s="647"/>
      <c r="K621" s="647"/>
      <c r="L621" s="647"/>
    </row>
    <row r="622" spans="3:12">
      <c r="C622" s="647"/>
      <c r="D622" s="647"/>
      <c r="E622" s="647"/>
      <c r="F622" s="647"/>
      <c r="G622" s="647"/>
      <c r="H622" s="647"/>
      <c r="I622" s="647"/>
      <c r="J622" s="647"/>
      <c r="K622" s="647"/>
      <c r="L622" s="647"/>
    </row>
    <row r="623" spans="3:12">
      <c r="C623" s="647"/>
      <c r="D623" s="647"/>
      <c r="E623" s="647"/>
      <c r="F623" s="647"/>
      <c r="G623" s="647"/>
      <c r="H623" s="647"/>
      <c r="I623" s="647"/>
      <c r="J623" s="647"/>
      <c r="K623" s="647"/>
      <c r="L623" s="647"/>
    </row>
    <row r="624" spans="3:12">
      <c r="C624" s="647"/>
      <c r="D624" s="647"/>
      <c r="E624" s="647"/>
      <c r="F624" s="647"/>
      <c r="G624" s="647"/>
      <c r="H624" s="647"/>
      <c r="I624" s="647"/>
      <c r="J624" s="647"/>
      <c r="K624" s="647"/>
      <c r="L624" s="647"/>
    </row>
    <row r="625" spans="3:12">
      <c r="C625" s="647"/>
      <c r="D625" s="647"/>
      <c r="E625" s="647"/>
      <c r="F625" s="647"/>
      <c r="G625" s="647"/>
      <c r="H625" s="647"/>
      <c r="I625" s="647"/>
      <c r="J625" s="647"/>
      <c r="K625" s="647"/>
      <c r="L625" s="647"/>
    </row>
    <row r="626" spans="3:12">
      <c r="C626" s="647"/>
      <c r="D626" s="647"/>
      <c r="E626" s="647"/>
      <c r="F626" s="647"/>
      <c r="G626" s="647"/>
      <c r="H626" s="647"/>
      <c r="I626" s="647"/>
      <c r="J626" s="647"/>
      <c r="K626" s="647"/>
      <c r="L626" s="647"/>
    </row>
    <row r="627" spans="3:12">
      <c r="C627" s="647"/>
      <c r="D627" s="647"/>
      <c r="E627" s="647"/>
      <c r="F627" s="647"/>
      <c r="G627" s="647"/>
      <c r="H627" s="647"/>
      <c r="I627" s="647"/>
      <c r="J627" s="647"/>
      <c r="K627" s="647"/>
      <c r="L627" s="647"/>
    </row>
    <row r="628" spans="3:12">
      <c r="C628" s="647"/>
      <c r="D628" s="647"/>
      <c r="E628" s="647"/>
      <c r="F628" s="647"/>
      <c r="G628" s="647"/>
      <c r="H628" s="647"/>
      <c r="I628" s="647"/>
      <c r="J628" s="647"/>
      <c r="K628" s="647"/>
      <c r="L628" s="647"/>
    </row>
    <row r="629" spans="3:12">
      <c r="C629" s="647"/>
      <c r="D629" s="647"/>
      <c r="E629" s="647"/>
      <c r="F629" s="647"/>
      <c r="G629" s="647"/>
      <c r="H629" s="647"/>
      <c r="I629" s="647"/>
      <c r="J629" s="647"/>
      <c r="K629" s="647"/>
      <c r="L629" s="647"/>
    </row>
    <row r="630" spans="3:12">
      <c r="C630" s="647"/>
      <c r="D630" s="647"/>
      <c r="E630" s="647"/>
      <c r="F630" s="647"/>
      <c r="G630" s="647"/>
      <c r="H630" s="647"/>
      <c r="I630" s="647"/>
      <c r="J630" s="647"/>
      <c r="K630" s="647"/>
      <c r="L630" s="647"/>
    </row>
    <row r="631" spans="3:12">
      <c r="C631" s="647"/>
      <c r="D631" s="647"/>
      <c r="E631" s="647"/>
      <c r="F631" s="647"/>
      <c r="G631" s="647"/>
      <c r="H631" s="647"/>
      <c r="I631" s="647"/>
      <c r="J631" s="647"/>
      <c r="K631" s="647"/>
      <c r="L631" s="647"/>
    </row>
    <row r="632" spans="3:12">
      <c r="C632" s="647"/>
      <c r="D632" s="647"/>
      <c r="E632" s="647"/>
      <c r="F632" s="647"/>
      <c r="G632" s="647"/>
      <c r="H632" s="647"/>
      <c r="I632" s="647"/>
      <c r="J632" s="647"/>
      <c r="K632" s="647"/>
      <c r="L632" s="647"/>
    </row>
    <row r="633" spans="3:12">
      <c r="C633" s="647"/>
      <c r="D633" s="647"/>
      <c r="E633" s="647"/>
      <c r="F633" s="647"/>
      <c r="G633" s="647"/>
      <c r="H633" s="647"/>
      <c r="I633" s="647"/>
      <c r="J633" s="647"/>
      <c r="K633" s="647"/>
      <c r="L633" s="647"/>
    </row>
    <row r="634" spans="3:12">
      <c r="C634" s="647"/>
      <c r="D634" s="647"/>
      <c r="E634" s="647"/>
      <c r="F634" s="647"/>
      <c r="G634" s="647"/>
      <c r="H634" s="647"/>
      <c r="I634" s="647"/>
      <c r="J634" s="647"/>
      <c r="K634" s="647"/>
      <c r="L634" s="647"/>
    </row>
    <row r="635" spans="3:12">
      <c r="C635" s="647"/>
      <c r="D635" s="647"/>
      <c r="E635" s="647"/>
      <c r="F635" s="647"/>
      <c r="G635" s="647"/>
      <c r="H635" s="647"/>
      <c r="I635" s="647"/>
      <c r="J635" s="647"/>
      <c r="K635" s="647"/>
      <c r="L635" s="647"/>
    </row>
    <row r="636" spans="3:12">
      <c r="C636" s="647"/>
      <c r="D636" s="647"/>
      <c r="E636" s="647"/>
      <c r="F636" s="647"/>
      <c r="G636" s="647"/>
      <c r="H636" s="647"/>
      <c r="I636" s="647"/>
      <c r="J636" s="647"/>
      <c r="K636" s="647"/>
      <c r="L636" s="647"/>
    </row>
    <row r="637" spans="3:12">
      <c r="C637" s="647"/>
      <c r="D637" s="647"/>
      <c r="E637" s="647"/>
      <c r="F637" s="647"/>
      <c r="G637" s="647"/>
      <c r="H637" s="647"/>
      <c r="I637" s="647"/>
      <c r="J637" s="647"/>
      <c r="K637" s="647"/>
      <c r="L637" s="647"/>
    </row>
    <row r="638" spans="3:12">
      <c r="C638" s="647"/>
      <c r="D638" s="647"/>
      <c r="E638" s="647"/>
      <c r="F638" s="647"/>
      <c r="G638" s="647"/>
      <c r="H638" s="647"/>
      <c r="I638" s="647"/>
      <c r="J638" s="647"/>
      <c r="K638" s="647"/>
      <c r="L638" s="647"/>
    </row>
    <row r="639" spans="3:12">
      <c r="C639" s="647"/>
      <c r="D639" s="647"/>
      <c r="E639" s="647"/>
      <c r="F639" s="647"/>
      <c r="G639" s="647"/>
      <c r="H639" s="647"/>
      <c r="I639" s="647"/>
      <c r="J639" s="647"/>
      <c r="K639" s="647"/>
      <c r="L639" s="647"/>
    </row>
    <row r="640" spans="3:12">
      <c r="C640" s="647"/>
      <c r="D640" s="647"/>
      <c r="E640" s="647"/>
      <c r="F640" s="647"/>
      <c r="G640" s="647"/>
      <c r="H640" s="647"/>
      <c r="I640" s="647"/>
      <c r="J640" s="647"/>
      <c r="K640" s="647"/>
      <c r="L640" s="647"/>
    </row>
    <row r="641" spans="3:12">
      <c r="C641" s="647"/>
      <c r="D641" s="647"/>
      <c r="E641" s="647"/>
      <c r="F641" s="647"/>
      <c r="G641" s="647"/>
      <c r="H641" s="647"/>
      <c r="I641" s="647"/>
      <c r="J641" s="647"/>
      <c r="K641" s="647"/>
      <c r="L641" s="647"/>
    </row>
    <row r="642" spans="3:12">
      <c r="C642" s="647"/>
      <c r="D642" s="647"/>
      <c r="E642" s="647"/>
      <c r="F642" s="647"/>
      <c r="G642" s="647"/>
      <c r="H642" s="647"/>
      <c r="I642" s="647"/>
      <c r="J642" s="647"/>
      <c r="K642" s="647"/>
      <c r="L642" s="647"/>
    </row>
    <row r="643" spans="3:12">
      <c r="C643" s="647"/>
      <c r="D643" s="647"/>
      <c r="E643" s="647"/>
      <c r="F643" s="647"/>
      <c r="G643" s="647"/>
      <c r="H643" s="647"/>
      <c r="I643" s="647"/>
      <c r="J643" s="647"/>
      <c r="K643" s="647"/>
      <c r="L643" s="647"/>
    </row>
    <row r="644" spans="3:12">
      <c r="C644" s="647"/>
      <c r="D644" s="647"/>
      <c r="E644" s="647"/>
      <c r="F644" s="647"/>
      <c r="G644" s="647"/>
      <c r="H644" s="647"/>
      <c r="I644" s="647"/>
      <c r="J644" s="647"/>
      <c r="K644" s="647"/>
      <c r="L644" s="647"/>
    </row>
    <row r="645" spans="3:12">
      <c r="C645" s="647"/>
      <c r="D645" s="647"/>
      <c r="E645" s="647"/>
      <c r="F645" s="647"/>
      <c r="G645" s="647"/>
      <c r="H645" s="647"/>
      <c r="I645" s="647"/>
      <c r="J645" s="647"/>
      <c r="K645" s="647"/>
      <c r="L645" s="647"/>
    </row>
    <row r="646" spans="3:12">
      <c r="C646" s="647"/>
      <c r="D646" s="647"/>
      <c r="E646" s="647"/>
      <c r="F646" s="647"/>
      <c r="G646" s="647"/>
      <c r="H646" s="647"/>
      <c r="I646" s="647"/>
      <c r="J646" s="647"/>
      <c r="K646" s="647"/>
      <c r="L646" s="647"/>
    </row>
    <row r="647" spans="3:12">
      <c r="C647" s="647"/>
      <c r="D647" s="647"/>
      <c r="E647" s="647"/>
      <c r="F647" s="647"/>
      <c r="G647" s="647"/>
      <c r="H647" s="647"/>
      <c r="I647" s="647"/>
      <c r="J647" s="647"/>
      <c r="K647" s="647"/>
      <c r="L647" s="647"/>
    </row>
    <row r="648" spans="3:12">
      <c r="C648" s="647"/>
      <c r="D648" s="647"/>
      <c r="E648" s="647"/>
      <c r="F648" s="647"/>
      <c r="G648" s="647"/>
      <c r="H648" s="647"/>
      <c r="I648" s="647"/>
      <c r="J648" s="647"/>
      <c r="K648" s="647"/>
      <c r="L648" s="647"/>
    </row>
    <row r="649" spans="3:12">
      <c r="C649" s="647"/>
      <c r="D649" s="647"/>
      <c r="E649" s="647"/>
      <c r="F649" s="647"/>
      <c r="G649" s="647"/>
      <c r="H649" s="647"/>
      <c r="I649" s="647"/>
      <c r="J649" s="647"/>
      <c r="K649" s="647"/>
      <c r="L649" s="647"/>
    </row>
    <row r="650" spans="3:12">
      <c r="C650" s="647"/>
      <c r="D650" s="647"/>
      <c r="E650" s="647"/>
      <c r="F650" s="647"/>
      <c r="G650" s="647"/>
      <c r="H650" s="647"/>
      <c r="I650" s="647"/>
      <c r="J650" s="647"/>
      <c r="K650" s="647"/>
      <c r="L650" s="647"/>
    </row>
    <row r="651" spans="3:12">
      <c r="C651" s="647"/>
      <c r="D651" s="647"/>
      <c r="E651" s="647"/>
      <c r="F651" s="647"/>
      <c r="G651" s="647"/>
      <c r="H651" s="647"/>
      <c r="I651" s="647"/>
      <c r="J651" s="647"/>
      <c r="K651" s="647"/>
      <c r="L651" s="647"/>
    </row>
    <row r="652" spans="3:12">
      <c r="C652" s="647"/>
      <c r="D652" s="647"/>
      <c r="E652" s="647"/>
      <c r="F652" s="647"/>
      <c r="G652" s="647"/>
      <c r="H652" s="647"/>
      <c r="I652" s="647"/>
      <c r="J652" s="647"/>
      <c r="K652" s="647"/>
      <c r="L652" s="647"/>
    </row>
    <row r="653" spans="3:12">
      <c r="C653" s="647"/>
      <c r="D653" s="647"/>
      <c r="E653" s="647"/>
      <c r="F653" s="647"/>
      <c r="G653" s="647"/>
      <c r="H653" s="647"/>
      <c r="I653" s="647"/>
      <c r="J653" s="647"/>
      <c r="K653" s="647"/>
      <c r="L653" s="647"/>
    </row>
    <row r="654" spans="3:12">
      <c r="C654" s="647"/>
      <c r="D654" s="647"/>
      <c r="E654" s="647"/>
      <c r="F654" s="647"/>
      <c r="G654" s="647"/>
      <c r="H654" s="647"/>
      <c r="I654" s="647"/>
      <c r="J654" s="647"/>
      <c r="K654" s="647"/>
      <c r="L654" s="647"/>
    </row>
    <row r="655" spans="3:12">
      <c r="C655" s="647"/>
      <c r="D655" s="647"/>
      <c r="E655" s="647"/>
      <c r="F655" s="647"/>
      <c r="G655" s="647"/>
      <c r="H655" s="647"/>
      <c r="I655" s="647"/>
      <c r="J655" s="647"/>
      <c r="K655" s="647"/>
      <c r="L655" s="647"/>
    </row>
    <row r="656" spans="3:12">
      <c r="C656" s="647"/>
      <c r="D656" s="647"/>
      <c r="E656" s="647"/>
      <c r="F656" s="647"/>
      <c r="G656" s="647"/>
      <c r="H656" s="647"/>
      <c r="I656" s="647"/>
      <c r="J656" s="647"/>
      <c r="K656" s="647"/>
      <c r="L656" s="647"/>
    </row>
    <row r="657" spans="3:12">
      <c r="C657" s="647"/>
      <c r="D657" s="647"/>
      <c r="E657" s="647"/>
      <c r="F657" s="647"/>
      <c r="G657" s="647"/>
      <c r="H657" s="647"/>
      <c r="I657" s="647"/>
      <c r="J657" s="647"/>
      <c r="K657" s="647"/>
      <c r="L657" s="647"/>
    </row>
    <row r="658" spans="3:12">
      <c r="C658" s="647"/>
      <c r="D658" s="647"/>
      <c r="E658" s="647"/>
      <c r="F658" s="647"/>
      <c r="G658" s="647"/>
      <c r="H658" s="647"/>
      <c r="I658" s="647"/>
      <c r="J658" s="647"/>
      <c r="K658" s="647"/>
      <c r="L658" s="647"/>
    </row>
    <row r="659" spans="3:12">
      <c r="C659" s="647"/>
      <c r="D659" s="647"/>
      <c r="E659" s="647"/>
      <c r="F659" s="647"/>
      <c r="G659" s="647"/>
      <c r="H659" s="647"/>
      <c r="I659" s="647"/>
      <c r="J659" s="647"/>
      <c r="K659" s="647"/>
      <c r="L659" s="647"/>
    </row>
    <row r="660" spans="3:12">
      <c r="C660" s="647"/>
      <c r="D660" s="647"/>
      <c r="E660" s="647"/>
      <c r="F660" s="647"/>
      <c r="G660" s="647"/>
      <c r="H660" s="647"/>
      <c r="I660" s="647"/>
      <c r="J660" s="647"/>
      <c r="K660" s="647"/>
      <c r="L660" s="647"/>
    </row>
    <row r="661" spans="3:12">
      <c r="C661" s="647"/>
      <c r="D661" s="647"/>
      <c r="E661" s="647"/>
      <c r="F661" s="647"/>
      <c r="G661" s="647"/>
      <c r="H661" s="647"/>
      <c r="I661" s="647"/>
      <c r="J661" s="647"/>
      <c r="K661" s="647"/>
      <c r="L661" s="647"/>
    </row>
    <row r="662" spans="3:12">
      <c r="C662" s="647"/>
      <c r="D662" s="647"/>
      <c r="E662" s="647"/>
      <c r="F662" s="647"/>
      <c r="G662" s="647"/>
      <c r="H662" s="647"/>
      <c r="I662" s="647"/>
      <c r="J662" s="647"/>
      <c r="K662" s="647"/>
      <c r="L662" s="647"/>
    </row>
    <row r="663" spans="3:12">
      <c r="C663" s="647"/>
      <c r="D663" s="647"/>
      <c r="E663" s="647"/>
      <c r="F663" s="647"/>
      <c r="G663" s="647"/>
      <c r="H663" s="647"/>
      <c r="I663" s="647"/>
      <c r="J663" s="647"/>
      <c r="K663" s="647"/>
      <c r="L663" s="647"/>
    </row>
    <row r="664" spans="3:12">
      <c r="C664" s="647"/>
      <c r="D664" s="647"/>
      <c r="E664" s="647"/>
      <c r="F664" s="647"/>
      <c r="G664" s="647"/>
      <c r="H664" s="647"/>
      <c r="I664" s="647"/>
      <c r="J664" s="647"/>
      <c r="K664" s="647"/>
      <c r="L664" s="647"/>
    </row>
    <row r="665" spans="3:12">
      <c r="C665" s="647"/>
      <c r="D665" s="647"/>
      <c r="E665" s="647"/>
      <c r="F665" s="647"/>
      <c r="G665" s="647"/>
      <c r="H665" s="647"/>
      <c r="I665" s="647"/>
      <c r="J665" s="647"/>
      <c r="K665" s="647"/>
      <c r="L665" s="647"/>
    </row>
    <row r="666" spans="3:12">
      <c r="C666" s="647"/>
      <c r="D666" s="647"/>
      <c r="E666" s="647"/>
      <c r="F666" s="647"/>
      <c r="G666" s="647"/>
      <c r="H666" s="647"/>
      <c r="I666" s="647"/>
      <c r="J666" s="647"/>
      <c r="K666" s="647"/>
      <c r="L666" s="647"/>
    </row>
    <row r="667" spans="3:12">
      <c r="C667" s="647"/>
      <c r="D667" s="647"/>
      <c r="E667" s="647"/>
      <c r="F667" s="647"/>
      <c r="G667" s="647"/>
      <c r="H667" s="647"/>
      <c r="I667" s="647"/>
      <c r="J667" s="647"/>
      <c r="K667" s="647"/>
      <c r="L667" s="647"/>
    </row>
    <row r="668" spans="3:12">
      <c r="C668" s="647"/>
      <c r="D668" s="647"/>
      <c r="E668" s="647"/>
      <c r="F668" s="647"/>
      <c r="G668" s="647"/>
      <c r="H668" s="647"/>
      <c r="I668" s="647"/>
      <c r="J668" s="647"/>
      <c r="K668" s="647"/>
      <c r="L668" s="647"/>
    </row>
    <row r="669" spans="3:12">
      <c r="C669" s="647"/>
      <c r="D669" s="647"/>
      <c r="E669" s="647"/>
      <c r="F669" s="647"/>
      <c r="G669" s="647"/>
      <c r="H669" s="647"/>
      <c r="I669" s="647"/>
      <c r="J669" s="647"/>
      <c r="K669" s="647"/>
      <c r="L669" s="647"/>
    </row>
    <row r="670" spans="3:12">
      <c r="C670" s="647"/>
      <c r="D670" s="647"/>
      <c r="E670" s="647"/>
      <c r="F670" s="647"/>
      <c r="G670" s="647"/>
      <c r="H670" s="647"/>
      <c r="I670" s="647"/>
      <c r="J670" s="647"/>
      <c r="K670" s="647"/>
      <c r="L670" s="647"/>
    </row>
    <row r="671" spans="3:12">
      <c r="C671" s="647"/>
      <c r="D671" s="647"/>
      <c r="E671" s="647"/>
      <c r="F671" s="647"/>
      <c r="G671" s="647"/>
      <c r="H671" s="647"/>
      <c r="I671" s="647"/>
      <c r="J671" s="647"/>
      <c r="K671" s="647"/>
      <c r="L671" s="647"/>
    </row>
    <row r="672" spans="3:12">
      <c r="C672" s="647"/>
      <c r="D672" s="647"/>
      <c r="E672" s="647"/>
      <c r="F672" s="647"/>
      <c r="G672" s="647"/>
      <c r="H672" s="647"/>
      <c r="I672" s="647"/>
      <c r="J672" s="647"/>
      <c r="K672" s="647"/>
      <c r="L672" s="647"/>
    </row>
    <row r="673" spans="3:12">
      <c r="C673" s="647"/>
      <c r="D673" s="647"/>
      <c r="E673" s="647"/>
      <c r="F673" s="647"/>
      <c r="G673" s="647"/>
      <c r="H673" s="647"/>
      <c r="I673" s="647"/>
      <c r="J673" s="647"/>
      <c r="K673" s="647"/>
      <c r="L673" s="647"/>
    </row>
    <row r="674" spans="3:12">
      <c r="C674" s="647"/>
      <c r="D674" s="647"/>
      <c r="E674" s="647"/>
      <c r="F674" s="647"/>
      <c r="G674" s="647"/>
      <c r="H674" s="647"/>
      <c r="I674" s="647"/>
      <c r="J674" s="647"/>
      <c r="K674" s="647"/>
      <c r="L674" s="647"/>
    </row>
    <row r="675" spans="3:12">
      <c r="C675" s="647"/>
      <c r="D675" s="647"/>
      <c r="E675" s="647"/>
      <c r="F675" s="647"/>
      <c r="G675" s="647"/>
      <c r="H675" s="647"/>
      <c r="I675" s="647"/>
      <c r="J675" s="647"/>
      <c r="K675" s="647"/>
      <c r="L675" s="647"/>
    </row>
    <row r="676" spans="3:12">
      <c r="C676" s="647"/>
      <c r="D676" s="647"/>
      <c r="E676" s="647"/>
      <c r="F676" s="647"/>
      <c r="G676" s="647"/>
      <c r="H676" s="647"/>
      <c r="I676" s="647"/>
      <c r="J676" s="647"/>
      <c r="K676" s="647"/>
      <c r="L676" s="647"/>
    </row>
    <row r="677" spans="3:12">
      <c r="C677" s="647"/>
      <c r="D677" s="647"/>
      <c r="E677" s="647"/>
      <c r="F677" s="647"/>
      <c r="G677" s="647"/>
      <c r="H677" s="647"/>
      <c r="I677" s="647"/>
      <c r="J677" s="647"/>
      <c r="K677" s="647"/>
      <c r="L677" s="647"/>
    </row>
    <row r="678" spans="3:12">
      <c r="C678" s="647"/>
      <c r="D678" s="647"/>
      <c r="E678" s="647"/>
      <c r="F678" s="647"/>
      <c r="G678" s="647"/>
      <c r="H678" s="647"/>
      <c r="I678" s="647"/>
      <c r="J678" s="647"/>
      <c r="K678" s="647"/>
      <c r="L678" s="647"/>
    </row>
    <row r="679" spans="3:12">
      <c r="C679" s="647"/>
      <c r="D679" s="647"/>
      <c r="E679" s="647"/>
      <c r="F679" s="647"/>
      <c r="G679" s="647"/>
      <c r="H679" s="647"/>
      <c r="I679" s="647"/>
      <c r="J679" s="647"/>
      <c r="K679" s="647"/>
      <c r="L679" s="647"/>
    </row>
    <row r="680" spans="3:12">
      <c r="C680" s="647"/>
      <c r="D680" s="647"/>
      <c r="E680" s="647"/>
      <c r="F680" s="647"/>
      <c r="G680" s="647"/>
      <c r="H680" s="647"/>
      <c r="I680" s="647"/>
      <c r="J680" s="647"/>
      <c r="K680" s="647"/>
      <c r="L680" s="647"/>
    </row>
    <row r="681" spans="3:12">
      <c r="C681" s="647"/>
      <c r="D681" s="647"/>
      <c r="E681" s="647"/>
      <c r="F681" s="647"/>
      <c r="G681" s="647"/>
      <c r="H681" s="647"/>
      <c r="I681" s="647"/>
      <c r="J681" s="647"/>
      <c r="K681" s="647"/>
      <c r="L681" s="647"/>
    </row>
    <row r="682" spans="3:12">
      <c r="C682" s="647"/>
      <c r="D682" s="647"/>
      <c r="E682" s="647"/>
      <c r="F682" s="647"/>
      <c r="G682" s="647"/>
      <c r="H682" s="647"/>
      <c r="I682" s="647"/>
      <c r="J682" s="647"/>
      <c r="K682" s="647"/>
      <c r="L682" s="647"/>
    </row>
    <row r="683" spans="3:12">
      <c r="C683" s="647"/>
      <c r="D683" s="647"/>
      <c r="E683" s="647"/>
      <c r="F683" s="647"/>
      <c r="G683" s="647"/>
      <c r="H683" s="647"/>
      <c r="I683" s="647"/>
      <c r="J683" s="647"/>
      <c r="K683" s="647"/>
      <c r="L683" s="647"/>
    </row>
    <row r="684" spans="3:12">
      <c r="C684" s="647"/>
      <c r="D684" s="647"/>
      <c r="E684" s="647"/>
      <c r="F684" s="647"/>
      <c r="G684" s="647"/>
      <c r="H684" s="647"/>
      <c r="I684" s="647"/>
      <c r="J684" s="647"/>
      <c r="K684" s="647"/>
      <c r="L684" s="647"/>
    </row>
    <row r="685" spans="3:12">
      <c r="C685" s="647"/>
      <c r="D685" s="647"/>
      <c r="E685" s="647"/>
      <c r="F685" s="647"/>
      <c r="G685" s="647"/>
      <c r="H685" s="647"/>
      <c r="I685" s="647"/>
      <c r="J685" s="647"/>
      <c r="K685" s="647"/>
      <c r="L685" s="647"/>
    </row>
    <row r="686" spans="3:12">
      <c r="C686" s="647"/>
      <c r="D686" s="647"/>
      <c r="E686" s="647"/>
      <c r="F686" s="647"/>
      <c r="G686" s="647"/>
      <c r="H686" s="647"/>
      <c r="I686" s="647"/>
      <c r="J686" s="647"/>
      <c r="K686" s="647"/>
      <c r="L686" s="647"/>
    </row>
    <row r="687" spans="3:12">
      <c r="C687" s="647"/>
      <c r="D687" s="647"/>
      <c r="E687" s="647"/>
      <c r="F687" s="647"/>
      <c r="G687" s="647"/>
      <c r="H687" s="647"/>
      <c r="I687" s="647"/>
      <c r="J687" s="647"/>
      <c r="K687" s="647"/>
      <c r="L687" s="647"/>
    </row>
    <row r="688" spans="3:12">
      <c r="C688" s="647"/>
      <c r="D688" s="647"/>
      <c r="E688" s="647"/>
      <c r="F688" s="647"/>
      <c r="G688" s="647"/>
      <c r="H688" s="647"/>
      <c r="I688" s="647"/>
      <c r="J688" s="647"/>
      <c r="K688" s="647"/>
      <c r="L688" s="647"/>
    </row>
    <row r="689" spans="3:12">
      <c r="C689" s="647"/>
      <c r="D689" s="647"/>
      <c r="E689" s="647"/>
      <c r="F689" s="647"/>
      <c r="G689" s="647"/>
      <c r="H689" s="647"/>
      <c r="I689" s="647"/>
      <c r="J689" s="647"/>
      <c r="K689" s="647"/>
      <c r="L689" s="647"/>
    </row>
    <row r="690" spans="3:12">
      <c r="C690" s="647"/>
      <c r="D690" s="647"/>
      <c r="E690" s="647"/>
      <c r="F690" s="647"/>
      <c r="G690" s="647"/>
      <c r="H690" s="647"/>
      <c r="I690" s="647"/>
      <c r="J690" s="647"/>
      <c r="K690" s="647"/>
      <c r="L690" s="647"/>
    </row>
    <row r="691" spans="3:12">
      <c r="C691" s="647"/>
      <c r="D691" s="647"/>
      <c r="E691" s="647"/>
      <c r="F691" s="647"/>
      <c r="G691" s="647"/>
      <c r="H691" s="647"/>
      <c r="I691" s="647"/>
      <c r="J691" s="647"/>
      <c r="K691" s="647"/>
      <c r="L691" s="647"/>
    </row>
    <row r="692" spans="3:12">
      <c r="C692" s="647"/>
      <c r="D692" s="647"/>
      <c r="E692" s="647"/>
      <c r="F692" s="647"/>
      <c r="G692" s="647"/>
      <c r="H692" s="647"/>
      <c r="I692" s="647"/>
      <c r="J692" s="647"/>
      <c r="K692" s="647"/>
      <c r="L692" s="647"/>
    </row>
    <row r="693" spans="3:12">
      <c r="C693" s="647"/>
      <c r="D693" s="647"/>
      <c r="E693" s="647"/>
      <c r="F693" s="647"/>
      <c r="G693" s="647"/>
      <c r="H693" s="647"/>
      <c r="I693" s="647"/>
      <c r="J693" s="647"/>
      <c r="K693" s="647"/>
      <c r="L693" s="647"/>
    </row>
    <row r="694" spans="3:12">
      <c r="C694" s="647"/>
      <c r="D694" s="647"/>
      <c r="E694" s="647"/>
      <c r="F694" s="647"/>
      <c r="G694" s="647"/>
      <c r="H694" s="647"/>
      <c r="I694" s="647"/>
      <c r="J694" s="647"/>
      <c r="K694" s="647"/>
      <c r="L694" s="647"/>
    </row>
    <row r="695" spans="3:12">
      <c r="C695" s="647"/>
      <c r="D695" s="647"/>
      <c r="E695" s="647"/>
      <c r="F695" s="647"/>
      <c r="G695" s="647"/>
      <c r="H695" s="647"/>
      <c r="I695" s="647"/>
      <c r="J695" s="647"/>
      <c r="K695" s="647"/>
      <c r="L695" s="647"/>
    </row>
    <row r="696" spans="3:12">
      <c r="C696" s="647"/>
      <c r="D696" s="647"/>
      <c r="E696" s="647"/>
      <c r="F696" s="647"/>
      <c r="G696" s="647"/>
      <c r="H696" s="647"/>
      <c r="I696" s="647"/>
      <c r="J696" s="647"/>
      <c r="K696" s="647"/>
      <c r="L696" s="647"/>
    </row>
    <row r="697" spans="3:12">
      <c r="C697" s="647"/>
      <c r="D697" s="647"/>
      <c r="E697" s="647"/>
      <c r="F697" s="647"/>
      <c r="G697" s="647"/>
      <c r="H697" s="647"/>
      <c r="I697" s="647"/>
      <c r="J697" s="647"/>
      <c r="K697" s="647"/>
      <c r="L697" s="647"/>
    </row>
    <row r="698" spans="3:12">
      <c r="C698" s="647"/>
      <c r="D698" s="647"/>
      <c r="E698" s="647"/>
      <c r="F698" s="647"/>
      <c r="G698" s="647"/>
      <c r="H698" s="647"/>
      <c r="I698" s="647"/>
      <c r="J698" s="647"/>
      <c r="K698" s="647"/>
      <c r="L698" s="647"/>
    </row>
    <row r="699" spans="3:12">
      <c r="C699" s="647"/>
      <c r="D699" s="647"/>
      <c r="E699" s="647"/>
      <c r="F699" s="647"/>
      <c r="G699" s="647"/>
      <c r="H699" s="647"/>
      <c r="I699" s="647"/>
      <c r="J699" s="647"/>
      <c r="K699" s="647"/>
      <c r="L699" s="647"/>
    </row>
    <row r="700" spans="3:12">
      <c r="C700" s="647"/>
      <c r="D700" s="647"/>
      <c r="E700" s="647"/>
      <c r="F700" s="647"/>
      <c r="G700" s="647"/>
      <c r="H700" s="647"/>
      <c r="I700" s="647"/>
      <c r="J700" s="647"/>
      <c r="K700" s="647"/>
      <c r="L700" s="647"/>
    </row>
    <row r="701" spans="3:12">
      <c r="C701" s="647"/>
      <c r="D701" s="647"/>
      <c r="E701" s="647"/>
      <c r="F701" s="647"/>
      <c r="G701" s="647"/>
      <c r="H701" s="647"/>
      <c r="I701" s="647"/>
      <c r="J701" s="647"/>
      <c r="K701" s="647"/>
      <c r="L701" s="647"/>
    </row>
    <row r="702" spans="3:12">
      <c r="C702" s="647"/>
      <c r="D702" s="647"/>
      <c r="E702" s="647"/>
      <c r="F702" s="647"/>
      <c r="G702" s="647"/>
      <c r="H702" s="647"/>
      <c r="I702" s="647"/>
      <c r="J702" s="647"/>
      <c r="K702" s="647"/>
      <c r="L702" s="647"/>
    </row>
    <row r="703" spans="3:12">
      <c r="C703" s="647"/>
      <c r="D703" s="647"/>
      <c r="E703" s="647"/>
      <c r="F703" s="647"/>
      <c r="G703" s="647"/>
      <c r="H703" s="647"/>
      <c r="I703" s="647"/>
      <c r="J703" s="647"/>
      <c r="K703" s="647"/>
      <c r="L703" s="647"/>
    </row>
    <row r="704" spans="3:12">
      <c r="C704" s="647"/>
      <c r="D704" s="647"/>
      <c r="E704" s="647"/>
      <c r="F704" s="647"/>
      <c r="G704" s="647"/>
      <c r="H704" s="647"/>
      <c r="I704" s="647"/>
      <c r="J704" s="647"/>
      <c r="K704" s="647"/>
      <c r="L704" s="647"/>
    </row>
    <row r="705" spans="3:12">
      <c r="C705" s="647"/>
      <c r="D705" s="647"/>
      <c r="E705" s="647"/>
      <c r="F705" s="647"/>
      <c r="G705" s="647"/>
      <c r="H705" s="647"/>
      <c r="I705" s="647"/>
      <c r="J705" s="647"/>
      <c r="K705" s="647"/>
      <c r="L705" s="647"/>
    </row>
    <row r="706" spans="3:12">
      <c r="C706" s="647"/>
      <c r="D706" s="647"/>
      <c r="E706" s="647"/>
      <c r="F706" s="647"/>
      <c r="G706" s="647"/>
      <c r="H706" s="647"/>
      <c r="I706" s="647"/>
      <c r="J706" s="647"/>
      <c r="K706" s="647"/>
      <c r="L706" s="647"/>
    </row>
    <row r="707" spans="3:12">
      <c r="C707" s="647"/>
      <c r="D707" s="647"/>
      <c r="E707" s="647"/>
      <c r="F707" s="647"/>
      <c r="G707" s="647"/>
      <c r="H707" s="647"/>
      <c r="I707" s="647"/>
      <c r="J707" s="647"/>
      <c r="K707" s="647"/>
      <c r="L707" s="647"/>
    </row>
    <row r="708" spans="3:12">
      <c r="C708" s="647"/>
      <c r="D708" s="647"/>
      <c r="E708" s="647"/>
      <c r="F708" s="647"/>
      <c r="G708" s="647"/>
      <c r="H708" s="647"/>
      <c r="I708" s="647"/>
      <c r="J708" s="647"/>
      <c r="K708" s="647"/>
      <c r="L708" s="647"/>
    </row>
    <row r="709" spans="3:12">
      <c r="C709" s="647"/>
      <c r="D709" s="647"/>
      <c r="E709" s="647"/>
      <c r="F709" s="647"/>
      <c r="G709" s="647"/>
      <c r="H709" s="647"/>
      <c r="I709" s="647"/>
      <c r="J709" s="647"/>
      <c r="K709" s="647"/>
      <c r="L709" s="647"/>
    </row>
    <row r="710" spans="3:12">
      <c r="C710" s="647"/>
      <c r="D710" s="647"/>
      <c r="E710" s="647"/>
      <c r="F710" s="647"/>
      <c r="G710" s="647"/>
      <c r="H710" s="647"/>
      <c r="I710" s="647"/>
      <c r="J710" s="647"/>
      <c r="K710" s="647"/>
      <c r="L710" s="647"/>
    </row>
    <row r="711" spans="3:12">
      <c r="C711" s="647"/>
      <c r="D711" s="647"/>
      <c r="E711" s="647"/>
      <c r="F711" s="647"/>
      <c r="G711" s="647"/>
      <c r="H711" s="647"/>
      <c r="I711" s="647"/>
      <c r="J711" s="647"/>
      <c r="K711" s="647"/>
      <c r="L711" s="647"/>
    </row>
    <row r="712" spans="3:12">
      <c r="C712" s="647"/>
      <c r="D712" s="647"/>
      <c r="E712" s="647"/>
      <c r="F712" s="647"/>
      <c r="G712" s="647"/>
      <c r="H712" s="647"/>
      <c r="I712" s="647"/>
      <c r="J712" s="647"/>
      <c r="K712" s="647"/>
      <c r="L712" s="647"/>
    </row>
    <row r="713" spans="3:12">
      <c r="C713" s="647"/>
      <c r="D713" s="647"/>
      <c r="E713" s="647"/>
      <c r="F713" s="647"/>
      <c r="G713" s="647"/>
      <c r="H713" s="647"/>
      <c r="I713" s="647"/>
      <c r="J713" s="647"/>
      <c r="K713" s="647"/>
      <c r="L713" s="647"/>
    </row>
    <row r="714" spans="3:12">
      <c r="C714" s="647"/>
      <c r="D714" s="647"/>
      <c r="E714" s="647"/>
      <c r="F714" s="647"/>
      <c r="G714" s="647"/>
      <c r="H714" s="647"/>
      <c r="I714" s="647"/>
      <c r="J714" s="647"/>
      <c r="K714" s="647"/>
      <c r="L714" s="647"/>
    </row>
    <row r="715" spans="3:12">
      <c r="C715" s="647"/>
      <c r="D715" s="647"/>
      <c r="E715" s="647"/>
      <c r="F715" s="647"/>
      <c r="G715" s="647"/>
      <c r="H715" s="647"/>
      <c r="I715" s="647"/>
      <c r="J715" s="647"/>
      <c r="K715" s="647"/>
      <c r="L715" s="647"/>
    </row>
    <row r="716" spans="3:12">
      <c r="C716" s="647"/>
      <c r="D716" s="647"/>
      <c r="E716" s="647"/>
      <c r="F716" s="647"/>
      <c r="G716" s="647"/>
      <c r="H716" s="647"/>
      <c r="I716" s="647"/>
      <c r="J716" s="647"/>
      <c r="K716" s="647"/>
      <c r="L716" s="647"/>
    </row>
    <row r="717" spans="3:12">
      <c r="C717" s="647"/>
      <c r="D717" s="647"/>
      <c r="E717" s="647"/>
      <c r="F717" s="647"/>
      <c r="G717" s="647"/>
      <c r="H717" s="647"/>
      <c r="I717" s="647"/>
      <c r="J717" s="647"/>
      <c r="K717" s="647"/>
      <c r="L717" s="647"/>
    </row>
    <row r="718" spans="3:12">
      <c r="C718" s="647"/>
      <c r="D718" s="647"/>
      <c r="E718" s="647"/>
      <c r="F718" s="647"/>
      <c r="G718" s="647"/>
      <c r="H718" s="647"/>
      <c r="I718" s="647"/>
      <c r="J718" s="647"/>
      <c r="K718" s="647"/>
      <c r="L718" s="647"/>
    </row>
    <row r="719" spans="3:12">
      <c r="C719" s="647"/>
      <c r="D719" s="647"/>
      <c r="E719" s="647"/>
      <c r="F719" s="647"/>
      <c r="G719" s="647"/>
      <c r="H719" s="647"/>
      <c r="I719" s="647"/>
      <c r="J719" s="647"/>
      <c r="K719" s="647"/>
      <c r="L719" s="647"/>
    </row>
    <row r="720" spans="3:12">
      <c r="C720" s="647"/>
      <c r="D720" s="647"/>
      <c r="E720" s="647"/>
      <c r="F720" s="647"/>
      <c r="G720" s="647"/>
      <c r="H720" s="647"/>
      <c r="I720" s="647"/>
      <c r="J720" s="647"/>
      <c r="K720" s="647"/>
      <c r="L720" s="647"/>
    </row>
    <row r="721" spans="3:12">
      <c r="C721" s="647"/>
      <c r="D721" s="647"/>
      <c r="E721" s="647"/>
      <c r="F721" s="647"/>
      <c r="G721" s="647"/>
      <c r="H721" s="647"/>
      <c r="I721" s="647"/>
      <c r="J721" s="647"/>
      <c r="K721" s="647"/>
      <c r="L721" s="647"/>
    </row>
    <row r="722" spans="3:12">
      <c r="C722" s="647"/>
      <c r="D722" s="647"/>
      <c r="E722" s="647"/>
      <c r="F722" s="647"/>
      <c r="G722" s="647"/>
      <c r="H722" s="647"/>
      <c r="I722" s="647"/>
      <c r="J722" s="647"/>
      <c r="K722" s="647"/>
      <c r="L722" s="647"/>
    </row>
    <row r="723" spans="3:12">
      <c r="C723" s="647"/>
      <c r="D723" s="647"/>
      <c r="E723" s="647"/>
      <c r="F723" s="647"/>
      <c r="G723" s="647"/>
      <c r="H723" s="647"/>
      <c r="I723" s="647"/>
      <c r="J723" s="647"/>
      <c r="K723" s="647"/>
      <c r="L723" s="647"/>
    </row>
    <row r="724" spans="3:12">
      <c r="C724" s="647"/>
      <c r="D724" s="647"/>
      <c r="E724" s="647"/>
      <c r="F724" s="647"/>
      <c r="G724" s="647"/>
      <c r="H724" s="647"/>
      <c r="I724" s="647"/>
      <c r="J724" s="647"/>
      <c r="K724" s="647"/>
      <c r="L724" s="647"/>
    </row>
    <row r="725" spans="3:12">
      <c r="C725" s="647"/>
      <c r="D725" s="647"/>
      <c r="E725" s="647"/>
      <c r="F725" s="647"/>
      <c r="G725" s="647"/>
      <c r="H725" s="647"/>
      <c r="I725" s="647"/>
      <c r="J725" s="647"/>
      <c r="K725" s="647"/>
      <c r="L725" s="647"/>
    </row>
    <row r="726" spans="3:12">
      <c r="C726" s="647"/>
      <c r="D726" s="647"/>
      <c r="E726" s="647"/>
      <c r="F726" s="647"/>
      <c r="G726" s="647"/>
      <c r="H726" s="647"/>
      <c r="I726" s="647"/>
      <c r="J726" s="647"/>
      <c r="K726" s="647"/>
      <c r="L726" s="647"/>
    </row>
    <row r="727" spans="3:12">
      <c r="C727" s="647"/>
      <c r="D727" s="647"/>
      <c r="E727" s="647"/>
      <c r="F727" s="647"/>
      <c r="G727" s="647"/>
      <c r="H727" s="647"/>
      <c r="I727" s="647"/>
      <c r="J727" s="647"/>
      <c r="K727" s="647"/>
      <c r="L727" s="647"/>
    </row>
    <row r="728" spans="3:12">
      <c r="C728" s="647"/>
      <c r="D728" s="647"/>
      <c r="E728" s="647"/>
      <c r="F728" s="647"/>
      <c r="G728" s="647"/>
      <c r="H728" s="647"/>
      <c r="I728" s="647"/>
      <c r="J728" s="647"/>
      <c r="K728" s="647"/>
      <c r="L728" s="647"/>
    </row>
    <row r="729" spans="3:12">
      <c r="C729" s="647"/>
      <c r="D729" s="647"/>
      <c r="E729" s="647"/>
      <c r="F729" s="647"/>
      <c r="G729" s="647"/>
      <c r="H729" s="647"/>
      <c r="I729" s="647"/>
      <c r="J729" s="647"/>
      <c r="K729" s="647"/>
      <c r="L729" s="647"/>
    </row>
    <row r="730" spans="3:12">
      <c r="C730" s="647"/>
      <c r="D730" s="647"/>
      <c r="E730" s="647"/>
      <c r="F730" s="647"/>
      <c r="G730" s="647"/>
      <c r="H730" s="647"/>
      <c r="I730" s="647"/>
      <c r="J730" s="647"/>
      <c r="K730" s="647"/>
      <c r="L730" s="647"/>
    </row>
    <row r="731" spans="3:12">
      <c r="C731" s="647"/>
      <c r="D731" s="647"/>
      <c r="E731" s="647"/>
      <c r="F731" s="647"/>
      <c r="G731" s="647"/>
      <c r="H731" s="647"/>
      <c r="I731" s="647"/>
      <c r="J731" s="647"/>
      <c r="K731" s="647"/>
      <c r="L731" s="647"/>
    </row>
    <row r="732" spans="3:12">
      <c r="C732" s="647"/>
      <c r="D732" s="647"/>
      <c r="E732" s="647"/>
      <c r="F732" s="647"/>
      <c r="G732" s="647"/>
      <c r="H732" s="647"/>
      <c r="I732" s="647"/>
      <c r="J732" s="647"/>
      <c r="K732" s="647"/>
      <c r="L732" s="647"/>
    </row>
    <row r="733" spans="3:12">
      <c r="C733" s="647"/>
      <c r="D733" s="647"/>
      <c r="E733" s="647"/>
      <c r="F733" s="647"/>
      <c r="G733" s="647"/>
      <c r="H733" s="647"/>
      <c r="I733" s="647"/>
      <c r="J733" s="647"/>
      <c r="K733" s="647"/>
      <c r="L733" s="647"/>
    </row>
    <row r="734" spans="3:12">
      <c r="C734" s="647"/>
      <c r="D734" s="647"/>
      <c r="E734" s="647"/>
      <c r="F734" s="647"/>
      <c r="G734" s="647"/>
      <c r="H734" s="647"/>
      <c r="I734" s="647"/>
      <c r="J734" s="647"/>
      <c r="K734" s="647"/>
      <c r="L734" s="647"/>
    </row>
    <row r="735" spans="3:12">
      <c r="C735" s="647"/>
      <c r="D735" s="647"/>
      <c r="E735" s="647"/>
      <c r="F735" s="647"/>
      <c r="G735" s="647"/>
      <c r="H735" s="647"/>
      <c r="I735" s="647"/>
      <c r="J735" s="647"/>
      <c r="K735" s="647"/>
      <c r="L735" s="647"/>
    </row>
    <row r="736" spans="3:12">
      <c r="C736" s="647"/>
      <c r="D736" s="647"/>
      <c r="E736" s="647"/>
      <c r="F736" s="647"/>
      <c r="G736" s="647"/>
      <c r="H736" s="647"/>
      <c r="I736" s="647"/>
      <c r="J736" s="647"/>
      <c r="K736" s="647"/>
      <c r="L736" s="647"/>
    </row>
    <row r="737" spans="3:12">
      <c r="C737" s="647"/>
      <c r="D737" s="647"/>
      <c r="E737" s="647"/>
      <c r="F737" s="647"/>
      <c r="G737" s="647"/>
      <c r="H737" s="647"/>
      <c r="I737" s="647"/>
      <c r="J737" s="647"/>
      <c r="K737" s="647"/>
      <c r="L737" s="647"/>
    </row>
    <row r="738" spans="3:12">
      <c r="C738" s="647"/>
      <c r="D738" s="647"/>
      <c r="E738" s="647"/>
      <c r="F738" s="647"/>
      <c r="G738" s="647"/>
      <c r="H738" s="647"/>
      <c r="I738" s="647"/>
      <c r="J738" s="647"/>
      <c r="K738" s="647"/>
      <c r="L738" s="647"/>
    </row>
    <row r="739" spans="3:12">
      <c r="C739" s="647"/>
      <c r="D739" s="647"/>
      <c r="E739" s="647"/>
      <c r="F739" s="647"/>
      <c r="G739" s="647"/>
      <c r="H739" s="647"/>
      <c r="I739" s="647"/>
      <c r="J739" s="647"/>
      <c r="K739" s="647"/>
      <c r="L739" s="647"/>
    </row>
    <row r="740" spans="3:12">
      <c r="C740" s="647"/>
      <c r="D740" s="647"/>
      <c r="E740" s="647"/>
      <c r="F740" s="647"/>
      <c r="G740" s="647"/>
      <c r="H740" s="647"/>
      <c r="I740" s="647"/>
      <c r="J740" s="647"/>
      <c r="K740" s="647"/>
      <c r="L740" s="647"/>
    </row>
    <row r="741" spans="3:12">
      <c r="C741" s="647"/>
      <c r="D741" s="647"/>
      <c r="E741" s="647"/>
      <c r="F741" s="647"/>
      <c r="G741" s="647"/>
      <c r="H741" s="647"/>
      <c r="I741" s="647"/>
      <c r="J741" s="647"/>
      <c r="K741" s="647"/>
      <c r="L741" s="647"/>
    </row>
    <row r="742" spans="3:12">
      <c r="C742" s="647"/>
      <c r="D742" s="647"/>
      <c r="E742" s="647"/>
      <c r="F742" s="647"/>
      <c r="G742" s="647"/>
      <c r="H742" s="647"/>
      <c r="I742" s="647"/>
      <c r="J742" s="647"/>
      <c r="K742" s="647"/>
      <c r="L742" s="647"/>
    </row>
    <row r="743" spans="3:12">
      <c r="C743" s="647"/>
      <c r="D743" s="647"/>
      <c r="E743" s="647"/>
      <c r="F743" s="647"/>
      <c r="G743" s="647"/>
      <c r="H743" s="647"/>
      <c r="I743" s="647"/>
      <c r="J743" s="647"/>
      <c r="K743" s="647"/>
      <c r="L743" s="647"/>
    </row>
    <row r="744" spans="3:12">
      <c r="C744" s="647"/>
      <c r="D744" s="647"/>
      <c r="E744" s="647"/>
      <c r="F744" s="647"/>
      <c r="G744" s="647"/>
      <c r="H744" s="647"/>
      <c r="I744" s="647"/>
      <c r="J744" s="647"/>
      <c r="K744" s="647"/>
      <c r="L744" s="647"/>
    </row>
    <row r="745" spans="3:12">
      <c r="C745" s="647"/>
      <c r="D745" s="647"/>
      <c r="E745" s="647"/>
      <c r="F745" s="647"/>
      <c r="G745" s="647"/>
      <c r="H745" s="647"/>
      <c r="I745" s="647"/>
      <c r="J745" s="647"/>
      <c r="K745" s="647"/>
      <c r="L745" s="647"/>
    </row>
    <row r="746" spans="3:12">
      <c r="C746" s="647"/>
      <c r="D746" s="647"/>
      <c r="E746" s="647"/>
      <c r="F746" s="647"/>
      <c r="G746" s="647"/>
      <c r="H746" s="647"/>
      <c r="I746" s="647"/>
      <c r="J746" s="647"/>
      <c r="K746" s="647"/>
      <c r="L746" s="647"/>
    </row>
    <row r="747" spans="3:12">
      <c r="C747" s="647"/>
      <c r="D747" s="647"/>
      <c r="E747" s="647"/>
      <c r="F747" s="647"/>
      <c r="G747" s="647"/>
      <c r="H747" s="647"/>
      <c r="I747" s="647"/>
      <c r="J747" s="647"/>
      <c r="K747" s="647"/>
      <c r="L747" s="647"/>
    </row>
    <row r="748" spans="3:12">
      <c r="C748" s="647"/>
      <c r="D748" s="647"/>
      <c r="E748" s="647"/>
      <c r="F748" s="647"/>
      <c r="G748" s="647"/>
      <c r="H748" s="647"/>
      <c r="I748" s="647"/>
      <c r="J748" s="647"/>
      <c r="K748" s="647"/>
      <c r="L748" s="647"/>
    </row>
    <row r="749" spans="3:12">
      <c r="C749" s="647"/>
      <c r="D749" s="647"/>
      <c r="E749" s="647"/>
      <c r="F749" s="647"/>
      <c r="G749" s="647"/>
      <c r="H749" s="647"/>
      <c r="I749" s="647"/>
      <c r="J749" s="647"/>
      <c r="K749" s="647"/>
      <c r="L749" s="647"/>
    </row>
    <row r="750" spans="3:12">
      <c r="C750" s="647"/>
      <c r="D750" s="647"/>
      <c r="E750" s="647"/>
      <c r="F750" s="647"/>
      <c r="G750" s="647"/>
      <c r="H750" s="647"/>
      <c r="I750" s="647"/>
      <c r="J750" s="647"/>
      <c r="K750" s="647"/>
      <c r="L750" s="647"/>
    </row>
    <row r="751" spans="3:12">
      <c r="C751" s="647"/>
      <c r="D751" s="647"/>
      <c r="E751" s="647"/>
      <c r="F751" s="647"/>
      <c r="G751" s="647"/>
      <c r="H751" s="647"/>
      <c r="I751" s="647"/>
      <c r="J751" s="647"/>
      <c r="K751" s="647"/>
      <c r="L751" s="647"/>
    </row>
    <row r="752" spans="3:12">
      <c r="C752" s="647"/>
      <c r="D752" s="647"/>
      <c r="E752" s="647"/>
      <c r="F752" s="647"/>
      <c r="G752" s="647"/>
      <c r="H752" s="647"/>
      <c r="I752" s="647"/>
      <c r="J752" s="647"/>
      <c r="K752" s="647"/>
      <c r="L752" s="647"/>
    </row>
    <row r="753" spans="3:12">
      <c r="C753" s="647"/>
      <c r="D753" s="647"/>
      <c r="E753" s="647"/>
      <c r="F753" s="647"/>
      <c r="G753" s="647"/>
      <c r="H753" s="647"/>
      <c r="I753" s="647"/>
      <c r="J753" s="647"/>
      <c r="K753" s="647"/>
      <c r="L753" s="647"/>
    </row>
    <row r="754" spans="3:12">
      <c r="C754" s="647"/>
      <c r="D754" s="647"/>
      <c r="E754" s="647"/>
      <c r="F754" s="647"/>
      <c r="G754" s="647"/>
      <c r="H754" s="647"/>
      <c r="I754" s="647"/>
      <c r="J754" s="647"/>
      <c r="K754" s="647"/>
      <c r="L754" s="647"/>
    </row>
    <row r="755" spans="3:12">
      <c r="C755" s="647"/>
      <c r="D755" s="647"/>
      <c r="E755" s="647"/>
      <c r="F755" s="647"/>
      <c r="G755" s="647"/>
      <c r="H755" s="647"/>
      <c r="I755" s="647"/>
      <c r="J755" s="647"/>
      <c r="K755" s="647"/>
      <c r="L755" s="647"/>
    </row>
    <row r="756" spans="3:12">
      <c r="C756" s="647"/>
      <c r="D756" s="647"/>
      <c r="E756" s="647"/>
      <c r="F756" s="647"/>
      <c r="G756" s="647"/>
      <c r="H756" s="647"/>
      <c r="I756" s="647"/>
      <c r="J756" s="647"/>
      <c r="K756" s="647"/>
      <c r="L756" s="647"/>
    </row>
    <row r="757" spans="3:12">
      <c r="C757" s="647"/>
      <c r="D757" s="647"/>
      <c r="E757" s="647"/>
      <c r="F757" s="647"/>
      <c r="G757" s="647"/>
      <c r="H757" s="647"/>
      <c r="I757" s="647"/>
      <c r="J757" s="647"/>
      <c r="K757" s="647"/>
      <c r="L757" s="647"/>
    </row>
    <row r="758" spans="3:12">
      <c r="C758" s="647"/>
      <c r="D758" s="647"/>
      <c r="E758" s="647"/>
      <c r="F758" s="647"/>
      <c r="G758" s="647"/>
      <c r="H758" s="647"/>
      <c r="I758" s="647"/>
      <c r="J758" s="647"/>
      <c r="K758" s="647"/>
      <c r="L758" s="647"/>
    </row>
    <row r="759" spans="3:12">
      <c r="C759" s="647"/>
      <c r="D759" s="647"/>
      <c r="E759" s="647"/>
      <c r="F759" s="647"/>
      <c r="G759" s="647"/>
      <c r="H759" s="647"/>
      <c r="I759" s="647"/>
      <c r="J759" s="647"/>
      <c r="K759" s="647"/>
      <c r="L759" s="647"/>
    </row>
    <row r="760" spans="3:12">
      <c r="C760" s="647"/>
      <c r="D760" s="647"/>
      <c r="E760" s="647"/>
      <c r="F760" s="647"/>
      <c r="G760" s="647"/>
      <c r="H760" s="647"/>
      <c r="I760" s="647"/>
      <c r="J760" s="647"/>
      <c r="K760" s="647"/>
      <c r="L760" s="647"/>
    </row>
    <row r="761" spans="3:12">
      <c r="C761" s="647"/>
      <c r="D761" s="647"/>
      <c r="E761" s="647"/>
      <c r="F761" s="647"/>
      <c r="G761" s="647"/>
      <c r="H761" s="647"/>
      <c r="I761" s="647"/>
      <c r="J761" s="647"/>
      <c r="K761" s="647"/>
      <c r="L761" s="647"/>
    </row>
    <row r="762" spans="3:12">
      <c r="C762" s="647"/>
      <c r="D762" s="647"/>
      <c r="E762" s="647"/>
      <c r="F762" s="647"/>
      <c r="G762" s="647"/>
      <c r="H762" s="647"/>
      <c r="I762" s="647"/>
      <c r="J762" s="647"/>
      <c r="K762" s="647"/>
      <c r="L762" s="647"/>
    </row>
    <row r="763" spans="3:12">
      <c r="C763" s="647"/>
      <c r="D763" s="647"/>
      <c r="E763" s="647"/>
      <c r="F763" s="647"/>
      <c r="G763" s="647"/>
      <c r="H763" s="647"/>
      <c r="I763" s="647"/>
      <c r="J763" s="647"/>
      <c r="K763" s="647"/>
      <c r="L763" s="647"/>
    </row>
    <row r="764" spans="3:12">
      <c r="C764" s="647"/>
      <c r="D764" s="647"/>
      <c r="E764" s="647"/>
      <c r="F764" s="647"/>
      <c r="G764" s="647"/>
      <c r="H764" s="647"/>
      <c r="I764" s="647"/>
      <c r="J764" s="647"/>
      <c r="K764" s="647"/>
      <c r="L764" s="647"/>
    </row>
    <row r="765" spans="3:12">
      <c r="C765" s="647"/>
      <c r="D765" s="647"/>
      <c r="E765" s="647"/>
      <c r="F765" s="647"/>
      <c r="G765" s="647"/>
      <c r="H765" s="647"/>
      <c r="I765" s="647"/>
      <c r="J765" s="647"/>
      <c r="K765" s="647"/>
      <c r="L765" s="647"/>
    </row>
    <row r="766" spans="3:12">
      <c r="C766" s="647"/>
      <c r="D766" s="647"/>
      <c r="E766" s="647"/>
      <c r="F766" s="647"/>
      <c r="G766" s="647"/>
      <c r="H766" s="647"/>
      <c r="I766" s="647"/>
      <c r="J766" s="647"/>
      <c r="K766" s="647"/>
      <c r="L766" s="647"/>
    </row>
    <row r="767" spans="3:12">
      <c r="C767" s="647"/>
      <c r="D767" s="647"/>
      <c r="E767" s="647"/>
      <c r="F767" s="647"/>
      <c r="G767" s="647"/>
      <c r="H767" s="647"/>
      <c r="I767" s="647"/>
      <c r="J767" s="647"/>
      <c r="K767" s="647"/>
      <c r="L767" s="647"/>
    </row>
    <row r="768" spans="3:12">
      <c r="C768" s="647"/>
      <c r="D768" s="647"/>
      <c r="E768" s="647"/>
      <c r="F768" s="647"/>
      <c r="G768" s="647"/>
      <c r="H768" s="647"/>
      <c r="I768" s="647"/>
      <c r="J768" s="647"/>
      <c r="K768" s="647"/>
      <c r="L768" s="647"/>
    </row>
    <row r="769" spans="3:12">
      <c r="C769" s="647"/>
      <c r="D769" s="647"/>
      <c r="E769" s="647"/>
      <c r="F769" s="647"/>
      <c r="G769" s="647"/>
      <c r="H769" s="647"/>
      <c r="I769" s="647"/>
      <c r="J769" s="647"/>
      <c r="K769" s="647"/>
      <c r="L769" s="647"/>
    </row>
    <row r="770" spans="3:12">
      <c r="C770" s="647"/>
      <c r="D770" s="647"/>
      <c r="E770" s="647"/>
      <c r="F770" s="647"/>
      <c r="G770" s="647"/>
      <c r="H770" s="647"/>
      <c r="I770" s="647"/>
      <c r="J770" s="647"/>
      <c r="K770" s="647"/>
      <c r="L770" s="647"/>
    </row>
    <row r="771" spans="3:12">
      <c r="C771" s="647"/>
      <c r="D771" s="647"/>
      <c r="E771" s="647"/>
      <c r="F771" s="647"/>
      <c r="G771" s="647"/>
      <c r="H771" s="647"/>
      <c r="I771" s="647"/>
      <c r="J771" s="647"/>
      <c r="K771" s="647"/>
      <c r="L771" s="647"/>
    </row>
    <row r="772" spans="3:12">
      <c r="C772" s="647"/>
      <c r="D772" s="647"/>
      <c r="E772" s="647"/>
      <c r="F772" s="647"/>
      <c r="G772" s="647"/>
      <c r="H772" s="647"/>
      <c r="I772" s="647"/>
      <c r="J772" s="647"/>
      <c r="K772" s="647"/>
      <c r="L772" s="647"/>
    </row>
    <row r="773" spans="3:12">
      <c r="C773" s="647"/>
      <c r="D773" s="647"/>
      <c r="E773" s="647"/>
      <c r="F773" s="647"/>
      <c r="G773" s="647"/>
      <c r="H773" s="647"/>
      <c r="I773" s="647"/>
      <c r="J773" s="647"/>
      <c r="K773" s="647"/>
      <c r="L773" s="647"/>
    </row>
    <row r="774" spans="3:12">
      <c r="C774" s="647"/>
      <c r="D774" s="647"/>
      <c r="E774" s="647"/>
      <c r="F774" s="647"/>
      <c r="G774" s="647"/>
      <c r="H774" s="647"/>
      <c r="I774" s="647"/>
      <c r="J774" s="647"/>
      <c r="K774" s="647"/>
      <c r="L774" s="647"/>
    </row>
    <row r="775" spans="3:12">
      <c r="C775" s="647"/>
      <c r="D775" s="647"/>
      <c r="E775" s="647"/>
      <c r="F775" s="647"/>
      <c r="G775" s="647"/>
      <c r="H775" s="647"/>
      <c r="I775" s="647"/>
      <c r="J775" s="647"/>
      <c r="K775" s="647"/>
      <c r="L775" s="647"/>
    </row>
    <row r="776" spans="3:12">
      <c r="C776" s="647"/>
      <c r="D776" s="647"/>
      <c r="E776" s="647"/>
      <c r="F776" s="647"/>
      <c r="G776" s="647"/>
      <c r="H776" s="647"/>
      <c r="I776" s="647"/>
      <c r="J776" s="647"/>
      <c r="K776" s="647"/>
      <c r="L776" s="647"/>
    </row>
    <row r="777" spans="3:12">
      <c r="C777" s="647"/>
      <c r="D777" s="647"/>
      <c r="E777" s="647"/>
      <c r="F777" s="647"/>
      <c r="G777" s="647"/>
      <c r="H777" s="647"/>
      <c r="I777" s="647"/>
      <c r="J777" s="647"/>
      <c r="K777" s="647"/>
      <c r="L777" s="647"/>
    </row>
    <row r="778" spans="3:12">
      <c r="C778" s="647"/>
      <c r="D778" s="647"/>
      <c r="E778" s="647"/>
      <c r="F778" s="647"/>
      <c r="G778" s="647"/>
      <c r="H778" s="647"/>
      <c r="I778" s="647"/>
      <c r="J778" s="647"/>
      <c r="K778" s="647"/>
      <c r="L778" s="647"/>
    </row>
    <row r="779" spans="3:12">
      <c r="C779" s="647"/>
      <c r="D779" s="647"/>
      <c r="E779" s="647"/>
      <c r="F779" s="647"/>
      <c r="G779" s="647"/>
      <c r="H779" s="647"/>
      <c r="I779" s="647"/>
      <c r="J779" s="647"/>
      <c r="K779" s="647"/>
      <c r="L779" s="647"/>
    </row>
    <row r="780" spans="3:12">
      <c r="C780" s="647"/>
      <c r="D780" s="647"/>
      <c r="E780" s="647"/>
      <c r="F780" s="647"/>
      <c r="G780" s="647"/>
      <c r="H780" s="647"/>
      <c r="I780" s="647"/>
      <c r="J780" s="647"/>
      <c r="K780" s="647"/>
      <c r="L780" s="647"/>
    </row>
    <row r="781" spans="3:12">
      <c r="C781" s="647"/>
      <c r="D781" s="647"/>
      <c r="E781" s="647"/>
      <c r="F781" s="647"/>
      <c r="G781" s="647"/>
      <c r="H781" s="647"/>
      <c r="I781" s="647"/>
      <c r="J781" s="647"/>
      <c r="K781" s="647"/>
      <c r="L781" s="647"/>
    </row>
    <row r="782" spans="3:12">
      <c r="C782" s="647"/>
      <c r="D782" s="647"/>
      <c r="E782" s="647"/>
      <c r="F782" s="647"/>
      <c r="G782" s="647"/>
      <c r="H782" s="647"/>
      <c r="I782" s="647"/>
      <c r="J782" s="647"/>
      <c r="K782" s="647"/>
      <c r="L782" s="647"/>
    </row>
    <row r="783" spans="3:12">
      <c r="C783" s="647"/>
      <c r="D783" s="647"/>
      <c r="E783" s="647"/>
      <c r="F783" s="647"/>
      <c r="G783" s="647"/>
      <c r="H783" s="647"/>
      <c r="I783" s="647"/>
      <c r="J783" s="647"/>
      <c r="K783" s="647"/>
      <c r="L783" s="647"/>
    </row>
    <row r="784" spans="3:12">
      <c r="C784" s="647"/>
      <c r="D784" s="647"/>
      <c r="E784" s="647"/>
      <c r="F784" s="647"/>
      <c r="G784" s="647"/>
      <c r="H784" s="647"/>
      <c r="I784" s="647"/>
      <c r="J784" s="647"/>
      <c r="K784" s="647"/>
      <c r="L784" s="647"/>
    </row>
    <row r="785" spans="3:12">
      <c r="C785" s="647"/>
      <c r="D785" s="647"/>
      <c r="E785" s="647"/>
      <c r="F785" s="647"/>
      <c r="G785" s="647"/>
      <c r="H785" s="647"/>
      <c r="I785" s="647"/>
      <c r="J785" s="647"/>
      <c r="K785" s="647"/>
      <c r="L785" s="647"/>
    </row>
    <row r="786" spans="3:12">
      <c r="C786" s="647"/>
      <c r="D786" s="647"/>
      <c r="E786" s="647"/>
      <c r="F786" s="647"/>
      <c r="G786" s="647"/>
      <c r="H786" s="647"/>
      <c r="I786" s="647"/>
      <c r="J786" s="647"/>
      <c r="K786" s="647"/>
      <c r="L786" s="647"/>
    </row>
    <row r="787" spans="3:12">
      <c r="C787" s="647"/>
      <c r="D787" s="647"/>
      <c r="E787" s="647"/>
      <c r="F787" s="647"/>
      <c r="G787" s="647"/>
      <c r="H787" s="647"/>
      <c r="I787" s="647"/>
      <c r="J787" s="647"/>
      <c r="K787" s="647"/>
      <c r="L787" s="647"/>
    </row>
    <row r="788" spans="3:12">
      <c r="C788" s="647"/>
      <c r="D788" s="647"/>
      <c r="E788" s="647"/>
      <c r="F788" s="647"/>
      <c r="G788" s="647"/>
      <c r="H788" s="647"/>
      <c r="I788" s="647"/>
      <c r="J788" s="647"/>
      <c r="K788" s="647"/>
      <c r="L788" s="647"/>
    </row>
    <row r="789" spans="3:12">
      <c r="C789" s="647"/>
      <c r="D789" s="647"/>
      <c r="E789" s="647"/>
      <c r="F789" s="647"/>
      <c r="G789" s="647"/>
      <c r="H789" s="647"/>
      <c r="I789" s="647"/>
      <c r="J789" s="647"/>
      <c r="K789" s="647"/>
      <c r="L789" s="647"/>
    </row>
    <row r="790" spans="3:12">
      <c r="C790" s="647"/>
      <c r="D790" s="647"/>
      <c r="E790" s="647"/>
      <c r="F790" s="647"/>
      <c r="G790" s="647"/>
      <c r="H790" s="647"/>
      <c r="I790" s="647"/>
      <c r="J790" s="647"/>
      <c r="K790" s="647"/>
      <c r="L790" s="647"/>
    </row>
    <row r="791" spans="3:12">
      <c r="C791" s="647"/>
      <c r="D791" s="647"/>
      <c r="E791" s="647"/>
      <c r="F791" s="647"/>
      <c r="G791" s="647"/>
      <c r="H791" s="647"/>
      <c r="I791" s="647"/>
      <c r="J791" s="647"/>
      <c r="K791" s="647"/>
      <c r="L791" s="647"/>
    </row>
    <row r="792" spans="3:12">
      <c r="C792" s="647"/>
      <c r="D792" s="647"/>
      <c r="E792" s="647"/>
      <c r="F792" s="647"/>
      <c r="G792" s="647"/>
      <c r="H792" s="647"/>
      <c r="I792" s="647"/>
      <c r="J792" s="647"/>
      <c r="K792" s="647"/>
      <c r="L792" s="647"/>
    </row>
    <row r="793" spans="3:12">
      <c r="C793" s="647"/>
      <c r="D793" s="647"/>
      <c r="E793" s="647"/>
      <c r="F793" s="647"/>
      <c r="G793" s="647"/>
      <c r="H793" s="647"/>
      <c r="I793" s="647"/>
      <c r="J793" s="647"/>
      <c r="K793" s="647"/>
      <c r="L793" s="647"/>
    </row>
    <row r="794" spans="3:12">
      <c r="C794" s="647"/>
      <c r="D794" s="647"/>
      <c r="E794" s="647"/>
      <c r="F794" s="647"/>
      <c r="G794" s="647"/>
      <c r="H794" s="647"/>
      <c r="I794" s="647"/>
      <c r="J794" s="647"/>
      <c r="K794" s="647"/>
      <c r="L794" s="647"/>
    </row>
    <row r="795" spans="3:12">
      <c r="C795" s="647"/>
      <c r="D795" s="647"/>
      <c r="E795" s="647"/>
      <c r="F795" s="647"/>
      <c r="G795" s="647"/>
      <c r="H795" s="647"/>
      <c r="I795" s="647"/>
      <c r="J795" s="647"/>
      <c r="K795" s="647"/>
      <c r="L795" s="647"/>
    </row>
    <row r="796" spans="3:12">
      <c r="C796" s="647"/>
      <c r="D796" s="647"/>
      <c r="E796" s="647"/>
      <c r="F796" s="647"/>
      <c r="G796" s="647"/>
      <c r="H796" s="647"/>
      <c r="I796" s="647"/>
      <c r="J796" s="647"/>
      <c r="K796" s="647"/>
      <c r="L796" s="647"/>
    </row>
    <row r="797" spans="3:12">
      <c r="C797" s="647"/>
      <c r="D797" s="647"/>
      <c r="E797" s="647"/>
      <c r="F797" s="647"/>
      <c r="G797" s="647"/>
      <c r="H797" s="647"/>
      <c r="I797" s="647"/>
      <c r="J797" s="647"/>
      <c r="K797" s="647"/>
      <c r="L797" s="647"/>
    </row>
    <row r="798" spans="3:12">
      <c r="C798" s="647"/>
      <c r="D798" s="647"/>
      <c r="E798" s="647"/>
      <c r="F798" s="647"/>
      <c r="G798" s="647"/>
      <c r="H798" s="647"/>
      <c r="I798" s="647"/>
      <c r="J798" s="647"/>
      <c r="K798" s="647"/>
      <c r="L798" s="647"/>
    </row>
    <row r="799" spans="3:12">
      <c r="C799" s="647"/>
      <c r="D799" s="647"/>
      <c r="E799" s="647"/>
      <c r="F799" s="647"/>
      <c r="G799" s="647"/>
      <c r="H799" s="647"/>
      <c r="I799" s="647"/>
      <c r="J799" s="647"/>
      <c r="K799" s="647"/>
      <c r="L799" s="647"/>
    </row>
    <row r="800" spans="3:12">
      <c r="C800" s="647"/>
      <c r="D800" s="647"/>
      <c r="E800" s="647"/>
      <c r="F800" s="647"/>
      <c r="G800" s="647"/>
      <c r="H800" s="647"/>
      <c r="I800" s="647"/>
      <c r="J800" s="647"/>
      <c r="K800" s="647"/>
      <c r="L800" s="647"/>
    </row>
    <row r="801" spans="3:12">
      <c r="C801" s="647"/>
      <c r="D801" s="647"/>
      <c r="E801" s="647"/>
      <c r="F801" s="647"/>
      <c r="G801" s="647"/>
      <c r="H801" s="647"/>
      <c r="I801" s="647"/>
      <c r="J801" s="647"/>
      <c r="K801" s="647"/>
      <c r="L801" s="647"/>
    </row>
    <row r="802" spans="3:12">
      <c r="C802" s="647"/>
      <c r="D802" s="647"/>
      <c r="E802" s="647"/>
      <c r="F802" s="647"/>
      <c r="G802" s="647"/>
      <c r="H802" s="647"/>
      <c r="I802" s="647"/>
      <c r="J802" s="647"/>
      <c r="K802" s="647"/>
      <c r="L802" s="647"/>
    </row>
    <row r="803" spans="3:12">
      <c r="C803" s="647"/>
      <c r="D803" s="647"/>
      <c r="E803" s="647"/>
      <c r="F803" s="647"/>
      <c r="G803" s="647"/>
      <c r="H803" s="647"/>
      <c r="I803" s="647"/>
      <c r="J803" s="647"/>
      <c r="K803" s="647"/>
      <c r="L803" s="647"/>
    </row>
    <row r="804" spans="3:12">
      <c r="C804" s="647"/>
      <c r="D804" s="647"/>
      <c r="E804" s="647"/>
      <c r="F804" s="647"/>
      <c r="G804" s="647"/>
      <c r="H804" s="647"/>
      <c r="I804" s="647"/>
      <c r="J804" s="647"/>
      <c r="K804" s="647"/>
      <c r="L804" s="647"/>
    </row>
    <row r="805" spans="3:12">
      <c r="C805" s="647"/>
      <c r="D805" s="647"/>
      <c r="E805" s="647"/>
      <c r="F805" s="647"/>
      <c r="G805" s="647"/>
      <c r="H805" s="647"/>
      <c r="I805" s="647"/>
      <c r="J805" s="647"/>
      <c r="K805" s="647"/>
      <c r="L805" s="647"/>
    </row>
    <row r="806" spans="3:12">
      <c r="C806" s="647"/>
      <c r="D806" s="647"/>
      <c r="E806" s="647"/>
      <c r="F806" s="647"/>
      <c r="G806" s="647"/>
      <c r="H806" s="647"/>
      <c r="I806" s="647"/>
      <c r="J806" s="647"/>
      <c r="K806" s="647"/>
      <c r="L806" s="647"/>
    </row>
    <row r="807" spans="3:12">
      <c r="C807" s="647"/>
      <c r="D807" s="647"/>
      <c r="E807" s="647"/>
      <c r="F807" s="647"/>
      <c r="G807" s="647"/>
      <c r="H807" s="647"/>
      <c r="I807" s="647"/>
      <c r="J807" s="647"/>
      <c r="K807" s="647"/>
      <c r="L807" s="647"/>
    </row>
    <row r="808" spans="3:12">
      <c r="C808" s="647"/>
      <c r="D808" s="647"/>
      <c r="E808" s="647"/>
      <c r="F808" s="647"/>
      <c r="G808" s="647"/>
      <c r="H808" s="647"/>
      <c r="I808" s="647"/>
      <c r="J808" s="647"/>
      <c r="K808" s="647"/>
      <c r="L808" s="647"/>
    </row>
    <row r="809" spans="3:12">
      <c r="C809" s="647"/>
      <c r="D809" s="647"/>
      <c r="E809" s="647"/>
      <c r="F809" s="647"/>
      <c r="G809" s="647"/>
      <c r="H809" s="647"/>
      <c r="I809" s="647"/>
      <c r="J809" s="647"/>
      <c r="K809" s="647"/>
      <c r="L809" s="647"/>
    </row>
    <row r="810" spans="3:12">
      <c r="C810" s="647"/>
      <c r="D810" s="647"/>
      <c r="E810" s="647"/>
      <c r="F810" s="647"/>
      <c r="G810" s="647"/>
      <c r="H810" s="647"/>
      <c r="I810" s="647"/>
      <c r="J810" s="647"/>
      <c r="K810" s="647"/>
      <c r="L810" s="647"/>
    </row>
    <row r="811" spans="3:12">
      <c r="C811" s="647"/>
      <c r="D811" s="647"/>
      <c r="E811" s="647"/>
      <c r="F811" s="647"/>
      <c r="G811" s="647"/>
      <c r="H811" s="647"/>
      <c r="I811" s="647"/>
      <c r="J811" s="647"/>
      <c r="K811" s="647"/>
      <c r="L811" s="647"/>
    </row>
    <row r="812" spans="3:12">
      <c r="C812" s="647"/>
      <c r="D812" s="647"/>
      <c r="E812" s="647"/>
      <c r="F812" s="647"/>
      <c r="G812" s="647"/>
      <c r="H812" s="647"/>
      <c r="I812" s="647"/>
      <c r="J812" s="647"/>
      <c r="K812" s="647"/>
      <c r="L812" s="647"/>
    </row>
    <row r="813" spans="3:12">
      <c r="C813" s="647"/>
      <c r="D813" s="647"/>
      <c r="E813" s="647"/>
      <c r="F813" s="647"/>
      <c r="G813" s="647"/>
      <c r="H813" s="647"/>
      <c r="I813" s="647"/>
      <c r="J813" s="647"/>
      <c r="K813" s="647"/>
      <c r="L813" s="647"/>
    </row>
    <row r="814" spans="3:12">
      <c r="C814" s="647"/>
      <c r="D814" s="647"/>
      <c r="E814" s="647"/>
      <c r="F814" s="647"/>
      <c r="G814" s="647"/>
      <c r="H814" s="647"/>
      <c r="I814" s="647"/>
      <c r="J814" s="647"/>
      <c r="K814" s="647"/>
      <c r="L814" s="647"/>
    </row>
    <row r="815" spans="3:12">
      <c r="C815" s="647"/>
      <c r="D815" s="647"/>
      <c r="E815" s="647"/>
      <c r="F815" s="647"/>
      <c r="G815" s="647"/>
      <c r="H815" s="647"/>
      <c r="I815" s="647"/>
      <c r="J815" s="647"/>
      <c r="K815" s="647"/>
      <c r="L815" s="647"/>
    </row>
    <row r="816" spans="3:12">
      <c r="C816" s="647"/>
      <c r="D816" s="647"/>
      <c r="E816" s="647"/>
      <c r="F816" s="647"/>
      <c r="G816" s="647"/>
      <c r="H816" s="647"/>
      <c r="I816" s="647"/>
      <c r="J816" s="647"/>
      <c r="K816" s="647"/>
      <c r="L816" s="647"/>
    </row>
    <row r="817" spans="3:12">
      <c r="C817" s="647"/>
      <c r="D817" s="647"/>
      <c r="E817" s="647"/>
      <c r="F817" s="647"/>
      <c r="G817" s="647"/>
      <c r="H817" s="647"/>
      <c r="I817" s="647"/>
      <c r="J817" s="647"/>
      <c r="K817" s="647"/>
      <c r="L817" s="647"/>
    </row>
    <row r="818" spans="3:12">
      <c r="C818" s="647"/>
      <c r="D818" s="647"/>
      <c r="E818" s="647"/>
      <c r="F818" s="647"/>
      <c r="G818" s="647"/>
      <c r="H818" s="647"/>
      <c r="I818" s="647"/>
      <c r="J818" s="647"/>
      <c r="K818" s="647"/>
      <c r="L818" s="647"/>
    </row>
    <row r="819" spans="3:12">
      <c r="C819" s="647"/>
      <c r="D819" s="647"/>
      <c r="E819" s="647"/>
      <c r="F819" s="647"/>
      <c r="G819" s="647"/>
      <c r="H819" s="647"/>
      <c r="I819" s="647"/>
      <c r="J819" s="647"/>
      <c r="K819" s="647"/>
      <c r="L819" s="647"/>
    </row>
    <row r="820" spans="3:12">
      <c r="C820" s="647"/>
      <c r="D820" s="647"/>
      <c r="E820" s="647"/>
      <c r="F820" s="647"/>
      <c r="G820" s="647"/>
      <c r="H820" s="647"/>
      <c r="I820" s="647"/>
      <c r="J820" s="647"/>
      <c r="K820" s="647"/>
      <c r="L820" s="647"/>
    </row>
    <row r="821" spans="3:12">
      <c r="C821" s="647"/>
      <c r="D821" s="647"/>
      <c r="E821" s="647"/>
      <c r="F821" s="647"/>
      <c r="G821" s="647"/>
      <c r="H821" s="647"/>
      <c r="I821" s="647"/>
      <c r="J821" s="647"/>
      <c r="K821" s="647"/>
      <c r="L821" s="647"/>
    </row>
    <row r="822" spans="3:12">
      <c r="C822" s="647"/>
      <c r="D822" s="647"/>
      <c r="E822" s="647"/>
      <c r="F822" s="647"/>
      <c r="G822" s="647"/>
      <c r="H822" s="647"/>
      <c r="I822" s="647"/>
      <c r="J822" s="647"/>
      <c r="K822" s="647"/>
      <c r="L822" s="647"/>
    </row>
    <row r="823" spans="3:12">
      <c r="C823" s="647"/>
      <c r="D823" s="647"/>
      <c r="E823" s="647"/>
      <c r="F823" s="647"/>
      <c r="G823" s="647"/>
      <c r="H823" s="647"/>
      <c r="I823" s="647"/>
      <c r="J823" s="647"/>
      <c r="K823" s="647"/>
      <c r="L823" s="647"/>
    </row>
    <row r="824" spans="3:12">
      <c r="C824" s="647"/>
      <c r="D824" s="647"/>
      <c r="E824" s="647"/>
      <c r="F824" s="647"/>
      <c r="G824" s="647"/>
      <c r="H824" s="647"/>
      <c r="I824" s="647"/>
      <c r="J824" s="647"/>
      <c r="K824" s="647"/>
      <c r="L824" s="647"/>
    </row>
    <row r="825" spans="3:12">
      <c r="C825" s="647"/>
      <c r="D825" s="647"/>
      <c r="E825" s="647"/>
      <c r="F825" s="647"/>
      <c r="G825" s="647"/>
      <c r="H825" s="647"/>
      <c r="I825" s="647"/>
      <c r="J825" s="647"/>
      <c r="K825" s="647"/>
      <c r="L825" s="647"/>
    </row>
    <row r="826" spans="3:12">
      <c r="C826" s="647"/>
      <c r="D826" s="647"/>
      <c r="E826" s="647"/>
      <c r="F826" s="647"/>
      <c r="G826" s="647"/>
      <c r="H826" s="647"/>
      <c r="I826" s="647"/>
      <c r="J826" s="647"/>
      <c r="K826" s="647"/>
      <c r="L826" s="647"/>
    </row>
    <row r="827" spans="3:12">
      <c r="C827" s="647"/>
      <c r="D827" s="647"/>
      <c r="E827" s="647"/>
      <c r="F827" s="647"/>
      <c r="G827" s="647"/>
      <c r="H827" s="647"/>
      <c r="I827" s="647"/>
      <c r="J827" s="647"/>
      <c r="K827" s="647"/>
      <c r="L827" s="647"/>
    </row>
    <row r="828" spans="3:12">
      <c r="C828" s="647"/>
      <c r="D828" s="647"/>
      <c r="E828" s="647"/>
      <c r="F828" s="647"/>
      <c r="G828" s="647"/>
      <c r="H828" s="647"/>
      <c r="I828" s="647"/>
      <c r="J828" s="647"/>
      <c r="K828" s="647"/>
      <c r="L828" s="647"/>
    </row>
    <row r="829" spans="3:12">
      <c r="C829" s="647"/>
      <c r="D829" s="647"/>
      <c r="E829" s="647"/>
      <c r="F829" s="647"/>
      <c r="G829" s="647"/>
      <c r="H829" s="647"/>
      <c r="I829" s="647"/>
      <c r="J829" s="647"/>
      <c r="K829" s="647"/>
      <c r="L829" s="647"/>
    </row>
    <row r="830" spans="3:12">
      <c r="C830" s="647"/>
      <c r="D830" s="647"/>
      <c r="E830" s="647"/>
      <c r="F830" s="647"/>
      <c r="G830" s="647"/>
      <c r="H830" s="647"/>
      <c r="I830" s="647"/>
      <c r="J830" s="647"/>
      <c r="K830" s="647"/>
      <c r="L830" s="647"/>
    </row>
    <row r="831" spans="3:12">
      <c r="C831" s="647"/>
      <c r="D831" s="647"/>
      <c r="E831" s="647"/>
      <c r="F831" s="647"/>
      <c r="G831" s="647"/>
      <c r="H831" s="647"/>
      <c r="I831" s="647"/>
      <c r="J831" s="647"/>
      <c r="K831" s="647"/>
      <c r="L831" s="647"/>
    </row>
    <row r="832" spans="3:12">
      <c r="C832" s="647"/>
      <c r="D832" s="647"/>
      <c r="E832" s="647"/>
      <c r="F832" s="647"/>
      <c r="G832" s="647"/>
      <c r="H832" s="647"/>
      <c r="I832" s="647"/>
      <c r="J832" s="647"/>
      <c r="K832" s="647"/>
      <c r="L832" s="647"/>
    </row>
    <row r="833" spans="3:12">
      <c r="C833" s="647"/>
      <c r="D833" s="647"/>
      <c r="E833" s="647"/>
      <c r="F833" s="647"/>
      <c r="G833" s="647"/>
      <c r="H833" s="647"/>
      <c r="I833" s="647"/>
      <c r="J833" s="647"/>
      <c r="K833" s="647"/>
      <c r="L833" s="647"/>
    </row>
    <row r="834" spans="3:12">
      <c r="C834" s="647"/>
      <c r="D834" s="647"/>
      <c r="E834" s="647"/>
      <c r="F834" s="647"/>
      <c r="G834" s="647"/>
      <c r="H834" s="647"/>
      <c r="I834" s="647"/>
      <c r="J834" s="647"/>
      <c r="K834" s="647"/>
      <c r="L834" s="647"/>
    </row>
    <row r="835" spans="3:12">
      <c r="C835" s="647"/>
      <c r="D835" s="647"/>
      <c r="E835" s="647"/>
      <c r="F835" s="647"/>
      <c r="G835" s="647"/>
      <c r="H835" s="647"/>
      <c r="I835" s="647"/>
      <c r="J835" s="647"/>
      <c r="K835" s="647"/>
      <c r="L835" s="647"/>
    </row>
    <row r="836" spans="3:12">
      <c r="C836" s="647"/>
      <c r="D836" s="647"/>
      <c r="E836" s="647"/>
      <c r="F836" s="647"/>
      <c r="G836" s="647"/>
      <c r="H836" s="647"/>
      <c r="I836" s="647"/>
      <c r="J836" s="647"/>
      <c r="K836" s="647"/>
      <c r="L836" s="647"/>
    </row>
    <row r="837" spans="3:12">
      <c r="C837" s="647"/>
      <c r="D837" s="647"/>
      <c r="E837" s="647"/>
      <c r="F837" s="647"/>
      <c r="G837" s="647"/>
      <c r="H837" s="647"/>
      <c r="I837" s="647"/>
      <c r="J837" s="647"/>
      <c r="K837" s="647"/>
      <c r="L837" s="647"/>
    </row>
    <row r="838" spans="3:12">
      <c r="C838" s="647"/>
      <c r="D838" s="647"/>
      <c r="E838" s="647"/>
      <c r="F838" s="647"/>
      <c r="G838" s="647"/>
      <c r="H838" s="647"/>
      <c r="I838" s="647"/>
      <c r="J838" s="647"/>
      <c r="K838" s="647"/>
      <c r="L838" s="647"/>
    </row>
    <row r="839" spans="3:12">
      <c r="C839" s="647"/>
      <c r="D839" s="647"/>
      <c r="E839" s="647"/>
      <c r="F839" s="647"/>
      <c r="G839" s="647"/>
      <c r="H839" s="647"/>
      <c r="I839" s="647"/>
      <c r="J839" s="647"/>
      <c r="K839" s="647"/>
      <c r="L839" s="647"/>
    </row>
    <row r="840" spans="3:12">
      <c r="C840" s="647"/>
      <c r="D840" s="647"/>
      <c r="E840" s="647"/>
      <c r="F840" s="647"/>
      <c r="G840" s="647"/>
      <c r="H840" s="647"/>
      <c r="I840" s="647"/>
      <c r="J840" s="647"/>
      <c r="K840" s="647"/>
      <c r="L840" s="647"/>
    </row>
    <row r="841" spans="3:12">
      <c r="C841" s="647"/>
      <c r="D841" s="647"/>
      <c r="E841" s="647"/>
      <c r="F841" s="647"/>
      <c r="G841" s="647"/>
      <c r="H841" s="647"/>
      <c r="I841" s="647"/>
      <c r="J841" s="647"/>
      <c r="K841" s="647"/>
      <c r="L841" s="647"/>
    </row>
    <row r="842" spans="3:12">
      <c r="C842" s="647"/>
      <c r="D842" s="647"/>
      <c r="E842" s="647"/>
      <c r="F842" s="647"/>
      <c r="G842" s="647"/>
      <c r="H842" s="647"/>
      <c r="I842" s="647"/>
      <c r="J842" s="647"/>
      <c r="K842" s="647"/>
      <c r="L842" s="647"/>
    </row>
    <row r="843" spans="3:12">
      <c r="C843" s="647"/>
      <c r="D843" s="647"/>
      <c r="E843" s="647"/>
      <c r="F843" s="647"/>
      <c r="G843" s="647"/>
      <c r="H843" s="647"/>
      <c r="I843" s="647"/>
      <c r="J843" s="647"/>
      <c r="K843" s="647"/>
      <c r="L843" s="647"/>
    </row>
    <row r="844" spans="3:12">
      <c r="C844" s="647"/>
      <c r="D844" s="647"/>
      <c r="E844" s="647"/>
      <c r="F844" s="647"/>
      <c r="G844" s="647"/>
      <c r="H844" s="647"/>
      <c r="I844" s="647"/>
      <c r="J844" s="647"/>
      <c r="K844" s="647"/>
      <c r="L844" s="647"/>
    </row>
    <row r="845" spans="3:12">
      <c r="C845" s="647"/>
      <c r="D845" s="647"/>
      <c r="E845" s="647"/>
      <c r="F845" s="647"/>
      <c r="G845" s="647"/>
      <c r="H845" s="647"/>
      <c r="I845" s="647"/>
      <c r="J845" s="647"/>
      <c r="K845" s="647"/>
      <c r="L845" s="647"/>
    </row>
    <row r="846" spans="3:12">
      <c r="C846" s="647"/>
      <c r="D846" s="647"/>
      <c r="E846" s="647"/>
      <c r="F846" s="647"/>
      <c r="G846" s="647"/>
      <c r="H846" s="647"/>
      <c r="I846" s="647"/>
      <c r="J846" s="647"/>
      <c r="K846" s="647"/>
      <c r="L846" s="647"/>
    </row>
    <row r="847" spans="3:12">
      <c r="C847" s="647"/>
      <c r="D847" s="647"/>
      <c r="E847" s="647"/>
      <c r="F847" s="647"/>
      <c r="G847" s="647"/>
      <c r="H847" s="647"/>
      <c r="I847" s="647"/>
      <c r="J847" s="647"/>
      <c r="K847" s="647"/>
      <c r="L847" s="647"/>
    </row>
    <row r="848" spans="3:12">
      <c r="C848" s="647"/>
      <c r="D848" s="647"/>
      <c r="E848" s="647"/>
      <c r="F848" s="647"/>
      <c r="G848" s="647"/>
      <c r="H848" s="647"/>
      <c r="I848" s="647"/>
      <c r="J848" s="647"/>
      <c r="K848" s="647"/>
      <c r="L848" s="647"/>
    </row>
    <row r="849" spans="3:12">
      <c r="C849" s="647"/>
      <c r="D849" s="647"/>
      <c r="E849" s="647"/>
      <c r="F849" s="647"/>
      <c r="G849" s="647"/>
      <c r="H849" s="647"/>
      <c r="I849" s="647"/>
      <c r="J849" s="647"/>
      <c r="K849" s="647"/>
      <c r="L849" s="647"/>
    </row>
    <row r="850" spans="3:12">
      <c r="C850" s="647"/>
      <c r="D850" s="647"/>
      <c r="E850" s="647"/>
      <c r="F850" s="647"/>
      <c r="G850" s="647"/>
      <c r="H850" s="647"/>
      <c r="I850" s="647"/>
      <c r="J850" s="647"/>
      <c r="K850" s="647"/>
      <c r="L850" s="647"/>
    </row>
    <row r="851" spans="3:12">
      <c r="C851" s="647"/>
      <c r="D851" s="647"/>
      <c r="E851" s="647"/>
      <c r="F851" s="647"/>
      <c r="G851" s="647"/>
      <c r="H851" s="647"/>
      <c r="I851" s="647"/>
      <c r="J851" s="647"/>
      <c r="K851" s="647"/>
      <c r="L851" s="647"/>
    </row>
    <row r="852" spans="3:12">
      <c r="C852" s="647"/>
      <c r="D852" s="647"/>
      <c r="E852" s="647"/>
      <c r="F852" s="647"/>
      <c r="G852" s="647"/>
      <c r="H852" s="647"/>
      <c r="I852" s="647"/>
      <c r="J852" s="647"/>
      <c r="K852" s="647"/>
      <c r="L852" s="647"/>
    </row>
    <row r="853" spans="3:12">
      <c r="C853" s="647"/>
      <c r="D853" s="647"/>
      <c r="E853" s="647"/>
      <c r="F853" s="647"/>
      <c r="G853" s="647"/>
      <c r="H853" s="647"/>
      <c r="I853" s="647"/>
      <c r="J853" s="647"/>
      <c r="K853" s="647"/>
      <c r="L853" s="647"/>
    </row>
    <row r="854" spans="3:12">
      <c r="C854" s="647"/>
      <c r="D854" s="647"/>
      <c r="E854" s="647"/>
      <c r="F854" s="647"/>
      <c r="G854" s="647"/>
      <c r="H854" s="647"/>
      <c r="I854" s="647"/>
      <c r="J854" s="647"/>
      <c r="K854" s="647"/>
      <c r="L854" s="647"/>
    </row>
    <row r="855" spans="3:12">
      <c r="C855" s="647"/>
      <c r="D855" s="647"/>
      <c r="E855" s="647"/>
      <c r="F855" s="647"/>
      <c r="G855" s="647"/>
      <c r="H855" s="647"/>
      <c r="I855" s="647"/>
      <c r="J855" s="647"/>
      <c r="K855" s="647"/>
      <c r="L855" s="647"/>
    </row>
    <row r="856" spans="3:12">
      <c r="C856" s="647"/>
      <c r="D856" s="647"/>
      <c r="E856" s="647"/>
      <c r="F856" s="647"/>
      <c r="G856" s="647"/>
      <c r="H856" s="647"/>
      <c r="I856" s="647"/>
      <c r="J856" s="647"/>
      <c r="K856" s="647"/>
      <c r="L856" s="647"/>
    </row>
    <row r="857" spans="3:12">
      <c r="C857" s="647"/>
      <c r="D857" s="647"/>
      <c r="E857" s="647"/>
      <c r="F857" s="647"/>
      <c r="G857" s="647"/>
      <c r="H857" s="647"/>
      <c r="I857" s="647"/>
      <c r="J857" s="647"/>
      <c r="K857" s="647"/>
      <c r="L857" s="647"/>
    </row>
    <row r="858" spans="3:12">
      <c r="C858" s="647"/>
      <c r="D858" s="647"/>
      <c r="E858" s="647"/>
      <c r="F858" s="647"/>
      <c r="G858" s="647"/>
      <c r="H858" s="647"/>
      <c r="I858" s="647"/>
      <c r="J858" s="647"/>
      <c r="K858" s="647"/>
      <c r="L858" s="647"/>
    </row>
    <row r="859" spans="3:12">
      <c r="C859" s="647"/>
      <c r="D859" s="647"/>
      <c r="E859" s="647"/>
      <c r="F859" s="647"/>
      <c r="G859" s="647"/>
      <c r="H859" s="647"/>
      <c r="I859" s="647"/>
      <c r="J859" s="647"/>
      <c r="K859" s="647"/>
      <c r="L859" s="647"/>
    </row>
    <row r="860" spans="3:12">
      <c r="C860" s="647"/>
      <c r="D860" s="647"/>
      <c r="E860" s="647"/>
      <c r="F860" s="647"/>
      <c r="G860" s="647"/>
      <c r="H860" s="647"/>
      <c r="I860" s="647"/>
      <c r="J860" s="647"/>
      <c r="K860" s="647"/>
      <c r="L860" s="647"/>
    </row>
    <row r="861" spans="3:12">
      <c r="C861" s="647"/>
      <c r="D861" s="647"/>
      <c r="E861" s="647"/>
      <c r="F861" s="647"/>
      <c r="G861" s="647"/>
      <c r="H861" s="647"/>
      <c r="I861" s="647"/>
      <c r="J861" s="647"/>
      <c r="K861" s="647"/>
      <c r="L861" s="647"/>
    </row>
    <row r="862" spans="3:12">
      <c r="C862" s="647"/>
      <c r="D862" s="647"/>
      <c r="E862" s="647"/>
      <c r="F862" s="647"/>
      <c r="G862" s="647"/>
      <c r="H862" s="647"/>
      <c r="I862" s="647"/>
      <c r="J862" s="647"/>
      <c r="K862" s="647"/>
      <c r="L862" s="647"/>
    </row>
    <row r="863" spans="3:12">
      <c r="C863" s="647"/>
      <c r="D863" s="647"/>
      <c r="E863" s="647"/>
      <c r="F863" s="647"/>
      <c r="G863" s="647"/>
      <c r="H863" s="647"/>
      <c r="I863" s="647"/>
      <c r="J863" s="647"/>
      <c r="K863" s="647"/>
      <c r="L863" s="647"/>
    </row>
    <row r="864" spans="3:12">
      <c r="C864" s="647"/>
      <c r="D864" s="647"/>
      <c r="E864" s="647"/>
      <c r="F864" s="647"/>
      <c r="G864" s="647"/>
      <c r="H864" s="647"/>
      <c r="I864" s="647"/>
      <c r="J864" s="647"/>
      <c r="K864" s="647"/>
      <c r="L864" s="647"/>
    </row>
    <row r="865" spans="3:12">
      <c r="C865" s="647"/>
      <c r="D865" s="647"/>
      <c r="E865" s="647"/>
      <c r="F865" s="647"/>
      <c r="G865" s="647"/>
      <c r="H865" s="647"/>
      <c r="I865" s="647"/>
      <c r="J865" s="647"/>
      <c r="K865" s="647"/>
      <c r="L865" s="647"/>
    </row>
    <row r="866" spans="3:12">
      <c r="C866" s="647"/>
      <c r="D866" s="647"/>
      <c r="E866" s="647"/>
      <c r="F866" s="647"/>
      <c r="G866" s="647"/>
      <c r="H866" s="647"/>
      <c r="I866" s="647"/>
      <c r="J866" s="647"/>
      <c r="K866" s="647"/>
      <c r="L866" s="647"/>
    </row>
    <row r="867" spans="3:12">
      <c r="C867" s="647"/>
      <c r="D867" s="647"/>
      <c r="E867" s="647"/>
      <c r="F867" s="647"/>
      <c r="G867" s="647"/>
      <c r="H867" s="647"/>
      <c r="I867" s="647"/>
      <c r="J867" s="647"/>
      <c r="K867" s="647"/>
      <c r="L867" s="647"/>
    </row>
    <row r="868" spans="3:12">
      <c r="C868" s="647"/>
      <c r="D868" s="647"/>
      <c r="E868" s="647"/>
      <c r="F868" s="647"/>
      <c r="G868" s="647"/>
      <c r="H868" s="647"/>
      <c r="I868" s="647"/>
      <c r="J868" s="647"/>
      <c r="K868" s="647"/>
      <c r="L868" s="647"/>
    </row>
    <row r="869" spans="3:12">
      <c r="C869" s="647"/>
      <c r="D869" s="647"/>
      <c r="E869" s="647"/>
      <c r="F869" s="647"/>
      <c r="G869" s="647"/>
      <c r="H869" s="647"/>
      <c r="I869" s="647"/>
      <c r="J869" s="647"/>
      <c r="K869" s="647"/>
      <c r="L869" s="647"/>
    </row>
    <row r="870" spans="3:12">
      <c r="C870" s="647"/>
      <c r="D870" s="647"/>
      <c r="E870" s="647"/>
      <c r="F870" s="647"/>
      <c r="G870" s="647"/>
      <c r="H870" s="647"/>
      <c r="I870" s="647"/>
      <c r="J870" s="647"/>
      <c r="K870" s="647"/>
      <c r="L870" s="647"/>
    </row>
    <row r="871" spans="3:12">
      <c r="C871" s="647"/>
      <c r="D871" s="647"/>
      <c r="E871" s="647"/>
      <c r="F871" s="647"/>
      <c r="G871" s="647"/>
      <c r="H871" s="647"/>
      <c r="I871" s="647"/>
      <c r="J871" s="647"/>
      <c r="K871" s="647"/>
      <c r="L871" s="647"/>
    </row>
    <row r="872" spans="3:12">
      <c r="C872" s="647"/>
      <c r="D872" s="647"/>
      <c r="E872" s="647"/>
      <c r="F872" s="647"/>
      <c r="G872" s="647"/>
      <c r="H872" s="647"/>
      <c r="I872" s="647"/>
      <c r="J872" s="647"/>
      <c r="K872" s="647"/>
      <c r="L872" s="647"/>
    </row>
    <row r="873" spans="3:12">
      <c r="C873" s="647"/>
      <c r="D873" s="647"/>
      <c r="E873" s="647"/>
      <c r="F873" s="647"/>
      <c r="G873" s="647"/>
      <c r="H873" s="647"/>
      <c r="I873" s="647"/>
      <c r="J873" s="647"/>
      <c r="K873" s="647"/>
      <c r="L873" s="647"/>
    </row>
    <row r="874" spans="3:12">
      <c r="C874" s="647"/>
      <c r="D874" s="647"/>
      <c r="E874" s="647"/>
      <c r="F874" s="647"/>
      <c r="G874" s="647"/>
      <c r="H874" s="647"/>
      <c r="I874" s="647"/>
      <c r="J874" s="647"/>
      <c r="K874" s="647"/>
      <c r="L874" s="647"/>
    </row>
    <row r="875" spans="3:12">
      <c r="C875" s="647"/>
      <c r="D875" s="647"/>
      <c r="E875" s="647"/>
      <c r="F875" s="647"/>
      <c r="G875" s="647"/>
      <c r="H875" s="647"/>
      <c r="I875" s="647"/>
      <c r="J875" s="647"/>
      <c r="K875" s="647"/>
      <c r="L875" s="647"/>
    </row>
    <row r="876" spans="3:12">
      <c r="C876" s="647"/>
      <c r="D876" s="647"/>
      <c r="E876" s="647"/>
      <c r="F876" s="647"/>
      <c r="G876" s="647"/>
      <c r="H876" s="647"/>
      <c r="I876" s="647"/>
      <c r="J876" s="647"/>
      <c r="K876" s="647"/>
      <c r="L876" s="647"/>
    </row>
    <row r="877" spans="3:12">
      <c r="C877" s="647"/>
      <c r="D877" s="647"/>
      <c r="E877" s="647"/>
      <c r="F877" s="647"/>
      <c r="G877" s="647"/>
      <c r="H877" s="647"/>
      <c r="I877" s="647"/>
      <c r="J877" s="647"/>
      <c r="K877" s="647"/>
      <c r="L877" s="647"/>
    </row>
    <row r="878" spans="3:12">
      <c r="C878" s="647"/>
      <c r="D878" s="647"/>
      <c r="E878" s="647"/>
      <c r="F878" s="647"/>
      <c r="G878" s="647"/>
      <c r="H878" s="647"/>
      <c r="I878" s="647"/>
      <c r="J878" s="647"/>
      <c r="K878" s="647"/>
      <c r="L878" s="647"/>
    </row>
    <row r="879" spans="3:12">
      <c r="C879" s="647"/>
      <c r="D879" s="647"/>
      <c r="E879" s="647"/>
      <c r="F879" s="647"/>
      <c r="G879" s="647"/>
      <c r="H879" s="647"/>
      <c r="I879" s="647"/>
      <c r="J879" s="647"/>
      <c r="K879" s="647"/>
      <c r="L879" s="647"/>
    </row>
    <row r="880" spans="3:12">
      <c r="C880" s="647"/>
      <c r="D880" s="647"/>
      <c r="E880" s="647"/>
      <c r="F880" s="647"/>
      <c r="G880" s="647"/>
      <c r="H880" s="647"/>
      <c r="I880" s="647"/>
      <c r="J880" s="647"/>
      <c r="K880" s="647"/>
      <c r="L880" s="647"/>
    </row>
    <row r="881" spans="3:12">
      <c r="C881" s="647"/>
      <c r="D881" s="647"/>
      <c r="E881" s="647"/>
      <c r="F881" s="647"/>
      <c r="G881" s="647"/>
      <c r="H881" s="647"/>
      <c r="I881" s="647"/>
      <c r="J881" s="647"/>
      <c r="K881" s="647"/>
      <c r="L881" s="647"/>
    </row>
    <row r="882" spans="3:12">
      <c r="C882" s="647"/>
      <c r="D882" s="647"/>
      <c r="E882" s="647"/>
      <c r="F882" s="647"/>
      <c r="G882" s="647"/>
      <c r="H882" s="647"/>
      <c r="I882" s="647"/>
      <c r="J882" s="647"/>
      <c r="K882" s="647"/>
      <c r="L882" s="647"/>
    </row>
    <row r="883" spans="3:12">
      <c r="C883" s="647"/>
      <c r="D883" s="647"/>
      <c r="E883" s="647"/>
      <c r="F883" s="647"/>
      <c r="G883" s="647"/>
      <c r="H883" s="647"/>
      <c r="I883" s="647"/>
      <c r="J883" s="647"/>
      <c r="K883" s="647"/>
      <c r="L883" s="647"/>
    </row>
    <row r="884" spans="3:12">
      <c r="C884" s="647"/>
      <c r="D884" s="647"/>
      <c r="E884" s="647"/>
      <c r="F884" s="647"/>
      <c r="G884" s="647"/>
      <c r="H884" s="647"/>
      <c r="I884" s="647"/>
      <c r="J884" s="647"/>
      <c r="K884" s="647"/>
      <c r="L884" s="647"/>
    </row>
    <row r="885" spans="3:12">
      <c r="C885" s="647"/>
      <c r="D885" s="647"/>
      <c r="E885" s="647"/>
      <c r="F885" s="647"/>
      <c r="G885" s="647"/>
      <c r="H885" s="647"/>
      <c r="I885" s="647"/>
      <c r="J885" s="647"/>
      <c r="K885" s="647"/>
      <c r="L885" s="647"/>
    </row>
    <row r="886" spans="3:12">
      <c r="C886" s="647"/>
      <c r="D886" s="647"/>
      <c r="E886" s="647"/>
      <c r="F886" s="647"/>
      <c r="G886" s="647"/>
      <c r="H886" s="647"/>
      <c r="I886" s="647"/>
      <c r="J886" s="647"/>
      <c r="K886" s="647"/>
      <c r="L886" s="647"/>
    </row>
    <row r="887" spans="3:12">
      <c r="C887" s="647"/>
      <c r="D887" s="647"/>
      <c r="E887" s="647"/>
      <c r="F887" s="647"/>
      <c r="G887" s="647"/>
      <c r="H887" s="647"/>
      <c r="I887" s="647"/>
      <c r="J887" s="647"/>
      <c r="K887" s="647"/>
      <c r="L887" s="647"/>
    </row>
    <row r="888" spans="3:12">
      <c r="C888" s="647"/>
      <c r="D888" s="647"/>
      <c r="E888" s="647"/>
      <c r="F888" s="647"/>
      <c r="G888" s="647"/>
      <c r="H888" s="647"/>
      <c r="I888" s="647"/>
      <c r="J888" s="647"/>
      <c r="K888" s="647"/>
      <c r="L888" s="647"/>
    </row>
    <row r="889" spans="3:12">
      <c r="C889" s="647"/>
      <c r="D889" s="647"/>
      <c r="E889" s="647"/>
      <c r="F889" s="647"/>
      <c r="G889" s="647"/>
      <c r="H889" s="647"/>
      <c r="I889" s="647"/>
      <c r="J889" s="647"/>
      <c r="K889" s="647"/>
      <c r="L889" s="647"/>
    </row>
    <row r="890" spans="3:12">
      <c r="C890" s="647"/>
      <c r="D890" s="647"/>
      <c r="E890" s="647"/>
      <c r="F890" s="647"/>
      <c r="G890" s="647"/>
      <c r="H890" s="647"/>
      <c r="I890" s="647"/>
      <c r="J890" s="647"/>
      <c r="K890" s="647"/>
      <c r="L890" s="647"/>
    </row>
    <row r="891" spans="3:12">
      <c r="C891" s="647"/>
      <c r="D891" s="647"/>
      <c r="E891" s="647"/>
      <c r="F891" s="647"/>
      <c r="G891" s="647"/>
      <c r="H891" s="647"/>
      <c r="I891" s="647"/>
      <c r="J891" s="647"/>
      <c r="K891" s="647"/>
      <c r="L891" s="647"/>
    </row>
    <row r="892" spans="3:12">
      <c r="C892" s="647"/>
      <c r="D892" s="647"/>
      <c r="E892" s="647"/>
      <c r="F892" s="647"/>
      <c r="G892" s="647"/>
      <c r="H892" s="647"/>
      <c r="I892" s="647"/>
      <c r="J892" s="647"/>
      <c r="K892" s="647"/>
      <c r="L892" s="647"/>
    </row>
    <row r="893" spans="3:12">
      <c r="C893" s="647"/>
      <c r="D893" s="647"/>
      <c r="E893" s="647"/>
      <c r="F893" s="647"/>
      <c r="G893" s="647"/>
      <c r="H893" s="647"/>
      <c r="I893" s="647"/>
      <c r="J893" s="647"/>
      <c r="K893" s="647"/>
      <c r="L893" s="647"/>
    </row>
    <row r="894" spans="3:12">
      <c r="C894" s="647"/>
      <c r="D894" s="647"/>
      <c r="E894" s="647"/>
      <c r="F894" s="647"/>
      <c r="G894" s="647"/>
      <c r="H894" s="647"/>
      <c r="I894" s="647"/>
      <c r="J894" s="647"/>
      <c r="K894" s="647"/>
      <c r="L894" s="647"/>
    </row>
    <row r="895" spans="3:12">
      <c r="C895" s="647"/>
      <c r="D895" s="647"/>
      <c r="E895" s="647"/>
      <c r="F895" s="647"/>
      <c r="G895" s="647"/>
      <c r="H895" s="647"/>
      <c r="I895" s="647"/>
      <c r="J895" s="647"/>
      <c r="K895" s="647"/>
      <c r="L895" s="647"/>
    </row>
    <row r="896" spans="3:12">
      <c r="C896" s="647"/>
      <c r="D896" s="647"/>
      <c r="E896" s="647"/>
      <c r="F896" s="647"/>
      <c r="G896" s="647"/>
      <c r="H896" s="647"/>
      <c r="I896" s="647"/>
      <c r="J896" s="647"/>
      <c r="K896" s="647"/>
      <c r="L896" s="647"/>
    </row>
    <row r="897" spans="3:12">
      <c r="C897" s="647"/>
      <c r="D897" s="647"/>
      <c r="E897" s="647"/>
      <c r="F897" s="647"/>
      <c r="G897" s="647"/>
      <c r="H897" s="647"/>
      <c r="I897" s="647"/>
      <c r="J897" s="647"/>
      <c r="K897" s="647"/>
      <c r="L897" s="647"/>
    </row>
    <row r="898" spans="3:12">
      <c r="C898" s="647"/>
      <c r="D898" s="647"/>
      <c r="E898" s="647"/>
      <c r="F898" s="647"/>
      <c r="G898" s="647"/>
      <c r="H898" s="647"/>
      <c r="I898" s="647"/>
      <c r="J898" s="647"/>
      <c r="K898" s="647"/>
      <c r="L898" s="647"/>
    </row>
    <row r="899" spans="3:12">
      <c r="C899" s="647"/>
      <c r="D899" s="647"/>
      <c r="E899" s="647"/>
      <c r="F899" s="647"/>
      <c r="G899" s="647"/>
      <c r="H899" s="647"/>
      <c r="I899" s="647"/>
      <c r="J899" s="647"/>
      <c r="K899" s="647"/>
      <c r="L899" s="647"/>
    </row>
    <row r="900" spans="3:12">
      <c r="C900" s="647"/>
      <c r="D900" s="647"/>
      <c r="E900" s="647"/>
      <c r="F900" s="647"/>
      <c r="G900" s="647"/>
      <c r="H900" s="647"/>
      <c r="I900" s="647"/>
      <c r="J900" s="647"/>
      <c r="K900" s="647"/>
      <c r="L900" s="647"/>
    </row>
    <row r="901" spans="3:12">
      <c r="C901" s="647"/>
      <c r="D901" s="647"/>
      <c r="E901" s="647"/>
      <c r="F901" s="647"/>
      <c r="G901" s="647"/>
      <c r="H901" s="647"/>
      <c r="I901" s="647"/>
      <c r="J901" s="647"/>
      <c r="K901" s="647"/>
      <c r="L901" s="647"/>
    </row>
    <row r="902" spans="3:12">
      <c r="C902" s="647"/>
      <c r="D902" s="647"/>
      <c r="E902" s="647"/>
      <c r="F902" s="647"/>
      <c r="G902" s="647"/>
      <c r="H902" s="647"/>
      <c r="I902" s="647"/>
      <c r="J902" s="647"/>
      <c r="K902" s="647"/>
      <c r="L902" s="647"/>
    </row>
    <row r="903" spans="3:12">
      <c r="C903" s="647"/>
      <c r="D903" s="647"/>
      <c r="E903" s="647"/>
      <c r="F903" s="647"/>
      <c r="G903" s="647"/>
      <c r="H903" s="647"/>
      <c r="I903" s="647"/>
      <c r="J903" s="647"/>
      <c r="K903" s="647"/>
      <c r="L903" s="647"/>
    </row>
    <row r="904" spans="3:12">
      <c r="C904" s="647"/>
      <c r="D904" s="647"/>
      <c r="E904" s="647"/>
      <c r="F904" s="647"/>
      <c r="G904" s="647"/>
      <c r="H904" s="647"/>
      <c r="I904" s="647"/>
      <c r="J904" s="647"/>
      <c r="K904" s="647"/>
      <c r="L904" s="647"/>
    </row>
  </sheetData>
  <autoFilter ref="B127:O241">
    <filterColumn colId="3">
      <filters>
        <filter val="LUIS ALFREDO JARAMILLO MERIÑO"/>
        <filter val="LUIS ARMANDO POBLETE FERNANDEZ"/>
      </filters>
    </filterColumn>
  </autoFilter>
  <sortState ref="B128:O215">
    <sortCondition ref="I128"/>
  </sortState>
  <mergeCells count="34">
    <mergeCell ref="C2:L2"/>
    <mergeCell ref="C3:L3"/>
    <mergeCell ref="C6:L6"/>
    <mergeCell ref="C15:C16"/>
    <mergeCell ref="D15:D16"/>
    <mergeCell ref="E15:E16"/>
    <mergeCell ref="F15:G15"/>
    <mergeCell ref="H15:H16"/>
    <mergeCell ref="I15:K15"/>
    <mergeCell ref="I52:K52"/>
    <mergeCell ref="C43:L43"/>
    <mergeCell ref="C52:C53"/>
    <mergeCell ref="D52:D53"/>
    <mergeCell ref="C87:D87"/>
    <mergeCell ref="E52:E53"/>
    <mergeCell ref="F52:G52"/>
    <mergeCell ref="H52:H53"/>
    <mergeCell ref="C83:D83"/>
    <mergeCell ref="B95:B115"/>
    <mergeCell ref="B126:D126"/>
    <mergeCell ref="C84:D84"/>
    <mergeCell ref="C85:D85"/>
    <mergeCell ref="C81:L81"/>
    <mergeCell ref="F89:G89"/>
    <mergeCell ref="E89:E90"/>
    <mergeCell ref="H89:H90"/>
    <mergeCell ref="D89:D90"/>
    <mergeCell ref="C89:C90"/>
    <mergeCell ref="C86:D86"/>
    <mergeCell ref="B91:B94"/>
    <mergeCell ref="C119:G119"/>
    <mergeCell ref="H119:H120"/>
    <mergeCell ref="B119:B120"/>
    <mergeCell ref="B89:B90"/>
  </mergeCells>
  <conditionalFormatting sqref="K54:K76">
    <cfRule type="dataBar" priority="49">
      <dataBar>
        <cfvo type="min" val="0"/>
        <cfvo type="max" val="0"/>
        <color rgb="FFFF555A"/>
      </dataBar>
    </cfRule>
  </conditionalFormatting>
  <conditionalFormatting sqref="K91:K114">
    <cfRule type="dataBar" priority="47">
      <dataBar>
        <cfvo type="min" val="0"/>
        <cfvo type="max" val="0"/>
        <color rgb="FF008AEF"/>
      </dataBar>
    </cfRule>
  </conditionalFormatting>
  <conditionalFormatting sqref="K95:K114">
    <cfRule type="dataBar" priority="46">
      <dataBar>
        <cfvo type="min" val="0"/>
        <cfvo type="max" val="0"/>
        <color rgb="FF008AEF"/>
      </dataBar>
    </cfRule>
  </conditionalFormatting>
  <conditionalFormatting sqref="K91:K115">
    <cfRule type="cellIs" dxfId="4" priority="44" operator="greaterThan">
      <formula>80</formula>
    </cfRule>
  </conditionalFormatting>
  <conditionalFormatting sqref="C123:G123">
    <cfRule type="dataBar" priority="42">
      <dataBar>
        <cfvo type="min" val="0"/>
        <cfvo type="max" val="0"/>
        <color rgb="FF008AEF"/>
      </dataBar>
    </cfRule>
  </conditionalFormatting>
  <conditionalFormatting sqref="H121:H122">
    <cfRule type="dataBar" priority="41">
      <dataBar>
        <cfvo type="min" val="0"/>
        <cfvo type="max" val="0"/>
        <color rgb="FF008AEF"/>
      </dataBar>
    </cfRule>
  </conditionalFormatting>
  <conditionalFormatting sqref="K91:K115">
    <cfRule type="cellIs" dxfId="3" priority="37" operator="greaterThan">
      <formula>0.8</formula>
    </cfRule>
    <cfRule type="cellIs" dxfId="2" priority="38" operator="greaterThan">
      <formula>0.8</formula>
    </cfRule>
    <cfRule type="cellIs" dxfId="1" priority="39" operator="greaterThan">
      <formula>0.8</formula>
    </cfRule>
  </conditionalFormatting>
  <conditionalFormatting sqref="K17:K37">
    <cfRule type="dataBar" priority="28">
      <dataBar>
        <cfvo type="min" val="0"/>
        <cfvo type="max" val="0"/>
        <color rgb="FFFFB628"/>
      </dataBar>
    </cfRule>
  </conditionalFormatting>
  <conditionalFormatting sqref="K91:K115">
    <cfRule type="dataBar" priority="1">
      <dataBar>
        <cfvo type="min" val="0"/>
        <cfvo type="max" val="0"/>
        <color rgb="FF008AEF"/>
      </dataBar>
    </cfRule>
    <cfRule type="top10" dxfId="0" priority="2" percent="1" rank="1"/>
    <cfRule type="top10" priority="3" percent="1" rank="100"/>
  </conditionalFormatting>
  <pageMargins left="0.7" right="0.7" top="0.75" bottom="0.75" header="0.3" footer="0.3"/>
  <pageSetup paperSize="5" orientation="portrait" horizontalDpi="200" verticalDpi="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B1:P365"/>
  <sheetViews>
    <sheetView topLeftCell="A31" zoomScale="84" zoomScaleNormal="84" workbookViewId="0">
      <selection activeCell="D63" sqref="D63"/>
    </sheetView>
  </sheetViews>
  <sheetFormatPr baseColWidth="10" defaultRowHeight="18" customHeight="1"/>
  <cols>
    <col min="1" max="1" width="10.140625" style="19" customWidth="1"/>
    <col min="2" max="2" width="18.28515625" style="19" customWidth="1"/>
    <col min="3" max="3" width="14.42578125" style="19" customWidth="1"/>
    <col min="4" max="4" width="41" style="19" customWidth="1"/>
    <col min="5" max="5" width="20.85546875" style="19" customWidth="1"/>
    <col min="6" max="6" width="14.42578125" style="19" customWidth="1"/>
    <col min="7" max="7" width="12.28515625" style="19" customWidth="1"/>
    <col min="8" max="8" width="11.28515625" style="19" customWidth="1"/>
    <col min="9" max="9" width="10.28515625" style="19" customWidth="1"/>
    <col min="10" max="10" width="11.42578125" style="19" customWidth="1"/>
    <col min="11" max="11" width="10.28515625" style="19" customWidth="1"/>
    <col min="12" max="12" width="5.85546875" style="19" customWidth="1"/>
    <col min="13" max="13" width="18.140625" style="19" customWidth="1"/>
    <col min="14" max="14" width="24.85546875" style="19" customWidth="1"/>
    <col min="15" max="15" width="22.85546875" style="19" customWidth="1"/>
    <col min="16" max="16" width="29.85546875" style="19" customWidth="1"/>
    <col min="17" max="253" width="11.42578125" style="19"/>
    <col min="254" max="254" width="20.5703125" style="19" customWidth="1"/>
    <col min="255" max="255" width="13.140625" style="19" customWidth="1"/>
    <col min="256" max="256" width="23.28515625" style="19" customWidth="1"/>
    <col min="257" max="257" width="18.28515625" style="19" customWidth="1"/>
    <col min="258" max="258" width="12.42578125" style="19" customWidth="1"/>
    <col min="259" max="259" width="15.5703125" style="19" customWidth="1"/>
    <col min="260" max="260" width="14" style="19" customWidth="1"/>
    <col min="261" max="261" width="12.42578125" style="19" customWidth="1"/>
    <col min="262" max="262" width="20.5703125" style="19" customWidth="1"/>
    <col min="263" max="509" width="11.42578125" style="19"/>
    <col min="510" max="510" width="20.5703125" style="19" customWidth="1"/>
    <col min="511" max="511" width="13.140625" style="19" customWidth="1"/>
    <col min="512" max="512" width="23.28515625" style="19" customWidth="1"/>
    <col min="513" max="513" width="18.28515625" style="19" customWidth="1"/>
    <col min="514" max="514" width="12.42578125" style="19" customWidth="1"/>
    <col min="515" max="515" width="15.5703125" style="19" customWidth="1"/>
    <col min="516" max="516" width="14" style="19" customWidth="1"/>
    <col min="517" max="517" width="12.42578125" style="19" customWidth="1"/>
    <col min="518" max="518" width="20.5703125" style="19" customWidth="1"/>
    <col min="519" max="765" width="11.42578125" style="19"/>
    <col min="766" max="766" width="20.5703125" style="19" customWidth="1"/>
    <col min="767" max="767" width="13.140625" style="19" customWidth="1"/>
    <col min="768" max="768" width="23.28515625" style="19" customWidth="1"/>
    <col min="769" max="769" width="18.28515625" style="19" customWidth="1"/>
    <col min="770" max="770" width="12.42578125" style="19" customWidth="1"/>
    <col min="771" max="771" width="15.5703125" style="19" customWidth="1"/>
    <col min="772" max="772" width="14" style="19" customWidth="1"/>
    <col min="773" max="773" width="12.42578125" style="19" customWidth="1"/>
    <col min="774" max="774" width="20.5703125" style="19" customWidth="1"/>
    <col min="775" max="1021" width="11.42578125" style="19"/>
    <col min="1022" max="1022" width="20.5703125" style="19" customWidth="1"/>
    <col min="1023" max="1023" width="13.140625" style="19" customWidth="1"/>
    <col min="1024" max="1024" width="23.28515625" style="19" customWidth="1"/>
    <col min="1025" max="1025" width="18.28515625" style="19" customWidth="1"/>
    <col min="1026" max="1026" width="12.42578125" style="19" customWidth="1"/>
    <col min="1027" max="1027" width="15.5703125" style="19" customWidth="1"/>
    <col min="1028" max="1028" width="14" style="19" customWidth="1"/>
    <col min="1029" max="1029" width="12.42578125" style="19" customWidth="1"/>
    <col min="1030" max="1030" width="20.5703125" style="19" customWidth="1"/>
    <col min="1031" max="1277" width="11.42578125" style="19"/>
    <col min="1278" max="1278" width="20.5703125" style="19" customWidth="1"/>
    <col min="1279" max="1279" width="13.140625" style="19" customWidth="1"/>
    <col min="1280" max="1280" width="23.28515625" style="19" customWidth="1"/>
    <col min="1281" max="1281" width="18.28515625" style="19" customWidth="1"/>
    <col min="1282" max="1282" width="12.42578125" style="19" customWidth="1"/>
    <col min="1283" max="1283" width="15.5703125" style="19" customWidth="1"/>
    <col min="1284" max="1284" width="14" style="19" customWidth="1"/>
    <col min="1285" max="1285" width="12.42578125" style="19" customWidth="1"/>
    <col min="1286" max="1286" width="20.5703125" style="19" customWidth="1"/>
    <col min="1287" max="1533" width="11.42578125" style="19"/>
    <col min="1534" max="1534" width="20.5703125" style="19" customWidth="1"/>
    <col min="1535" max="1535" width="13.140625" style="19" customWidth="1"/>
    <col min="1536" max="1536" width="23.28515625" style="19" customWidth="1"/>
    <col min="1537" max="1537" width="18.28515625" style="19" customWidth="1"/>
    <col min="1538" max="1538" width="12.42578125" style="19" customWidth="1"/>
    <col min="1539" max="1539" width="15.5703125" style="19" customWidth="1"/>
    <col min="1540" max="1540" width="14" style="19" customWidth="1"/>
    <col min="1541" max="1541" width="12.42578125" style="19" customWidth="1"/>
    <col min="1542" max="1542" width="20.5703125" style="19" customWidth="1"/>
    <col min="1543" max="1789" width="11.42578125" style="19"/>
    <col min="1790" max="1790" width="20.5703125" style="19" customWidth="1"/>
    <col min="1791" max="1791" width="13.140625" style="19" customWidth="1"/>
    <col min="1792" max="1792" width="23.28515625" style="19" customWidth="1"/>
    <col min="1793" max="1793" width="18.28515625" style="19" customWidth="1"/>
    <col min="1794" max="1794" width="12.42578125" style="19" customWidth="1"/>
    <col min="1795" max="1795" width="15.5703125" style="19" customWidth="1"/>
    <col min="1796" max="1796" width="14" style="19" customWidth="1"/>
    <col min="1797" max="1797" width="12.42578125" style="19" customWidth="1"/>
    <col min="1798" max="1798" width="20.5703125" style="19" customWidth="1"/>
    <col min="1799" max="2045" width="11.42578125" style="19"/>
    <col min="2046" max="2046" width="20.5703125" style="19" customWidth="1"/>
    <col min="2047" max="2047" width="13.140625" style="19" customWidth="1"/>
    <col min="2048" max="2048" width="23.28515625" style="19" customWidth="1"/>
    <col min="2049" max="2049" width="18.28515625" style="19" customWidth="1"/>
    <col min="2050" max="2050" width="12.42578125" style="19" customWidth="1"/>
    <col min="2051" max="2051" width="15.5703125" style="19" customWidth="1"/>
    <col min="2052" max="2052" width="14" style="19" customWidth="1"/>
    <col min="2053" max="2053" width="12.42578125" style="19" customWidth="1"/>
    <col min="2054" max="2054" width="20.5703125" style="19" customWidth="1"/>
    <col min="2055" max="2301" width="11.42578125" style="19"/>
    <col min="2302" max="2302" width="20.5703125" style="19" customWidth="1"/>
    <col min="2303" max="2303" width="13.140625" style="19" customWidth="1"/>
    <col min="2304" max="2304" width="23.28515625" style="19" customWidth="1"/>
    <col min="2305" max="2305" width="18.28515625" style="19" customWidth="1"/>
    <col min="2306" max="2306" width="12.42578125" style="19" customWidth="1"/>
    <col min="2307" max="2307" width="15.5703125" style="19" customWidth="1"/>
    <col min="2308" max="2308" width="14" style="19" customWidth="1"/>
    <col min="2309" max="2309" width="12.42578125" style="19" customWidth="1"/>
    <col min="2310" max="2310" width="20.5703125" style="19" customWidth="1"/>
    <col min="2311" max="2557" width="11.42578125" style="19"/>
    <col min="2558" max="2558" width="20.5703125" style="19" customWidth="1"/>
    <col min="2559" max="2559" width="13.140625" style="19" customWidth="1"/>
    <col min="2560" max="2560" width="23.28515625" style="19" customWidth="1"/>
    <col min="2561" max="2561" width="18.28515625" style="19" customWidth="1"/>
    <col min="2562" max="2562" width="12.42578125" style="19" customWidth="1"/>
    <col min="2563" max="2563" width="15.5703125" style="19" customWidth="1"/>
    <col min="2564" max="2564" width="14" style="19" customWidth="1"/>
    <col min="2565" max="2565" width="12.42578125" style="19" customWidth="1"/>
    <col min="2566" max="2566" width="20.5703125" style="19" customWidth="1"/>
    <col min="2567" max="2813" width="11.42578125" style="19"/>
    <col min="2814" max="2814" width="20.5703125" style="19" customWidth="1"/>
    <col min="2815" max="2815" width="13.140625" style="19" customWidth="1"/>
    <col min="2816" max="2816" width="23.28515625" style="19" customWidth="1"/>
    <col min="2817" max="2817" width="18.28515625" style="19" customWidth="1"/>
    <col min="2818" max="2818" width="12.42578125" style="19" customWidth="1"/>
    <col min="2819" max="2819" width="15.5703125" style="19" customWidth="1"/>
    <col min="2820" max="2820" width="14" style="19" customWidth="1"/>
    <col min="2821" max="2821" width="12.42578125" style="19" customWidth="1"/>
    <col min="2822" max="2822" width="20.5703125" style="19" customWidth="1"/>
    <col min="2823" max="3069" width="11.42578125" style="19"/>
    <col min="3070" max="3070" width="20.5703125" style="19" customWidth="1"/>
    <col min="3071" max="3071" width="13.140625" style="19" customWidth="1"/>
    <col min="3072" max="3072" width="23.28515625" style="19" customWidth="1"/>
    <col min="3073" max="3073" width="18.28515625" style="19" customWidth="1"/>
    <col min="3074" max="3074" width="12.42578125" style="19" customWidth="1"/>
    <col min="3075" max="3075" width="15.5703125" style="19" customWidth="1"/>
    <col min="3076" max="3076" width="14" style="19" customWidth="1"/>
    <col min="3077" max="3077" width="12.42578125" style="19" customWidth="1"/>
    <col min="3078" max="3078" width="20.5703125" style="19" customWidth="1"/>
    <col min="3079" max="3325" width="11.42578125" style="19"/>
    <col min="3326" max="3326" width="20.5703125" style="19" customWidth="1"/>
    <col min="3327" max="3327" width="13.140625" style="19" customWidth="1"/>
    <col min="3328" max="3328" width="23.28515625" style="19" customWidth="1"/>
    <col min="3329" max="3329" width="18.28515625" style="19" customWidth="1"/>
    <col min="3330" max="3330" width="12.42578125" style="19" customWidth="1"/>
    <col min="3331" max="3331" width="15.5703125" style="19" customWidth="1"/>
    <col min="3332" max="3332" width="14" style="19" customWidth="1"/>
    <col min="3333" max="3333" width="12.42578125" style="19" customWidth="1"/>
    <col min="3334" max="3334" width="20.5703125" style="19" customWidth="1"/>
    <col min="3335" max="3581" width="11.42578125" style="19"/>
    <col min="3582" max="3582" width="20.5703125" style="19" customWidth="1"/>
    <col min="3583" max="3583" width="13.140625" style="19" customWidth="1"/>
    <col min="3584" max="3584" width="23.28515625" style="19" customWidth="1"/>
    <col min="3585" max="3585" width="18.28515625" style="19" customWidth="1"/>
    <col min="3586" max="3586" width="12.42578125" style="19" customWidth="1"/>
    <col min="3587" max="3587" width="15.5703125" style="19" customWidth="1"/>
    <col min="3588" max="3588" width="14" style="19" customWidth="1"/>
    <col min="3589" max="3589" width="12.42578125" style="19" customWidth="1"/>
    <col min="3590" max="3590" width="20.5703125" style="19" customWidth="1"/>
    <col min="3591" max="3837" width="11.42578125" style="19"/>
    <col min="3838" max="3838" width="20.5703125" style="19" customWidth="1"/>
    <col min="3839" max="3839" width="13.140625" style="19" customWidth="1"/>
    <col min="3840" max="3840" width="23.28515625" style="19" customWidth="1"/>
    <col min="3841" max="3841" width="18.28515625" style="19" customWidth="1"/>
    <col min="3842" max="3842" width="12.42578125" style="19" customWidth="1"/>
    <col min="3843" max="3843" width="15.5703125" style="19" customWidth="1"/>
    <col min="3844" max="3844" width="14" style="19" customWidth="1"/>
    <col min="3845" max="3845" width="12.42578125" style="19" customWidth="1"/>
    <col min="3846" max="3846" width="20.5703125" style="19" customWidth="1"/>
    <col min="3847" max="4093" width="11.42578125" style="19"/>
    <col min="4094" max="4094" width="20.5703125" style="19" customWidth="1"/>
    <col min="4095" max="4095" width="13.140625" style="19" customWidth="1"/>
    <col min="4096" max="4096" width="23.28515625" style="19" customWidth="1"/>
    <col min="4097" max="4097" width="18.28515625" style="19" customWidth="1"/>
    <col min="4098" max="4098" width="12.42578125" style="19" customWidth="1"/>
    <col min="4099" max="4099" width="15.5703125" style="19" customWidth="1"/>
    <col min="4100" max="4100" width="14" style="19" customWidth="1"/>
    <col min="4101" max="4101" width="12.42578125" style="19" customWidth="1"/>
    <col min="4102" max="4102" width="20.5703125" style="19" customWidth="1"/>
    <col min="4103" max="4349" width="11.42578125" style="19"/>
    <col min="4350" max="4350" width="20.5703125" style="19" customWidth="1"/>
    <col min="4351" max="4351" width="13.140625" style="19" customWidth="1"/>
    <col min="4352" max="4352" width="23.28515625" style="19" customWidth="1"/>
    <col min="4353" max="4353" width="18.28515625" style="19" customWidth="1"/>
    <col min="4354" max="4354" width="12.42578125" style="19" customWidth="1"/>
    <col min="4355" max="4355" width="15.5703125" style="19" customWidth="1"/>
    <col min="4356" max="4356" width="14" style="19" customWidth="1"/>
    <col min="4357" max="4357" width="12.42578125" style="19" customWidth="1"/>
    <col min="4358" max="4358" width="20.5703125" style="19" customWidth="1"/>
    <col min="4359" max="4605" width="11.42578125" style="19"/>
    <col min="4606" max="4606" width="20.5703125" style="19" customWidth="1"/>
    <col min="4607" max="4607" width="13.140625" style="19" customWidth="1"/>
    <col min="4608" max="4608" width="23.28515625" style="19" customWidth="1"/>
    <col min="4609" max="4609" width="18.28515625" style="19" customWidth="1"/>
    <col min="4610" max="4610" width="12.42578125" style="19" customWidth="1"/>
    <col min="4611" max="4611" width="15.5703125" style="19" customWidth="1"/>
    <col min="4612" max="4612" width="14" style="19" customWidth="1"/>
    <col min="4613" max="4613" width="12.42578125" style="19" customWidth="1"/>
    <col min="4614" max="4614" width="20.5703125" style="19" customWidth="1"/>
    <col min="4615" max="4861" width="11.42578125" style="19"/>
    <col min="4862" max="4862" width="20.5703125" style="19" customWidth="1"/>
    <col min="4863" max="4863" width="13.140625" style="19" customWidth="1"/>
    <col min="4864" max="4864" width="23.28515625" style="19" customWidth="1"/>
    <col min="4865" max="4865" width="18.28515625" style="19" customWidth="1"/>
    <col min="4866" max="4866" width="12.42578125" style="19" customWidth="1"/>
    <col min="4867" max="4867" width="15.5703125" style="19" customWidth="1"/>
    <col min="4868" max="4868" width="14" style="19" customWidth="1"/>
    <col min="4869" max="4869" width="12.42578125" style="19" customWidth="1"/>
    <col min="4870" max="4870" width="20.5703125" style="19" customWidth="1"/>
    <col min="4871" max="5117" width="11.42578125" style="19"/>
    <col min="5118" max="5118" width="20.5703125" style="19" customWidth="1"/>
    <col min="5119" max="5119" width="13.140625" style="19" customWidth="1"/>
    <col min="5120" max="5120" width="23.28515625" style="19" customWidth="1"/>
    <col min="5121" max="5121" width="18.28515625" style="19" customWidth="1"/>
    <col min="5122" max="5122" width="12.42578125" style="19" customWidth="1"/>
    <col min="5123" max="5123" width="15.5703125" style="19" customWidth="1"/>
    <col min="5124" max="5124" width="14" style="19" customWidth="1"/>
    <col min="5125" max="5125" width="12.42578125" style="19" customWidth="1"/>
    <col min="5126" max="5126" width="20.5703125" style="19" customWidth="1"/>
    <col min="5127" max="5373" width="11.42578125" style="19"/>
    <col min="5374" max="5374" width="20.5703125" style="19" customWidth="1"/>
    <col min="5375" max="5375" width="13.140625" style="19" customWidth="1"/>
    <col min="5376" max="5376" width="23.28515625" style="19" customWidth="1"/>
    <col min="5377" max="5377" width="18.28515625" style="19" customWidth="1"/>
    <col min="5378" max="5378" width="12.42578125" style="19" customWidth="1"/>
    <col min="5379" max="5379" width="15.5703125" style="19" customWidth="1"/>
    <col min="5380" max="5380" width="14" style="19" customWidth="1"/>
    <col min="5381" max="5381" width="12.42578125" style="19" customWidth="1"/>
    <col min="5382" max="5382" width="20.5703125" style="19" customWidth="1"/>
    <col min="5383" max="5629" width="11.42578125" style="19"/>
    <col min="5630" max="5630" width="20.5703125" style="19" customWidth="1"/>
    <col min="5631" max="5631" width="13.140625" style="19" customWidth="1"/>
    <col min="5632" max="5632" width="23.28515625" style="19" customWidth="1"/>
    <col min="5633" max="5633" width="18.28515625" style="19" customWidth="1"/>
    <col min="5634" max="5634" width="12.42578125" style="19" customWidth="1"/>
    <col min="5635" max="5635" width="15.5703125" style="19" customWidth="1"/>
    <col min="5636" max="5636" width="14" style="19" customWidth="1"/>
    <col min="5637" max="5637" width="12.42578125" style="19" customWidth="1"/>
    <col min="5638" max="5638" width="20.5703125" style="19" customWidth="1"/>
    <col min="5639" max="5885" width="11.42578125" style="19"/>
    <col min="5886" max="5886" width="20.5703125" style="19" customWidth="1"/>
    <col min="5887" max="5887" width="13.140625" style="19" customWidth="1"/>
    <col min="5888" max="5888" width="23.28515625" style="19" customWidth="1"/>
    <col min="5889" max="5889" width="18.28515625" style="19" customWidth="1"/>
    <col min="5890" max="5890" width="12.42578125" style="19" customWidth="1"/>
    <col min="5891" max="5891" width="15.5703125" style="19" customWidth="1"/>
    <col min="5892" max="5892" width="14" style="19" customWidth="1"/>
    <col min="5893" max="5893" width="12.42578125" style="19" customWidth="1"/>
    <col min="5894" max="5894" width="20.5703125" style="19" customWidth="1"/>
    <col min="5895" max="6141" width="11.42578125" style="19"/>
    <col min="6142" max="6142" width="20.5703125" style="19" customWidth="1"/>
    <col min="6143" max="6143" width="13.140625" style="19" customWidth="1"/>
    <col min="6144" max="6144" width="23.28515625" style="19" customWidth="1"/>
    <col min="6145" max="6145" width="18.28515625" style="19" customWidth="1"/>
    <col min="6146" max="6146" width="12.42578125" style="19" customWidth="1"/>
    <col min="6147" max="6147" width="15.5703125" style="19" customWidth="1"/>
    <col min="6148" max="6148" width="14" style="19" customWidth="1"/>
    <col min="6149" max="6149" width="12.42578125" style="19" customWidth="1"/>
    <col min="6150" max="6150" width="20.5703125" style="19" customWidth="1"/>
    <col min="6151" max="6397" width="11.42578125" style="19"/>
    <col min="6398" max="6398" width="20.5703125" style="19" customWidth="1"/>
    <col min="6399" max="6399" width="13.140625" style="19" customWidth="1"/>
    <col min="6400" max="6400" width="23.28515625" style="19" customWidth="1"/>
    <col min="6401" max="6401" width="18.28515625" style="19" customWidth="1"/>
    <col min="6402" max="6402" width="12.42578125" style="19" customWidth="1"/>
    <col min="6403" max="6403" width="15.5703125" style="19" customWidth="1"/>
    <col min="6404" max="6404" width="14" style="19" customWidth="1"/>
    <col min="6405" max="6405" width="12.42578125" style="19" customWidth="1"/>
    <col min="6406" max="6406" width="20.5703125" style="19" customWidth="1"/>
    <col min="6407" max="6653" width="11.42578125" style="19"/>
    <col min="6654" max="6654" width="20.5703125" style="19" customWidth="1"/>
    <col min="6655" max="6655" width="13.140625" style="19" customWidth="1"/>
    <col min="6656" max="6656" width="23.28515625" style="19" customWidth="1"/>
    <col min="6657" max="6657" width="18.28515625" style="19" customWidth="1"/>
    <col min="6658" max="6658" width="12.42578125" style="19" customWidth="1"/>
    <col min="6659" max="6659" width="15.5703125" style="19" customWidth="1"/>
    <col min="6660" max="6660" width="14" style="19" customWidth="1"/>
    <col min="6661" max="6661" width="12.42578125" style="19" customWidth="1"/>
    <col min="6662" max="6662" width="20.5703125" style="19" customWidth="1"/>
    <col min="6663" max="6909" width="11.42578125" style="19"/>
    <col min="6910" max="6910" width="20.5703125" style="19" customWidth="1"/>
    <col min="6911" max="6911" width="13.140625" style="19" customWidth="1"/>
    <col min="6912" max="6912" width="23.28515625" style="19" customWidth="1"/>
    <col min="6913" max="6913" width="18.28515625" style="19" customWidth="1"/>
    <col min="6914" max="6914" width="12.42578125" style="19" customWidth="1"/>
    <col min="6915" max="6915" width="15.5703125" style="19" customWidth="1"/>
    <col min="6916" max="6916" width="14" style="19" customWidth="1"/>
    <col min="6917" max="6917" width="12.42578125" style="19" customWidth="1"/>
    <col min="6918" max="6918" width="20.5703125" style="19" customWidth="1"/>
    <col min="6919" max="7165" width="11.42578125" style="19"/>
    <col min="7166" max="7166" width="20.5703125" style="19" customWidth="1"/>
    <col min="7167" max="7167" width="13.140625" style="19" customWidth="1"/>
    <col min="7168" max="7168" width="23.28515625" style="19" customWidth="1"/>
    <col min="7169" max="7169" width="18.28515625" style="19" customWidth="1"/>
    <col min="7170" max="7170" width="12.42578125" style="19" customWidth="1"/>
    <col min="7171" max="7171" width="15.5703125" style="19" customWidth="1"/>
    <col min="7172" max="7172" width="14" style="19" customWidth="1"/>
    <col min="7173" max="7173" width="12.42578125" style="19" customWidth="1"/>
    <col min="7174" max="7174" width="20.5703125" style="19" customWidth="1"/>
    <col min="7175" max="7421" width="11.42578125" style="19"/>
    <col min="7422" max="7422" width="20.5703125" style="19" customWidth="1"/>
    <col min="7423" max="7423" width="13.140625" style="19" customWidth="1"/>
    <col min="7424" max="7424" width="23.28515625" style="19" customWidth="1"/>
    <col min="7425" max="7425" width="18.28515625" style="19" customWidth="1"/>
    <col min="7426" max="7426" width="12.42578125" style="19" customWidth="1"/>
    <col min="7427" max="7427" width="15.5703125" style="19" customWidth="1"/>
    <col min="7428" max="7428" width="14" style="19" customWidth="1"/>
    <col min="7429" max="7429" width="12.42578125" style="19" customWidth="1"/>
    <col min="7430" max="7430" width="20.5703125" style="19" customWidth="1"/>
    <col min="7431" max="7677" width="11.42578125" style="19"/>
    <col min="7678" max="7678" width="20.5703125" style="19" customWidth="1"/>
    <col min="7679" max="7679" width="13.140625" style="19" customWidth="1"/>
    <col min="7680" max="7680" width="23.28515625" style="19" customWidth="1"/>
    <col min="7681" max="7681" width="18.28515625" style="19" customWidth="1"/>
    <col min="7682" max="7682" width="12.42578125" style="19" customWidth="1"/>
    <col min="7683" max="7683" width="15.5703125" style="19" customWidth="1"/>
    <col min="7684" max="7684" width="14" style="19" customWidth="1"/>
    <col min="7685" max="7685" width="12.42578125" style="19" customWidth="1"/>
    <col min="7686" max="7686" width="20.5703125" style="19" customWidth="1"/>
    <col min="7687" max="7933" width="11.42578125" style="19"/>
    <col min="7934" max="7934" width="20.5703125" style="19" customWidth="1"/>
    <col min="7935" max="7935" width="13.140625" style="19" customWidth="1"/>
    <col min="7936" max="7936" width="23.28515625" style="19" customWidth="1"/>
    <col min="7937" max="7937" width="18.28515625" style="19" customWidth="1"/>
    <col min="7938" max="7938" width="12.42578125" style="19" customWidth="1"/>
    <col min="7939" max="7939" width="15.5703125" style="19" customWidth="1"/>
    <col min="7940" max="7940" width="14" style="19" customWidth="1"/>
    <col min="7941" max="7941" width="12.42578125" style="19" customWidth="1"/>
    <col min="7942" max="7942" width="20.5703125" style="19" customWidth="1"/>
    <col min="7943" max="8189" width="11.42578125" style="19"/>
    <col min="8190" max="8190" width="20.5703125" style="19" customWidth="1"/>
    <col min="8191" max="8191" width="13.140625" style="19" customWidth="1"/>
    <col min="8192" max="8192" width="23.28515625" style="19" customWidth="1"/>
    <col min="8193" max="8193" width="18.28515625" style="19" customWidth="1"/>
    <col min="8194" max="8194" width="12.42578125" style="19" customWidth="1"/>
    <col min="8195" max="8195" width="15.5703125" style="19" customWidth="1"/>
    <col min="8196" max="8196" width="14" style="19" customWidth="1"/>
    <col min="8197" max="8197" width="12.42578125" style="19" customWidth="1"/>
    <col min="8198" max="8198" width="20.5703125" style="19" customWidth="1"/>
    <col min="8199" max="8445" width="11.42578125" style="19"/>
    <col min="8446" max="8446" width="20.5703125" style="19" customWidth="1"/>
    <col min="8447" max="8447" width="13.140625" style="19" customWidth="1"/>
    <col min="8448" max="8448" width="23.28515625" style="19" customWidth="1"/>
    <col min="8449" max="8449" width="18.28515625" style="19" customWidth="1"/>
    <col min="8450" max="8450" width="12.42578125" style="19" customWidth="1"/>
    <col min="8451" max="8451" width="15.5703125" style="19" customWidth="1"/>
    <col min="8452" max="8452" width="14" style="19" customWidth="1"/>
    <col min="8453" max="8453" width="12.42578125" style="19" customWidth="1"/>
    <col min="8454" max="8454" width="20.5703125" style="19" customWidth="1"/>
    <col min="8455" max="8701" width="11.42578125" style="19"/>
    <col min="8702" max="8702" width="20.5703125" style="19" customWidth="1"/>
    <col min="8703" max="8703" width="13.140625" style="19" customWidth="1"/>
    <col min="8704" max="8704" width="23.28515625" style="19" customWidth="1"/>
    <col min="8705" max="8705" width="18.28515625" style="19" customWidth="1"/>
    <col min="8706" max="8706" width="12.42578125" style="19" customWidth="1"/>
    <col min="8707" max="8707" width="15.5703125" style="19" customWidth="1"/>
    <col min="8708" max="8708" width="14" style="19" customWidth="1"/>
    <col min="8709" max="8709" width="12.42578125" style="19" customWidth="1"/>
    <col min="8710" max="8710" width="20.5703125" style="19" customWidth="1"/>
    <col min="8711" max="8957" width="11.42578125" style="19"/>
    <col min="8958" max="8958" width="20.5703125" style="19" customWidth="1"/>
    <col min="8959" max="8959" width="13.140625" style="19" customWidth="1"/>
    <col min="8960" max="8960" width="23.28515625" style="19" customWidth="1"/>
    <col min="8961" max="8961" width="18.28515625" style="19" customWidth="1"/>
    <col min="8962" max="8962" width="12.42578125" style="19" customWidth="1"/>
    <col min="8963" max="8963" width="15.5703125" style="19" customWidth="1"/>
    <col min="8964" max="8964" width="14" style="19" customWidth="1"/>
    <col min="8965" max="8965" width="12.42578125" style="19" customWidth="1"/>
    <col min="8966" max="8966" width="20.5703125" style="19" customWidth="1"/>
    <col min="8967" max="9213" width="11.42578125" style="19"/>
    <col min="9214" max="9214" width="20.5703125" style="19" customWidth="1"/>
    <col min="9215" max="9215" width="13.140625" style="19" customWidth="1"/>
    <col min="9216" max="9216" width="23.28515625" style="19" customWidth="1"/>
    <col min="9217" max="9217" width="18.28515625" style="19" customWidth="1"/>
    <col min="9218" max="9218" width="12.42578125" style="19" customWidth="1"/>
    <col min="9219" max="9219" width="15.5703125" style="19" customWidth="1"/>
    <col min="9220" max="9220" width="14" style="19" customWidth="1"/>
    <col min="9221" max="9221" width="12.42578125" style="19" customWidth="1"/>
    <col min="9222" max="9222" width="20.5703125" style="19" customWidth="1"/>
    <col min="9223" max="9469" width="11.42578125" style="19"/>
    <col min="9470" max="9470" width="20.5703125" style="19" customWidth="1"/>
    <col min="9471" max="9471" width="13.140625" style="19" customWidth="1"/>
    <col min="9472" max="9472" width="23.28515625" style="19" customWidth="1"/>
    <col min="9473" max="9473" width="18.28515625" style="19" customWidth="1"/>
    <col min="9474" max="9474" width="12.42578125" style="19" customWidth="1"/>
    <col min="9475" max="9475" width="15.5703125" style="19" customWidth="1"/>
    <col min="9476" max="9476" width="14" style="19" customWidth="1"/>
    <col min="9477" max="9477" width="12.42578125" style="19" customWidth="1"/>
    <col min="9478" max="9478" width="20.5703125" style="19" customWidth="1"/>
    <col min="9479" max="9725" width="11.42578125" style="19"/>
    <col min="9726" max="9726" width="20.5703125" style="19" customWidth="1"/>
    <col min="9727" max="9727" width="13.140625" style="19" customWidth="1"/>
    <col min="9728" max="9728" width="23.28515625" style="19" customWidth="1"/>
    <col min="9729" max="9729" width="18.28515625" style="19" customWidth="1"/>
    <col min="9730" max="9730" width="12.42578125" style="19" customWidth="1"/>
    <col min="9731" max="9731" width="15.5703125" style="19" customWidth="1"/>
    <col min="9732" max="9732" width="14" style="19" customWidth="1"/>
    <col min="9733" max="9733" width="12.42578125" style="19" customWidth="1"/>
    <col min="9734" max="9734" width="20.5703125" style="19" customWidth="1"/>
    <col min="9735" max="9981" width="11.42578125" style="19"/>
    <col min="9982" max="9982" width="20.5703125" style="19" customWidth="1"/>
    <col min="9983" max="9983" width="13.140625" style="19" customWidth="1"/>
    <col min="9984" max="9984" width="23.28515625" style="19" customWidth="1"/>
    <col min="9985" max="9985" width="18.28515625" style="19" customWidth="1"/>
    <col min="9986" max="9986" width="12.42578125" style="19" customWidth="1"/>
    <col min="9987" max="9987" width="15.5703125" style="19" customWidth="1"/>
    <col min="9988" max="9988" width="14" style="19" customWidth="1"/>
    <col min="9989" max="9989" width="12.42578125" style="19" customWidth="1"/>
    <col min="9990" max="9990" width="20.5703125" style="19" customWidth="1"/>
    <col min="9991" max="10237" width="11.42578125" style="19"/>
    <col min="10238" max="10238" width="20.5703125" style="19" customWidth="1"/>
    <col min="10239" max="10239" width="13.140625" style="19" customWidth="1"/>
    <col min="10240" max="10240" width="23.28515625" style="19" customWidth="1"/>
    <col min="10241" max="10241" width="18.28515625" style="19" customWidth="1"/>
    <col min="10242" max="10242" width="12.42578125" style="19" customWidth="1"/>
    <col min="10243" max="10243" width="15.5703125" style="19" customWidth="1"/>
    <col min="10244" max="10244" width="14" style="19" customWidth="1"/>
    <col min="10245" max="10245" width="12.42578125" style="19" customWidth="1"/>
    <col min="10246" max="10246" width="20.5703125" style="19" customWidth="1"/>
    <col min="10247" max="10493" width="11.42578125" style="19"/>
    <col min="10494" max="10494" width="20.5703125" style="19" customWidth="1"/>
    <col min="10495" max="10495" width="13.140625" style="19" customWidth="1"/>
    <col min="10496" max="10496" width="23.28515625" style="19" customWidth="1"/>
    <col min="10497" max="10497" width="18.28515625" style="19" customWidth="1"/>
    <col min="10498" max="10498" width="12.42578125" style="19" customWidth="1"/>
    <col min="10499" max="10499" width="15.5703125" style="19" customWidth="1"/>
    <col min="10500" max="10500" width="14" style="19" customWidth="1"/>
    <col min="10501" max="10501" width="12.42578125" style="19" customWidth="1"/>
    <col min="10502" max="10502" width="20.5703125" style="19" customWidth="1"/>
    <col min="10503" max="10749" width="11.42578125" style="19"/>
    <col min="10750" max="10750" width="20.5703125" style="19" customWidth="1"/>
    <col min="10751" max="10751" width="13.140625" style="19" customWidth="1"/>
    <col min="10752" max="10752" width="23.28515625" style="19" customWidth="1"/>
    <col min="10753" max="10753" width="18.28515625" style="19" customWidth="1"/>
    <col min="10754" max="10754" width="12.42578125" style="19" customWidth="1"/>
    <col min="10755" max="10755" width="15.5703125" style="19" customWidth="1"/>
    <col min="10756" max="10756" width="14" style="19" customWidth="1"/>
    <col min="10757" max="10757" width="12.42578125" style="19" customWidth="1"/>
    <col min="10758" max="10758" width="20.5703125" style="19" customWidth="1"/>
    <col min="10759" max="11005" width="11.42578125" style="19"/>
    <col min="11006" max="11006" width="20.5703125" style="19" customWidth="1"/>
    <col min="11007" max="11007" width="13.140625" style="19" customWidth="1"/>
    <col min="11008" max="11008" width="23.28515625" style="19" customWidth="1"/>
    <col min="11009" max="11009" width="18.28515625" style="19" customWidth="1"/>
    <col min="11010" max="11010" width="12.42578125" style="19" customWidth="1"/>
    <col min="11011" max="11011" width="15.5703125" style="19" customWidth="1"/>
    <col min="11012" max="11012" width="14" style="19" customWidth="1"/>
    <col min="11013" max="11013" width="12.42578125" style="19" customWidth="1"/>
    <col min="11014" max="11014" width="20.5703125" style="19" customWidth="1"/>
    <col min="11015" max="11261" width="11.42578125" style="19"/>
    <col min="11262" max="11262" width="20.5703125" style="19" customWidth="1"/>
    <col min="11263" max="11263" width="13.140625" style="19" customWidth="1"/>
    <col min="11264" max="11264" width="23.28515625" style="19" customWidth="1"/>
    <col min="11265" max="11265" width="18.28515625" style="19" customWidth="1"/>
    <col min="11266" max="11266" width="12.42578125" style="19" customWidth="1"/>
    <col min="11267" max="11267" width="15.5703125" style="19" customWidth="1"/>
    <col min="11268" max="11268" width="14" style="19" customWidth="1"/>
    <col min="11269" max="11269" width="12.42578125" style="19" customWidth="1"/>
    <col min="11270" max="11270" width="20.5703125" style="19" customWidth="1"/>
    <col min="11271" max="11517" width="11.42578125" style="19"/>
    <col min="11518" max="11518" width="20.5703125" style="19" customWidth="1"/>
    <col min="11519" max="11519" width="13.140625" style="19" customWidth="1"/>
    <col min="11520" max="11520" width="23.28515625" style="19" customWidth="1"/>
    <col min="11521" max="11521" width="18.28515625" style="19" customWidth="1"/>
    <col min="11522" max="11522" width="12.42578125" style="19" customWidth="1"/>
    <col min="11523" max="11523" width="15.5703125" style="19" customWidth="1"/>
    <col min="11524" max="11524" width="14" style="19" customWidth="1"/>
    <col min="11525" max="11525" width="12.42578125" style="19" customWidth="1"/>
    <col min="11526" max="11526" width="20.5703125" style="19" customWidth="1"/>
    <col min="11527" max="11773" width="11.42578125" style="19"/>
    <col min="11774" max="11774" width="20.5703125" style="19" customWidth="1"/>
    <col min="11775" max="11775" width="13.140625" style="19" customWidth="1"/>
    <col min="11776" max="11776" width="23.28515625" style="19" customWidth="1"/>
    <col min="11777" max="11777" width="18.28515625" style="19" customWidth="1"/>
    <col min="11778" max="11778" width="12.42578125" style="19" customWidth="1"/>
    <col min="11779" max="11779" width="15.5703125" style="19" customWidth="1"/>
    <col min="11780" max="11780" width="14" style="19" customWidth="1"/>
    <col min="11781" max="11781" width="12.42578125" style="19" customWidth="1"/>
    <col min="11782" max="11782" width="20.5703125" style="19" customWidth="1"/>
    <col min="11783" max="12029" width="11.42578125" style="19"/>
    <col min="12030" max="12030" width="20.5703125" style="19" customWidth="1"/>
    <col min="12031" max="12031" width="13.140625" style="19" customWidth="1"/>
    <col min="12032" max="12032" width="23.28515625" style="19" customWidth="1"/>
    <col min="12033" max="12033" width="18.28515625" style="19" customWidth="1"/>
    <col min="12034" max="12034" width="12.42578125" style="19" customWidth="1"/>
    <col min="12035" max="12035" width="15.5703125" style="19" customWidth="1"/>
    <col min="12036" max="12036" width="14" style="19" customWidth="1"/>
    <col min="12037" max="12037" width="12.42578125" style="19" customWidth="1"/>
    <col min="12038" max="12038" width="20.5703125" style="19" customWidth="1"/>
    <col min="12039" max="12285" width="11.42578125" style="19"/>
    <col min="12286" max="12286" width="20.5703125" style="19" customWidth="1"/>
    <col min="12287" max="12287" width="13.140625" style="19" customWidth="1"/>
    <col min="12288" max="12288" width="23.28515625" style="19" customWidth="1"/>
    <col min="12289" max="12289" width="18.28515625" style="19" customWidth="1"/>
    <col min="12290" max="12290" width="12.42578125" style="19" customWidth="1"/>
    <col min="12291" max="12291" width="15.5703125" style="19" customWidth="1"/>
    <col min="12292" max="12292" width="14" style="19" customWidth="1"/>
    <col min="12293" max="12293" width="12.42578125" style="19" customWidth="1"/>
    <col min="12294" max="12294" width="20.5703125" style="19" customWidth="1"/>
    <col min="12295" max="12541" width="11.42578125" style="19"/>
    <col min="12542" max="12542" width="20.5703125" style="19" customWidth="1"/>
    <col min="12543" max="12543" width="13.140625" style="19" customWidth="1"/>
    <col min="12544" max="12544" width="23.28515625" style="19" customWidth="1"/>
    <col min="12545" max="12545" width="18.28515625" style="19" customWidth="1"/>
    <col min="12546" max="12546" width="12.42578125" style="19" customWidth="1"/>
    <col min="12547" max="12547" width="15.5703125" style="19" customWidth="1"/>
    <col min="12548" max="12548" width="14" style="19" customWidth="1"/>
    <col min="12549" max="12549" width="12.42578125" style="19" customWidth="1"/>
    <col min="12550" max="12550" width="20.5703125" style="19" customWidth="1"/>
    <col min="12551" max="12797" width="11.42578125" style="19"/>
    <col min="12798" max="12798" width="20.5703125" style="19" customWidth="1"/>
    <col min="12799" max="12799" width="13.140625" style="19" customWidth="1"/>
    <col min="12800" max="12800" width="23.28515625" style="19" customWidth="1"/>
    <col min="12801" max="12801" width="18.28515625" style="19" customWidth="1"/>
    <col min="12802" max="12802" width="12.42578125" style="19" customWidth="1"/>
    <col min="12803" max="12803" width="15.5703125" style="19" customWidth="1"/>
    <col min="12804" max="12804" width="14" style="19" customWidth="1"/>
    <col min="12805" max="12805" width="12.42578125" style="19" customWidth="1"/>
    <col min="12806" max="12806" width="20.5703125" style="19" customWidth="1"/>
    <col min="12807" max="13053" width="11.42578125" style="19"/>
    <col min="13054" max="13054" width="20.5703125" style="19" customWidth="1"/>
    <col min="13055" max="13055" width="13.140625" style="19" customWidth="1"/>
    <col min="13056" max="13056" width="23.28515625" style="19" customWidth="1"/>
    <col min="13057" max="13057" width="18.28515625" style="19" customWidth="1"/>
    <col min="13058" max="13058" width="12.42578125" style="19" customWidth="1"/>
    <col min="13059" max="13059" width="15.5703125" style="19" customWidth="1"/>
    <col min="13060" max="13060" width="14" style="19" customWidth="1"/>
    <col min="13061" max="13061" width="12.42578125" style="19" customWidth="1"/>
    <col min="13062" max="13062" width="20.5703125" style="19" customWidth="1"/>
    <col min="13063" max="13309" width="11.42578125" style="19"/>
    <col min="13310" max="13310" width="20.5703125" style="19" customWidth="1"/>
    <col min="13311" max="13311" width="13.140625" style="19" customWidth="1"/>
    <col min="13312" max="13312" width="23.28515625" style="19" customWidth="1"/>
    <col min="13313" max="13313" width="18.28515625" style="19" customWidth="1"/>
    <col min="13314" max="13314" width="12.42578125" style="19" customWidth="1"/>
    <col min="13315" max="13315" width="15.5703125" style="19" customWidth="1"/>
    <col min="13316" max="13316" width="14" style="19" customWidth="1"/>
    <col min="13317" max="13317" width="12.42578125" style="19" customWidth="1"/>
    <col min="13318" max="13318" width="20.5703125" style="19" customWidth="1"/>
    <col min="13319" max="13565" width="11.42578125" style="19"/>
    <col min="13566" max="13566" width="20.5703125" style="19" customWidth="1"/>
    <col min="13567" max="13567" width="13.140625" style="19" customWidth="1"/>
    <col min="13568" max="13568" width="23.28515625" style="19" customWidth="1"/>
    <col min="13569" max="13569" width="18.28515625" style="19" customWidth="1"/>
    <col min="13570" max="13570" width="12.42578125" style="19" customWidth="1"/>
    <col min="13571" max="13571" width="15.5703125" style="19" customWidth="1"/>
    <col min="13572" max="13572" width="14" style="19" customWidth="1"/>
    <col min="13573" max="13573" width="12.42578125" style="19" customWidth="1"/>
    <col min="13574" max="13574" width="20.5703125" style="19" customWidth="1"/>
    <col min="13575" max="13821" width="11.42578125" style="19"/>
    <col min="13822" max="13822" width="20.5703125" style="19" customWidth="1"/>
    <col min="13823" max="13823" width="13.140625" style="19" customWidth="1"/>
    <col min="13824" max="13824" width="23.28515625" style="19" customWidth="1"/>
    <col min="13825" max="13825" width="18.28515625" style="19" customWidth="1"/>
    <col min="13826" max="13826" width="12.42578125" style="19" customWidth="1"/>
    <col min="13827" max="13827" width="15.5703125" style="19" customWidth="1"/>
    <col min="13828" max="13828" width="14" style="19" customWidth="1"/>
    <col min="13829" max="13829" width="12.42578125" style="19" customWidth="1"/>
    <col min="13830" max="13830" width="20.5703125" style="19" customWidth="1"/>
    <col min="13831" max="14077" width="11.42578125" style="19"/>
    <col min="14078" max="14078" width="20.5703125" style="19" customWidth="1"/>
    <col min="14079" max="14079" width="13.140625" style="19" customWidth="1"/>
    <col min="14080" max="14080" width="23.28515625" style="19" customWidth="1"/>
    <col min="14081" max="14081" width="18.28515625" style="19" customWidth="1"/>
    <col min="14082" max="14082" width="12.42578125" style="19" customWidth="1"/>
    <col min="14083" max="14083" width="15.5703125" style="19" customWidth="1"/>
    <col min="14084" max="14084" width="14" style="19" customWidth="1"/>
    <col min="14085" max="14085" width="12.42578125" style="19" customWidth="1"/>
    <col min="14086" max="14086" width="20.5703125" style="19" customWidth="1"/>
    <col min="14087" max="14333" width="11.42578125" style="19"/>
    <col min="14334" max="14334" width="20.5703125" style="19" customWidth="1"/>
    <col min="14335" max="14335" width="13.140625" style="19" customWidth="1"/>
    <col min="14336" max="14336" width="23.28515625" style="19" customWidth="1"/>
    <col min="14337" max="14337" width="18.28515625" style="19" customWidth="1"/>
    <col min="14338" max="14338" width="12.42578125" style="19" customWidth="1"/>
    <col min="14339" max="14339" width="15.5703125" style="19" customWidth="1"/>
    <col min="14340" max="14340" width="14" style="19" customWidth="1"/>
    <col min="14341" max="14341" width="12.42578125" style="19" customWidth="1"/>
    <col min="14342" max="14342" width="20.5703125" style="19" customWidth="1"/>
    <col min="14343" max="14589" width="11.42578125" style="19"/>
    <col min="14590" max="14590" width="20.5703125" style="19" customWidth="1"/>
    <col min="14591" max="14591" width="13.140625" style="19" customWidth="1"/>
    <col min="14592" max="14592" width="23.28515625" style="19" customWidth="1"/>
    <col min="14593" max="14593" width="18.28515625" style="19" customWidth="1"/>
    <col min="14594" max="14594" width="12.42578125" style="19" customWidth="1"/>
    <col min="14595" max="14595" width="15.5703125" style="19" customWidth="1"/>
    <col min="14596" max="14596" width="14" style="19" customWidth="1"/>
    <col min="14597" max="14597" width="12.42578125" style="19" customWidth="1"/>
    <col min="14598" max="14598" width="20.5703125" style="19" customWidth="1"/>
    <col min="14599" max="14845" width="11.42578125" style="19"/>
    <col min="14846" max="14846" width="20.5703125" style="19" customWidth="1"/>
    <col min="14847" max="14847" width="13.140625" style="19" customWidth="1"/>
    <col min="14848" max="14848" width="23.28515625" style="19" customWidth="1"/>
    <col min="14849" max="14849" width="18.28515625" style="19" customWidth="1"/>
    <col min="14850" max="14850" width="12.42578125" style="19" customWidth="1"/>
    <col min="14851" max="14851" width="15.5703125" style="19" customWidth="1"/>
    <col min="14852" max="14852" width="14" style="19" customWidth="1"/>
    <col min="14853" max="14853" width="12.42578125" style="19" customWidth="1"/>
    <col min="14854" max="14854" width="20.5703125" style="19" customWidth="1"/>
    <col min="14855" max="15101" width="11.42578125" style="19"/>
    <col min="15102" max="15102" width="20.5703125" style="19" customWidth="1"/>
    <col min="15103" max="15103" width="13.140625" style="19" customWidth="1"/>
    <col min="15104" max="15104" width="23.28515625" style="19" customWidth="1"/>
    <col min="15105" max="15105" width="18.28515625" style="19" customWidth="1"/>
    <col min="15106" max="15106" width="12.42578125" style="19" customWidth="1"/>
    <col min="15107" max="15107" width="15.5703125" style="19" customWidth="1"/>
    <col min="15108" max="15108" width="14" style="19" customWidth="1"/>
    <col min="15109" max="15109" width="12.42578125" style="19" customWidth="1"/>
    <col min="15110" max="15110" width="20.5703125" style="19" customWidth="1"/>
    <col min="15111" max="15357" width="11.42578125" style="19"/>
    <col min="15358" max="15358" width="20.5703125" style="19" customWidth="1"/>
    <col min="15359" max="15359" width="13.140625" style="19" customWidth="1"/>
    <col min="15360" max="15360" width="23.28515625" style="19" customWidth="1"/>
    <col min="15361" max="15361" width="18.28515625" style="19" customWidth="1"/>
    <col min="15362" max="15362" width="12.42578125" style="19" customWidth="1"/>
    <col min="15363" max="15363" width="15.5703125" style="19" customWidth="1"/>
    <col min="15364" max="15364" width="14" style="19" customWidth="1"/>
    <col min="15365" max="15365" width="12.42578125" style="19" customWidth="1"/>
    <col min="15366" max="15366" width="20.5703125" style="19" customWidth="1"/>
    <col min="15367" max="15613" width="11.42578125" style="19"/>
    <col min="15614" max="15614" width="20.5703125" style="19" customWidth="1"/>
    <col min="15615" max="15615" width="13.140625" style="19" customWidth="1"/>
    <col min="15616" max="15616" width="23.28515625" style="19" customWidth="1"/>
    <col min="15617" max="15617" width="18.28515625" style="19" customWidth="1"/>
    <col min="15618" max="15618" width="12.42578125" style="19" customWidth="1"/>
    <col min="15619" max="15619" width="15.5703125" style="19" customWidth="1"/>
    <col min="15620" max="15620" width="14" style="19" customWidth="1"/>
    <col min="15621" max="15621" width="12.42578125" style="19" customWidth="1"/>
    <col min="15622" max="15622" width="20.5703125" style="19" customWidth="1"/>
    <col min="15623" max="15869" width="11.42578125" style="19"/>
    <col min="15870" max="15870" width="20.5703125" style="19" customWidth="1"/>
    <col min="15871" max="15871" width="13.140625" style="19" customWidth="1"/>
    <col min="15872" max="15872" width="23.28515625" style="19" customWidth="1"/>
    <col min="15873" max="15873" width="18.28515625" style="19" customWidth="1"/>
    <col min="15874" max="15874" width="12.42578125" style="19" customWidth="1"/>
    <col min="15875" max="15875" width="15.5703125" style="19" customWidth="1"/>
    <col min="15876" max="15876" width="14" style="19" customWidth="1"/>
    <col min="15877" max="15877" width="12.42578125" style="19" customWidth="1"/>
    <col min="15878" max="15878" width="20.5703125" style="19" customWidth="1"/>
    <col min="15879" max="16125" width="11.42578125" style="19"/>
    <col min="16126" max="16126" width="20.5703125" style="19" customWidth="1"/>
    <col min="16127" max="16127" width="13.140625" style="19" customWidth="1"/>
    <col min="16128" max="16128" width="23.28515625" style="19" customWidth="1"/>
    <col min="16129" max="16129" width="18.28515625" style="19" customWidth="1"/>
    <col min="16130" max="16130" width="12.42578125" style="19" customWidth="1"/>
    <col min="16131" max="16131" width="15.5703125" style="19" customWidth="1"/>
    <col min="16132" max="16132" width="14" style="19" customWidth="1"/>
    <col min="16133" max="16133" width="12.42578125" style="19" customWidth="1"/>
    <col min="16134" max="16134" width="20.5703125" style="19" customWidth="1"/>
    <col min="16135" max="16384" width="11.42578125" style="19"/>
  </cols>
  <sheetData>
    <row r="1" spans="2:16" ht="18" customHeight="1" thickBot="1"/>
    <row r="2" spans="2:16" ht="27.75" customHeight="1">
      <c r="B2" s="3034" t="s">
        <v>384</v>
      </c>
      <c r="C2" s="3035"/>
      <c r="D2" s="3035"/>
      <c r="E2" s="3035"/>
      <c r="F2" s="3035"/>
      <c r="G2" s="3035"/>
      <c r="H2" s="3035"/>
      <c r="I2" s="3035"/>
      <c r="J2" s="3036"/>
    </row>
    <row r="3" spans="2:16" ht="16.5" customHeight="1" thickBot="1">
      <c r="B3" s="3037" t="s">
        <v>754</v>
      </c>
      <c r="C3" s="3038"/>
      <c r="D3" s="3038"/>
      <c r="E3" s="3038"/>
      <c r="F3" s="3038"/>
      <c r="G3" s="3038"/>
      <c r="H3" s="3038"/>
      <c r="I3" s="3038"/>
      <c r="J3" s="3039"/>
    </row>
    <row r="4" spans="2:16" s="363" customFormat="1" ht="16.5" customHeight="1" thickBot="1">
      <c r="B4" s="9"/>
      <c r="C4" s="9"/>
      <c r="D4" s="9"/>
      <c r="E4" s="9"/>
      <c r="F4" s="9"/>
      <c r="G4" s="9"/>
      <c r="H4" s="9"/>
      <c r="I4" s="9"/>
      <c r="J4" s="9"/>
    </row>
    <row r="5" spans="2:16" s="363" customFormat="1" ht="16.5" customHeight="1" thickBot="1">
      <c r="B5" s="3017" t="s">
        <v>505</v>
      </c>
      <c r="C5" s="3018"/>
      <c r="D5" s="3018"/>
      <c r="E5" s="3018"/>
      <c r="F5" s="3018"/>
      <c r="G5" s="3018"/>
      <c r="H5" s="3018"/>
      <c r="I5" s="3018"/>
      <c r="J5" s="3019"/>
      <c r="M5" s="219" t="s">
        <v>408</v>
      </c>
      <c r="N5" s="135" t="s">
        <v>400</v>
      </c>
      <c r="O5" s="371" t="s">
        <v>68</v>
      </c>
    </row>
    <row r="6" spans="2:16" s="363" customFormat="1" ht="16.5" customHeight="1" thickBot="1">
      <c r="B6" s="219" t="s">
        <v>390</v>
      </c>
      <c r="C6" s="220" t="s">
        <v>385</v>
      </c>
      <c r="D6" s="220" t="s">
        <v>386</v>
      </c>
      <c r="E6" s="217" t="s">
        <v>405</v>
      </c>
      <c r="F6" s="217" t="s">
        <v>406</v>
      </c>
      <c r="G6" s="221" t="s">
        <v>53</v>
      </c>
      <c r="H6" s="221" t="s">
        <v>383</v>
      </c>
      <c r="I6" s="217" t="s">
        <v>378</v>
      </c>
      <c r="J6" s="222" t="s">
        <v>387</v>
      </c>
      <c r="L6" s="3010" t="s">
        <v>65</v>
      </c>
      <c r="M6" s="372" t="s">
        <v>506</v>
      </c>
      <c r="N6" s="373" t="s">
        <v>83</v>
      </c>
      <c r="O6" s="210"/>
    </row>
    <row r="7" spans="2:16" s="363" customFormat="1" ht="20.100000000000001" customHeight="1">
      <c r="B7" s="3047" t="s">
        <v>507</v>
      </c>
      <c r="C7" s="3023" t="s">
        <v>508</v>
      </c>
      <c r="D7" s="3026" t="s">
        <v>509</v>
      </c>
      <c r="E7" s="3013" t="s">
        <v>414</v>
      </c>
      <c r="F7" s="3023" t="s">
        <v>510</v>
      </c>
      <c r="G7" s="3013" t="s">
        <v>511</v>
      </c>
      <c r="H7" s="3015">
        <v>14</v>
      </c>
      <c r="I7" s="3015">
        <v>0.46000000000000008</v>
      </c>
      <c r="J7" s="3015">
        <f>+H7-I7</f>
        <v>13.54</v>
      </c>
      <c r="L7" s="3011"/>
      <c r="M7" s="317" t="s">
        <v>512</v>
      </c>
      <c r="N7" s="209" t="s">
        <v>83</v>
      </c>
      <c r="O7" s="211"/>
    </row>
    <row r="8" spans="2:16" s="363" customFormat="1" ht="20.100000000000001" customHeight="1" thickBot="1">
      <c r="B8" s="3048"/>
      <c r="C8" s="3024"/>
      <c r="D8" s="3027"/>
      <c r="E8" s="3014"/>
      <c r="F8" s="3025"/>
      <c r="G8" s="3014"/>
      <c r="H8" s="3016"/>
      <c r="I8" s="3016"/>
      <c r="J8" s="3016"/>
      <c r="L8" s="3011"/>
      <c r="M8" s="317" t="s">
        <v>513</v>
      </c>
      <c r="N8" s="209" t="s">
        <v>83</v>
      </c>
      <c r="O8" s="211"/>
    </row>
    <row r="9" spans="2:16" s="363" customFormat="1" ht="20.100000000000001" customHeight="1" thickBot="1">
      <c r="B9" s="3048"/>
      <c r="C9" s="3024"/>
      <c r="D9" s="3027"/>
      <c r="E9" s="3023" t="s">
        <v>411</v>
      </c>
      <c r="F9" s="3023" t="s">
        <v>510</v>
      </c>
      <c r="G9" s="3013" t="s">
        <v>511</v>
      </c>
      <c r="H9" s="3015">
        <v>10.5</v>
      </c>
      <c r="I9" s="3015">
        <v>0.43600000000000005</v>
      </c>
      <c r="J9" s="3015">
        <f>+H9-I9</f>
        <v>10.064</v>
      </c>
      <c r="L9" s="3011"/>
      <c r="M9" s="375" t="s">
        <v>514</v>
      </c>
      <c r="N9" s="231" t="s">
        <v>83</v>
      </c>
      <c r="O9" s="376"/>
    </row>
    <row r="10" spans="2:16" s="363" customFormat="1" ht="20.100000000000001" customHeight="1" thickBot="1">
      <c r="B10" s="3049"/>
      <c r="C10" s="3025"/>
      <c r="D10" s="3028"/>
      <c r="E10" s="3025"/>
      <c r="F10" s="3025"/>
      <c r="G10" s="3014"/>
      <c r="H10" s="3016"/>
      <c r="I10" s="3016"/>
      <c r="J10" s="3016"/>
      <c r="L10" s="377" t="s">
        <v>62</v>
      </c>
      <c r="M10" s="378" t="s">
        <v>515</v>
      </c>
      <c r="N10" s="374" t="s">
        <v>83</v>
      </c>
      <c r="O10" s="379" t="s">
        <v>516</v>
      </c>
    </row>
    <row r="11" spans="2:16" s="363" customFormat="1" ht="20.100000000000001" customHeight="1">
      <c r="L11" s="380" t="s">
        <v>472</v>
      </c>
      <c r="M11" s="381" t="s">
        <v>517</v>
      </c>
      <c r="N11" s="230" t="s">
        <v>83</v>
      </c>
      <c r="O11" s="382" t="s">
        <v>518</v>
      </c>
    </row>
    <row r="12" spans="2:16" s="363" customFormat="1" ht="20.100000000000001" customHeight="1" thickBot="1">
      <c r="L12" s="383" t="s">
        <v>446</v>
      </c>
      <c r="M12" s="384" t="s">
        <v>519</v>
      </c>
      <c r="N12" s="302" t="s">
        <v>83</v>
      </c>
      <c r="O12" s="385" t="s">
        <v>520</v>
      </c>
    </row>
    <row r="13" spans="2:16" s="402" customFormat="1" ht="20.100000000000001" customHeight="1" thickBot="1">
      <c r="L13" s="386"/>
      <c r="M13" s="515"/>
      <c r="N13" s="137"/>
      <c r="O13" s="137"/>
    </row>
    <row r="14" spans="2:16" ht="18" customHeight="1" thickBot="1">
      <c r="B14" s="3017" t="s">
        <v>419</v>
      </c>
      <c r="C14" s="3018"/>
      <c r="D14" s="3018"/>
      <c r="E14" s="3018"/>
      <c r="F14" s="3018"/>
      <c r="G14" s="3018"/>
      <c r="H14" s="3018"/>
      <c r="I14" s="3018"/>
      <c r="J14" s="3019"/>
    </row>
    <row r="15" spans="2:16" ht="33" customHeight="1" thickBot="1">
      <c r="B15" s="219" t="s">
        <v>390</v>
      </c>
      <c r="C15" s="220" t="s">
        <v>385</v>
      </c>
      <c r="D15" s="220" t="s">
        <v>386</v>
      </c>
      <c r="E15" s="217" t="s">
        <v>405</v>
      </c>
      <c r="F15" s="217" t="s">
        <v>418</v>
      </c>
      <c r="G15" s="221" t="s">
        <v>53</v>
      </c>
      <c r="H15" s="258" t="s">
        <v>383</v>
      </c>
      <c r="I15" s="217" t="s">
        <v>378</v>
      </c>
      <c r="J15" s="222" t="s">
        <v>387</v>
      </c>
      <c r="K15" s="304" t="s">
        <v>200</v>
      </c>
      <c r="L15" s="402"/>
      <c r="M15" s="402"/>
      <c r="N15" s="216" t="s">
        <v>408</v>
      </c>
      <c r="O15" s="225" t="s">
        <v>400</v>
      </c>
      <c r="P15" s="226" t="s">
        <v>68</v>
      </c>
    </row>
    <row r="16" spans="2:16" ht="18" customHeight="1">
      <c r="B16" s="3020" t="s">
        <v>417</v>
      </c>
      <c r="C16" s="3023" t="s">
        <v>416</v>
      </c>
      <c r="D16" s="3026" t="s">
        <v>415</v>
      </c>
      <c r="E16" s="3050" t="s">
        <v>414</v>
      </c>
      <c r="F16" s="508" t="s">
        <v>329</v>
      </c>
      <c r="G16" s="234" t="s">
        <v>410</v>
      </c>
      <c r="H16" s="207">
        <v>3</v>
      </c>
      <c r="I16" s="227"/>
      <c r="J16" s="205">
        <f>H16-I16</f>
        <v>3</v>
      </c>
      <c r="K16" s="301">
        <f t="shared" ref="K16:K18" si="0">+I16/H16</f>
        <v>0</v>
      </c>
      <c r="L16" s="402"/>
      <c r="M16" s="3010" t="s">
        <v>381</v>
      </c>
      <c r="N16" s="508" t="s">
        <v>413</v>
      </c>
      <c r="O16" s="234" t="s">
        <v>83</v>
      </c>
      <c r="P16" s="210"/>
    </row>
    <row r="17" spans="2:16" ht="18" customHeight="1" thickBot="1">
      <c r="B17" s="3021"/>
      <c r="C17" s="3024"/>
      <c r="D17" s="3027"/>
      <c r="E17" s="3051"/>
      <c r="F17" s="233" t="s">
        <v>329</v>
      </c>
      <c r="G17" s="232" t="s">
        <v>409</v>
      </c>
      <c r="H17" s="231">
        <v>20</v>
      </c>
      <c r="I17" s="228"/>
      <c r="J17" s="204">
        <f>H17-I17</f>
        <v>20</v>
      </c>
      <c r="K17" s="303">
        <f t="shared" si="0"/>
        <v>0</v>
      </c>
      <c r="L17" s="402"/>
      <c r="M17" s="3012"/>
      <c r="N17" s="248" t="s">
        <v>412</v>
      </c>
      <c r="O17" s="302" t="s">
        <v>257</v>
      </c>
      <c r="P17" s="212"/>
    </row>
    <row r="18" spans="2:16" ht="18" customHeight="1">
      <c r="B18" s="3021"/>
      <c r="C18" s="3024"/>
      <c r="D18" s="3027"/>
      <c r="E18" s="3052" t="s">
        <v>411</v>
      </c>
      <c r="F18" s="218" t="s">
        <v>329</v>
      </c>
      <c r="G18" s="230" t="s">
        <v>410</v>
      </c>
      <c r="H18" s="209">
        <v>3</v>
      </c>
      <c r="I18" s="228"/>
      <c r="J18" s="204">
        <f>H18-I18</f>
        <v>3</v>
      </c>
      <c r="K18" s="303">
        <f t="shared" si="0"/>
        <v>0</v>
      </c>
      <c r="L18" s="402"/>
      <c r="M18" s="402"/>
      <c r="N18" s="402"/>
      <c r="O18" s="402"/>
      <c r="P18" s="402"/>
    </row>
    <row r="19" spans="2:16" ht="18" customHeight="1" thickBot="1">
      <c r="B19" s="3022"/>
      <c r="C19" s="3025"/>
      <c r="D19" s="3028"/>
      <c r="E19" s="3053"/>
      <c r="F19" s="223" t="s">
        <v>329</v>
      </c>
      <c r="G19" s="302" t="s">
        <v>409</v>
      </c>
      <c r="H19" s="208">
        <v>15</v>
      </c>
      <c r="I19" s="229"/>
      <c r="J19" s="206">
        <f>H19-I19</f>
        <v>15</v>
      </c>
      <c r="K19" s="300">
        <f>+I19/H19</f>
        <v>0</v>
      </c>
      <c r="L19" s="402"/>
      <c r="M19" s="402"/>
      <c r="N19" s="402"/>
      <c r="O19" s="402"/>
      <c r="P19" s="402"/>
    </row>
    <row r="20" spans="2:16" s="402" customFormat="1" ht="18" customHeight="1">
      <c r="B20" s="511"/>
      <c r="C20" s="511"/>
      <c r="D20" s="512"/>
      <c r="E20" s="513"/>
      <c r="F20" s="514"/>
      <c r="G20" s="137"/>
      <c r="H20" s="43"/>
      <c r="I20" s="43"/>
      <c r="J20" s="9"/>
      <c r="K20" s="309"/>
    </row>
    <row r="21" spans="2:16" ht="18" customHeight="1" thickBot="1"/>
    <row r="22" spans="2:16" ht="26.25" customHeight="1" thickBot="1">
      <c r="B22" s="2998" t="s">
        <v>535</v>
      </c>
      <c r="C22" s="2999"/>
      <c r="D22" s="2999"/>
      <c r="E22" s="2999"/>
      <c r="F22" s="2999"/>
      <c r="G22" s="2999"/>
      <c r="H22" s="2999"/>
      <c r="I22" s="2999"/>
      <c r="J22" s="3000"/>
    </row>
    <row r="23" spans="2:16" ht="34.5" customHeight="1" thickBot="1">
      <c r="B23" s="545" t="s">
        <v>390</v>
      </c>
      <c r="C23" s="538" t="s">
        <v>385</v>
      </c>
      <c r="D23" s="538" t="s">
        <v>386</v>
      </c>
      <c r="E23" s="547" t="s">
        <v>405</v>
      </c>
      <c r="F23" s="547" t="s">
        <v>406</v>
      </c>
      <c r="G23" s="548" t="s">
        <v>53</v>
      </c>
      <c r="H23" s="547" t="s">
        <v>383</v>
      </c>
      <c r="I23" s="549" t="s">
        <v>378</v>
      </c>
      <c r="J23" s="550" t="s">
        <v>387</v>
      </c>
      <c r="K23" s="551" t="s">
        <v>200</v>
      </c>
      <c r="L23" s="299"/>
      <c r="N23" s="216" t="s">
        <v>408</v>
      </c>
      <c r="O23" s="225" t="s">
        <v>400</v>
      </c>
      <c r="P23" s="226" t="s">
        <v>68</v>
      </c>
    </row>
    <row r="24" spans="2:16" ht="18" customHeight="1">
      <c r="B24" s="3031" t="s">
        <v>420</v>
      </c>
      <c r="C24" s="3044" t="s">
        <v>389</v>
      </c>
      <c r="D24" s="3041" t="s">
        <v>388</v>
      </c>
      <c r="E24" s="3040" t="s">
        <v>391</v>
      </c>
      <c r="F24" s="1217" t="s">
        <v>407</v>
      </c>
      <c r="G24" s="207" t="s">
        <v>86</v>
      </c>
      <c r="H24" s="408">
        <v>30</v>
      </c>
      <c r="I24" s="1218">
        <f>28.94</f>
        <v>28.94</v>
      </c>
      <c r="J24" s="821">
        <f t="shared" ref="J24:J29" si="1">H24-I24</f>
        <v>1.0599999999999987</v>
      </c>
      <c r="K24" s="1228">
        <f t="shared" ref="K24:K29" si="2">+I24/H24</f>
        <v>0.96466666666666667</v>
      </c>
      <c r="L24" s="309"/>
      <c r="M24" s="3010" t="s">
        <v>381</v>
      </c>
      <c r="N24" s="213" t="s">
        <v>395</v>
      </c>
      <c r="O24" s="207" t="s">
        <v>83</v>
      </c>
      <c r="P24" s="210" t="s">
        <v>401</v>
      </c>
    </row>
    <row r="25" spans="2:16" ht="18" customHeight="1">
      <c r="B25" s="3032"/>
      <c r="C25" s="3045"/>
      <c r="D25" s="3042"/>
      <c r="E25" s="3030"/>
      <c r="F25" s="841" t="s">
        <v>407</v>
      </c>
      <c r="G25" s="209" t="s">
        <v>379</v>
      </c>
      <c r="H25" s="409">
        <v>25</v>
      </c>
      <c r="I25" s="858">
        <v>24.256</v>
      </c>
      <c r="J25" s="1221">
        <f t="shared" si="1"/>
        <v>0.74399999999999977</v>
      </c>
      <c r="K25" s="1229">
        <f t="shared" si="2"/>
        <v>0.97023999999999999</v>
      </c>
      <c r="L25" s="309"/>
      <c r="M25" s="3011"/>
      <c r="N25" s="317" t="s">
        <v>396</v>
      </c>
      <c r="O25" s="209" t="s">
        <v>84</v>
      </c>
      <c r="P25" s="211" t="s">
        <v>402</v>
      </c>
    </row>
    <row r="26" spans="2:16" ht="18" customHeight="1" thickBot="1">
      <c r="B26" s="3032"/>
      <c r="C26" s="3045"/>
      <c r="D26" s="3042"/>
      <c r="E26" s="3029" t="s">
        <v>392</v>
      </c>
      <c r="F26" s="841" t="s">
        <v>407</v>
      </c>
      <c r="G26" s="209" t="s">
        <v>198</v>
      </c>
      <c r="H26" s="409">
        <v>16</v>
      </c>
      <c r="I26" s="536">
        <v>13.867000000000001</v>
      </c>
      <c r="J26" s="407">
        <f t="shared" si="1"/>
        <v>2.1329999999999991</v>
      </c>
      <c r="K26" s="1230">
        <f t="shared" si="2"/>
        <v>0.86668750000000006</v>
      </c>
      <c r="L26" s="309"/>
      <c r="M26" s="3012"/>
      <c r="N26" s="298" t="s">
        <v>464</v>
      </c>
      <c r="O26" s="237" t="s">
        <v>84</v>
      </c>
      <c r="P26" s="238" t="s">
        <v>403</v>
      </c>
    </row>
    <row r="27" spans="2:16" ht="18" customHeight="1">
      <c r="B27" s="3032"/>
      <c r="C27" s="3045"/>
      <c r="D27" s="3042"/>
      <c r="E27" s="3030"/>
      <c r="F27" s="841" t="s">
        <v>407</v>
      </c>
      <c r="G27" s="209" t="s">
        <v>379</v>
      </c>
      <c r="H27" s="409">
        <v>40</v>
      </c>
      <c r="I27" s="536">
        <v>38.692</v>
      </c>
      <c r="J27" s="407">
        <f t="shared" si="1"/>
        <v>1.3079999999999998</v>
      </c>
      <c r="K27" s="1230">
        <f>+I27/H27</f>
        <v>0.96730000000000005</v>
      </c>
      <c r="L27" s="309"/>
      <c r="M27" s="3010" t="s">
        <v>382</v>
      </c>
      <c r="N27" s="235" t="s">
        <v>397</v>
      </c>
      <c r="O27" s="239" t="s">
        <v>84</v>
      </c>
      <c r="P27" s="236" t="s">
        <v>404</v>
      </c>
    </row>
    <row r="28" spans="2:16" ht="18" customHeight="1">
      <c r="B28" s="3032"/>
      <c r="C28" s="3045"/>
      <c r="D28" s="3042"/>
      <c r="E28" s="1216" t="s">
        <v>393</v>
      </c>
      <c r="F28" s="841" t="s">
        <v>407</v>
      </c>
      <c r="G28" s="209" t="s">
        <v>95</v>
      </c>
      <c r="H28" s="409">
        <v>25</v>
      </c>
      <c r="I28" s="1219">
        <f>17.443+4.392</f>
        <v>21.835000000000001</v>
      </c>
      <c r="J28" s="407">
        <f t="shared" si="1"/>
        <v>3.1649999999999991</v>
      </c>
      <c r="K28" s="1230">
        <f t="shared" si="2"/>
        <v>0.87340000000000007</v>
      </c>
      <c r="L28" s="309"/>
      <c r="M28" s="3011"/>
      <c r="N28" s="214" t="s">
        <v>398</v>
      </c>
      <c r="O28" s="209" t="s">
        <v>84</v>
      </c>
      <c r="P28" s="211" t="s">
        <v>402</v>
      </c>
    </row>
    <row r="29" spans="2:16" ht="18" customHeight="1" thickBot="1">
      <c r="B29" s="3033"/>
      <c r="C29" s="3046"/>
      <c r="D29" s="3043"/>
      <c r="E29" s="224" t="s">
        <v>394</v>
      </c>
      <c r="F29" s="842" t="s">
        <v>407</v>
      </c>
      <c r="G29" s="208" t="s">
        <v>380</v>
      </c>
      <c r="H29" s="411">
        <v>10</v>
      </c>
      <c r="I29" s="1220">
        <f>3.838+1.402</f>
        <v>5.24</v>
      </c>
      <c r="J29" s="410">
        <f t="shared" si="1"/>
        <v>4.76</v>
      </c>
      <c r="K29" s="1231">
        <f t="shared" si="2"/>
        <v>0.52400000000000002</v>
      </c>
      <c r="L29" s="309"/>
      <c r="M29" s="3012"/>
      <c r="N29" s="215" t="s">
        <v>399</v>
      </c>
      <c r="O29" s="208" t="s">
        <v>84</v>
      </c>
      <c r="P29" s="212" t="s">
        <v>403</v>
      </c>
    </row>
    <row r="31" spans="2:16" ht="18" customHeight="1" thickBot="1"/>
    <row r="32" spans="2:16" ht="18" customHeight="1" thickBot="1">
      <c r="B32" s="2998" t="s">
        <v>536</v>
      </c>
      <c r="C32" s="2999"/>
      <c r="D32" s="2999"/>
      <c r="E32" s="2999"/>
      <c r="F32" s="2999"/>
      <c r="G32" s="2999"/>
      <c r="H32" s="2999"/>
      <c r="I32" s="2999"/>
      <c r="J32" s="3000"/>
      <c r="K32" s="402"/>
      <c r="M32" s="216" t="s">
        <v>408</v>
      </c>
    </row>
    <row r="33" spans="2:11" ht="18" customHeight="1" thickBot="1">
      <c r="B33" s="545" t="s">
        <v>390</v>
      </c>
      <c r="C33" s="538" t="s">
        <v>385</v>
      </c>
      <c r="D33" s="538" t="s">
        <v>386</v>
      </c>
      <c r="E33" s="541" t="s">
        <v>405</v>
      </c>
      <c r="F33" s="541" t="s">
        <v>406</v>
      </c>
      <c r="G33" s="542" t="s">
        <v>53</v>
      </c>
      <c r="H33" s="541" t="s">
        <v>383</v>
      </c>
      <c r="I33" s="543" t="s">
        <v>378</v>
      </c>
      <c r="J33" s="544" t="s">
        <v>387</v>
      </c>
      <c r="K33" s="546" t="s">
        <v>200</v>
      </c>
    </row>
    <row r="34" spans="2:11" ht="18" customHeight="1">
      <c r="B34" s="3007" t="s">
        <v>534</v>
      </c>
      <c r="C34" s="3055" t="s">
        <v>533</v>
      </c>
      <c r="D34" s="3058" t="s">
        <v>532</v>
      </c>
      <c r="E34" s="3061" t="s">
        <v>391</v>
      </c>
      <c r="F34" s="1199" t="s">
        <v>407</v>
      </c>
      <c r="G34" s="1200" t="s">
        <v>86</v>
      </c>
      <c r="H34" s="1201">
        <v>10</v>
      </c>
      <c r="I34" s="406">
        <v>6.0640000000000001</v>
      </c>
      <c r="J34" s="821">
        <f t="shared" ref="J34:J39" si="3">H34-I34</f>
        <v>3.9359999999999999</v>
      </c>
      <c r="K34" s="1215">
        <f t="shared" ref="K34:K36" si="4">+I34/H34</f>
        <v>0.60640000000000005</v>
      </c>
    </row>
    <row r="35" spans="2:11" ht="18" customHeight="1" thickBot="1">
      <c r="B35" s="3054"/>
      <c r="C35" s="3056"/>
      <c r="D35" s="3059"/>
      <c r="E35" s="3033"/>
      <c r="F35" s="1204" t="s">
        <v>407</v>
      </c>
      <c r="G35" s="1205" t="s">
        <v>379</v>
      </c>
      <c r="H35" s="1206">
        <v>10</v>
      </c>
      <c r="I35" s="1210">
        <v>8.3819999999999997</v>
      </c>
      <c r="J35" s="824">
        <f t="shared" si="3"/>
        <v>1.6180000000000003</v>
      </c>
      <c r="K35" s="403">
        <f t="shared" si="4"/>
        <v>0.83819999999999995</v>
      </c>
    </row>
    <row r="36" spans="2:11" ht="18" customHeight="1">
      <c r="B36" s="3054"/>
      <c r="C36" s="3056"/>
      <c r="D36" s="3059"/>
      <c r="E36" s="3062" t="s">
        <v>392</v>
      </c>
      <c r="F36" s="1199" t="s">
        <v>407</v>
      </c>
      <c r="G36" s="1200" t="s">
        <v>198</v>
      </c>
      <c r="H36" s="1201">
        <v>2</v>
      </c>
      <c r="I36" s="406">
        <v>3.2000000000000001E-2</v>
      </c>
      <c r="J36" s="821">
        <f t="shared" si="3"/>
        <v>1.968</v>
      </c>
      <c r="K36" s="1209">
        <f t="shared" si="4"/>
        <v>1.6E-2</v>
      </c>
    </row>
    <row r="37" spans="2:11" ht="18" customHeight="1" thickBot="1">
      <c r="B37" s="3054"/>
      <c r="C37" s="3056"/>
      <c r="D37" s="3059"/>
      <c r="E37" s="3063"/>
      <c r="F37" s="1204" t="s">
        <v>407</v>
      </c>
      <c r="G37" s="1205" t="s">
        <v>379</v>
      </c>
      <c r="H37" s="1206">
        <v>20</v>
      </c>
      <c r="I37" s="405">
        <f>19.684+0.017+0.022</f>
        <v>19.722999999999999</v>
      </c>
      <c r="J37" s="824">
        <f t="shared" si="3"/>
        <v>0.27700000000000102</v>
      </c>
      <c r="K37" s="686">
        <f>+I37/H37</f>
        <v>0.98614999999999997</v>
      </c>
    </row>
    <row r="38" spans="2:11" ht="26.45" customHeight="1" thickBot="1">
      <c r="B38" s="3054"/>
      <c r="C38" s="3056"/>
      <c r="D38" s="3059"/>
      <c r="E38" s="1214" t="s">
        <v>393</v>
      </c>
      <c r="F38" s="1199" t="s">
        <v>407</v>
      </c>
      <c r="G38" s="1200" t="s">
        <v>95</v>
      </c>
      <c r="H38" s="1201">
        <v>75</v>
      </c>
      <c r="I38" s="1213">
        <f>69.002+0.235</f>
        <v>69.236999999999995</v>
      </c>
      <c r="J38" s="821">
        <f t="shared" si="3"/>
        <v>5.7630000000000052</v>
      </c>
      <c r="K38" s="1209">
        <f t="shared" ref="K38:K39" si="5">+I38/H38</f>
        <v>0.92315999999999998</v>
      </c>
    </row>
    <row r="39" spans="2:11" ht="30.6" customHeight="1" thickBot="1">
      <c r="B39" s="3033"/>
      <c r="C39" s="3057"/>
      <c r="D39" s="3060"/>
      <c r="E39" s="840" t="s">
        <v>394</v>
      </c>
      <c r="F39" s="1204" t="s">
        <v>407</v>
      </c>
      <c r="G39" s="1205" t="s">
        <v>380</v>
      </c>
      <c r="H39" s="1206">
        <v>10</v>
      </c>
      <c r="I39" s="564">
        <v>7.6109999999999998</v>
      </c>
      <c r="J39" s="824">
        <f t="shared" si="3"/>
        <v>2.3890000000000002</v>
      </c>
      <c r="K39" s="403">
        <f t="shared" si="5"/>
        <v>0.7611</v>
      </c>
    </row>
    <row r="40" spans="2:11" s="402" customFormat="1" ht="18.75" customHeight="1">
      <c r="B40" s="511"/>
      <c r="C40" s="511"/>
      <c r="D40" s="512"/>
      <c r="E40" s="511"/>
      <c r="F40" s="514"/>
      <c r="G40" s="43"/>
      <c r="H40" s="43"/>
      <c r="I40" s="137"/>
      <c r="J40" s="9"/>
      <c r="K40" s="309"/>
    </row>
    <row r="41" spans="2:11" ht="18" customHeight="1" thickBot="1"/>
    <row r="42" spans="2:11" ht="18" customHeight="1" thickBot="1">
      <c r="B42" s="2998" t="s">
        <v>566</v>
      </c>
      <c r="C42" s="2999"/>
      <c r="D42" s="2999"/>
      <c r="E42" s="2999"/>
      <c r="F42" s="2999"/>
      <c r="G42" s="2999"/>
      <c r="H42" s="2999"/>
      <c r="I42" s="2999"/>
      <c r="J42" s="3000"/>
    </row>
    <row r="43" spans="2:11" ht="18" customHeight="1" thickBot="1">
      <c r="B43" s="1198" t="s">
        <v>390</v>
      </c>
      <c r="C43" s="539" t="s">
        <v>562</v>
      </c>
      <c r="D43" s="540" t="s">
        <v>565</v>
      </c>
      <c r="E43" s="541" t="s">
        <v>405</v>
      </c>
      <c r="F43" s="541" t="s">
        <v>406</v>
      </c>
      <c r="G43" s="542" t="s">
        <v>53</v>
      </c>
      <c r="H43" s="541" t="s">
        <v>383</v>
      </c>
      <c r="I43" s="543" t="s">
        <v>378</v>
      </c>
      <c r="J43" s="544" t="s">
        <v>387</v>
      </c>
      <c r="K43" s="546" t="s">
        <v>200</v>
      </c>
    </row>
    <row r="44" spans="2:11" ht="18" customHeight="1" thickBot="1">
      <c r="B44" s="3007" t="s">
        <v>564</v>
      </c>
      <c r="C44" s="3004">
        <v>42586</v>
      </c>
      <c r="D44" s="3001" t="s">
        <v>563</v>
      </c>
      <c r="E44" s="2996" t="s">
        <v>391</v>
      </c>
      <c r="F44" s="1199" t="s">
        <v>407</v>
      </c>
      <c r="G44" s="1200" t="s">
        <v>86</v>
      </c>
      <c r="H44" s="1201">
        <v>5</v>
      </c>
      <c r="I44" s="406"/>
      <c r="J44" s="1202">
        <f t="shared" ref="J44:J49" si="6">H44-I44</f>
        <v>5</v>
      </c>
      <c r="K44" s="1203">
        <f t="shared" ref="K44:K46" si="7">+I44/H44</f>
        <v>0</v>
      </c>
    </row>
    <row r="45" spans="2:11" ht="18" customHeight="1" thickBot="1">
      <c r="B45" s="3008"/>
      <c r="C45" s="3005"/>
      <c r="D45" s="3002"/>
      <c r="E45" s="2997"/>
      <c r="F45" s="1204" t="s">
        <v>407</v>
      </c>
      <c r="G45" s="1205" t="s">
        <v>379</v>
      </c>
      <c r="H45" s="1206">
        <v>1</v>
      </c>
      <c r="I45" s="1210">
        <v>1.024</v>
      </c>
      <c r="J45" s="410">
        <f t="shared" si="6"/>
        <v>-2.4000000000000021E-2</v>
      </c>
      <c r="K45" s="1207">
        <f t="shared" si="7"/>
        <v>1.024</v>
      </c>
    </row>
    <row r="46" spans="2:11" ht="18" customHeight="1">
      <c r="B46" s="3008"/>
      <c r="C46" s="3005"/>
      <c r="D46" s="3002"/>
      <c r="E46" s="2996" t="s">
        <v>392</v>
      </c>
      <c r="F46" s="1199" t="s">
        <v>407</v>
      </c>
      <c r="G46" s="1200" t="s">
        <v>198</v>
      </c>
      <c r="H46" s="1201">
        <v>1</v>
      </c>
      <c r="I46" s="406">
        <v>3.2000000000000001E-2</v>
      </c>
      <c r="J46" s="1208">
        <f t="shared" si="6"/>
        <v>0.96799999999999997</v>
      </c>
      <c r="K46" s="1209">
        <f t="shared" si="7"/>
        <v>3.2000000000000001E-2</v>
      </c>
    </row>
    <row r="47" spans="2:11" ht="18" customHeight="1" thickBot="1">
      <c r="B47" s="3008"/>
      <c r="C47" s="3005"/>
      <c r="D47" s="3002"/>
      <c r="E47" s="2997"/>
      <c r="F47" s="1204" t="s">
        <v>407</v>
      </c>
      <c r="G47" s="1205" t="s">
        <v>379</v>
      </c>
      <c r="H47" s="1206">
        <v>4</v>
      </c>
      <c r="I47" s="1211">
        <v>3.976</v>
      </c>
      <c r="J47" s="510">
        <f t="shared" si="6"/>
        <v>2.4000000000000021E-2</v>
      </c>
      <c r="K47" s="403">
        <f>+I47/H47</f>
        <v>0.99399999999999999</v>
      </c>
    </row>
    <row r="48" spans="2:11" ht="28.5" customHeight="1" thickBot="1">
      <c r="B48" s="3008"/>
      <c r="C48" s="3005"/>
      <c r="D48" s="3002"/>
      <c r="E48" s="1212" t="s">
        <v>393</v>
      </c>
      <c r="F48" s="1199" t="s">
        <v>407</v>
      </c>
      <c r="G48" s="1200" t="s">
        <v>95</v>
      </c>
      <c r="H48" s="1201">
        <v>9</v>
      </c>
      <c r="I48" s="1213">
        <v>5.6550000000000002</v>
      </c>
      <c r="J48" s="1208">
        <f t="shared" si="6"/>
        <v>3.3449999999999998</v>
      </c>
      <c r="K48" s="1209">
        <f t="shared" ref="K48:K49" si="8">+I48/H48</f>
        <v>0.62833333333333341</v>
      </c>
    </row>
    <row r="49" spans="2:14" ht="27.6" customHeight="1" thickBot="1">
      <c r="B49" s="3009"/>
      <c r="C49" s="3006"/>
      <c r="D49" s="3003"/>
      <c r="E49" s="652" t="s">
        <v>394</v>
      </c>
      <c r="F49" s="1204" t="s">
        <v>407</v>
      </c>
      <c r="G49" s="1205" t="s">
        <v>380</v>
      </c>
      <c r="H49" s="1206">
        <v>1</v>
      </c>
      <c r="I49" s="531"/>
      <c r="J49" s="510">
        <f t="shared" si="6"/>
        <v>1</v>
      </c>
      <c r="K49" s="403">
        <f t="shared" si="8"/>
        <v>0</v>
      </c>
    </row>
    <row r="51" spans="2:14" s="400" customFormat="1" ht="18" customHeight="1">
      <c r="N51" s="1197"/>
    </row>
    <row r="52" spans="2:14" s="400" customFormat="1" ht="18" customHeight="1">
      <c r="N52" s="1197"/>
    </row>
    <row r="53" spans="2:14" s="400" customFormat="1" ht="18" customHeight="1">
      <c r="N53" s="1197"/>
    </row>
    <row r="54" spans="2:14" s="400" customFormat="1" ht="18" customHeight="1">
      <c r="N54" s="1197"/>
    </row>
    <row r="55" spans="2:14" s="400" customFormat="1" ht="18" customHeight="1">
      <c r="N55" s="1197"/>
    </row>
    <row r="56" spans="2:14" s="400" customFormat="1" ht="18" customHeight="1">
      <c r="N56" s="1197"/>
    </row>
    <row r="57" spans="2:14" s="400" customFormat="1" ht="18" customHeight="1">
      <c r="N57" s="1197"/>
    </row>
    <row r="58" spans="2:14" s="400" customFormat="1" ht="18" customHeight="1">
      <c r="N58" s="1197"/>
    </row>
    <row r="59" spans="2:14" s="400" customFormat="1" ht="18" customHeight="1">
      <c r="N59" s="1197"/>
    </row>
    <row r="60" spans="2:14" s="400" customFormat="1" ht="18" customHeight="1">
      <c r="N60" s="1197"/>
    </row>
    <row r="61" spans="2:14" s="400" customFormat="1" ht="18" customHeight="1">
      <c r="N61" s="1197"/>
    </row>
    <row r="62" spans="2:14" s="400" customFormat="1" ht="18" customHeight="1">
      <c r="N62" s="1197"/>
    </row>
    <row r="63" spans="2:14" s="400" customFormat="1" ht="18" customHeight="1">
      <c r="N63" s="1197"/>
    </row>
    <row r="64" spans="2:14" s="400" customFormat="1" ht="18" customHeight="1">
      <c r="N64" s="1197"/>
    </row>
    <row r="65" spans="14:14" s="400" customFormat="1" ht="18" customHeight="1">
      <c r="N65" s="1197"/>
    </row>
    <row r="66" spans="14:14" s="400" customFormat="1" ht="18" customHeight="1">
      <c r="N66" s="1197"/>
    </row>
    <row r="67" spans="14:14" s="400" customFormat="1" ht="18" customHeight="1">
      <c r="N67" s="1197"/>
    </row>
    <row r="68" spans="14:14" s="400" customFormat="1" ht="18" customHeight="1">
      <c r="N68" s="1197"/>
    </row>
    <row r="69" spans="14:14" s="400" customFormat="1" ht="18" customHeight="1">
      <c r="N69" s="1197"/>
    </row>
    <row r="70" spans="14:14" s="400" customFormat="1" ht="18" customHeight="1">
      <c r="N70" s="1197"/>
    </row>
    <row r="71" spans="14:14" s="400" customFormat="1" ht="18" customHeight="1">
      <c r="N71" s="1197"/>
    </row>
    <row r="72" spans="14:14" s="400" customFormat="1" ht="18" customHeight="1">
      <c r="N72" s="1197"/>
    </row>
    <row r="73" spans="14:14" s="400" customFormat="1" ht="18" customHeight="1">
      <c r="N73" s="1197"/>
    </row>
    <row r="74" spans="14:14" s="400" customFormat="1" ht="18" customHeight="1">
      <c r="N74" s="1197"/>
    </row>
    <row r="75" spans="14:14" s="400" customFormat="1" ht="18" customHeight="1">
      <c r="N75" s="1197"/>
    </row>
    <row r="76" spans="14:14" s="400" customFormat="1" ht="18" customHeight="1">
      <c r="N76" s="1197"/>
    </row>
    <row r="77" spans="14:14" s="400" customFormat="1" ht="18" customHeight="1">
      <c r="N77" s="1197"/>
    </row>
    <row r="78" spans="14:14" s="400" customFormat="1" ht="18" customHeight="1">
      <c r="N78" s="1197"/>
    </row>
    <row r="79" spans="14:14" s="400" customFormat="1" ht="18" customHeight="1">
      <c r="N79" s="1197"/>
    </row>
    <row r="80" spans="14:14" s="400" customFormat="1" ht="18" customHeight="1">
      <c r="N80" s="1197"/>
    </row>
    <row r="81" spans="14:14" s="400" customFormat="1" ht="18" customHeight="1">
      <c r="N81" s="1197"/>
    </row>
    <row r="82" spans="14:14" s="400" customFormat="1" ht="18" customHeight="1">
      <c r="N82" s="1197"/>
    </row>
    <row r="83" spans="14:14" s="400" customFormat="1" ht="18" customHeight="1">
      <c r="N83" s="1197"/>
    </row>
    <row r="84" spans="14:14" s="400" customFormat="1" ht="18" customHeight="1">
      <c r="N84" s="1197"/>
    </row>
    <row r="85" spans="14:14" s="400" customFormat="1" ht="18" customHeight="1">
      <c r="N85" s="1197"/>
    </row>
    <row r="86" spans="14:14" s="400" customFormat="1" ht="18" customHeight="1">
      <c r="N86" s="1197"/>
    </row>
    <row r="87" spans="14:14" s="400" customFormat="1" ht="18" customHeight="1">
      <c r="N87" s="1197"/>
    </row>
    <row r="88" spans="14:14" s="400" customFormat="1" ht="18" customHeight="1">
      <c r="N88" s="1197"/>
    </row>
    <row r="89" spans="14:14" s="400" customFormat="1" ht="18" customHeight="1">
      <c r="N89" s="1197"/>
    </row>
    <row r="90" spans="14:14" s="400" customFormat="1" ht="18" customHeight="1">
      <c r="N90" s="1197"/>
    </row>
    <row r="91" spans="14:14" s="400" customFormat="1" ht="18" customHeight="1">
      <c r="N91" s="1197"/>
    </row>
    <row r="92" spans="14:14" s="400" customFormat="1" ht="18" customHeight="1">
      <c r="N92" s="1197"/>
    </row>
    <row r="93" spans="14:14" s="400" customFormat="1" ht="18" customHeight="1">
      <c r="N93" s="1197"/>
    </row>
    <row r="94" spans="14:14" s="400" customFormat="1" ht="18" customHeight="1">
      <c r="N94" s="1197"/>
    </row>
    <row r="95" spans="14:14" s="400" customFormat="1" ht="18" customHeight="1">
      <c r="N95" s="1197"/>
    </row>
    <row r="96" spans="14:14" s="400" customFormat="1" ht="18" customHeight="1">
      <c r="N96" s="1197"/>
    </row>
    <row r="97" spans="14:14" s="400" customFormat="1" ht="18" customHeight="1">
      <c r="N97" s="1197"/>
    </row>
    <row r="98" spans="14:14" s="400" customFormat="1" ht="18" customHeight="1">
      <c r="N98" s="1197"/>
    </row>
    <row r="99" spans="14:14" s="400" customFormat="1" ht="18" customHeight="1">
      <c r="N99" s="1197"/>
    </row>
    <row r="100" spans="14:14" s="400" customFormat="1" ht="18" customHeight="1">
      <c r="N100" s="1197"/>
    </row>
    <row r="101" spans="14:14" s="400" customFormat="1" ht="18" customHeight="1">
      <c r="N101" s="1197"/>
    </row>
    <row r="102" spans="14:14" s="400" customFormat="1" ht="18" customHeight="1">
      <c r="N102" s="1197"/>
    </row>
    <row r="103" spans="14:14" s="400" customFormat="1" ht="18" customHeight="1">
      <c r="N103" s="1197"/>
    </row>
    <row r="104" spans="14:14" s="400" customFormat="1" ht="18" customHeight="1">
      <c r="N104" s="1197"/>
    </row>
    <row r="105" spans="14:14" s="400" customFormat="1" ht="18" customHeight="1">
      <c r="N105" s="1197"/>
    </row>
    <row r="106" spans="14:14" s="400" customFormat="1" ht="18" customHeight="1">
      <c r="N106" s="1197"/>
    </row>
    <row r="107" spans="14:14" s="400" customFormat="1" ht="18" customHeight="1">
      <c r="N107" s="1197"/>
    </row>
    <row r="108" spans="14:14" s="400" customFormat="1" ht="18" customHeight="1">
      <c r="N108" s="1197"/>
    </row>
    <row r="109" spans="14:14" s="400" customFormat="1" ht="18" customHeight="1">
      <c r="N109" s="1197"/>
    </row>
    <row r="110" spans="14:14" s="400" customFormat="1" ht="18" customHeight="1">
      <c r="N110" s="1197"/>
    </row>
    <row r="111" spans="14:14" s="400" customFormat="1" ht="18" customHeight="1">
      <c r="N111" s="1197"/>
    </row>
    <row r="112" spans="14:14" s="400" customFormat="1" ht="18" customHeight="1">
      <c r="N112" s="1197"/>
    </row>
    <row r="113" spans="14:14" s="400" customFormat="1" ht="18" customHeight="1">
      <c r="N113" s="1197"/>
    </row>
    <row r="114" spans="14:14" s="400" customFormat="1" ht="18" customHeight="1">
      <c r="N114" s="1197"/>
    </row>
    <row r="115" spans="14:14" s="400" customFormat="1" ht="18" customHeight="1">
      <c r="N115" s="1197"/>
    </row>
    <row r="116" spans="14:14" s="400" customFormat="1" ht="18" customHeight="1">
      <c r="N116" s="1197"/>
    </row>
    <row r="117" spans="14:14" s="400" customFormat="1" ht="18" customHeight="1">
      <c r="N117" s="1197"/>
    </row>
    <row r="118" spans="14:14" s="400" customFormat="1" ht="18" customHeight="1">
      <c r="N118" s="1197"/>
    </row>
    <row r="119" spans="14:14" s="400" customFormat="1" ht="18" customHeight="1">
      <c r="N119" s="1197"/>
    </row>
    <row r="120" spans="14:14" s="400" customFormat="1" ht="18" customHeight="1">
      <c r="N120" s="1197"/>
    </row>
    <row r="121" spans="14:14" s="400" customFormat="1" ht="18" customHeight="1">
      <c r="N121" s="1197"/>
    </row>
    <row r="122" spans="14:14" s="400" customFormat="1" ht="18" customHeight="1">
      <c r="N122" s="1197"/>
    </row>
    <row r="123" spans="14:14" s="400" customFormat="1" ht="18" customHeight="1">
      <c r="N123" s="1197"/>
    </row>
    <row r="124" spans="14:14" s="400" customFormat="1" ht="18" customHeight="1">
      <c r="N124" s="1197"/>
    </row>
    <row r="125" spans="14:14" s="400" customFormat="1" ht="18" customHeight="1">
      <c r="N125" s="1197"/>
    </row>
    <row r="126" spans="14:14" s="400" customFormat="1" ht="18" customHeight="1">
      <c r="N126" s="1197"/>
    </row>
    <row r="127" spans="14:14" s="400" customFormat="1" ht="18" customHeight="1">
      <c r="N127" s="1197"/>
    </row>
    <row r="128" spans="14:14" s="400" customFormat="1" ht="18" customHeight="1">
      <c r="N128" s="1197"/>
    </row>
    <row r="129" spans="14:14" s="400" customFormat="1" ht="18" customHeight="1">
      <c r="N129" s="1197"/>
    </row>
    <row r="130" spans="14:14" s="400" customFormat="1" ht="18" customHeight="1">
      <c r="N130" s="1197"/>
    </row>
    <row r="131" spans="14:14" s="400" customFormat="1" ht="18" customHeight="1">
      <c r="N131" s="1197"/>
    </row>
    <row r="132" spans="14:14" s="400" customFormat="1" ht="18" customHeight="1">
      <c r="N132" s="1197"/>
    </row>
    <row r="133" spans="14:14" s="400" customFormat="1" ht="18" customHeight="1">
      <c r="N133" s="1197"/>
    </row>
    <row r="134" spans="14:14" s="400" customFormat="1" ht="18" customHeight="1">
      <c r="N134" s="1197"/>
    </row>
    <row r="135" spans="14:14" s="400" customFormat="1" ht="18" customHeight="1">
      <c r="N135" s="1197"/>
    </row>
    <row r="136" spans="14:14" s="400" customFormat="1" ht="18" customHeight="1">
      <c r="N136" s="1197"/>
    </row>
    <row r="137" spans="14:14" s="400" customFormat="1" ht="18" customHeight="1">
      <c r="N137" s="1197"/>
    </row>
    <row r="138" spans="14:14" s="400" customFormat="1" ht="18" customHeight="1">
      <c r="N138" s="1197"/>
    </row>
    <row r="139" spans="14:14" s="400" customFormat="1" ht="18" customHeight="1">
      <c r="N139" s="1197"/>
    </row>
    <row r="140" spans="14:14" s="400" customFormat="1" ht="18" customHeight="1">
      <c r="N140" s="1197"/>
    </row>
    <row r="141" spans="14:14" s="400" customFormat="1" ht="18" customHeight="1">
      <c r="N141" s="1197"/>
    </row>
    <row r="142" spans="14:14" s="400" customFormat="1" ht="18" customHeight="1">
      <c r="N142" s="1197"/>
    </row>
    <row r="143" spans="14:14" s="400" customFormat="1" ht="18" customHeight="1">
      <c r="N143" s="1197"/>
    </row>
    <row r="144" spans="14:14" s="400" customFormat="1" ht="18" customHeight="1">
      <c r="N144" s="1197"/>
    </row>
    <row r="145" spans="14:14" s="400" customFormat="1" ht="18" customHeight="1">
      <c r="N145" s="1197"/>
    </row>
    <row r="146" spans="14:14" s="400" customFormat="1" ht="18" customHeight="1">
      <c r="N146" s="1197"/>
    </row>
    <row r="147" spans="14:14" s="400" customFormat="1" ht="18" customHeight="1">
      <c r="N147" s="1197"/>
    </row>
    <row r="148" spans="14:14" s="400" customFormat="1" ht="18" customHeight="1">
      <c r="N148" s="1197"/>
    </row>
    <row r="149" spans="14:14" s="400" customFormat="1" ht="18" customHeight="1">
      <c r="N149" s="1197"/>
    </row>
    <row r="150" spans="14:14" s="400" customFormat="1" ht="18" customHeight="1">
      <c r="N150" s="1197"/>
    </row>
    <row r="151" spans="14:14" s="400" customFormat="1" ht="18" customHeight="1">
      <c r="N151" s="1197"/>
    </row>
    <row r="152" spans="14:14" s="400" customFormat="1" ht="18" customHeight="1">
      <c r="N152" s="1197"/>
    </row>
    <row r="153" spans="14:14" s="400" customFormat="1" ht="18" customHeight="1">
      <c r="N153" s="1197"/>
    </row>
    <row r="154" spans="14:14" s="400" customFormat="1" ht="18" customHeight="1">
      <c r="N154" s="1197"/>
    </row>
    <row r="155" spans="14:14" s="400" customFormat="1" ht="18" customHeight="1">
      <c r="N155" s="1197"/>
    </row>
    <row r="156" spans="14:14" s="400" customFormat="1" ht="18" customHeight="1">
      <c r="N156" s="1197"/>
    </row>
    <row r="157" spans="14:14" s="400" customFormat="1" ht="18" customHeight="1">
      <c r="N157" s="1197"/>
    </row>
    <row r="158" spans="14:14" s="400" customFormat="1" ht="18" customHeight="1">
      <c r="N158" s="1197"/>
    </row>
    <row r="159" spans="14:14" s="400" customFormat="1" ht="18" customHeight="1">
      <c r="N159" s="1197"/>
    </row>
    <row r="160" spans="14:14" s="400" customFormat="1" ht="18" customHeight="1">
      <c r="N160" s="1197"/>
    </row>
    <row r="161" spans="14:14" s="400" customFormat="1" ht="18" customHeight="1">
      <c r="N161" s="1197"/>
    </row>
    <row r="162" spans="14:14" s="400" customFormat="1" ht="18" customHeight="1">
      <c r="N162" s="1197"/>
    </row>
    <row r="163" spans="14:14" s="400" customFormat="1" ht="18" customHeight="1">
      <c r="N163" s="1197"/>
    </row>
    <row r="164" spans="14:14" s="400" customFormat="1" ht="18" customHeight="1">
      <c r="N164" s="1197"/>
    </row>
    <row r="165" spans="14:14" s="400" customFormat="1" ht="18" customHeight="1">
      <c r="N165" s="1197"/>
    </row>
    <row r="166" spans="14:14" s="400" customFormat="1" ht="18" customHeight="1">
      <c r="N166" s="1197"/>
    </row>
    <row r="167" spans="14:14" s="400" customFormat="1" ht="18" customHeight="1">
      <c r="N167" s="1197"/>
    </row>
    <row r="168" spans="14:14" s="400" customFormat="1" ht="18" customHeight="1">
      <c r="N168" s="1197"/>
    </row>
    <row r="169" spans="14:14" s="400" customFormat="1" ht="18" customHeight="1">
      <c r="N169" s="1197"/>
    </row>
    <row r="170" spans="14:14" s="400" customFormat="1" ht="18" customHeight="1">
      <c r="N170" s="1197"/>
    </row>
    <row r="171" spans="14:14" s="400" customFormat="1" ht="18" customHeight="1">
      <c r="N171" s="1197"/>
    </row>
    <row r="172" spans="14:14" s="400" customFormat="1" ht="18" customHeight="1">
      <c r="N172" s="1197"/>
    </row>
    <row r="173" spans="14:14" s="400" customFormat="1" ht="18" customHeight="1">
      <c r="N173" s="1197"/>
    </row>
    <row r="174" spans="14:14" s="400" customFormat="1" ht="18" customHeight="1">
      <c r="N174" s="1197"/>
    </row>
    <row r="175" spans="14:14" s="400" customFormat="1" ht="18" customHeight="1">
      <c r="N175" s="1197"/>
    </row>
    <row r="176" spans="14:14" s="400" customFormat="1" ht="18" customHeight="1">
      <c r="N176" s="1197"/>
    </row>
    <row r="177" spans="14:14" s="400" customFormat="1" ht="18" customHeight="1">
      <c r="N177" s="1197"/>
    </row>
    <row r="178" spans="14:14" s="400" customFormat="1" ht="18" customHeight="1">
      <c r="N178" s="1197"/>
    </row>
    <row r="179" spans="14:14" s="400" customFormat="1" ht="18" customHeight="1">
      <c r="N179" s="1197"/>
    </row>
    <row r="180" spans="14:14" s="400" customFormat="1" ht="18" customHeight="1">
      <c r="N180" s="1197"/>
    </row>
    <row r="181" spans="14:14" s="400" customFormat="1" ht="18" customHeight="1">
      <c r="N181" s="1197"/>
    </row>
    <row r="182" spans="14:14" s="400" customFormat="1" ht="18" customHeight="1">
      <c r="N182" s="1197"/>
    </row>
    <row r="183" spans="14:14" s="400" customFormat="1" ht="18" customHeight="1">
      <c r="N183" s="1197"/>
    </row>
    <row r="184" spans="14:14" s="400" customFormat="1" ht="18" customHeight="1">
      <c r="N184" s="1197"/>
    </row>
    <row r="185" spans="14:14" s="400" customFormat="1" ht="18" customHeight="1">
      <c r="N185" s="1197"/>
    </row>
    <row r="186" spans="14:14" s="400" customFormat="1" ht="18" customHeight="1">
      <c r="N186" s="1197"/>
    </row>
    <row r="187" spans="14:14" s="400" customFormat="1" ht="18" customHeight="1">
      <c r="N187" s="1197"/>
    </row>
    <row r="188" spans="14:14" s="400" customFormat="1" ht="18" customHeight="1">
      <c r="N188" s="1197"/>
    </row>
    <row r="189" spans="14:14" s="400" customFormat="1" ht="18" customHeight="1">
      <c r="N189" s="1197"/>
    </row>
    <row r="190" spans="14:14" s="400" customFormat="1" ht="18" customHeight="1">
      <c r="N190" s="1197"/>
    </row>
    <row r="191" spans="14:14" s="400" customFormat="1" ht="18" customHeight="1">
      <c r="N191" s="1197"/>
    </row>
    <row r="192" spans="14:14" s="400" customFormat="1" ht="18" customHeight="1">
      <c r="N192" s="1197"/>
    </row>
    <row r="193" spans="14:14" s="400" customFormat="1" ht="18" customHeight="1">
      <c r="N193" s="1197"/>
    </row>
    <row r="194" spans="14:14" s="400" customFormat="1" ht="18" customHeight="1">
      <c r="N194" s="1197"/>
    </row>
    <row r="195" spans="14:14" s="400" customFormat="1" ht="18" customHeight="1">
      <c r="N195" s="1197"/>
    </row>
    <row r="196" spans="14:14" s="400" customFormat="1" ht="18" customHeight="1">
      <c r="N196" s="1197"/>
    </row>
    <row r="197" spans="14:14" s="400" customFormat="1" ht="18" customHeight="1">
      <c r="N197" s="1197"/>
    </row>
    <row r="198" spans="14:14" s="400" customFormat="1" ht="18" customHeight="1">
      <c r="N198" s="1197"/>
    </row>
    <row r="199" spans="14:14" s="400" customFormat="1" ht="18" customHeight="1">
      <c r="N199" s="1197"/>
    </row>
    <row r="200" spans="14:14" s="400" customFormat="1" ht="18" customHeight="1">
      <c r="N200" s="1197"/>
    </row>
    <row r="201" spans="14:14" s="400" customFormat="1" ht="18" customHeight="1">
      <c r="N201" s="1197"/>
    </row>
    <row r="202" spans="14:14" s="400" customFormat="1" ht="18" customHeight="1">
      <c r="N202" s="1197"/>
    </row>
    <row r="203" spans="14:14" s="400" customFormat="1" ht="18" customHeight="1">
      <c r="N203" s="1197"/>
    </row>
    <row r="204" spans="14:14" s="400" customFormat="1" ht="18" customHeight="1">
      <c r="N204" s="1197"/>
    </row>
    <row r="205" spans="14:14" s="400" customFormat="1" ht="18" customHeight="1">
      <c r="N205" s="1197"/>
    </row>
    <row r="206" spans="14:14" s="400" customFormat="1" ht="18" customHeight="1">
      <c r="N206" s="1197"/>
    </row>
    <row r="207" spans="14:14" s="400" customFormat="1" ht="18" customHeight="1">
      <c r="N207" s="1197"/>
    </row>
    <row r="208" spans="14:14" s="400" customFormat="1" ht="18" customHeight="1">
      <c r="N208" s="1197"/>
    </row>
    <row r="209" spans="14:14" s="400" customFormat="1" ht="18" customHeight="1">
      <c r="N209" s="1197"/>
    </row>
    <row r="210" spans="14:14" s="400" customFormat="1" ht="18" customHeight="1">
      <c r="N210" s="1197"/>
    </row>
    <row r="211" spans="14:14" s="400" customFormat="1" ht="18" customHeight="1">
      <c r="N211" s="1197"/>
    </row>
    <row r="212" spans="14:14" s="400" customFormat="1" ht="18" customHeight="1">
      <c r="N212" s="1197"/>
    </row>
    <row r="213" spans="14:14" s="400" customFormat="1" ht="18" customHeight="1">
      <c r="N213" s="1197"/>
    </row>
    <row r="214" spans="14:14" s="400" customFormat="1" ht="18" customHeight="1">
      <c r="N214" s="1197"/>
    </row>
    <row r="215" spans="14:14" s="400" customFormat="1" ht="18" customHeight="1">
      <c r="N215" s="1197"/>
    </row>
    <row r="216" spans="14:14" s="400" customFormat="1" ht="18" customHeight="1">
      <c r="N216" s="1197"/>
    </row>
    <row r="217" spans="14:14" s="400" customFormat="1" ht="18" customHeight="1">
      <c r="N217" s="1197"/>
    </row>
    <row r="218" spans="14:14" s="400" customFormat="1" ht="18" customHeight="1">
      <c r="N218" s="1197"/>
    </row>
    <row r="219" spans="14:14" s="400" customFormat="1" ht="18" customHeight="1">
      <c r="N219" s="1197"/>
    </row>
    <row r="220" spans="14:14" s="400" customFormat="1" ht="18" customHeight="1">
      <c r="N220" s="1197"/>
    </row>
    <row r="221" spans="14:14" s="400" customFormat="1" ht="18" customHeight="1">
      <c r="N221" s="1197"/>
    </row>
    <row r="222" spans="14:14" s="400" customFormat="1" ht="18" customHeight="1">
      <c r="N222" s="1197"/>
    </row>
    <row r="223" spans="14:14" s="400" customFormat="1" ht="18" customHeight="1">
      <c r="N223" s="1197"/>
    </row>
    <row r="224" spans="14:14" s="400" customFormat="1" ht="18" customHeight="1">
      <c r="N224" s="1197"/>
    </row>
    <row r="225" spans="14:14" s="400" customFormat="1" ht="18" customHeight="1">
      <c r="N225" s="1197"/>
    </row>
    <row r="226" spans="14:14" s="400" customFormat="1" ht="18" customHeight="1">
      <c r="N226" s="1197"/>
    </row>
    <row r="227" spans="14:14" s="400" customFormat="1" ht="18" customHeight="1">
      <c r="N227" s="1197"/>
    </row>
    <row r="228" spans="14:14" s="400" customFormat="1" ht="18" customHeight="1">
      <c r="N228" s="1197"/>
    </row>
    <row r="229" spans="14:14" s="400" customFormat="1" ht="18" customHeight="1">
      <c r="N229" s="1197"/>
    </row>
    <row r="230" spans="14:14" s="400" customFormat="1" ht="18" customHeight="1">
      <c r="N230" s="1197"/>
    </row>
    <row r="231" spans="14:14" s="400" customFormat="1" ht="18" customHeight="1">
      <c r="N231" s="1197"/>
    </row>
    <row r="232" spans="14:14" s="400" customFormat="1" ht="18" customHeight="1">
      <c r="N232" s="1197"/>
    </row>
    <row r="233" spans="14:14" s="400" customFormat="1" ht="18" customHeight="1">
      <c r="N233" s="1197"/>
    </row>
    <row r="234" spans="14:14" s="400" customFormat="1" ht="18" customHeight="1">
      <c r="N234" s="1197"/>
    </row>
    <row r="235" spans="14:14" s="400" customFormat="1" ht="18" customHeight="1">
      <c r="N235" s="1197"/>
    </row>
    <row r="236" spans="14:14" s="400" customFormat="1" ht="18" customHeight="1">
      <c r="N236" s="1197"/>
    </row>
    <row r="237" spans="14:14" s="400" customFormat="1" ht="18" customHeight="1">
      <c r="N237" s="1197"/>
    </row>
    <row r="238" spans="14:14" s="400" customFormat="1" ht="18" customHeight="1">
      <c r="N238" s="1197"/>
    </row>
    <row r="239" spans="14:14" s="400" customFormat="1" ht="18" customHeight="1">
      <c r="N239" s="1197"/>
    </row>
    <row r="240" spans="14:14" s="400" customFormat="1" ht="18" customHeight="1">
      <c r="N240" s="1197"/>
    </row>
    <row r="241" spans="14:14" s="400" customFormat="1" ht="18" customHeight="1">
      <c r="N241" s="1197"/>
    </row>
    <row r="242" spans="14:14" s="400" customFormat="1" ht="18" customHeight="1">
      <c r="N242" s="1197"/>
    </row>
    <row r="243" spans="14:14" s="400" customFormat="1" ht="18" customHeight="1">
      <c r="N243" s="1197"/>
    </row>
    <row r="244" spans="14:14" s="400" customFormat="1" ht="18" customHeight="1">
      <c r="N244" s="1197"/>
    </row>
    <row r="245" spans="14:14" s="400" customFormat="1" ht="18" customHeight="1">
      <c r="N245" s="1197"/>
    </row>
    <row r="246" spans="14:14" s="400" customFormat="1" ht="18" customHeight="1">
      <c r="N246" s="1197"/>
    </row>
    <row r="247" spans="14:14" s="400" customFormat="1" ht="18" customHeight="1">
      <c r="N247" s="1197"/>
    </row>
    <row r="248" spans="14:14" s="400" customFormat="1" ht="18" customHeight="1">
      <c r="N248" s="1197"/>
    </row>
    <row r="249" spans="14:14" s="400" customFormat="1" ht="18" customHeight="1">
      <c r="N249" s="1197"/>
    </row>
    <row r="250" spans="14:14" s="400" customFormat="1" ht="18" customHeight="1">
      <c r="N250" s="1197"/>
    </row>
    <row r="251" spans="14:14" s="400" customFormat="1" ht="18" customHeight="1">
      <c r="N251" s="1197"/>
    </row>
    <row r="252" spans="14:14" s="400" customFormat="1" ht="18" customHeight="1">
      <c r="N252" s="1197"/>
    </row>
    <row r="253" spans="14:14" s="400" customFormat="1" ht="18" customHeight="1">
      <c r="N253" s="1197"/>
    </row>
    <row r="254" spans="14:14" s="400" customFormat="1" ht="18" customHeight="1">
      <c r="N254" s="1197"/>
    </row>
    <row r="255" spans="14:14" s="400" customFormat="1" ht="18" customHeight="1">
      <c r="N255" s="1197"/>
    </row>
    <row r="256" spans="14:14" s="400" customFormat="1" ht="18" customHeight="1">
      <c r="N256" s="1197"/>
    </row>
    <row r="257" spans="14:14" s="400" customFormat="1" ht="18" customHeight="1">
      <c r="N257" s="1197"/>
    </row>
    <row r="258" spans="14:14" s="400" customFormat="1" ht="18" customHeight="1">
      <c r="N258" s="1197"/>
    </row>
    <row r="259" spans="14:14" s="400" customFormat="1" ht="18" customHeight="1">
      <c r="N259" s="1197"/>
    </row>
    <row r="260" spans="14:14" s="400" customFormat="1" ht="18" customHeight="1">
      <c r="N260" s="1197"/>
    </row>
    <row r="261" spans="14:14" s="400" customFormat="1" ht="18" customHeight="1">
      <c r="N261" s="1197"/>
    </row>
    <row r="262" spans="14:14" s="400" customFormat="1" ht="18" customHeight="1">
      <c r="N262" s="1197"/>
    </row>
    <row r="263" spans="14:14" s="400" customFormat="1" ht="18" customHeight="1">
      <c r="N263" s="1197"/>
    </row>
    <row r="264" spans="14:14" s="400" customFormat="1" ht="18" customHeight="1">
      <c r="N264" s="1197"/>
    </row>
    <row r="265" spans="14:14" s="400" customFormat="1" ht="18" customHeight="1">
      <c r="N265" s="1197"/>
    </row>
    <row r="266" spans="14:14" s="400" customFormat="1" ht="18" customHeight="1">
      <c r="N266" s="1197"/>
    </row>
    <row r="267" spans="14:14" ht="18" customHeight="1">
      <c r="N267" s="1196"/>
    </row>
    <row r="268" spans="14:14" ht="18" customHeight="1">
      <c r="N268" s="560"/>
    </row>
    <row r="269" spans="14:14" ht="18" customHeight="1">
      <c r="N269" s="560"/>
    </row>
    <row r="270" spans="14:14" ht="18" customHeight="1">
      <c r="N270" s="560"/>
    </row>
    <row r="271" spans="14:14" ht="18" customHeight="1">
      <c r="N271" s="560"/>
    </row>
    <row r="272" spans="14:14" ht="18" customHeight="1">
      <c r="N272" s="560"/>
    </row>
    <row r="273" spans="14:14" ht="18" customHeight="1">
      <c r="N273" s="560"/>
    </row>
    <row r="274" spans="14:14" ht="18" customHeight="1">
      <c r="N274" s="560"/>
    </row>
    <row r="275" spans="14:14" ht="18" customHeight="1">
      <c r="N275" s="560"/>
    </row>
    <row r="276" spans="14:14" ht="18" customHeight="1">
      <c r="N276" s="560"/>
    </row>
    <row r="277" spans="14:14" ht="18" customHeight="1">
      <c r="N277" s="560"/>
    </row>
    <row r="278" spans="14:14" ht="18" customHeight="1">
      <c r="N278" s="560"/>
    </row>
    <row r="279" spans="14:14" ht="18" customHeight="1">
      <c r="N279" s="560"/>
    </row>
    <row r="280" spans="14:14" ht="18" customHeight="1">
      <c r="N280" s="560"/>
    </row>
    <row r="281" spans="14:14" ht="18" customHeight="1">
      <c r="N281" s="560"/>
    </row>
    <row r="282" spans="14:14" ht="18" customHeight="1">
      <c r="N282" s="560"/>
    </row>
    <row r="283" spans="14:14" ht="18" customHeight="1">
      <c r="N283" s="560"/>
    </row>
    <row r="284" spans="14:14" ht="18" customHeight="1">
      <c r="N284" s="560"/>
    </row>
    <row r="285" spans="14:14" ht="18" customHeight="1">
      <c r="N285" s="560"/>
    </row>
    <row r="286" spans="14:14" ht="18" customHeight="1">
      <c r="N286" s="560"/>
    </row>
    <row r="287" spans="14:14" ht="18" customHeight="1">
      <c r="N287" s="560"/>
    </row>
    <row r="288" spans="14:14" ht="18" customHeight="1">
      <c r="N288" s="560"/>
    </row>
    <row r="289" spans="14:14" ht="18" customHeight="1">
      <c r="N289" s="560"/>
    </row>
    <row r="290" spans="14:14" ht="18" customHeight="1">
      <c r="N290" s="560"/>
    </row>
    <row r="291" spans="14:14" ht="18" customHeight="1">
      <c r="N291" s="560"/>
    </row>
    <row r="292" spans="14:14" ht="18" customHeight="1">
      <c r="N292" s="560"/>
    </row>
    <row r="293" spans="14:14" ht="18" customHeight="1">
      <c r="N293" s="560"/>
    </row>
    <row r="294" spans="14:14" ht="18" customHeight="1">
      <c r="N294" s="560"/>
    </row>
    <row r="295" spans="14:14" ht="18" customHeight="1">
      <c r="N295" s="560"/>
    </row>
    <row r="296" spans="14:14" ht="18" customHeight="1">
      <c r="N296" s="560"/>
    </row>
    <row r="297" spans="14:14" ht="18" customHeight="1">
      <c r="N297" s="560"/>
    </row>
    <row r="298" spans="14:14" ht="18" customHeight="1">
      <c r="N298" s="560"/>
    </row>
    <row r="299" spans="14:14" ht="18" customHeight="1">
      <c r="N299" s="560"/>
    </row>
    <row r="300" spans="14:14" ht="18" customHeight="1">
      <c r="N300" s="560"/>
    </row>
    <row r="301" spans="14:14" ht="18" customHeight="1">
      <c r="N301" s="560"/>
    </row>
    <row r="302" spans="14:14" ht="18" customHeight="1">
      <c r="N302" s="560"/>
    </row>
    <row r="303" spans="14:14" ht="18" customHeight="1">
      <c r="N303" s="560"/>
    </row>
    <row r="304" spans="14:14" ht="18" customHeight="1">
      <c r="N304" s="560"/>
    </row>
    <row r="305" spans="14:14" ht="18" customHeight="1">
      <c r="N305" s="560"/>
    </row>
    <row r="306" spans="14:14" ht="18" customHeight="1">
      <c r="N306" s="560"/>
    </row>
    <row r="307" spans="14:14" ht="18" customHeight="1">
      <c r="N307" s="560"/>
    </row>
    <row r="308" spans="14:14" ht="18" customHeight="1">
      <c r="N308" s="560"/>
    </row>
    <row r="309" spans="14:14" ht="18" customHeight="1">
      <c r="N309" s="560"/>
    </row>
    <row r="310" spans="14:14" ht="18" customHeight="1">
      <c r="N310" s="560"/>
    </row>
    <row r="311" spans="14:14" ht="18" customHeight="1">
      <c r="N311" s="560"/>
    </row>
    <row r="312" spans="14:14" ht="18" customHeight="1">
      <c r="N312" s="560"/>
    </row>
    <row r="313" spans="14:14" ht="18" customHeight="1">
      <c r="N313" s="560"/>
    </row>
    <row r="314" spans="14:14" ht="18" customHeight="1">
      <c r="N314" s="560"/>
    </row>
    <row r="315" spans="14:14" ht="18" customHeight="1">
      <c r="N315" s="560"/>
    </row>
    <row r="316" spans="14:14" ht="18" customHeight="1">
      <c r="N316" s="560"/>
    </row>
    <row r="317" spans="14:14" ht="18" customHeight="1">
      <c r="N317" s="560"/>
    </row>
    <row r="318" spans="14:14" ht="18" customHeight="1">
      <c r="N318" s="560"/>
    </row>
    <row r="319" spans="14:14" ht="18" customHeight="1">
      <c r="N319" s="560"/>
    </row>
    <row r="320" spans="14:14" ht="18" customHeight="1">
      <c r="N320" s="560"/>
    </row>
    <row r="321" spans="14:14" ht="18" customHeight="1">
      <c r="N321" s="560"/>
    </row>
    <row r="322" spans="14:14" ht="18" customHeight="1">
      <c r="N322" s="560"/>
    </row>
    <row r="323" spans="14:14" ht="18" customHeight="1">
      <c r="N323" s="560"/>
    </row>
    <row r="324" spans="14:14" ht="18" customHeight="1">
      <c r="N324" s="560"/>
    </row>
    <row r="325" spans="14:14" ht="18" customHeight="1">
      <c r="N325" s="560"/>
    </row>
    <row r="326" spans="14:14" ht="18" customHeight="1">
      <c r="N326" s="560"/>
    </row>
    <row r="327" spans="14:14" ht="18" customHeight="1">
      <c r="N327" s="560"/>
    </row>
    <row r="328" spans="14:14" ht="18" customHeight="1">
      <c r="N328" s="560"/>
    </row>
    <row r="329" spans="14:14" ht="18" customHeight="1">
      <c r="N329" s="560"/>
    </row>
    <row r="330" spans="14:14" ht="18" customHeight="1">
      <c r="N330" s="560"/>
    </row>
    <row r="331" spans="14:14" ht="18" customHeight="1">
      <c r="N331" s="560"/>
    </row>
    <row r="332" spans="14:14" ht="18" customHeight="1">
      <c r="N332" s="560"/>
    </row>
    <row r="333" spans="14:14" ht="18" customHeight="1">
      <c r="N333" s="560"/>
    </row>
    <row r="334" spans="14:14" ht="18" customHeight="1">
      <c r="N334" s="560"/>
    </row>
    <row r="335" spans="14:14" ht="18" customHeight="1">
      <c r="N335" s="560"/>
    </row>
    <row r="336" spans="14:14" ht="18" customHeight="1">
      <c r="N336" s="560"/>
    </row>
    <row r="337" spans="14:14" ht="18" customHeight="1">
      <c r="N337" s="560"/>
    </row>
    <row r="338" spans="14:14" ht="18" customHeight="1">
      <c r="N338" s="560"/>
    </row>
    <row r="339" spans="14:14" ht="18" customHeight="1">
      <c r="N339" s="560"/>
    </row>
    <row r="340" spans="14:14" ht="18" customHeight="1">
      <c r="N340" s="560"/>
    </row>
    <row r="341" spans="14:14" ht="18" customHeight="1">
      <c r="N341" s="560"/>
    </row>
    <row r="342" spans="14:14" ht="18" customHeight="1">
      <c r="N342" s="560"/>
    </row>
    <row r="343" spans="14:14" ht="18" customHeight="1">
      <c r="N343" s="560"/>
    </row>
    <row r="344" spans="14:14" ht="18" customHeight="1">
      <c r="N344" s="560"/>
    </row>
    <row r="345" spans="14:14" ht="18" customHeight="1">
      <c r="N345" s="560"/>
    </row>
    <row r="346" spans="14:14" ht="18" customHeight="1">
      <c r="N346" s="560"/>
    </row>
    <row r="347" spans="14:14" ht="18" customHeight="1">
      <c r="N347" s="560"/>
    </row>
    <row r="348" spans="14:14" ht="18" customHeight="1">
      <c r="N348" s="560"/>
    </row>
    <row r="349" spans="14:14" ht="18" customHeight="1">
      <c r="N349" s="560"/>
    </row>
    <row r="350" spans="14:14" ht="18" customHeight="1">
      <c r="N350" s="560"/>
    </row>
    <row r="351" spans="14:14" ht="18" customHeight="1">
      <c r="N351" s="560"/>
    </row>
    <row r="352" spans="14:14" ht="18" customHeight="1">
      <c r="N352" s="560"/>
    </row>
    <row r="353" spans="14:14" ht="18" customHeight="1">
      <c r="N353" s="560"/>
    </row>
    <row r="354" spans="14:14" ht="18" customHeight="1">
      <c r="N354" s="560"/>
    </row>
    <row r="355" spans="14:14" ht="18" customHeight="1">
      <c r="N355" s="560"/>
    </row>
    <row r="356" spans="14:14" ht="18" customHeight="1">
      <c r="N356" s="560"/>
    </row>
    <row r="357" spans="14:14" ht="18" customHeight="1">
      <c r="N357" s="560"/>
    </row>
    <row r="358" spans="14:14" ht="18" customHeight="1">
      <c r="N358" s="560"/>
    </row>
    <row r="359" spans="14:14" ht="18" customHeight="1">
      <c r="N359" s="560"/>
    </row>
    <row r="360" spans="14:14" ht="18" customHeight="1">
      <c r="N360" s="560"/>
    </row>
    <row r="361" spans="14:14" ht="18" customHeight="1">
      <c r="N361" s="560"/>
    </row>
    <row r="362" spans="14:14" ht="18" customHeight="1">
      <c r="N362" s="560"/>
    </row>
    <row r="363" spans="14:14" ht="18" customHeight="1">
      <c r="N363" s="560"/>
    </row>
    <row r="364" spans="14:14" ht="18" customHeight="1">
      <c r="N364" s="560"/>
    </row>
    <row r="365" spans="14:14" ht="18" customHeight="1">
      <c r="N365" s="560" t="s">
        <v>463</v>
      </c>
    </row>
  </sheetData>
  <mergeCells count="46">
    <mergeCell ref="E16:E17"/>
    <mergeCell ref="E18:E19"/>
    <mergeCell ref="B32:J32"/>
    <mergeCell ref="B34:B39"/>
    <mergeCell ref="C34:C39"/>
    <mergeCell ref="D34:D39"/>
    <mergeCell ref="E34:E35"/>
    <mergeCell ref="E36:E37"/>
    <mergeCell ref="B2:J2"/>
    <mergeCell ref="B3:J3"/>
    <mergeCell ref="E24:E25"/>
    <mergeCell ref="E7:E8"/>
    <mergeCell ref="E9:E10"/>
    <mergeCell ref="F9:F10"/>
    <mergeCell ref="F7:F8"/>
    <mergeCell ref="D24:D29"/>
    <mergeCell ref="C24:C29"/>
    <mergeCell ref="B5:J5"/>
    <mergeCell ref="J7:J8"/>
    <mergeCell ref="J9:J10"/>
    <mergeCell ref="I7:I8"/>
    <mergeCell ref="I9:I10"/>
    <mergeCell ref="B7:B10"/>
    <mergeCell ref="C7:C10"/>
    <mergeCell ref="M27:M29"/>
    <mergeCell ref="M24:M26"/>
    <mergeCell ref="L6:L9"/>
    <mergeCell ref="G7:G8"/>
    <mergeCell ref="G9:G10"/>
    <mergeCell ref="H7:H8"/>
    <mergeCell ref="H9:H10"/>
    <mergeCell ref="M16:M17"/>
    <mergeCell ref="B14:J14"/>
    <mergeCell ref="B16:B19"/>
    <mergeCell ref="C16:C19"/>
    <mergeCell ref="D16:D19"/>
    <mergeCell ref="E26:E27"/>
    <mergeCell ref="B24:B29"/>
    <mergeCell ref="B22:J22"/>
    <mergeCell ref="D7:D10"/>
    <mergeCell ref="E44:E45"/>
    <mergeCell ref="E46:E47"/>
    <mergeCell ref="B42:J42"/>
    <mergeCell ref="D44:D49"/>
    <mergeCell ref="C44:C49"/>
    <mergeCell ref="B44:B4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6600CC"/>
  </sheetPr>
  <dimension ref="A1:BG1574"/>
  <sheetViews>
    <sheetView topLeftCell="C4" zoomScaleNormal="100" workbookViewId="0">
      <selection activeCell="K8" sqref="K8:K9"/>
    </sheetView>
  </sheetViews>
  <sheetFormatPr baseColWidth="10" defaultRowHeight="20.100000000000001" customHeight="1"/>
  <cols>
    <col min="1" max="1" width="4.85546875" style="144" customWidth="1"/>
    <col min="2" max="2" width="13.85546875" customWidth="1"/>
    <col min="3" max="3" width="17.5703125" customWidth="1"/>
    <col min="4" max="4" width="13" customWidth="1"/>
    <col min="5" max="5" width="12.85546875" customWidth="1"/>
    <col min="6" max="6" width="12.42578125" customWidth="1"/>
    <col min="7" max="7" width="12" customWidth="1"/>
    <col min="8" max="8" width="17" customWidth="1"/>
    <col min="9" max="9" width="11.28515625" customWidth="1"/>
    <col min="10" max="10" width="13.5703125" customWidth="1"/>
    <col min="11" max="11" width="14.28515625" customWidth="1"/>
    <col min="12" max="12" width="14.42578125" customWidth="1"/>
    <col min="13" max="13" width="9.85546875" customWidth="1"/>
    <col min="14" max="14" width="13.5703125" customWidth="1"/>
    <col min="15" max="15" width="12.5703125" customWidth="1"/>
    <col min="16" max="41" width="11.42578125" style="1523"/>
  </cols>
  <sheetData>
    <row r="1" spans="1:59" s="1" customFormat="1" ht="19.5" customHeight="1" thickBot="1">
      <c r="A1" s="144"/>
      <c r="P1" s="1523"/>
      <c r="Q1" s="1523"/>
      <c r="R1" s="1523"/>
      <c r="S1" s="1523"/>
      <c r="T1" s="1523"/>
      <c r="U1" s="1523"/>
      <c r="V1" s="1523"/>
      <c r="W1" s="1523"/>
      <c r="X1" s="1523"/>
      <c r="Y1" s="1523"/>
      <c r="Z1" s="1523"/>
      <c r="AA1" s="1523"/>
      <c r="AB1" s="1523"/>
      <c r="AC1" s="1523"/>
      <c r="AD1" s="1523"/>
      <c r="AE1" s="1523"/>
      <c r="AF1" s="1523"/>
      <c r="AG1" s="1523"/>
      <c r="AH1" s="1523"/>
      <c r="AI1" s="1523"/>
      <c r="AJ1" s="1523"/>
      <c r="AK1" s="1523"/>
      <c r="AL1" s="1523"/>
      <c r="AM1" s="1523"/>
      <c r="AN1" s="1523"/>
      <c r="AO1" s="1523"/>
    </row>
    <row r="2" spans="1:59" ht="21" customHeight="1">
      <c r="B2" s="3089" t="s">
        <v>275</v>
      </c>
      <c r="C2" s="3090"/>
      <c r="D2" s="3090"/>
      <c r="E2" s="3090"/>
      <c r="F2" s="3090"/>
      <c r="G2" s="3090"/>
      <c r="H2" s="3090"/>
      <c r="I2" s="3090"/>
      <c r="J2" s="3090"/>
      <c r="K2" s="3090"/>
      <c r="L2" s="3091"/>
      <c r="M2" s="1"/>
      <c r="N2" s="574"/>
      <c r="O2" s="137"/>
      <c r="P2" s="846"/>
      <c r="Q2" s="846"/>
      <c r="R2" s="846"/>
      <c r="S2" s="846"/>
      <c r="T2" s="846"/>
      <c r="U2" s="846"/>
      <c r="V2" s="846"/>
      <c r="W2" s="846"/>
      <c r="X2" s="846"/>
      <c r="Y2" s="846"/>
      <c r="Z2" s="846"/>
      <c r="AA2" s="846"/>
      <c r="AB2" s="846"/>
      <c r="AC2" s="846"/>
      <c r="AD2" s="846"/>
      <c r="AE2" s="846"/>
      <c r="AF2" s="846"/>
      <c r="AG2" s="846"/>
      <c r="AH2" s="846"/>
      <c r="AI2" s="846"/>
      <c r="AJ2" s="846"/>
      <c r="AK2" s="846"/>
      <c r="AL2" s="846"/>
      <c r="AM2" s="846"/>
      <c r="AN2" s="846"/>
      <c r="AO2" s="846"/>
      <c r="AP2" s="846"/>
      <c r="AQ2" s="846"/>
      <c r="AR2" s="846"/>
      <c r="AS2" s="846"/>
      <c r="AT2" s="846"/>
      <c r="AU2" s="846"/>
      <c r="AV2" s="846"/>
      <c r="AW2" s="846"/>
      <c r="AX2" s="846"/>
      <c r="AY2" s="846"/>
      <c r="AZ2" s="846"/>
      <c r="BA2" s="846"/>
      <c r="BB2" s="846"/>
      <c r="BC2" s="846"/>
      <c r="BD2" s="846"/>
      <c r="BE2" s="846"/>
      <c r="BF2" s="846"/>
      <c r="BG2" s="846"/>
    </row>
    <row r="3" spans="1:59" ht="20.25" customHeight="1" thickBot="1">
      <c r="B3" s="3092" t="s">
        <v>754</v>
      </c>
      <c r="C3" s="2190"/>
      <c r="D3" s="2190"/>
      <c r="E3" s="2190"/>
      <c r="F3" s="2190"/>
      <c r="G3" s="2190"/>
      <c r="H3" s="2190"/>
      <c r="I3" s="2190"/>
      <c r="J3" s="2190"/>
      <c r="K3" s="2190"/>
      <c r="L3" s="2191"/>
      <c r="M3" s="19"/>
      <c r="N3" s="400"/>
      <c r="O3" s="563"/>
      <c r="P3" s="846"/>
      <c r="Q3" s="846"/>
      <c r="R3" s="846"/>
      <c r="S3" s="846"/>
      <c r="T3" s="846"/>
      <c r="U3" s="846"/>
      <c r="V3" s="846"/>
      <c r="W3" s="846"/>
      <c r="X3" s="846"/>
      <c r="Y3" s="846"/>
      <c r="Z3" s="846"/>
      <c r="AA3" s="846"/>
      <c r="AB3" s="846"/>
      <c r="AC3" s="846"/>
      <c r="AD3" s="846"/>
      <c r="AE3" s="846"/>
      <c r="AF3" s="846"/>
      <c r="AG3" s="846"/>
      <c r="AH3" s="846"/>
      <c r="AI3" s="846"/>
      <c r="AJ3" s="846"/>
      <c r="AK3" s="846"/>
      <c r="AL3" s="846"/>
      <c r="AM3" s="846"/>
      <c r="AN3" s="846"/>
      <c r="AO3" s="846"/>
      <c r="AP3" s="846"/>
      <c r="AQ3" s="846"/>
      <c r="AR3" s="846"/>
      <c r="AS3" s="846"/>
      <c r="AT3" s="846"/>
      <c r="AU3" s="846"/>
      <c r="AV3" s="846"/>
      <c r="AW3" s="846"/>
      <c r="AX3" s="846"/>
      <c r="AY3" s="846"/>
      <c r="AZ3" s="846"/>
      <c r="BA3" s="846"/>
      <c r="BB3" s="846"/>
      <c r="BC3" s="846"/>
      <c r="BD3" s="846"/>
      <c r="BE3" s="846"/>
      <c r="BF3" s="846"/>
      <c r="BG3" s="846"/>
    </row>
    <row r="4" spans="1:59" ht="20.100000000000001" customHeight="1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19"/>
      <c r="O4" s="400"/>
      <c r="P4" s="846"/>
      <c r="Q4" s="846"/>
      <c r="R4" s="846"/>
      <c r="S4" s="846"/>
      <c r="T4" s="846"/>
      <c r="U4" s="846"/>
      <c r="V4" s="846"/>
      <c r="W4" s="846"/>
      <c r="X4" s="846"/>
      <c r="Y4" s="846"/>
      <c r="Z4" s="846"/>
      <c r="AA4" s="846"/>
      <c r="AB4" s="846"/>
      <c r="AC4" s="846"/>
      <c r="AD4" s="846"/>
      <c r="AE4" s="846"/>
      <c r="AF4" s="846"/>
      <c r="AG4" s="846"/>
      <c r="AH4" s="846"/>
      <c r="AI4" s="846"/>
      <c r="AJ4" s="846"/>
      <c r="AK4" s="846"/>
      <c r="AL4" s="846"/>
      <c r="AM4" s="846"/>
      <c r="AN4" s="846"/>
      <c r="AO4" s="846"/>
      <c r="AP4" s="846"/>
      <c r="AQ4" s="846"/>
      <c r="AR4" s="846"/>
      <c r="AS4" s="846"/>
      <c r="AT4" s="846"/>
      <c r="AU4" s="846"/>
      <c r="AV4" s="846"/>
      <c r="AW4" s="846"/>
      <c r="AX4" s="846"/>
      <c r="AY4" s="846"/>
      <c r="AZ4" s="846"/>
      <c r="BA4" s="846"/>
      <c r="BB4" s="846"/>
      <c r="BC4" s="846"/>
      <c r="BD4" s="846"/>
      <c r="BE4" s="846"/>
      <c r="BF4" s="846"/>
      <c r="BG4" s="846"/>
    </row>
    <row r="5" spans="1:59" s="6" customFormat="1" ht="20.10000000000000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400"/>
      <c r="AB5" s="400"/>
      <c r="AC5" s="400"/>
      <c r="AD5" s="400"/>
      <c r="AE5" s="400"/>
      <c r="AF5" s="400"/>
      <c r="AG5" s="400"/>
      <c r="AH5" s="400"/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/>
    </row>
    <row r="6" spans="1:59" s="6" customFormat="1" ht="46.5" customHeight="1" thickBot="1">
      <c r="A6" s="19"/>
      <c r="B6" s="27" t="s">
        <v>52</v>
      </c>
      <c r="C6" s="53" t="s">
        <v>263</v>
      </c>
      <c r="D6" s="55" t="s">
        <v>56</v>
      </c>
      <c r="E6" s="54" t="s">
        <v>139</v>
      </c>
      <c r="F6" s="554" t="s">
        <v>206</v>
      </c>
      <c r="G6" s="562" t="s">
        <v>575</v>
      </c>
      <c r="H6" s="142" t="s">
        <v>3</v>
      </c>
      <c r="I6" s="57" t="s">
        <v>143</v>
      </c>
      <c r="J6" s="40" t="s">
        <v>85</v>
      </c>
      <c r="K6" s="581" t="s">
        <v>583</v>
      </c>
      <c r="L6" s="581" t="s">
        <v>584</v>
      </c>
      <c r="M6" s="581" t="s">
        <v>585</v>
      </c>
      <c r="N6" s="581" t="s">
        <v>280</v>
      </c>
      <c r="O6" s="365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400"/>
      <c r="AA6" s="400"/>
      <c r="AB6" s="400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/>
    </row>
    <row r="7" spans="1:59" s="577" customFormat="1" ht="27" customHeight="1" thickBot="1">
      <c r="A7" s="366"/>
      <c r="B7" s="3093" t="s">
        <v>274</v>
      </c>
      <c r="C7" s="625" t="s">
        <v>120</v>
      </c>
      <c r="D7" s="626" t="s">
        <v>162</v>
      </c>
      <c r="E7" s="627">
        <v>8</v>
      </c>
      <c r="F7" s="628">
        <f>E7</f>
        <v>8</v>
      </c>
      <c r="G7" s="629"/>
      <c r="H7" s="630">
        <f>F7-G7</f>
        <v>8</v>
      </c>
      <c r="I7" s="631">
        <f>G7/F7</f>
        <v>0</v>
      </c>
      <c r="J7" s="632"/>
      <c r="K7" s="633"/>
      <c r="L7" s="633"/>
      <c r="M7" s="633"/>
      <c r="N7" s="638"/>
      <c r="O7" s="624"/>
      <c r="P7" s="578"/>
      <c r="Q7" s="578"/>
      <c r="R7" s="578"/>
      <c r="S7" s="578"/>
      <c r="T7" s="578"/>
      <c r="U7" s="578"/>
      <c r="V7" s="578"/>
      <c r="W7" s="578"/>
      <c r="X7" s="578"/>
      <c r="Y7" s="578"/>
      <c r="Z7" s="578"/>
      <c r="AA7" s="578"/>
      <c r="AB7" s="578"/>
      <c r="AC7" s="578"/>
      <c r="AD7" s="578"/>
      <c r="AE7" s="578"/>
      <c r="AF7" s="578"/>
      <c r="AG7" s="578"/>
      <c r="AH7" s="578"/>
      <c r="AI7" s="578"/>
      <c r="AJ7" s="578"/>
      <c r="AK7" s="578"/>
      <c r="AL7" s="578"/>
      <c r="AM7" s="578"/>
      <c r="AN7" s="578"/>
      <c r="AO7" s="578"/>
      <c r="AP7" s="578"/>
      <c r="AQ7" s="578"/>
      <c r="AR7" s="578"/>
      <c r="AS7" s="578"/>
      <c r="AT7" s="578"/>
      <c r="AU7" s="578"/>
      <c r="AV7" s="578"/>
      <c r="AW7" s="578"/>
      <c r="AX7" s="578"/>
      <c r="AY7" s="578"/>
      <c r="AZ7" s="578"/>
      <c r="BA7" s="578"/>
      <c r="BB7" s="578"/>
      <c r="BC7" s="578"/>
      <c r="BD7" s="578"/>
      <c r="BE7" s="578"/>
      <c r="BF7" s="578"/>
      <c r="BG7" s="578"/>
    </row>
    <row r="8" spans="1:59" s="577" customFormat="1" ht="19.5" customHeight="1">
      <c r="A8" s="366"/>
      <c r="B8" s="3094"/>
      <c r="C8" s="3096" t="s">
        <v>258</v>
      </c>
      <c r="D8" s="634" t="s">
        <v>160</v>
      </c>
      <c r="E8" s="635">
        <v>741</v>
      </c>
      <c r="F8" s="822">
        <f>E8</f>
        <v>741</v>
      </c>
      <c r="G8" s="819">
        <f>+O38</f>
        <v>789.096</v>
      </c>
      <c r="H8" s="830">
        <f>F8-G8</f>
        <v>-48.096000000000004</v>
      </c>
      <c r="I8" s="639">
        <f>+G8/F8</f>
        <v>1.0649068825910932</v>
      </c>
      <c r="J8" s="640">
        <v>42452</v>
      </c>
      <c r="K8" s="3104">
        <f>E8+E9</f>
        <v>1483</v>
      </c>
      <c r="L8" s="3098">
        <f>G8+G9</f>
        <v>1525.7629999999999</v>
      </c>
      <c r="M8" s="3100">
        <f>K8-L8</f>
        <v>-42.76299999999992</v>
      </c>
      <c r="N8" s="3102">
        <f>L8/K8</f>
        <v>1.0288354686446393</v>
      </c>
      <c r="O8" s="624"/>
      <c r="P8" s="578"/>
      <c r="Q8" s="578"/>
      <c r="R8" s="578"/>
      <c r="S8" s="578"/>
      <c r="T8" s="578"/>
      <c r="U8" s="578"/>
      <c r="V8" s="578"/>
      <c r="W8" s="578"/>
      <c r="X8" s="578"/>
      <c r="Y8" s="578"/>
      <c r="Z8" s="578"/>
      <c r="AA8" s="578"/>
      <c r="AB8" s="578"/>
      <c r="AC8" s="578"/>
      <c r="AD8" s="578"/>
      <c r="AE8" s="578"/>
      <c r="AF8" s="578"/>
      <c r="AG8" s="578"/>
      <c r="AH8" s="578"/>
      <c r="AI8" s="578"/>
      <c r="AJ8" s="578"/>
      <c r="AK8" s="578"/>
      <c r="AL8" s="578"/>
      <c r="AM8" s="578"/>
      <c r="AN8" s="578"/>
      <c r="AO8" s="578"/>
      <c r="AP8" s="578"/>
      <c r="AQ8" s="578"/>
      <c r="AR8" s="578"/>
      <c r="AS8" s="578"/>
      <c r="AT8" s="578"/>
      <c r="AU8" s="578"/>
      <c r="AV8" s="578"/>
      <c r="AW8" s="578"/>
      <c r="AX8" s="578"/>
      <c r="AY8" s="578"/>
      <c r="AZ8" s="578"/>
      <c r="BA8" s="578"/>
      <c r="BB8" s="578"/>
      <c r="BC8" s="578"/>
      <c r="BD8" s="578"/>
      <c r="BE8" s="578"/>
      <c r="BF8" s="578"/>
      <c r="BG8" s="578"/>
    </row>
    <row r="9" spans="1:59" s="577" customFormat="1" ht="32.25" customHeight="1" thickBot="1">
      <c r="A9" s="366"/>
      <c r="B9" s="3095"/>
      <c r="C9" s="3097"/>
      <c r="D9" s="636" t="s">
        <v>161</v>
      </c>
      <c r="E9" s="637">
        <v>742</v>
      </c>
      <c r="F9" s="778">
        <f>+E9+H8</f>
        <v>693.904</v>
      </c>
      <c r="G9" s="818">
        <f>+O72</f>
        <v>736.66700000000003</v>
      </c>
      <c r="H9" s="820">
        <f>F9-G9</f>
        <v>-42.763000000000034</v>
      </c>
      <c r="I9" s="641">
        <f>+G9/F9</f>
        <v>1.0616266803477139</v>
      </c>
      <c r="J9" s="642">
        <v>42642</v>
      </c>
      <c r="K9" s="3105"/>
      <c r="L9" s="3099"/>
      <c r="M9" s="3101"/>
      <c r="N9" s="3103"/>
      <c r="O9" s="624"/>
      <c r="P9" s="578"/>
      <c r="Q9" s="578"/>
      <c r="R9" s="578"/>
      <c r="S9" s="578"/>
      <c r="T9" s="578"/>
      <c r="U9" s="578"/>
      <c r="V9" s="578"/>
      <c r="W9" s="578"/>
      <c r="X9" s="578"/>
      <c r="Y9" s="578"/>
      <c r="Z9" s="578"/>
      <c r="AA9" s="578"/>
      <c r="AB9" s="578"/>
      <c r="AC9" s="578"/>
      <c r="AD9" s="578"/>
      <c r="AE9" s="578"/>
      <c r="AF9" s="578"/>
      <c r="AG9" s="578"/>
      <c r="AH9" s="578"/>
      <c r="AI9" s="578"/>
      <c r="AJ9" s="578"/>
      <c r="AK9" s="578"/>
      <c r="AL9" s="578"/>
      <c r="AM9" s="578"/>
      <c r="AN9" s="578"/>
      <c r="AO9" s="578"/>
      <c r="AP9" s="578"/>
      <c r="AQ9" s="578"/>
      <c r="AR9" s="578"/>
      <c r="AS9" s="578"/>
      <c r="AT9" s="578"/>
      <c r="AU9" s="578"/>
      <c r="AV9" s="578"/>
      <c r="AW9" s="578"/>
      <c r="AX9" s="578"/>
      <c r="AY9" s="578"/>
      <c r="AZ9" s="578"/>
      <c r="BA9" s="578"/>
      <c r="BB9" s="578"/>
      <c r="BC9" s="578"/>
      <c r="BD9" s="578"/>
      <c r="BE9" s="578"/>
      <c r="BF9" s="578"/>
      <c r="BG9" s="578"/>
    </row>
    <row r="10" spans="1:59" s="144" customFormat="1" ht="39.75" customHeight="1">
      <c r="B10" s="402"/>
      <c r="C10" s="402"/>
      <c r="D10" s="402"/>
      <c r="E10" s="402"/>
      <c r="F10" s="402"/>
      <c r="G10" s="402"/>
      <c r="H10" s="402"/>
      <c r="I10" s="402"/>
      <c r="J10" s="402"/>
      <c r="K10" s="402"/>
      <c r="L10" s="402"/>
      <c r="M10" s="402"/>
      <c r="N10" s="402"/>
      <c r="O10" s="365"/>
      <c r="P10" s="846"/>
      <c r="Q10" s="846"/>
      <c r="R10" s="846"/>
      <c r="S10" s="846"/>
      <c r="T10" s="846"/>
      <c r="U10" s="846"/>
      <c r="V10" s="846"/>
      <c r="W10" s="846"/>
      <c r="X10" s="846"/>
      <c r="Y10" s="846"/>
      <c r="Z10" s="846"/>
      <c r="AA10" s="846"/>
      <c r="AB10" s="846"/>
      <c r="AC10" s="846"/>
      <c r="AD10" s="846"/>
      <c r="AE10" s="846"/>
      <c r="AF10" s="846"/>
      <c r="AG10" s="846"/>
      <c r="AH10" s="846"/>
      <c r="AI10" s="846"/>
      <c r="AJ10" s="846"/>
      <c r="AK10" s="846"/>
      <c r="AL10" s="846"/>
      <c r="AM10" s="846"/>
      <c r="AN10" s="846"/>
      <c r="AO10" s="846"/>
      <c r="AP10" s="846"/>
      <c r="AQ10" s="846"/>
      <c r="AR10" s="846"/>
      <c r="AS10" s="846"/>
      <c r="AT10" s="846"/>
      <c r="AU10" s="846"/>
      <c r="AV10" s="846"/>
      <c r="AW10" s="846"/>
      <c r="AX10" s="846"/>
      <c r="AY10" s="846"/>
      <c r="AZ10" s="846"/>
      <c r="BA10" s="846"/>
      <c r="BB10" s="846"/>
      <c r="BC10" s="846"/>
      <c r="BD10" s="846"/>
      <c r="BE10" s="846"/>
      <c r="BF10" s="846"/>
      <c r="BG10" s="846"/>
    </row>
    <row r="11" spans="1:59" s="366" customFormat="1" ht="10.5" customHeight="1" thickBot="1"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02"/>
      <c r="O11" s="402"/>
      <c r="P11" s="578"/>
      <c r="Q11" s="578"/>
      <c r="R11" s="578"/>
      <c r="S11" s="578"/>
      <c r="T11" s="578"/>
      <c r="U11" s="578"/>
      <c r="V11" s="578"/>
      <c r="W11" s="578"/>
      <c r="X11" s="578"/>
      <c r="Y11" s="578"/>
      <c r="Z11" s="578"/>
      <c r="AA11" s="578"/>
      <c r="AB11" s="578"/>
      <c r="AC11" s="578"/>
      <c r="AD11" s="578"/>
      <c r="AE11" s="578"/>
      <c r="AF11" s="578"/>
      <c r="AG11" s="578"/>
      <c r="AH11" s="578"/>
      <c r="AI11" s="578"/>
      <c r="AJ11" s="578"/>
      <c r="AK11" s="578"/>
      <c r="AL11" s="578"/>
      <c r="AM11" s="578"/>
      <c r="AN11" s="578"/>
      <c r="AO11" s="578"/>
      <c r="AP11" s="578"/>
      <c r="AQ11" s="578"/>
      <c r="AR11" s="578"/>
      <c r="AS11" s="578"/>
      <c r="AT11" s="578"/>
      <c r="AU11" s="578"/>
      <c r="AV11" s="578"/>
      <c r="AW11" s="578"/>
      <c r="AX11" s="578"/>
      <c r="AY11" s="578"/>
      <c r="AZ11" s="578"/>
      <c r="BA11" s="578"/>
      <c r="BB11" s="578"/>
      <c r="BC11" s="578"/>
      <c r="BD11" s="578"/>
      <c r="BE11" s="578"/>
      <c r="BF11" s="578"/>
      <c r="BG11" s="578"/>
    </row>
    <row r="12" spans="1:59" s="366" customFormat="1" ht="12" customHeight="1">
      <c r="B12" s="3079" t="s">
        <v>735</v>
      </c>
      <c r="C12" s="3080"/>
      <c r="D12" s="3080"/>
      <c r="E12" s="3080"/>
      <c r="F12" s="3080"/>
      <c r="G12" s="3080"/>
      <c r="H12" s="3080"/>
      <c r="I12" s="3080"/>
      <c r="J12" s="3080"/>
      <c r="K12" s="3080"/>
      <c r="L12" s="3080"/>
      <c r="M12" s="3080"/>
      <c r="N12" s="3080"/>
      <c r="O12" s="3081"/>
      <c r="P12" s="578"/>
      <c r="Q12" s="578"/>
      <c r="R12" s="578"/>
      <c r="S12" s="578"/>
      <c r="T12" s="578"/>
      <c r="U12" s="578"/>
      <c r="V12" s="578"/>
      <c r="W12" s="578"/>
      <c r="X12" s="578"/>
      <c r="Y12" s="578"/>
      <c r="Z12" s="578"/>
      <c r="AA12" s="578"/>
      <c r="AB12" s="578"/>
      <c r="AC12" s="578"/>
      <c r="AD12" s="578"/>
      <c r="AE12" s="578"/>
      <c r="AF12" s="578"/>
      <c r="AG12" s="578"/>
      <c r="AH12" s="578"/>
      <c r="AI12" s="578"/>
      <c r="AJ12" s="578"/>
      <c r="AK12" s="578"/>
      <c r="AL12" s="578"/>
      <c r="AM12" s="578"/>
      <c r="AN12" s="578"/>
      <c r="AO12" s="578"/>
      <c r="AP12" s="578"/>
      <c r="AQ12" s="578"/>
      <c r="AR12" s="578"/>
      <c r="AS12" s="578"/>
      <c r="AT12" s="578"/>
      <c r="AU12" s="578"/>
      <c r="AV12" s="578"/>
      <c r="AW12" s="578"/>
      <c r="AX12" s="578"/>
      <c r="AY12" s="578"/>
      <c r="AZ12" s="578"/>
      <c r="BA12" s="578"/>
      <c r="BB12" s="578"/>
      <c r="BC12" s="578"/>
      <c r="BD12" s="578"/>
      <c r="BE12" s="578"/>
      <c r="BF12" s="578"/>
      <c r="BG12" s="578"/>
    </row>
    <row r="13" spans="1:59" s="366" customFormat="1" ht="12" customHeight="1" thickBot="1">
      <c r="B13" s="3082"/>
      <c r="C13" s="3083"/>
      <c r="D13" s="3083"/>
      <c r="E13" s="3083"/>
      <c r="F13" s="3083"/>
      <c r="G13" s="3083"/>
      <c r="H13" s="3083"/>
      <c r="I13" s="3083"/>
      <c r="J13" s="3083"/>
      <c r="K13" s="3083"/>
      <c r="L13" s="3083"/>
      <c r="M13" s="3083"/>
      <c r="N13" s="3083"/>
      <c r="O13" s="3084"/>
      <c r="P13" s="578"/>
      <c r="Q13" s="578"/>
      <c r="R13" s="578"/>
      <c r="S13" s="578"/>
      <c r="T13" s="578"/>
      <c r="U13" s="578"/>
      <c r="V13" s="578"/>
      <c r="W13" s="578"/>
      <c r="X13" s="578"/>
      <c r="Y13" s="578"/>
      <c r="Z13" s="578"/>
      <c r="AA13" s="578"/>
      <c r="AB13" s="578"/>
      <c r="AC13" s="578"/>
      <c r="AD13" s="578"/>
      <c r="AE13" s="578"/>
      <c r="AF13" s="578"/>
      <c r="AG13" s="578"/>
      <c r="AH13" s="578"/>
      <c r="AI13" s="578"/>
      <c r="AJ13" s="578"/>
      <c r="AK13" s="578"/>
      <c r="AL13" s="578"/>
      <c r="AM13" s="578"/>
      <c r="AN13" s="578"/>
      <c r="AO13" s="578"/>
      <c r="AP13" s="578"/>
      <c r="AQ13" s="578"/>
      <c r="AR13" s="578"/>
      <c r="AS13" s="578"/>
      <c r="AT13" s="578"/>
      <c r="AU13" s="578"/>
      <c r="AV13" s="578"/>
      <c r="AW13" s="578"/>
      <c r="AX13" s="578"/>
      <c r="AY13" s="578"/>
      <c r="AZ13" s="578"/>
      <c r="BA13" s="578"/>
      <c r="BB13" s="578"/>
      <c r="BC13" s="578"/>
      <c r="BD13" s="578"/>
      <c r="BE13" s="578"/>
      <c r="BF13" s="578"/>
      <c r="BG13" s="578"/>
    </row>
    <row r="14" spans="1:59" s="366" customFormat="1" ht="12" customHeight="1" thickBot="1">
      <c r="B14" s="1568"/>
      <c r="C14" s="1568"/>
      <c r="D14" s="1568"/>
      <c r="E14" s="1568"/>
      <c r="F14" s="1568"/>
      <c r="G14" s="1568"/>
      <c r="H14" s="1568"/>
      <c r="I14" s="1568"/>
      <c r="J14" s="1568"/>
      <c r="K14" s="1568"/>
      <c r="L14" s="1568"/>
      <c r="M14" s="1568"/>
      <c r="N14" s="1568"/>
      <c r="O14" s="1568"/>
      <c r="P14" s="578"/>
      <c r="Q14" s="578"/>
      <c r="R14" s="578"/>
      <c r="S14" s="578"/>
      <c r="T14" s="578"/>
      <c r="U14" s="578"/>
      <c r="V14" s="578"/>
      <c r="W14" s="578"/>
      <c r="X14" s="578"/>
      <c r="Y14" s="578"/>
      <c r="Z14" s="578"/>
      <c r="AA14" s="578"/>
      <c r="AB14" s="578"/>
      <c r="AC14" s="578"/>
      <c r="AD14" s="578"/>
      <c r="AE14" s="578"/>
      <c r="AF14" s="578"/>
      <c r="AG14" s="578"/>
      <c r="AH14" s="578"/>
      <c r="AI14" s="578"/>
      <c r="AJ14" s="578"/>
      <c r="AK14" s="578"/>
      <c r="AL14" s="578"/>
      <c r="AM14" s="578"/>
      <c r="AN14" s="578"/>
      <c r="AO14" s="578"/>
      <c r="AP14" s="578"/>
      <c r="AQ14" s="578"/>
      <c r="AR14" s="578"/>
      <c r="AS14" s="578"/>
      <c r="AT14" s="578"/>
      <c r="AU14" s="578"/>
      <c r="AV14" s="578"/>
      <c r="AW14" s="578"/>
      <c r="AX14" s="578"/>
      <c r="AY14" s="578"/>
      <c r="AZ14" s="578"/>
      <c r="BA14" s="578"/>
      <c r="BB14" s="578"/>
      <c r="BC14" s="578"/>
      <c r="BD14" s="578"/>
      <c r="BE14" s="578"/>
      <c r="BF14" s="578"/>
      <c r="BG14" s="578"/>
    </row>
    <row r="15" spans="1:59" s="366" customFormat="1" ht="18.75" customHeight="1">
      <c r="B15" s="3106" t="s">
        <v>470</v>
      </c>
      <c r="C15" s="3108" t="s">
        <v>437</v>
      </c>
      <c r="D15" s="3110" t="s">
        <v>687</v>
      </c>
      <c r="E15" s="3110"/>
      <c r="F15" s="3110"/>
      <c r="G15" s="3110"/>
      <c r="H15" s="3110"/>
      <c r="I15" s="3110"/>
      <c r="J15" s="3110"/>
      <c r="K15" s="3110"/>
      <c r="L15" s="3110"/>
      <c r="M15" s="3110"/>
      <c r="N15" s="3111"/>
      <c r="O15" s="1569" t="s">
        <v>427</v>
      </c>
      <c r="P15" s="578"/>
      <c r="Q15" s="578"/>
      <c r="R15" s="578"/>
      <c r="S15" s="578"/>
      <c r="T15" s="578"/>
      <c r="U15" s="578"/>
      <c r="V15" s="578"/>
      <c r="W15" s="578"/>
      <c r="X15" s="578"/>
      <c r="Y15" s="578"/>
      <c r="Z15" s="578"/>
      <c r="AA15" s="578"/>
      <c r="AB15" s="578"/>
      <c r="AC15" s="578"/>
      <c r="AD15" s="578"/>
      <c r="AE15" s="578"/>
      <c r="AF15" s="578"/>
      <c r="AG15" s="578"/>
      <c r="AH15" s="578"/>
      <c r="AI15" s="578"/>
      <c r="AJ15" s="578"/>
      <c r="AK15" s="578"/>
      <c r="AL15" s="578"/>
      <c r="AM15" s="578"/>
      <c r="AN15" s="578"/>
      <c r="AO15" s="578"/>
      <c r="AP15" s="578"/>
      <c r="AQ15" s="578"/>
      <c r="AR15" s="578"/>
      <c r="AS15" s="578"/>
      <c r="AT15" s="578"/>
      <c r="AU15" s="578"/>
      <c r="AV15" s="578"/>
      <c r="AW15" s="578"/>
      <c r="AX15" s="578"/>
      <c r="AY15" s="578"/>
      <c r="AZ15" s="578"/>
      <c r="BA15" s="578"/>
      <c r="BB15" s="578"/>
      <c r="BC15" s="578"/>
      <c r="BD15" s="578"/>
      <c r="BE15" s="578"/>
      <c r="BF15" s="578"/>
      <c r="BG15" s="578"/>
    </row>
    <row r="16" spans="1:59" s="366" customFormat="1" ht="12" customHeight="1" thickBot="1">
      <c r="B16" s="3107"/>
      <c r="C16" s="3109"/>
      <c r="D16" s="1910" t="s">
        <v>471</v>
      </c>
      <c r="E16" s="1910" t="s">
        <v>690</v>
      </c>
      <c r="F16" s="1910" t="s">
        <v>60</v>
      </c>
      <c r="G16" s="1910" t="s">
        <v>61</v>
      </c>
      <c r="H16" s="1910" t="s">
        <v>62</v>
      </c>
      <c r="I16" s="1910" t="s">
        <v>64</v>
      </c>
      <c r="J16" s="1910" t="s">
        <v>65</v>
      </c>
      <c r="K16" s="1910" t="s">
        <v>444</v>
      </c>
      <c r="L16" s="1910" t="s">
        <v>446</v>
      </c>
      <c r="M16" s="1596" t="s">
        <v>445</v>
      </c>
      <c r="N16" s="1570" t="s">
        <v>691</v>
      </c>
      <c r="O16" s="1571"/>
    </row>
    <row r="17" spans="2:15" s="366" customFormat="1" ht="12" customHeight="1">
      <c r="B17" s="3085" t="s">
        <v>471</v>
      </c>
      <c r="C17" s="1572">
        <v>102</v>
      </c>
      <c r="D17" s="1369">
        <v>7.3050000000000006</v>
      </c>
      <c r="E17" s="1369"/>
      <c r="F17" s="1369"/>
      <c r="G17" s="1369"/>
      <c r="H17" s="1369"/>
      <c r="I17" s="1369"/>
      <c r="J17" s="1369"/>
      <c r="K17" s="1369"/>
      <c r="L17" s="1369"/>
      <c r="M17" s="1412"/>
      <c r="N17" s="1573"/>
      <c r="O17" s="1574">
        <f>SUM(D17:N17)</f>
        <v>7.3050000000000006</v>
      </c>
    </row>
    <row r="18" spans="2:15" s="366" customFormat="1" ht="12" customHeight="1">
      <c r="B18" s="3085"/>
      <c r="C18" s="1572">
        <v>103</v>
      </c>
      <c r="D18" s="1369">
        <v>4.6079999999999997</v>
      </c>
      <c r="E18" s="1369"/>
      <c r="F18" s="1369"/>
      <c r="G18" s="1369"/>
      <c r="H18" s="1369"/>
      <c r="I18" s="1369"/>
      <c r="J18" s="1369"/>
      <c r="K18" s="1369"/>
      <c r="L18" s="1369"/>
      <c r="M18" s="1412"/>
      <c r="N18" s="1573"/>
      <c r="O18" s="1575">
        <f t="shared" ref="O18:O37" si="0">SUM(D18:N18)</f>
        <v>4.6079999999999997</v>
      </c>
    </row>
    <row r="19" spans="2:15" s="366" customFormat="1" ht="12" customHeight="1">
      <c r="B19" s="3085" t="s">
        <v>690</v>
      </c>
      <c r="C19" s="1572">
        <v>104</v>
      </c>
      <c r="D19" s="1369">
        <v>13.615</v>
      </c>
      <c r="E19" s="1369">
        <v>2.6339999999999999</v>
      </c>
      <c r="F19" s="1369"/>
      <c r="G19" s="1369"/>
      <c r="H19" s="1369"/>
      <c r="I19" s="1369"/>
      <c r="J19" s="1369"/>
      <c r="K19" s="1369"/>
      <c r="L19" s="1369"/>
      <c r="M19" s="1412"/>
      <c r="N19" s="1573"/>
      <c r="O19" s="1575">
        <f t="shared" si="0"/>
        <v>16.248999999999999</v>
      </c>
    </row>
    <row r="20" spans="2:15" s="366" customFormat="1" ht="12" customHeight="1">
      <c r="B20" s="3085"/>
      <c r="C20" s="1572">
        <v>105</v>
      </c>
      <c r="D20" s="1369">
        <v>0.91</v>
      </c>
      <c r="E20" s="1369">
        <v>6.2620000000000005</v>
      </c>
      <c r="F20" s="1414">
        <v>2.141</v>
      </c>
      <c r="G20" s="1369"/>
      <c r="H20" s="1369"/>
      <c r="I20" s="1369"/>
      <c r="J20" s="1369"/>
      <c r="K20" s="1369"/>
      <c r="L20" s="1369"/>
      <c r="M20" s="1412"/>
      <c r="N20" s="1573"/>
      <c r="O20" s="1575">
        <f t="shared" si="0"/>
        <v>9.3130000000000006</v>
      </c>
    </row>
    <row r="21" spans="2:15" s="366" customFormat="1" ht="12" customHeight="1">
      <c r="B21" s="3085"/>
      <c r="C21" s="1572">
        <v>106</v>
      </c>
      <c r="D21" s="1369">
        <v>0.184</v>
      </c>
      <c r="E21" s="1369"/>
      <c r="F21" s="1414">
        <v>4.6029999999999998</v>
      </c>
      <c r="G21" s="1369"/>
      <c r="H21" s="1369"/>
      <c r="I21" s="1369"/>
      <c r="J21" s="1369"/>
      <c r="K21" s="1369"/>
      <c r="L21" s="1369"/>
      <c r="M21" s="1412"/>
      <c r="N21" s="1573"/>
      <c r="O21" s="1575">
        <f t="shared" si="0"/>
        <v>4.7869999999999999</v>
      </c>
    </row>
    <row r="22" spans="2:15" s="366" customFormat="1" ht="12" customHeight="1">
      <c r="B22" s="3077" t="s">
        <v>60</v>
      </c>
      <c r="C22" s="1572">
        <v>107</v>
      </c>
      <c r="D22" s="1369"/>
      <c r="E22" s="1369"/>
      <c r="F22" s="1414">
        <v>11.416</v>
      </c>
      <c r="G22" s="1369"/>
      <c r="H22" s="1369"/>
      <c r="I22" s="1369"/>
      <c r="J22" s="1369"/>
      <c r="K22" s="1369"/>
      <c r="L22" s="1369"/>
      <c r="M22" s="1412"/>
      <c r="N22" s="1573"/>
      <c r="O22" s="1575">
        <f t="shared" si="0"/>
        <v>11.416</v>
      </c>
    </row>
    <row r="23" spans="2:15" s="366" customFormat="1" ht="12" customHeight="1">
      <c r="B23" s="3078"/>
      <c r="C23" s="1572">
        <v>108</v>
      </c>
      <c r="D23" s="1369"/>
      <c r="E23" s="1369"/>
      <c r="F23" s="1414">
        <v>6.073999999999999</v>
      </c>
      <c r="G23" s="1369"/>
      <c r="H23" s="1369"/>
      <c r="I23" s="1369"/>
      <c r="J23" s="1369"/>
      <c r="K23" s="1369"/>
      <c r="L23" s="1369"/>
      <c r="M23" s="1412"/>
      <c r="N23" s="1573"/>
      <c r="O23" s="1575">
        <f t="shared" si="0"/>
        <v>6.073999999999999</v>
      </c>
    </row>
    <row r="24" spans="2:15" s="366" customFormat="1" ht="12" customHeight="1">
      <c r="B24" s="3085" t="s">
        <v>61</v>
      </c>
      <c r="C24" s="1572">
        <v>109</v>
      </c>
      <c r="D24" s="1369"/>
      <c r="E24" s="1369"/>
      <c r="F24" s="1369">
        <v>0.25</v>
      </c>
      <c r="G24" s="1369">
        <v>9.7510000000000012</v>
      </c>
      <c r="H24" s="1369"/>
      <c r="I24" s="1369"/>
      <c r="J24" s="1369"/>
      <c r="K24" s="1369"/>
      <c r="L24" s="1369"/>
      <c r="M24" s="1412"/>
      <c r="N24" s="1573"/>
      <c r="O24" s="1575">
        <f t="shared" si="0"/>
        <v>10.001000000000001</v>
      </c>
    </row>
    <row r="25" spans="2:15" s="366" customFormat="1" ht="12" customHeight="1">
      <c r="B25" s="3085"/>
      <c r="C25" s="1572">
        <v>110</v>
      </c>
      <c r="D25" s="1369"/>
      <c r="E25" s="1369"/>
      <c r="F25" s="1369"/>
      <c r="G25" s="1369">
        <v>3.6819999999999999</v>
      </c>
      <c r="H25" s="1369">
        <v>12.854999999999999</v>
      </c>
      <c r="I25" s="1369">
        <v>0.2</v>
      </c>
      <c r="J25" s="1369"/>
      <c r="K25" s="1369"/>
      <c r="L25" s="1369"/>
      <c r="M25" s="1412"/>
      <c r="N25" s="1573"/>
      <c r="O25" s="1575">
        <f t="shared" si="0"/>
        <v>16.736999999999998</v>
      </c>
    </row>
    <row r="26" spans="2:15" s="366" customFormat="1" ht="12" customHeight="1">
      <c r="B26" s="1854" t="s">
        <v>62</v>
      </c>
      <c r="C26" s="1572">
        <v>111</v>
      </c>
      <c r="D26" s="1369"/>
      <c r="E26" s="1369"/>
      <c r="F26" s="1369"/>
      <c r="G26" s="1369"/>
      <c r="H26" s="1369">
        <v>25.190999999999999</v>
      </c>
      <c r="I26" s="1369">
        <v>1.333</v>
      </c>
      <c r="J26" s="1369"/>
      <c r="K26" s="1369"/>
      <c r="L26" s="1369"/>
      <c r="M26" s="1412"/>
      <c r="N26" s="1573"/>
      <c r="O26" s="1575">
        <f t="shared" si="0"/>
        <v>26.523999999999997</v>
      </c>
    </row>
    <row r="27" spans="2:15" s="366" customFormat="1" ht="12" customHeight="1">
      <c r="B27" s="1572" t="s">
        <v>63</v>
      </c>
      <c r="C27" s="1572">
        <v>112</v>
      </c>
      <c r="D27" s="1369"/>
      <c r="E27" s="1369"/>
      <c r="F27" s="1369"/>
      <c r="G27" s="1369"/>
      <c r="H27" s="1369">
        <v>5.4240000000000004</v>
      </c>
      <c r="I27" s="1369">
        <v>6.6310000000000002</v>
      </c>
      <c r="J27" s="1369"/>
      <c r="K27" s="1369"/>
      <c r="L27" s="1369"/>
      <c r="M27" s="1412"/>
      <c r="N27" s="1573"/>
      <c r="O27" s="1575">
        <f t="shared" si="0"/>
        <v>12.055</v>
      </c>
    </row>
    <row r="28" spans="2:15" s="366" customFormat="1" ht="12" customHeight="1">
      <c r="B28" s="1572" t="s">
        <v>64</v>
      </c>
      <c r="C28" s="1572">
        <v>113</v>
      </c>
      <c r="D28" s="1369"/>
      <c r="E28" s="1369"/>
      <c r="F28" s="1369"/>
      <c r="G28" s="1369"/>
      <c r="H28" s="1369"/>
      <c r="I28" s="1369">
        <v>26.479000000000006</v>
      </c>
      <c r="J28" s="1369">
        <v>1.4470000000000001</v>
      </c>
      <c r="K28" s="1369"/>
      <c r="L28" s="1369"/>
      <c r="M28" s="1412"/>
      <c r="N28" s="1573"/>
      <c r="O28" s="1575">
        <f t="shared" si="0"/>
        <v>27.926000000000005</v>
      </c>
    </row>
    <row r="29" spans="2:15" s="366" customFormat="1" ht="12" customHeight="1">
      <c r="B29" s="1572" t="s">
        <v>65</v>
      </c>
      <c r="C29" s="1572">
        <v>114</v>
      </c>
      <c r="D29" s="1369"/>
      <c r="E29" s="1369"/>
      <c r="F29" s="1369"/>
      <c r="G29" s="1369"/>
      <c r="H29" s="1369">
        <v>1.175</v>
      </c>
      <c r="I29" s="1369">
        <v>0.78300000000000003</v>
      </c>
      <c r="J29" s="776">
        <v>79.954000000000008</v>
      </c>
      <c r="K29" s="1369"/>
      <c r="L29" s="1369">
        <v>0.26900000000000002</v>
      </c>
      <c r="M29" s="1412"/>
      <c r="N29" s="1573"/>
      <c r="O29" s="1575">
        <f t="shared" si="0"/>
        <v>82.181000000000012</v>
      </c>
    </row>
    <row r="30" spans="2:15" s="366" customFormat="1" ht="12" customHeight="1">
      <c r="B30" s="1572" t="s">
        <v>472</v>
      </c>
      <c r="C30" s="1572">
        <v>115</v>
      </c>
      <c r="D30" s="1369"/>
      <c r="E30" s="1369"/>
      <c r="F30" s="1369"/>
      <c r="G30" s="1369"/>
      <c r="H30" s="1369"/>
      <c r="I30" s="1369">
        <v>0.42800000000000005</v>
      </c>
      <c r="J30" s="1369">
        <v>11.625999999999999</v>
      </c>
      <c r="K30" s="1369"/>
      <c r="L30" s="1369">
        <v>1.2409999999999999</v>
      </c>
      <c r="M30" s="1412"/>
      <c r="N30" s="1573"/>
      <c r="O30" s="1575">
        <f t="shared" si="0"/>
        <v>13.295</v>
      </c>
    </row>
    <row r="31" spans="2:15" s="366" customFormat="1" ht="12" customHeight="1">
      <c r="B31" s="1572" t="s">
        <v>444</v>
      </c>
      <c r="C31" s="1572">
        <v>117</v>
      </c>
      <c r="D31" s="1369"/>
      <c r="E31" s="1369"/>
      <c r="F31" s="1369"/>
      <c r="G31" s="1369"/>
      <c r="H31" s="1369"/>
      <c r="I31" s="1369"/>
      <c r="J31" s="776">
        <v>37.753</v>
      </c>
      <c r="K31" s="1369">
        <v>97.040999999999983</v>
      </c>
      <c r="L31" s="1369">
        <v>42.607999999999997</v>
      </c>
      <c r="M31" s="1412"/>
      <c r="N31" s="1573"/>
      <c r="O31" s="1575">
        <f t="shared" si="0"/>
        <v>177.40199999999999</v>
      </c>
    </row>
    <row r="32" spans="2:15" s="366" customFormat="1" ht="12" customHeight="1">
      <c r="B32" s="1572" t="s">
        <v>445</v>
      </c>
      <c r="C32" s="1572">
        <v>118</v>
      </c>
      <c r="D32" s="1369"/>
      <c r="E32" s="1369"/>
      <c r="F32" s="1369"/>
      <c r="G32" s="1369"/>
      <c r="H32" s="1369"/>
      <c r="I32" s="1369"/>
      <c r="J32" s="1490">
        <v>20.246000000000002</v>
      </c>
      <c r="K32" s="1369">
        <v>224.06699999999995</v>
      </c>
      <c r="L32" s="1369">
        <v>20.965000000000003</v>
      </c>
      <c r="M32" s="1576">
        <v>0.31</v>
      </c>
      <c r="N32" s="1573"/>
      <c r="O32" s="1575">
        <f t="shared" si="0"/>
        <v>265.58799999999997</v>
      </c>
    </row>
    <row r="33" spans="1:15" s="366" customFormat="1" ht="12" customHeight="1">
      <c r="B33" s="3085" t="s">
        <v>446</v>
      </c>
      <c r="C33" s="1572">
        <v>116</v>
      </c>
      <c r="D33" s="1369"/>
      <c r="E33" s="1369"/>
      <c r="F33" s="1369"/>
      <c r="G33" s="1369"/>
      <c r="H33" s="1369"/>
      <c r="I33" s="1369"/>
      <c r="J33" s="776">
        <v>10.592999999999998</v>
      </c>
      <c r="K33" s="1369">
        <v>5.6710000000000003</v>
      </c>
      <c r="L33" s="1369">
        <v>50.254000000000033</v>
      </c>
      <c r="M33" s="1412"/>
      <c r="N33" s="1573"/>
      <c r="O33" s="1575">
        <f t="shared" si="0"/>
        <v>66.518000000000029</v>
      </c>
    </row>
    <row r="34" spans="1:15" s="366" customFormat="1" ht="12" customHeight="1">
      <c r="B34" s="3085"/>
      <c r="C34" s="1572">
        <v>161</v>
      </c>
      <c r="D34" s="1369"/>
      <c r="E34" s="1369"/>
      <c r="F34" s="1369"/>
      <c r="G34" s="1369"/>
      <c r="H34" s="1369"/>
      <c r="I34" s="1369"/>
      <c r="J34" s="1369"/>
      <c r="K34" s="1369"/>
      <c r="L34" s="1369">
        <v>17.654000000000003</v>
      </c>
      <c r="M34" s="1412"/>
      <c r="N34" s="1573"/>
      <c r="O34" s="1575">
        <f t="shared" si="0"/>
        <v>17.654000000000003</v>
      </c>
    </row>
    <row r="35" spans="1:15" s="366" customFormat="1" ht="12" customHeight="1">
      <c r="B35" s="3085"/>
      <c r="C35" s="1572">
        <v>163</v>
      </c>
      <c r="D35" s="1369"/>
      <c r="E35" s="1369"/>
      <c r="F35" s="1369"/>
      <c r="G35" s="1369"/>
      <c r="H35" s="1369"/>
      <c r="I35" s="1369"/>
      <c r="J35" s="1369">
        <v>0.41600000000000004</v>
      </c>
      <c r="K35" s="1369">
        <v>4.5989999999999993</v>
      </c>
      <c r="L35" s="1369"/>
      <c r="M35" s="1412"/>
      <c r="N35" s="1573"/>
      <c r="O35" s="1575">
        <f t="shared" si="0"/>
        <v>5.0149999999999997</v>
      </c>
    </row>
    <row r="36" spans="1:15" s="366" customFormat="1" ht="12" customHeight="1">
      <c r="B36" s="3077" t="s">
        <v>691</v>
      </c>
      <c r="C36" s="1572">
        <v>101</v>
      </c>
      <c r="D36" s="1369">
        <v>0.996</v>
      </c>
      <c r="E36" s="1369"/>
      <c r="F36" s="1369"/>
      <c r="G36" s="1369"/>
      <c r="H36" s="1369"/>
      <c r="I36" s="1369"/>
      <c r="J36" s="1369"/>
      <c r="K36" s="1369"/>
      <c r="L36" s="1369"/>
      <c r="M36" s="1412"/>
      <c r="N36" s="1369">
        <v>5.609</v>
      </c>
      <c r="O36" s="1577">
        <f t="shared" si="0"/>
        <v>6.6050000000000004</v>
      </c>
    </row>
    <row r="37" spans="1:15" s="366" customFormat="1" ht="12" customHeight="1" thickBot="1">
      <c r="B37" s="3086"/>
      <c r="C37" s="1855">
        <v>140</v>
      </c>
      <c r="D37" s="1578"/>
      <c r="E37" s="1578"/>
      <c r="F37" s="1578"/>
      <c r="G37" s="1578"/>
      <c r="H37" s="1578"/>
      <c r="I37" s="1578"/>
      <c r="J37" s="1578"/>
      <c r="K37" s="1578"/>
      <c r="L37" s="1578"/>
      <c r="M37" s="1579"/>
      <c r="N37" s="1369">
        <v>1.843</v>
      </c>
      <c r="O37" s="1580">
        <f t="shared" si="0"/>
        <v>1.843</v>
      </c>
    </row>
    <row r="38" spans="1:15" s="366" customFormat="1" ht="12" customHeight="1" thickBot="1">
      <c r="B38" s="3087" t="s">
        <v>427</v>
      </c>
      <c r="C38" s="3088"/>
      <c r="D38" s="1581">
        <f t="shared" ref="D38:N38" si="1">SUM(D17:D37)</f>
        <v>27.617999999999999</v>
      </c>
      <c r="E38" s="1581">
        <f t="shared" si="1"/>
        <v>8.8960000000000008</v>
      </c>
      <c r="F38" s="1581">
        <f>SUM(F17:F37)</f>
        <v>24.483999999999998</v>
      </c>
      <c r="G38" s="1581">
        <f t="shared" si="1"/>
        <v>13.433000000000002</v>
      </c>
      <c r="H38" s="1581">
        <f t="shared" si="1"/>
        <v>44.644999999999996</v>
      </c>
      <c r="I38" s="1581">
        <f t="shared" si="1"/>
        <v>35.854000000000006</v>
      </c>
      <c r="J38" s="1581">
        <f t="shared" si="1"/>
        <v>162.03500000000003</v>
      </c>
      <c r="K38" s="1581">
        <f t="shared" si="1"/>
        <v>331.37799999999993</v>
      </c>
      <c r="L38" s="1581">
        <f t="shared" si="1"/>
        <v>132.99100000000004</v>
      </c>
      <c r="M38" s="1581">
        <f t="shared" si="1"/>
        <v>0.31</v>
      </c>
      <c r="N38" s="1581">
        <f t="shared" si="1"/>
        <v>7.452</v>
      </c>
      <c r="O38" s="1582">
        <f>SUM(O17:O37)</f>
        <v>789.096</v>
      </c>
    </row>
    <row r="39" spans="1:15" s="366" customFormat="1" ht="12" customHeight="1">
      <c r="B39" s="1583"/>
      <c r="C39" s="1583"/>
      <c r="D39" s="1583"/>
      <c r="E39" s="1583"/>
      <c r="F39" s="1583"/>
      <c r="G39" s="1583"/>
      <c r="H39" s="1583"/>
      <c r="I39" s="1583"/>
      <c r="J39" s="1583"/>
      <c r="K39" s="1583"/>
      <c r="L39" s="1583"/>
      <c r="M39" s="1583"/>
      <c r="N39" s="1583"/>
      <c r="O39" s="1583"/>
    </row>
    <row r="40" spans="1:15" s="366" customFormat="1" ht="12" customHeight="1">
      <c r="B40" s="1583"/>
      <c r="C40" s="1583"/>
      <c r="D40" s="1583"/>
      <c r="E40" s="1583"/>
      <c r="F40" s="1583"/>
      <c r="G40" s="1583"/>
      <c r="H40" s="1583"/>
      <c r="I40" s="1583"/>
      <c r="J40" s="1583"/>
      <c r="K40" s="1583"/>
      <c r="L40" s="1583"/>
      <c r="M40" s="1583"/>
      <c r="N40" s="1583"/>
      <c r="O40" s="1583"/>
    </row>
    <row r="41" spans="1:15" s="366" customFormat="1" ht="12" customHeight="1" thickBot="1">
      <c r="B41" s="1583"/>
      <c r="C41" s="1583"/>
      <c r="D41" s="1583"/>
      <c r="E41" s="1583"/>
      <c r="F41" s="1583"/>
      <c r="G41" s="1583"/>
      <c r="H41" s="1583"/>
      <c r="I41" s="1583"/>
      <c r="J41" s="1583"/>
      <c r="K41" s="1583"/>
      <c r="L41" s="1583"/>
      <c r="M41" s="1583"/>
      <c r="N41" s="1583"/>
      <c r="O41" s="1583"/>
    </row>
    <row r="42" spans="1:15" s="366" customFormat="1" ht="12" customHeight="1">
      <c r="B42" s="3079" t="s">
        <v>736</v>
      </c>
      <c r="C42" s="3080"/>
      <c r="D42" s="3080"/>
      <c r="E42" s="3080"/>
      <c r="F42" s="3080"/>
      <c r="G42" s="3080"/>
      <c r="H42" s="3080"/>
      <c r="I42" s="3080"/>
      <c r="J42" s="3080"/>
      <c r="K42" s="3080"/>
      <c r="L42" s="3080"/>
      <c r="M42" s="3080"/>
      <c r="N42" s="3080"/>
      <c r="O42" s="3081"/>
    </row>
    <row r="43" spans="1:15" s="366" customFormat="1" ht="12" customHeight="1" thickBot="1">
      <c r="B43" s="3082"/>
      <c r="C43" s="3083"/>
      <c r="D43" s="3083"/>
      <c r="E43" s="3083"/>
      <c r="F43" s="3083"/>
      <c r="G43" s="3083"/>
      <c r="H43" s="3083"/>
      <c r="I43" s="3083"/>
      <c r="J43" s="3083"/>
      <c r="K43" s="3083"/>
      <c r="L43" s="3083"/>
      <c r="M43" s="3083"/>
      <c r="N43" s="3083"/>
      <c r="O43" s="3084"/>
    </row>
    <row r="44" spans="1:15" ht="12" customHeight="1">
      <c r="A44" s="846"/>
      <c r="B44" s="1583"/>
      <c r="C44" s="1583"/>
      <c r="D44" s="1583"/>
      <c r="E44" s="1583"/>
      <c r="F44" s="1583"/>
      <c r="G44" s="1583"/>
      <c r="H44" s="1583"/>
      <c r="I44" s="1583"/>
      <c r="J44" s="1583"/>
      <c r="K44" s="1583"/>
      <c r="L44" s="1583"/>
      <c r="M44" s="1583"/>
      <c r="N44" s="1583"/>
      <c r="O44" s="1583"/>
    </row>
    <row r="45" spans="1:15" ht="12" customHeight="1" thickBot="1">
      <c r="A45" s="846"/>
      <c r="B45" s="1523"/>
      <c r="C45" s="1523"/>
      <c r="D45" s="1523"/>
      <c r="E45" s="1523"/>
      <c r="F45" s="1523"/>
      <c r="G45" s="1523"/>
      <c r="H45" s="1523"/>
      <c r="I45" s="1523"/>
      <c r="J45" s="1523"/>
      <c r="K45" s="1523"/>
      <c r="L45" s="1523"/>
      <c r="M45" s="1523"/>
      <c r="N45" s="1523"/>
      <c r="O45" s="1523"/>
    </row>
    <row r="46" spans="1:15" ht="15.75" customHeight="1">
      <c r="A46" s="846"/>
      <c r="B46" s="3073" t="s">
        <v>470</v>
      </c>
      <c r="C46" s="3075" t="s">
        <v>437</v>
      </c>
      <c r="D46" s="3064" t="s">
        <v>687</v>
      </c>
      <c r="E46" s="3064"/>
      <c r="F46" s="3064"/>
      <c r="G46" s="3064"/>
      <c r="H46" s="3064"/>
      <c r="I46" s="3064"/>
      <c r="J46" s="3064"/>
      <c r="K46" s="3064"/>
      <c r="L46" s="3064"/>
      <c r="M46" s="3064"/>
      <c r="N46" s="3065"/>
      <c r="O46" s="3066" t="s">
        <v>427</v>
      </c>
    </row>
    <row r="47" spans="1:15" ht="12" customHeight="1">
      <c r="A47" s="846"/>
      <c r="B47" s="3074"/>
      <c r="C47" s="3076"/>
      <c r="D47" s="1584" t="s">
        <v>471</v>
      </c>
      <c r="E47" s="1584" t="s">
        <v>690</v>
      </c>
      <c r="F47" s="1584" t="s">
        <v>60</v>
      </c>
      <c r="G47" s="1584" t="s">
        <v>61</v>
      </c>
      <c r="H47" s="1584" t="s">
        <v>62</v>
      </c>
      <c r="I47" s="1584" t="s">
        <v>64</v>
      </c>
      <c r="J47" s="1584" t="s">
        <v>65</v>
      </c>
      <c r="K47" s="1584" t="s">
        <v>444</v>
      </c>
      <c r="L47" s="1585" t="s">
        <v>445</v>
      </c>
      <c r="M47" s="1584" t="s">
        <v>446</v>
      </c>
      <c r="N47" s="1586" t="s">
        <v>691</v>
      </c>
      <c r="O47" s="3067"/>
    </row>
    <row r="48" spans="1:15" ht="12" customHeight="1">
      <c r="A48" s="846"/>
      <c r="B48" s="3077" t="s">
        <v>471</v>
      </c>
      <c r="C48" s="1411">
        <v>102</v>
      </c>
      <c r="D48" s="1587">
        <v>10.096</v>
      </c>
      <c r="E48" s="1587"/>
      <c r="F48" s="1587"/>
      <c r="G48" s="1587"/>
      <c r="H48" s="1587"/>
      <c r="I48" s="1587"/>
      <c r="J48" s="1587"/>
      <c r="K48" s="1587"/>
      <c r="L48" s="1587"/>
      <c r="M48" s="1587"/>
      <c r="N48" s="1587">
        <v>1.0670000000000002</v>
      </c>
      <c r="O48" s="1588">
        <f>SUM(D48:N48)</f>
        <v>11.163</v>
      </c>
    </row>
    <row r="49" spans="1:15" ht="12" customHeight="1">
      <c r="A49" s="846"/>
      <c r="B49" s="3078"/>
      <c r="C49" s="1411">
        <v>103</v>
      </c>
      <c r="D49" s="1587">
        <v>4.1290000000000004</v>
      </c>
      <c r="E49" s="1587"/>
      <c r="F49" s="1587"/>
      <c r="G49" s="1587"/>
      <c r="H49" s="1587"/>
      <c r="I49" s="1587"/>
      <c r="J49" s="1587"/>
      <c r="K49" s="1587"/>
      <c r="L49" s="1587"/>
      <c r="M49" s="1587"/>
      <c r="N49" s="1587"/>
      <c r="O49" s="1588">
        <f t="shared" ref="O49:O71" si="2">SUM(D49:N49)</f>
        <v>4.1290000000000004</v>
      </c>
    </row>
    <row r="50" spans="1:15" ht="12" customHeight="1">
      <c r="A50" s="846"/>
      <c r="B50" s="3068" t="s">
        <v>690</v>
      </c>
      <c r="C50" s="1411">
        <v>104</v>
      </c>
      <c r="D50" s="1945">
        <v>10.76</v>
      </c>
      <c r="E50" s="1587">
        <v>0.38900000000000001</v>
      </c>
      <c r="F50" s="1587"/>
      <c r="G50" s="1587"/>
      <c r="H50" s="1587"/>
      <c r="I50" s="1587"/>
      <c r="J50" s="1587"/>
      <c r="K50" s="1587"/>
      <c r="L50" s="1587"/>
      <c r="M50" s="1587"/>
      <c r="N50" s="1587"/>
      <c r="O50" s="1588">
        <f t="shared" si="2"/>
        <v>11.148999999999999</v>
      </c>
    </row>
    <row r="51" spans="1:15" ht="12" customHeight="1">
      <c r="A51" s="846"/>
      <c r="B51" s="3070"/>
      <c r="C51" s="1411">
        <v>105</v>
      </c>
      <c r="D51" s="1587"/>
      <c r="E51" s="1587">
        <v>10.888999999999999</v>
      </c>
      <c r="F51" s="1587">
        <v>7.8800000000000008</v>
      </c>
      <c r="G51" s="1587">
        <v>1.3640000000000001</v>
      </c>
      <c r="H51" s="1587"/>
      <c r="I51" s="1587"/>
      <c r="J51" s="1587"/>
      <c r="K51" s="1587"/>
      <c r="L51" s="1587"/>
      <c r="M51" s="1587"/>
      <c r="N51" s="1587"/>
      <c r="O51" s="1588">
        <f t="shared" si="2"/>
        <v>20.132999999999999</v>
      </c>
    </row>
    <row r="52" spans="1:15" ht="12" customHeight="1">
      <c r="A52" s="846"/>
      <c r="B52" s="3069"/>
      <c r="C52" s="1411">
        <v>106</v>
      </c>
      <c r="D52" s="1587"/>
      <c r="E52" s="1587">
        <v>0.61199999999999999</v>
      </c>
      <c r="F52" s="1587">
        <v>12.466999999999999</v>
      </c>
      <c r="G52" s="1587"/>
      <c r="H52" s="1587"/>
      <c r="I52" s="1587"/>
      <c r="J52" s="1587"/>
      <c r="K52" s="1587"/>
      <c r="L52" s="1587"/>
      <c r="M52" s="1587"/>
      <c r="N52" s="1587"/>
      <c r="O52" s="1588">
        <f t="shared" si="2"/>
        <v>13.078999999999999</v>
      </c>
    </row>
    <row r="53" spans="1:15" ht="12" customHeight="1">
      <c r="A53" s="846"/>
      <c r="B53" s="3068" t="s">
        <v>60</v>
      </c>
      <c r="C53" s="1411">
        <v>107</v>
      </c>
      <c r="D53" s="1587"/>
      <c r="E53" s="1587"/>
      <c r="F53" s="1587">
        <v>8.1430000000000007</v>
      </c>
      <c r="G53" s="1587"/>
      <c r="H53" s="1587"/>
      <c r="I53" s="1587"/>
      <c r="J53" s="1587"/>
      <c r="K53" s="1587"/>
      <c r="L53" s="1587"/>
      <c r="M53" s="1587"/>
      <c r="N53" s="1587"/>
      <c r="O53" s="1588">
        <f t="shared" si="2"/>
        <v>8.1430000000000007</v>
      </c>
    </row>
    <row r="54" spans="1:15" ht="12" customHeight="1">
      <c r="A54" s="846"/>
      <c r="B54" s="3069"/>
      <c r="C54" s="1411">
        <v>108</v>
      </c>
      <c r="D54" s="1587"/>
      <c r="E54" s="1587"/>
      <c r="F54" s="1587">
        <v>9.9499999999999993</v>
      </c>
      <c r="G54" s="1587"/>
      <c r="H54" s="1587"/>
      <c r="I54" s="1587"/>
      <c r="J54" s="1587"/>
      <c r="K54" s="1587"/>
      <c r="L54" s="1587"/>
      <c r="M54" s="1587"/>
      <c r="N54" s="1587"/>
      <c r="O54" s="1588">
        <f t="shared" si="2"/>
        <v>9.9499999999999993</v>
      </c>
    </row>
    <row r="55" spans="1:15" ht="12" customHeight="1">
      <c r="A55" s="846"/>
      <c r="B55" s="3068" t="s">
        <v>61</v>
      </c>
      <c r="C55" s="1411">
        <v>109</v>
      </c>
      <c r="D55" s="1587"/>
      <c r="E55" s="1587"/>
      <c r="F55" s="1587"/>
      <c r="G55" s="1587">
        <v>0.88</v>
      </c>
      <c r="H55" s="1587"/>
      <c r="I55" s="1587"/>
      <c r="J55" s="1587"/>
      <c r="K55" s="1587"/>
      <c r="L55" s="1587"/>
      <c r="M55" s="1587"/>
      <c r="N55" s="1587"/>
      <c r="O55" s="1588">
        <f t="shared" si="2"/>
        <v>0.88</v>
      </c>
    </row>
    <row r="56" spans="1:15" ht="12" customHeight="1">
      <c r="A56" s="846"/>
      <c r="B56" s="3069"/>
      <c r="C56" s="1411">
        <v>110</v>
      </c>
      <c r="D56" s="1587"/>
      <c r="E56" s="1587"/>
      <c r="F56" s="1587"/>
      <c r="G56" s="1587"/>
      <c r="H56" s="1587">
        <v>5.2530000000000001</v>
      </c>
      <c r="I56" s="1587">
        <v>0.61099999999999999</v>
      </c>
      <c r="J56" s="1587"/>
      <c r="K56" s="1587"/>
      <c r="L56" s="1587"/>
      <c r="M56" s="1587"/>
      <c r="N56" s="1587"/>
      <c r="O56" s="1588">
        <f t="shared" si="2"/>
        <v>5.8639999999999999</v>
      </c>
    </row>
    <row r="57" spans="1:15" ht="12" customHeight="1">
      <c r="A57" s="846"/>
      <c r="B57" s="1572" t="s">
        <v>62</v>
      </c>
      <c r="C57" s="1411">
        <v>111</v>
      </c>
      <c r="D57" s="1587"/>
      <c r="E57" s="1587"/>
      <c r="F57" s="1587"/>
      <c r="G57" s="1587"/>
      <c r="H57" s="1587">
        <v>18.919999999999998</v>
      </c>
      <c r="I57" s="1587">
        <v>0.999</v>
      </c>
      <c r="J57" s="1587"/>
      <c r="K57" s="1587"/>
      <c r="L57" s="1587"/>
      <c r="M57" s="1587"/>
      <c r="N57" s="1587"/>
      <c r="O57" s="1588">
        <f t="shared" si="2"/>
        <v>19.918999999999997</v>
      </c>
    </row>
    <row r="58" spans="1:15" ht="12" customHeight="1">
      <c r="A58" s="846"/>
      <c r="B58" s="1572" t="s">
        <v>63</v>
      </c>
      <c r="C58" s="1411">
        <v>112</v>
      </c>
      <c r="D58" s="1587"/>
      <c r="E58" s="1587"/>
      <c r="F58" s="1587"/>
      <c r="G58" s="1587"/>
      <c r="H58" s="1587">
        <v>3.0049999999999999</v>
      </c>
      <c r="I58" s="1587">
        <v>9.1199999999999992</v>
      </c>
      <c r="J58" s="1587"/>
      <c r="K58" s="1587"/>
      <c r="L58" s="1587"/>
      <c r="M58" s="1587"/>
      <c r="N58" s="1587"/>
      <c r="O58" s="1588">
        <f t="shared" si="2"/>
        <v>12.125</v>
      </c>
    </row>
    <row r="59" spans="1:15" ht="12" customHeight="1">
      <c r="A59" s="846"/>
      <c r="B59" s="3068" t="s">
        <v>64</v>
      </c>
      <c r="C59" s="1411">
        <v>113</v>
      </c>
      <c r="D59" s="1587"/>
      <c r="E59" s="1587"/>
      <c r="F59" s="1587"/>
      <c r="G59" s="1587"/>
      <c r="H59" s="1587"/>
      <c r="I59" s="1587">
        <v>23.966999999999999</v>
      </c>
      <c r="J59" s="1587">
        <v>11.451999999999998</v>
      </c>
      <c r="K59" s="1587"/>
      <c r="L59" s="1587"/>
      <c r="M59" s="1587"/>
      <c r="N59" s="1587"/>
      <c r="O59" s="1588">
        <f t="shared" si="2"/>
        <v>35.418999999999997</v>
      </c>
    </row>
    <row r="60" spans="1:15" ht="12" customHeight="1">
      <c r="A60" s="846"/>
      <c r="B60" s="3069"/>
      <c r="C60" s="1411">
        <v>152</v>
      </c>
      <c r="D60" s="1587"/>
      <c r="E60" s="1587"/>
      <c r="F60" s="1587"/>
      <c r="G60" s="1587"/>
      <c r="H60" s="1587"/>
      <c r="I60" s="1587"/>
      <c r="J60" s="1587">
        <v>1.093</v>
      </c>
      <c r="K60" s="1587"/>
      <c r="L60" s="1587"/>
      <c r="M60" s="1587"/>
      <c r="N60" s="1587"/>
      <c r="O60" s="1588">
        <f t="shared" si="2"/>
        <v>1.093</v>
      </c>
    </row>
    <row r="61" spans="1:15" ht="12" customHeight="1">
      <c r="A61" s="846"/>
      <c r="B61" s="1572" t="s">
        <v>65</v>
      </c>
      <c r="C61" s="1411">
        <v>114</v>
      </c>
      <c r="D61" s="1587"/>
      <c r="E61" s="1587"/>
      <c r="F61" s="1587"/>
      <c r="G61" s="1587"/>
      <c r="H61" s="1587"/>
      <c r="I61" s="1587">
        <v>3.12</v>
      </c>
      <c r="J61" s="1909">
        <v>80.783999999999992</v>
      </c>
      <c r="K61" s="1587"/>
      <c r="L61" s="1587"/>
      <c r="M61" s="1587">
        <v>5.859</v>
      </c>
      <c r="N61" s="1587"/>
      <c r="O61" s="1588">
        <f t="shared" si="2"/>
        <v>89.762999999999991</v>
      </c>
    </row>
    <row r="62" spans="1:15" ht="12" customHeight="1">
      <c r="A62" s="846"/>
      <c r="B62" s="1855" t="s">
        <v>472</v>
      </c>
      <c r="C62" s="1411">
        <v>115</v>
      </c>
      <c r="D62" s="1587"/>
      <c r="E62" s="1587"/>
      <c r="F62" s="1587"/>
      <c r="G62" s="1587"/>
      <c r="H62" s="1587"/>
      <c r="I62" s="1587"/>
      <c r="J62" s="1587">
        <v>7.8680000000000003</v>
      </c>
      <c r="K62" s="1587"/>
      <c r="L62" s="1587"/>
      <c r="M62" s="1587">
        <v>6.2669999999999995</v>
      </c>
      <c r="N62" s="1587"/>
      <c r="O62" s="1588">
        <f t="shared" si="2"/>
        <v>14.135</v>
      </c>
    </row>
    <row r="63" spans="1:15" ht="12" customHeight="1">
      <c r="A63" s="846"/>
      <c r="B63" s="3070" t="s">
        <v>444</v>
      </c>
      <c r="C63" s="1589">
        <v>117</v>
      </c>
      <c r="D63" s="1590"/>
      <c r="E63" s="1590"/>
      <c r="F63" s="1590"/>
      <c r="G63" s="1590"/>
      <c r="H63" s="1590"/>
      <c r="I63" s="1590"/>
      <c r="J63" s="1590">
        <v>36.484999999999999</v>
      </c>
      <c r="K63" s="1414">
        <v>101.53700000000001</v>
      </c>
      <c r="L63" s="1590"/>
      <c r="M63" s="1590">
        <v>28.939000000000004</v>
      </c>
      <c r="N63" s="1590"/>
      <c r="O63" s="1588">
        <f t="shared" si="2"/>
        <v>166.96099999999998</v>
      </c>
    </row>
    <row r="64" spans="1:15" ht="12" customHeight="1">
      <c r="A64" s="846"/>
      <c r="B64" s="3070"/>
      <c r="C64" s="1411">
        <v>121</v>
      </c>
      <c r="D64" s="1591"/>
      <c r="E64" s="1591"/>
      <c r="F64" s="1591"/>
      <c r="G64" s="1591"/>
      <c r="H64" s="1591"/>
      <c r="I64" s="1591"/>
      <c r="J64" s="1591"/>
      <c r="K64" s="1414">
        <v>1.7000000000000001E-2</v>
      </c>
      <c r="L64" s="1591"/>
      <c r="M64" s="1591"/>
      <c r="N64" s="1591"/>
      <c r="O64" s="1588">
        <f t="shared" si="2"/>
        <v>1.7000000000000001E-2</v>
      </c>
    </row>
    <row r="65" spans="1:41" ht="12" customHeight="1">
      <c r="A65" s="846"/>
      <c r="B65" s="3070"/>
      <c r="C65" s="1411">
        <v>162</v>
      </c>
      <c r="D65" s="1591"/>
      <c r="E65" s="1591"/>
      <c r="F65" s="1591"/>
      <c r="G65" s="1591"/>
      <c r="H65" s="1591"/>
      <c r="I65" s="1591"/>
      <c r="J65" s="1591">
        <v>4.5519999999999996</v>
      </c>
      <c r="K65" s="1414">
        <v>8.4890000000000008</v>
      </c>
      <c r="L65" s="1591"/>
      <c r="M65" s="1591"/>
      <c r="N65" s="1591"/>
      <c r="O65" s="1588">
        <f t="shared" si="2"/>
        <v>13.041</v>
      </c>
    </row>
    <row r="66" spans="1:41" s="1522" customFormat="1" ht="12" customHeight="1">
      <c r="A66" s="846"/>
      <c r="B66" s="3068" t="s">
        <v>445</v>
      </c>
      <c r="C66" s="1411">
        <v>118</v>
      </c>
      <c r="D66" s="1591"/>
      <c r="E66" s="1591"/>
      <c r="F66" s="1591"/>
      <c r="G66" s="1591"/>
      <c r="H66" s="1591"/>
      <c r="I66" s="1591"/>
      <c r="J66" s="1591">
        <v>13.001000000000001</v>
      </c>
      <c r="K66" s="1414">
        <v>192.07300000000001</v>
      </c>
      <c r="L66" s="1591"/>
      <c r="M66" s="1591">
        <v>6.1840000000000002</v>
      </c>
      <c r="N66" s="1591"/>
      <c r="O66" s="1588">
        <f>SUM(D66:N66)</f>
        <v>211.25800000000001</v>
      </c>
      <c r="P66" s="1523"/>
      <c r="Q66" s="1523"/>
      <c r="R66" s="1523"/>
      <c r="S66" s="1523"/>
      <c r="T66" s="1523"/>
      <c r="U66" s="1523"/>
      <c r="V66" s="1523"/>
      <c r="W66" s="1523"/>
      <c r="X66" s="1523"/>
      <c r="Y66" s="1523"/>
      <c r="Z66" s="1523"/>
      <c r="AA66" s="1523"/>
      <c r="AB66" s="1523"/>
      <c r="AC66" s="1523"/>
      <c r="AD66" s="1523"/>
      <c r="AE66" s="1523"/>
      <c r="AF66" s="1523"/>
      <c r="AG66" s="1523"/>
      <c r="AH66" s="1523"/>
      <c r="AI66" s="1523"/>
      <c r="AJ66" s="1523"/>
      <c r="AK66" s="1523"/>
      <c r="AL66" s="1523"/>
      <c r="AM66" s="1523"/>
      <c r="AN66" s="1523"/>
      <c r="AO66" s="1523"/>
    </row>
    <row r="67" spans="1:41" ht="12" customHeight="1">
      <c r="A67" s="846"/>
      <c r="B67" s="3070"/>
      <c r="C67" s="1411">
        <v>122</v>
      </c>
      <c r="D67" s="1591"/>
      <c r="E67" s="1591"/>
      <c r="F67" s="1591"/>
      <c r="G67" s="1591"/>
      <c r="H67" s="1591"/>
      <c r="I67" s="1591"/>
      <c r="J67" s="1939">
        <v>2.92</v>
      </c>
      <c r="K67" s="1591"/>
      <c r="L67" s="1591">
        <v>0.2</v>
      </c>
      <c r="M67" s="1591"/>
      <c r="N67" s="1591"/>
      <c r="O67" s="1588">
        <f t="shared" si="2"/>
        <v>3.12</v>
      </c>
    </row>
    <row r="68" spans="1:41" ht="12" customHeight="1">
      <c r="A68" s="846"/>
      <c r="B68" s="3069"/>
      <c r="C68" s="1411">
        <v>116</v>
      </c>
      <c r="D68" s="1591"/>
      <c r="E68" s="1591"/>
      <c r="F68" s="1591"/>
      <c r="G68" s="1591"/>
      <c r="H68" s="1591"/>
      <c r="I68" s="1591"/>
      <c r="J68" s="1591">
        <v>0.68400000000000005</v>
      </c>
      <c r="K68" s="1591"/>
      <c r="L68" s="1591"/>
      <c r="M68" s="1591"/>
      <c r="N68" s="1591"/>
      <c r="O68" s="1588">
        <f t="shared" si="2"/>
        <v>0.68400000000000005</v>
      </c>
    </row>
    <row r="69" spans="1:41" ht="12" customHeight="1">
      <c r="A69" s="846"/>
      <c r="B69" s="1855" t="s">
        <v>446</v>
      </c>
      <c r="C69" s="1411">
        <v>161</v>
      </c>
      <c r="D69" s="1591"/>
      <c r="E69" s="1591"/>
      <c r="F69" s="1591"/>
      <c r="G69" s="1591"/>
      <c r="H69" s="1591"/>
      <c r="I69" s="1591"/>
      <c r="J69" s="1591">
        <v>3.996</v>
      </c>
      <c r="K69" s="1414">
        <v>6.5679999999999996</v>
      </c>
      <c r="L69" s="1591"/>
      <c r="M69" s="1591">
        <v>62.815000000000019</v>
      </c>
      <c r="N69" s="1591"/>
      <c r="O69" s="1588">
        <f t="shared" si="2"/>
        <v>73.379000000000019</v>
      </c>
    </row>
    <row r="70" spans="1:41" s="1522" customFormat="1" ht="12" customHeight="1">
      <c r="A70" s="846"/>
      <c r="B70" s="3068" t="s">
        <v>691</v>
      </c>
      <c r="C70" s="1597">
        <v>101</v>
      </c>
      <c r="D70" s="1591">
        <v>1.3220000000000001</v>
      </c>
      <c r="E70" s="1591"/>
      <c r="F70" s="1591"/>
      <c r="G70" s="1591"/>
      <c r="H70" s="1591"/>
      <c r="I70" s="1591"/>
      <c r="J70" s="1591"/>
      <c r="K70" s="1591"/>
      <c r="L70" s="1591"/>
      <c r="M70" s="1591"/>
      <c r="N70" s="1591">
        <v>8.423</v>
      </c>
      <c r="O70" s="1588">
        <f>SUM(D70:N70)</f>
        <v>9.745000000000001</v>
      </c>
      <c r="P70" s="1523"/>
      <c r="Q70" s="1523"/>
      <c r="R70" s="1523"/>
      <c r="S70" s="1523"/>
      <c r="T70" s="1523"/>
      <c r="U70" s="1523"/>
      <c r="V70" s="1523"/>
      <c r="W70" s="1523"/>
      <c r="X70" s="1523"/>
      <c r="Y70" s="1523"/>
      <c r="Z70" s="1523"/>
      <c r="AA70" s="1523"/>
      <c r="AB70" s="1523"/>
      <c r="AC70" s="1523"/>
      <c r="AD70" s="1523"/>
      <c r="AE70" s="1523"/>
      <c r="AF70" s="1523"/>
      <c r="AG70" s="1523"/>
      <c r="AH70" s="1523"/>
      <c r="AI70" s="1523"/>
      <c r="AJ70" s="1523"/>
      <c r="AK70" s="1523"/>
      <c r="AL70" s="1523"/>
      <c r="AM70" s="1523"/>
      <c r="AN70" s="1523"/>
      <c r="AO70" s="1523"/>
    </row>
    <row r="71" spans="1:41" ht="12" customHeight="1" thickBot="1">
      <c r="A71" s="846"/>
      <c r="B71" s="3069"/>
      <c r="C71" s="1598">
        <v>140</v>
      </c>
      <c r="D71" s="1592"/>
      <c r="E71" s="1592"/>
      <c r="F71" s="1592"/>
      <c r="G71" s="1592"/>
      <c r="H71" s="1592"/>
      <c r="I71" s="1592"/>
      <c r="J71" s="1465"/>
      <c r="K71" s="1592"/>
      <c r="L71" s="1592"/>
      <c r="M71" s="1592"/>
      <c r="N71" s="1593">
        <v>1.518</v>
      </c>
      <c r="O71" s="1588">
        <f t="shared" si="2"/>
        <v>1.518</v>
      </c>
    </row>
    <row r="72" spans="1:41" ht="12" customHeight="1" thickBot="1">
      <c r="A72" s="846"/>
      <c r="B72" s="3071" t="s">
        <v>427</v>
      </c>
      <c r="C72" s="3072"/>
      <c r="D72" s="1594">
        <f>SUM(D48:D71)</f>
        <v>26.306999999999999</v>
      </c>
      <c r="E72" s="1594">
        <v>11.889999999999999</v>
      </c>
      <c r="F72" s="1594">
        <v>38.44</v>
      </c>
      <c r="G72" s="1594">
        <v>2.2440000000000002</v>
      </c>
      <c r="H72" s="1594">
        <v>27.178000000000001</v>
      </c>
      <c r="I72" s="1594">
        <v>37.816999999999993</v>
      </c>
      <c r="J72" s="1594">
        <f>SUM(J48:J71)</f>
        <v>162.83499999999998</v>
      </c>
      <c r="K72" s="1594">
        <f>SUM(K48:K71)</f>
        <v>308.68399999999997</v>
      </c>
      <c r="L72" s="1594">
        <v>0.2</v>
      </c>
      <c r="M72" s="1594">
        <v>110.06400000000002</v>
      </c>
      <c r="N72" s="1594">
        <v>11.008000000000003</v>
      </c>
      <c r="O72" s="1595">
        <f>SUM(O48:O71)</f>
        <v>736.66700000000003</v>
      </c>
    </row>
    <row r="73" spans="1:41" ht="12" customHeight="1">
      <c r="A73" s="846"/>
      <c r="B73" s="1523"/>
      <c r="C73" s="1523"/>
      <c r="D73" s="1523"/>
      <c r="E73" s="1523"/>
      <c r="F73" s="1523"/>
      <c r="G73" s="1523"/>
      <c r="H73" s="1523"/>
      <c r="I73" s="1523"/>
      <c r="J73" s="1523"/>
      <c r="K73" s="1523"/>
      <c r="L73" s="1523"/>
      <c r="M73" s="1523"/>
      <c r="N73" s="1523"/>
      <c r="O73" s="1523"/>
    </row>
    <row r="74" spans="1:41" ht="20.100000000000001" customHeight="1">
      <c r="A74" s="846"/>
      <c r="B74" s="846"/>
      <c r="C74" s="846"/>
      <c r="D74" s="846"/>
      <c r="E74" s="846"/>
      <c r="F74" s="846"/>
      <c r="G74" s="846"/>
      <c r="H74" s="846"/>
      <c r="I74" s="846"/>
      <c r="J74" s="846"/>
      <c r="K74" s="846"/>
      <c r="L74" s="846"/>
      <c r="M74" s="846"/>
      <c r="N74" s="846"/>
      <c r="O74" s="846"/>
    </row>
    <row r="75" spans="1:41" ht="20.100000000000001" customHeight="1">
      <c r="A75" s="846"/>
      <c r="B75" s="846"/>
      <c r="C75" s="846"/>
      <c r="D75" s="846"/>
      <c r="E75" s="846"/>
      <c r="F75" s="846"/>
      <c r="G75" s="846"/>
      <c r="H75" s="846"/>
      <c r="I75" s="846"/>
      <c r="J75" s="846"/>
      <c r="K75" s="846"/>
      <c r="L75" s="846"/>
      <c r="M75" s="846"/>
      <c r="N75" s="846"/>
      <c r="O75" s="846"/>
    </row>
    <row r="76" spans="1:41" ht="20.100000000000001" customHeight="1">
      <c r="A76" s="846"/>
      <c r="B76" s="846"/>
      <c r="C76" s="846"/>
      <c r="D76" s="846"/>
      <c r="E76" s="846"/>
      <c r="F76" s="846"/>
      <c r="G76" s="846"/>
      <c r="H76" s="846"/>
      <c r="I76" s="846"/>
      <c r="J76" s="846"/>
      <c r="K76" s="846"/>
      <c r="L76" s="846"/>
      <c r="M76" s="846"/>
      <c r="N76" s="846"/>
      <c r="O76" s="846"/>
    </row>
    <row r="77" spans="1:41" ht="20.100000000000001" customHeight="1">
      <c r="A77" s="846"/>
      <c r="B77" s="846"/>
      <c r="C77" s="846"/>
      <c r="D77" s="846"/>
      <c r="E77" s="846"/>
      <c r="F77" s="846"/>
      <c r="G77" s="846"/>
      <c r="H77" s="846"/>
      <c r="I77" s="846"/>
      <c r="J77" s="846"/>
      <c r="K77" s="846"/>
      <c r="L77" s="846"/>
      <c r="M77" s="846"/>
      <c r="N77" s="846"/>
      <c r="O77" s="846"/>
    </row>
    <row r="78" spans="1:41" ht="20.100000000000001" customHeight="1">
      <c r="A78" s="846"/>
      <c r="B78" s="846"/>
      <c r="C78" s="846"/>
      <c r="D78" s="846"/>
      <c r="E78" s="846"/>
      <c r="F78" s="846"/>
      <c r="G78" s="846"/>
      <c r="H78" s="846"/>
      <c r="I78" s="846"/>
      <c r="J78" s="846"/>
      <c r="K78" s="846"/>
      <c r="L78" s="846"/>
      <c r="M78" s="846"/>
      <c r="N78" s="846"/>
      <c r="O78" s="846"/>
    </row>
    <row r="79" spans="1:41" ht="20.100000000000001" customHeight="1">
      <c r="A79" s="846"/>
      <c r="B79" s="846"/>
      <c r="C79" s="846"/>
      <c r="D79" s="846"/>
      <c r="E79" s="846"/>
      <c r="F79" s="846"/>
      <c r="G79" s="846"/>
      <c r="H79" s="846"/>
      <c r="I79" s="846"/>
      <c r="J79" s="846"/>
      <c r="K79" s="846"/>
      <c r="L79" s="846"/>
      <c r="M79" s="846"/>
      <c r="N79" s="846"/>
      <c r="O79" s="846"/>
    </row>
    <row r="80" spans="1:41" ht="20.100000000000001" customHeight="1">
      <c r="A80" s="846"/>
      <c r="B80" s="846"/>
      <c r="C80" s="846"/>
      <c r="D80" s="846"/>
      <c r="E80" s="846"/>
      <c r="F80" s="846"/>
      <c r="G80" s="846"/>
      <c r="H80" s="846"/>
      <c r="I80" s="846"/>
      <c r="J80" s="846"/>
      <c r="K80" s="846"/>
      <c r="L80" s="846"/>
      <c r="M80" s="846"/>
      <c r="N80" s="846"/>
      <c r="O80" s="846"/>
    </row>
    <row r="81" spans="1:15" ht="20.100000000000001" customHeight="1">
      <c r="A81" s="846"/>
      <c r="B81" s="846"/>
      <c r="C81" s="846"/>
      <c r="D81" s="846"/>
      <c r="E81" s="846"/>
      <c r="F81" s="846"/>
      <c r="G81" s="846"/>
      <c r="H81" s="846"/>
      <c r="I81" s="846"/>
      <c r="J81" s="846"/>
      <c r="K81" s="846"/>
      <c r="L81" s="846"/>
      <c r="M81" s="846"/>
      <c r="N81" s="846"/>
      <c r="O81" s="846"/>
    </row>
    <row r="82" spans="1:15" ht="20.100000000000001" customHeight="1">
      <c r="A82" s="846"/>
      <c r="B82" s="846"/>
      <c r="C82" s="846"/>
      <c r="D82" s="846"/>
      <c r="E82" s="846"/>
      <c r="F82" s="846"/>
      <c r="G82" s="846"/>
      <c r="H82" s="846"/>
      <c r="I82" s="846"/>
      <c r="J82" s="846"/>
      <c r="K82" s="846"/>
      <c r="L82" s="846"/>
      <c r="M82" s="846"/>
      <c r="N82" s="846"/>
      <c r="O82" s="846"/>
    </row>
    <row r="83" spans="1:15" ht="20.100000000000001" customHeight="1">
      <c r="A83" s="846"/>
      <c r="B83" s="846"/>
      <c r="C83" s="846"/>
      <c r="D83" s="846"/>
      <c r="E83" s="846"/>
      <c r="F83" s="846"/>
      <c r="G83" s="846"/>
      <c r="H83" s="846"/>
      <c r="I83" s="846"/>
      <c r="J83" s="846"/>
      <c r="K83" s="846"/>
      <c r="L83" s="846"/>
      <c r="M83" s="846"/>
      <c r="N83" s="846"/>
      <c r="O83" s="846"/>
    </row>
    <row r="84" spans="1:15" ht="20.100000000000001" customHeight="1">
      <c r="A84" s="846"/>
      <c r="B84" s="846"/>
      <c r="C84" s="846"/>
      <c r="D84" s="846"/>
      <c r="E84" s="846"/>
      <c r="F84" s="846"/>
      <c r="G84" s="846"/>
      <c r="H84" s="846"/>
      <c r="I84" s="846"/>
      <c r="J84" s="846"/>
      <c r="K84" s="846"/>
      <c r="L84" s="846"/>
      <c r="M84" s="846"/>
      <c r="N84" s="846"/>
      <c r="O84" s="846"/>
    </row>
    <row r="85" spans="1:15" ht="20.100000000000001" customHeight="1">
      <c r="A85" s="846"/>
      <c r="B85" s="846"/>
      <c r="C85" s="846"/>
      <c r="D85" s="846"/>
      <c r="E85" s="846"/>
      <c r="F85" s="846"/>
      <c r="G85" s="846"/>
      <c r="H85" s="846"/>
      <c r="I85" s="846"/>
      <c r="J85" s="846"/>
      <c r="K85" s="846"/>
      <c r="L85" s="846"/>
      <c r="M85" s="846"/>
      <c r="N85" s="846"/>
      <c r="O85" s="846"/>
    </row>
    <row r="86" spans="1:15" ht="20.100000000000001" customHeight="1">
      <c r="A86" s="846"/>
      <c r="B86" s="846"/>
      <c r="C86" s="846"/>
      <c r="D86" s="846"/>
      <c r="E86" s="846"/>
      <c r="F86" s="846"/>
      <c r="G86" s="846"/>
      <c r="H86" s="846"/>
      <c r="I86" s="846"/>
      <c r="J86" s="846"/>
      <c r="K86" s="846"/>
      <c r="L86" s="846"/>
      <c r="M86" s="846"/>
      <c r="N86" s="846"/>
      <c r="O86" s="846"/>
    </row>
    <row r="87" spans="1:15" ht="20.100000000000001" customHeight="1">
      <c r="A87" s="846"/>
      <c r="B87" s="846"/>
      <c r="C87" s="846"/>
      <c r="D87" s="846"/>
      <c r="E87" s="846"/>
      <c r="F87" s="846"/>
      <c r="G87" s="846"/>
      <c r="H87" s="846"/>
      <c r="I87" s="846"/>
      <c r="J87" s="846"/>
      <c r="K87" s="846"/>
      <c r="L87" s="846"/>
      <c r="M87" s="846"/>
      <c r="N87" s="846"/>
      <c r="O87" s="846"/>
    </row>
    <row r="88" spans="1:15" ht="20.100000000000001" customHeight="1">
      <c r="A88" s="846"/>
      <c r="B88" s="846"/>
      <c r="C88" s="846"/>
      <c r="D88" s="846"/>
      <c r="E88" s="846"/>
      <c r="F88" s="846"/>
      <c r="G88" s="846"/>
      <c r="H88" s="846"/>
      <c r="I88" s="846"/>
      <c r="J88" s="846"/>
      <c r="K88" s="846"/>
      <c r="L88" s="846"/>
      <c r="M88" s="846"/>
      <c r="N88" s="846"/>
      <c r="O88" s="846"/>
    </row>
    <row r="89" spans="1:15" ht="20.100000000000001" customHeight="1">
      <c r="A89" s="846"/>
      <c r="B89" s="846"/>
      <c r="C89" s="846"/>
      <c r="D89" s="846"/>
      <c r="E89" s="846"/>
      <c r="F89" s="846"/>
      <c r="G89" s="846"/>
      <c r="H89" s="846"/>
      <c r="I89" s="846"/>
      <c r="J89" s="846"/>
      <c r="K89" s="846"/>
      <c r="L89" s="846"/>
      <c r="M89" s="846"/>
      <c r="N89" s="846"/>
      <c r="O89" s="846"/>
    </row>
    <row r="90" spans="1:15" ht="20.100000000000001" customHeight="1">
      <c r="A90" s="846"/>
      <c r="B90" s="846"/>
      <c r="C90" s="846"/>
      <c r="D90" s="846"/>
      <c r="E90" s="846"/>
      <c r="F90" s="846"/>
      <c r="G90" s="846"/>
      <c r="H90" s="846"/>
      <c r="I90" s="846"/>
      <c r="J90" s="846"/>
      <c r="K90" s="846"/>
      <c r="L90" s="846"/>
      <c r="M90" s="846"/>
      <c r="N90" s="846"/>
      <c r="O90" s="846"/>
    </row>
    <row r="91" spans="1:15" ht="20.100000000000001" customHeight="1">
      <c r="A91" s="846"/>
      <c r="B91" s="846"/>
      <c r="C91" s="846"/>
      <c r="D91" s="846"/>
      <c r="E91" s="846"/>
      <c r="F91" s="846"/>
      <c r="G91" s="846"/>
      <c r="H91" s="846"/>
      <c r="I91" s="846"/>
      <c r="J91" s="846"/>
      <c r="K91" s="846"/>
      <c r="L91" s="846"/>
      <c r="M91" s="846"/>
      <c r="N91" s="846"/>
      <c r="O91" s="846"/>
    </row>
    <row r="92" spans="1:15" ht="20.100000000000001" customHeight="1">
      <c r="A92" s="846"/>
      <c r="B92" s="846"/>
      <c r="C92" s="846"/>
      <c r="D92" s="846"/>
      <c r="E92" s="846"/>
      <c r="F92" s="846"/>
      <c r="G92" s="846"/>
      <c r="H92" s="846"/>
      <c r="I92" s="846"/>
      <c r="J92" s="846"/>
      <c r="K92" s="846"/>
      <c r="L92" s="846"/>
      <c r="M92" s="846"/>
      <c r="N92" s="846"/>
      <c r="O92" s="846"/>
    </row>
    <row r="93" spans="1:15" ht="20.100000000000001" customHeight="1">
      <c r="A93" s="846"/>
      <c r="B93" s="846"/>
      <c r="C93" s="846"/>
      <c r="D93" s="846"/>
      <c r="E93" s="846"/>
      <c r="F93" s="846"/>
      <c r="G93" s="846"/>
      <c r="H93" s="846"/>
      <c r="I93" s="846"/>
      <c r="J93" s="846"/>
      <c r="K93" s="846"/>
      <c r="L93" s="846"/>
      <c r="M93" s="846"/>
      <c r="N93" s="846"/>
      <c r="O93" s="846"/>
    </row>
    <row r="94" spans="1:15" ht="20.100000000000001" customHeight="1">
      <c r="A94" s="846"/>
      <c r="B94" s="846"/>
      <c r="C94" s="846"/>
      <c r="D94" s="846"/>
      <c r="E94" s="846"/>
      <c r="F94" s="846"/>
      <c r="G94" s="846"/>
      <c r="H94" s="846"/>
      <c r="I94" s="846"/>
      <c r="J94" s="846"/>
      <c r="K94" s="846"/>
      <c r="L94" s="846"/>
      <c r="M94" s="846"/>
      <c r="N94" s="846"/>
      <c r="O94" s="846"/>
    </row>
    <row r="95" spans="1:15" ht="20.100000000000001" customHeight="1">
      <c r="A95" s="846"/>
      <c r="B95" s="846"/>
      <c r="C95" s="846"/>
      <c r="D95" s="846"/>
      <c r="E95" s="846"/>
      <c r="F95" s="846"/>
      <c r="G95" s="846"/>
      <c r="H95" s="846"/>
      <c r="I95" s="846"/>
      <c r="J95" s="846"/>
      <c r="K95" s="846"/>
      <c r="L95" s="846"/>
      <c r="M95" s="846"/>
      <c r="N95" s="846"/>
      <c r="O95" s="846"/>
    </row>
    <row r="96" spans="1:15" ht="20.100000000000001" customHeight="1">
      <c r="A96" s="846"/>
      <c r="B96" s="846"/>
      <c r="C96" s="846"/>
      <c r="D96" s="846"/>
      <c r="E96" s="846"/>
      <c r="F96" s="846"/>
      <c r="G96" s="846"/>
      <c r="H96" s="846"/>
      <c r="I96" s="846"/>
      <c r="J96" s="846"/>
      <c r="K96" s="846"/>
      <c r="L96" s="846"/>
      <c r="M96" s="846"/>
      <c r="N96" s="846"/>
      <c r="O96" s="846"/>
    </row>
    <row r="97" spans="1:15" ht="20.100000000000001" customHeight="1">
      <c r="A97" s="846"/>
      <c r="B97" s="846"/>
      <c r="C97" s="846"/>
      <c r="D97" s="846"/>
      <c r="E97" s="846"/>
      <c r="F97" s="846"/>
      <c r="G97" s="846"/>
      <c r="H97" s="846"/>
      <c r="I97" s="846"/>
      <c r="J97" s="846"/>
      <c r="K97" s="846"/>
      <c r="L97" s="846"/>
      <c r="M97" s="846"/>
      <c r="N97" s="846"/>
      <c r="O97" s="846"/>
    </row>
    <row r="98" spans="1:15" ht="20.100000000000001" customHeight="1">
      <c r="A98" s="846"/>
      <c r="B98" s="846"/>
      <c r="C98" s="846"/>
      <c r="D98" s="846"/>
      <c r="E98" s="846"/>
      <c r="F98" s="846"/>
      <c r="G98" s="846"/>
      <c r="H98" s="846"/>
      <c r="I98" s="846"/>
      <c r="J98" s="846"/>
      <c r="K98" s="846"/>
      <c r="L98" s="846"/>
      <c r="M98" s="846"/>
      <c r="N98" s="846"/>
      <c r="O98" s="846"/>
    </row>
    <row r="99" spans="1:15" ht="20.100000000000001" customHeight="1">
      <c r="A99" s="846"/>
      <c r="B99" s="846"/>
      <c r="C99" s="846"/>
      <c r="D99" s="846"/>
      <c r="E99" s="846"/>
      <c r="F99" s="846"/>
      <c r="G99" s="846"/>
      <c r="H99" s="846"/>
      <c r="I99" s="846"/>
      <c r="J99" s="846"/>
      <c r="K99" s="846"/>
      <c r="L99" s="846"/>
      <c r="M99" s="846"/>
      <c r="N99" s="846"/>
      <c r="O99" s="846"/>
    </row>
    <row r="100" spans="1:15" ht="20.100000000000001" customHeight="1">
      <c r="A100" s="846"/>
      <c r="B100" s="846"/>
      <c r="C100" s="846"/>
      <c r="D100" s="846"/>
      <c r="E100" s="846"/>
      <c r="F100" s="846"/>
      <c r="G100" s="846"/>
      <c r="H100" s="846"/>
      <c r="I100" s="846"/>
      <c r="J100" s="846"/>
      <c r="K100" s="846"/>
      <c r="L100" s="846"/>
      <c r="M100" s="846"/>
      <c r="N100" s="846"/>
      <c r="O100" s="846"/>
    </row>
    <row r="101" spans="1:15" ht="20.100000000000001" customHeight="1">
      <c r="A101" s="846"/>
      <c r="B101" s="846"/>
      <c r="C101" s="846"/>
      <c r="D101" s="846"/>
      <c r="E101" s="846"/>
      <c r="F101" s="846"/>
      <c r="G101" s="846"/>
      <c r="H101" s="846"/>
      <c r="I101" s="846"/>
      <c r="J101" s="846"/>
      <c r="K101" s="846"/>
      <c r="L101" s="846"/>
      <c r="M101" s="846"/>
      <c r="N101" s="846"/>
      <c r="O101" s="846"/>
    </row>
    <row r="102" spans="1:15" ht="20.100000000000001" customHeight="1">
      <c r="A102" s="846"/>
      <c r="B102" s="846"/>
      <c r="C102" s="846"/>
      <c r="D102" s="846"/>
      <c r="E102" s="846"/>
      <c r="F102" s="846"/>
      <c r="G102" s="846"/>
      <c r="H102" s="846"/>
      <c r="I102" s="846"/>
      <c r="J102" s="846"/>
      <c r="K102" s="846"/>
      <c r="L102" s="846"/>
      <c r="M102" s="846"/>
      <c r="N102" s="846"/>
      <c r="O102" s="846"/>
    </row>
    <row r="103" spans="1:15" ht="20.100000000000001" customHeight="1">
      <c r="A103" s="846"/>
      <c r="B103" s="846"/>
      <c r="C103" s="846"/>
      <c r="D103" s="846"/>
      <c r="E103" s="846"/>
      <c r="F103" s="846"/>
      <c r="G103" s="846"/>
      <c r="H103" s="846"/>
      <c r="I103" s="846"/>
      <c r="J103" s="846"/>
      <c r="K103" s="846"/>
      <c r="L103" s="846"/>
      <c r="M103" s="846"/>
      <c r="N103" s="846"/>
      <c r="O103" s="846"/>
    </row>
    <row r="104" spans="1:15" ht="20.100000000000001" customHeight="1">
      <c r="A104" s="846"/>
      <c r="B104" s="846"/>
      <c r="C104" s="846"/>
      <c r="D104" s="846"/>
      <c r="E104" s="846"/>
      <c r="F104" s="846"/>
      <c r="G104" s="846"/>
      <c r="H104" s="846"/>
      <c r="I104" s="846"/>
      <c r="J104" s="846"/>
      <c r="K104" s="846"/>
      <c r="L104" s="846"/>
      <c r="M104" s="846"/>
      <c r="N104" s="846"/>
      <c r="O104" s="846"/>
    </row>
    <row r="105" spans="1:15" ht="20.100000000000001" customHeight="1">
      <c r="A105" s="846"/>
      <c r="B105" s="846"/>
      <c r="C105" s="846"/>
      <c r="D105" s="846"/>
      <c r="E105" s="846"/>
      <c r="F105" s="846"/>
      <c r="G105" s="846"/>
      <c r="H105" s="846"/>
      <c r="I105" s="846"/>
      <c r="J105" s="846"/>
      <c r="K105" s="846"/>
      <c r="L105" s="846"/>
      <c r="M105" s="846"/>
      <c r="N105" s="846"/>
      <c r="O105" s="846"/>
    </row>
    <row r="106" spans="1:15" ht="20.100000000000001" customHeight="1">
      <c r="A106" s="846"/>
      <c r="B106" s="846"/>
      <c r="C106" s="846"/>
      <c r="D106" s="846"/>
      <c r="E106" s="846"/>
      <c r="F106" s="846"/>
      <c r="G106" s="846"/>
      <c r="H106" s="846"/>
      <c r="I106" s="846"/>
      <c r="J106" s="846"/>
      <c r="K106" s="846"/>
      <c r="L106" s="846"/>
      <c r="M106" s="846"/>
      <c r="N106" s="846"/>
      <c r="O106" s="846"/>
    </row>
    <row r="107" spans="1:15" ht="20.100000000000001" customHeight="1">
      <c r="A107" s="846"/>
      <c r="B107" s="846"/>
      <c r="C107" s="846"/>
      <c r="D107" s="846"/>
      <c r="E107" s="846"/>
      <c r="F107" s="846"/>
      <c r="G107" s="846"/>
      <c r="H107" s="846"/>
      <c r="I107" s="846"/>
      <c r="J107" s="846"/>
      <c r="K107" s="846"/>
      <c r="L107" s="846"/>
      <c r="M107" s="846"/>
      <c r="N107" s="846"/>
      <c r="O107" s="846"/>
    </row>
    <row r="108" spans="1:15" ht="20.100000000000001" customHeight="1">
      <c r="A108" s="846"/>
      <c r="B108" s="846"/>
      <c r="C108" s="846"/>
      <c r="D108" s="846"/>
      <c r="E108" s="846"/>
      <c r="F108" s="846"/>
      <c r="G108" s="846"/>
      <c r="H108" s="846"/>
      <c r="I108" s="846"/>
      <c r="J108" s="846"/>
      <c r="K108" s="846"/>
      <c r="L108" s="846"/>
      <c r="M108" s="846"/>
      <c r="N108" s="846"/>
      <c r="O108" s="846"/>
    </row>
    <row r="109" spans="1:15" ht="20.100000000000001" customHeight="1">
      <c r="A109" s="846"/>
      <c r="B109" s="846"/>
      <c r="C109" s="846"/>
      <c r="D109" s="846"/>
      <c r="E109" s="846"/>
      <c r="F109" s="846"/>
      <c r="G109" s="846"/>
      <c r="H109" s="846"/>
      <c r="I109" s="846"/>
      <c r="J109" s="846"/>
      <c r="K109" s="846"/>
      <c r="L109" s="846"/>
      <c r="M109" s="846"/>
      <c r="N109" s="846"/>
      <c r="O109" s="846"/>
    </row>
    <row r="110" spans="1:15" ht="20.100000000000001" customHeight="1">
      <c r="A110" s="846"/>
      <c r="B110" s="846"/>
      <c r="C110" s="846"/>
      <c r="D110" s="846"/>
      <c r="E110" s="846"/>
      <c r="F110" s="846"/>
      <c r="G110" s="846"/>
      <c r="H110" s="846"/>
      <c r="I110" s="846"/>
      <c r="J110" s="846"/>
      <c r="K110" s="846"/>
      <c r="L110" s="846"/>
      <c r="M110" s="846"/>
      <c r="N110" s="846"/>
      <c r="O110" s="846"/>
    </row>
    <row r="111" spans="1:15" ht="20.100000000000001" customHeight="1">
      <c r="A111" s="846"/>
      <c r="B111" s="846"/>
      <c r="C111" s="846"/>
      <c r="D111" s="846"/>
      <c r="E111" s="846"/>
      <c r="F111" s="846"/>
      <c r="G111" s="846"/>
      <c r="H111" s="846"/>
      <c r="I111" s="846"/>
      <c r="J111" s="846"/>
      <c r="K111" s="846"/>
      <c r="L111" s="846"/>
      <c r="M111" s="846"/>
      <c r="N111" s="846"/>
      <c r="O111" s="846"/>
    </row>
    <row r="112" spans="1:15" ht="20.100000000000001" customHeight="1">
      <c r="A112" s="846"/>
      <c r="B112" s="846"/>
      <c r="C112" s="846"/>
      <c r="D112" s="846"/>
      <c r="E112" s="846"/>
      <c r="F112" s="846"/>
      <c r="G112" s="846"/>
      <c r="H112" s="846"/>
      <c r="I112" s="846"/>
      <c r="J112" s="846"/>
      <c r="K112" s="846"/>
      <c r="L112" s="846"/>
      <c r="M112" s="846"/>
      <c r="N112" s="846"/>
      <c r="O112" s="846"/>
    </row>
    <row r="113" spans="1:15" ht="20.100000000000001" customHeight="1">
      <c r="A113" s="846"/>
      <c r="B113" s="846"/>
      <c r="C113" s="846"/>
      <c r="D113" s="846"/>
      <c r="E113" s="846"/>
      <c r="F113" s="846"/>
      <c r="G113" s="846"/>
      <c r="H113" s="846"/>
      <c r="I113" s="846"/>
      <c r="J113" s="846"/>
      <c r="K113" s="846"/>
      <c r="L113" s="846"/>
      <c r="M113" s="846"/>
      <c r="N113" s="846"/>
      <c r="O113" s="846"/>
    </row>
    <row r="114" spans="1:15" ht="20.100000000000001" customHeight="1">
      <c r="A114" s="846"/>
      <c r="B114" s="846"/>
      <c r="C114" s="846"/>
      <c r="D114" s="846"/>
      <c r="E114" s="846"/>
      <c r="F114" s="846"/>
      <c r="G114" s="846"/>
      <c r="H114" s="846"/>
      <c r="I114" s="846"/>
      <c r="J114" s="846"/>
      <c r="K114" s="846"/>
      <c r="L114" s="846"/>
      <c r="M114" s="846"/>
      <c r="N114" s="846"/>
      <c r="O114" s="846"/>
    </row>
    <row r="115" spans="1:15" ht="20.100000000000001" customHeight="1">
      <c r="A115" s="846"/>
      <c r="B115" s="846"/>
      <c r="C115" s="846"/>
      <c r="D115" s="846"/>
      <c r="E115" s="846"/>
      <c r="F115" s="846"/>
      <c r="G115" s="846"/>
      <c r="H115" s="846"/>
      <c r="I115" s="846"/>
      <c r="J115" s="846"/>
      <c r="K115" s="846"/>
      <c r="L115" s="846"/>
      <c r="M115" s="846"/>
      <c r="N115" s="846"/>
      <c r="O115" s="846"/>
    </row>
    <row r="116" spans="1:15" ht="20.100000000000001" customHeight="1">
      <c r="A116" s="846"/>
      <c r="B116" s="846"/>
      <c r="C116" s="846"/>
      <c r="D116" s="846"/>
      <c r="E116" s="846"/>
      <c r="F116" s="846"/>
      <c r="G116" s="846"/>
      <c r="H116" s="846"/>
      <c r="I116" s="846"/>
      <c r="J116" s="846"/>
      <c r="K116" s="846"/>
      <c r="L116" s="846"/>
      <c r="M116" s="846"/>
      <c r="N116" s="846"/>
      <c r="O116" s="846"/>
    </row>
    <row r="117" spans="1:15" ht="20.100000000000001" customHeight="1">
      <c r="A117" s="846"/>
      <c r="B117" s="846"/>
      <c r="C117" s="846"/>
      <c r="D117" s="846"/>
      <c r="E117" s="846"/>
      <c r="F117" s="846"/>
      <c r="G117" s="846"/>
      <c r="H117" s="846"/>
      <c r="I117" s="846"/>
      <c r="J117" s="846"/>
      <c r="K117" s="846"/>
      <c r="L117" s="846"/>
      <c r="M117" s="846"/>
      <c r="N117" s="846"/>
      <c r="O117" s="846"/>
    </row>
    <row r="118" spans="1:15" ht="20.100000000000001" customHeight="1">
      <c r="A118" s="846"/>
      <c r="B118" s="846"/>
      <c r="C118" s="846"/>
      <c r="D118" s="846"/>
      <c r="E118" s="846"/>
      <c r="F118" s="846"/>
      <c r="G118" s="846"/>
      <c r="H118" s="846"/>
      <c r="I118" s="846"/>
      <c r="J118" s="846"/>
      <c r="K118" s="846"/>
      <c r="L118" s="846"/>
      <c r="M118" s="846"/>
      <c r="N118" s="846"/>
      <c r="O118" s="846"/>
    </row>
    <row r="119" spans="1:15" ht="20.100000000000001" customHeight="1">
      <c r="A119" s="846"/>
      <c r="B119" s="846"/>
      <c r="C119" s="846"/>
      <c r="D119" s="846"/>
      <c r="E119" s="846"/>
      <c r="F119" s="846"/>
      <c r="G119" s="846"/>
      <c r="H119" s="846"/>
      <c r="I119" s="846"/>
      <c r="J119" s="846"/>
      <c r="K119" s="846"/>
      <c r="L119" s="846"/>
      <c r="M119" s="846"/>
      <c r="N119" s="846"/>
      <c r="O119" s="846"/>
    </row>
    <row r="120" spans="1:15" ht="20.100000000000001" customHeight="1">
      <c r="A120" s="846"/>
      <c r="B120" s="846"/>
      <c r="C120" s="846"/>
      <c r="D120" s="846"/>
      <c r="E120" s="846"/>
      <c r="F120" s="846"/>
      <c r="G120" s="846"/>
      <c r="H120" s="846"/>
      <c r="I120" s="846"/>
      <c r="J120" s="846"/>
      <c r="K120" s="846"/>
      <c r="L120" s="846"/>
      <c r="M120" s="846"/>
      <c r="N120" s="846"/>
      <c r="O120" s="846"/>
    </row>
    <row r="121" spans="1:15" ht="20.100000000000001" customHeight="1">
      <c r="A121" s="846"/>
      <c r="B121" s="846"/>
      <c r="C121" s="846"/>
      <c r="D121" s="846"/>
      <c r="E121" s="846"/>
      <c r="F121" s="846"/>
      <c r="G121" s="846"/>
      <c r="H121" s="846"/>
      <c r="I121" s="846"/>
      <c r="J121" s="846"/>
      <c r="K121" s="846"/>
      <c r="L121" s="846"/>
      <c r="M121" s="846"/>
      <c r="N121" s="846"/>
      <c r="O121" s="846"/>
    </row>
    <row r="122" spans="1:15" ht="20.100000000000001" customHeight="1">
      <c r="A122" s="846"/>
      <c r="B122" s="846"/>
      <c r="C122" s="846"/>
      <c r="D122" s="846"/>
      <c r="E122" s="846"/>
      <c r="F122" s="846"/>
      <c r="G122" s="846"/>
      <c r="H122" s="846"/>
      <c r="I122" s="846"/>
      <c r="J122" s="846"/>
      <c r="K122" s="846"/>
      <c r="L122" s="846"/>
      <c r="M122" s="846"/>
      <c r="N122" s="846"/>
      <c r="O122" s="846"/>
    </row>
    <row r="123" spans="1:15" ht="20.100000000000001" customHeight="1">
      <c r="A123" s="846"/>
      <c r="B123" s="846"/>
      <c r="C123" s="846"/>
      <c r="D123" s="846"/>
      <c r="E123" s="846"/>
      <c r="F123" s="846"/>
      <c r="G123" s="846"/>
      <c r="H123" s="846"/>
      <c r="I123" s="846"/>
      <c r="J123" s="846"/>
      <c r="K123" s="846"/>
      <c r="L123" s="846"/>
      <c r="M123" s="846"/>
      <c r="N123" s="846"/>
      <c r="O123" s="846"/>
    </row>
    <row r="124" spans="1:15" ht="20.100000000000001" customHeight="1">
      <c r="A124" s="846"/>
      <c r="B124" s="846"/>
      <c r="C124" s="846"/>
      <c r="D124" s="846"/>
      <c r="E124" s="846"/>
      <c r="F124" s="846"/>
      <c r="G124" s="846"/>
      <c r="H124" s="846"/>
      <c r="I124" s="846"/>
      <c r="J124" s="846"/>
      <c r="K124" s="846"/>
      <c r="L124" s="846"/>
      <c r="M124" s="846"/>
      <c r="N124" s="846"/>
      <c r="O124" s="846"/>
    </row>
    <row r="125" spans="1:15" ht="20.100000000000001" customHeight="1">
      <c r="A125" s="846"/>
      <c r="B125" s="846"/>
      <c r="C125" s="846"/>
      <c r="D125" s="846"/>
      <c r="E125" s="846"/>
      <c r="F125" s="846"/>
      <c r="G125" s="846"/>
      <c r="H125" s="846"/>
      <c r="I125" s="846"/>
      <c r="J125" s="846"/>
      <c r="K125" s="846"/>
      <c r="L125" s="846"/>
      <c r="M125" s="846"/>
      <c r="N125" s="846"/>
      <c r="O125" s="846"/>
    </row>
    <row r="126" spans="1:15" ht="20.100000000000001" customHeight="1">
      <c r="A126" s="846"/>
      <c r="B126" s="846"/>
      <c r="C126" s="846"/>
      <c r="D126" s="846"/>
      <c r="E126" s="846"/>
      <c r="F126" s="846"/>
      <c r="G126" s="846"/>
      <c r="H126" s="846"/>
      <c r="I126" s="846"/>
      <c r="J126" s="846"/>
      <c r="K126" s="846"/>
      <c r="L126" s="846"/>
      <c r="M126" s="846"/>
      <c r="N126" s="846"/>
      <c r="O126" s="846"/>
    </row>
    <row r="127" spans="1:15" ht="20.100000000000001" customHeight="1">
      <c r="A127" s="846"/>
      <c r="B127" s="846"/>
      <c r="C127" s="846"/>
      <c r="D127" s="846"/>
      <c r="E127" s="846"/>
      <c r="F127" s="846"/>
      <c r="G127" s="846"/>
      <c r="H127" s="846"/>
      <c r="I127" s="846"/>
      <c r="J127" s="846"/>
      <c r="K127" s="846"/>
      <c r="L127" s="846"/>
      <c r="M127" s="846"/>
      <c r="N127" s="846"/>
      <c r="O127" s="846"/>
    </row>
    <row r="128" spans="1:15" ht="20.100000000000001" customHeight="1">
      <c r="A128" s="846"/>
      <c r="B128" s="846"/>
      <c r="C128" s="846"/>
      <c r="D128" s="846"/>
      <c r="E128" s="846"/>
      <c r="F128" s="846"/>
      <c r="G128" s="846"/>
      <c r="H128" s="846"/>
      <c r="I128" s="846"/>
      <c r="J128" s="846"/>
      <c r="K128" s="846"/>
      <c r="L128" s="846"/>
      <c r="M128" s="846"/>
      <c r="N128" s="846"/>
      <c r="O128" s="846"/>
    </row>
    <row r="129" spans="1:15" ht="20.100000000000001" customHeight="1">
      <c r="A129" s="846"/>
      <c r="B129" s="846"/>
      <c r="C129" s="846"/>
      <c r="D129" s="846"/>
      <c r="E129" s="846"/>
      <c r="F129" s="846"/>
      <c r="G129" s="846"/>
      <c r="H129" s="846"/>
      <c r="I129" s="846"/>
      <c r="J129" s="846"/>
      <c r="K129" s="846"/>
      <c r="L129" s="846"/>
      <c r="M129" s="846"/>
      <c r="N129" s="846"/>
      <c r="O129" s="846"/>
    </row>
    <row r="130" spans="1:15" ht="20.100000000000001" customHeight="1">
      <c r="A130" s="846"/>
      <c r="B130" s="846"/>
      <c r="C130" s="846"/>
      <c r="D130" s="846"/>
      <c r="E130" s="846"/>
      <c r="F130" s="846"/>
      <c r="G130" s="846"/>
      <c r="H130" s="846"/>
      <c r="I130" s="846"/>
      <c r="J130" s="846"/>
      <c r="K130" s="846"/>
      <c r="L130" s="846"/>
      <c r="M130" s="846"/>
      <c r="N130" s="846"/>
      <c r="O130" s="846"/>
    </row>
    <row r="131" spans="1:15" ht="20.100000000000001" customHeight="1">
      <c r="A131" s="846"/>
      <c r="B131" s="846"/>
      <c r="C131" s="846"/>
      <c r="D131" s="846"/>
      <c r="E131" s="846"/>
      <c r="F131" s="846"/>
      <c r="G131" s="846"/>
      <c r="H131" s="846"/>
      <c r="I131" s="846"/>
      <c r="J131" s="846"/>
      <c r="K131" s="846"/>
      <c r="L131" s="846"/>
      <c r="M131" s="846"/>
      <c r="N131" s="846"/>
      <c r="O131" s="846"/>
    </row>
    <row r="132" spans="1:15" ht="20.100000000000001" customHeight="1">
      <c r="A132" s="846"/>
      <c r="B132" s="846"/>
      <c r="C132" s="846"/>
      <c r="D132" s="846"/>
      <c r="E132" s="846"/>
      <c r="F132" s="846"/>
      <c r="G132" s="846"/>
      <c r="H132" s="846"/>
      <c r="I132" s="846"/>
      <c r="J132" s="846"/>
      <c r="K132" s="846"/>
      <c r="L132" s="846"/>
      <c r="M132" s="846"/>
      <c r="N132" s="846"/>
      <c r="O132" s="846"/>
    </row>
    <row r="133" spans="1:15" ht="20.100000000000001" customHeight="1">
      <c r="A133" s="846"/>
      <c r="B133" s="846"/>
      <c r="C133" s="846"/>
      <c r="D133" s="846"/>
      <c r="E133" s="846"/>
      <c r="F133" s="846"/>
      <c r="G133" s="846"/>
      <c r="H133" s="846"/>
      <c r="I133" s="846"/>
      <c r="J133" s="846"/>
      <c r="K133" s="846"/>
      <c r="L133" s="846"/>
      <c r="M133" s="846"/>
      <c r="N133" s="846"/>
      <c r="O133" s="846"/>
    </row>
    <row r="134" spans="1:15" ht="20.100000000000001" customHeight="1">
      <c r="A134" s="846"/>
      <c r="B134" s="846"/>
      <c r="C134" s="846"/>
      <c r="D134" s="846"/>
      <c r="E134" s="846"/>
      <c r="F134" s="846"/>
      <c r="G134" s="846"/>
      <c r="H134" s="846"/>
      <c r="I134" s="846"/>
      <c r="J134" s="846"/>
      <c r="K134" s="846"/>
      <c r="L134" s="846"/>
      <c r="M134" s="846"/>
      <c r="N134" s="846"/>
      <c r="O134" s="846"/>
    </row>
    <row r="135" spans="1:15" ht="20.100000000000001" customHeight="1">
      <c r="A135" s="846"/>
      <c r="B135" s="846"/>
      <c r="C135" s="846"/>
      <c r="D135" s="846"/>
      <c r="E135" s="846"/>
      <c r="F135" s="846"/>
      <c r="G135" s="846"/>
      <c r="H135" s="846"/>
      <c r="I135" s="846"/>
      <c r="J135" s="846"/>
      <c r="K135" s="846"/>
      <c r="L135" s="846"/>
      <c r="M135" s="846"/>
      <c r="N135" s="846"/>
      <c r="O135" s="846"/>
    </row>
    <row r="136" spans="1:15" ht="20.100000000000001" customHeight="1">
      <c r="A136" s="846"/>
      <c r="B136" s="846"/>
      <c r="C136" s="846"/>
      <c r="D136" s="846"/>
      <c r="E136" s="846"/>
      <c r="F136" s="846"/>
      <c r="G136" s="846"/>
      <c r="H136" s="846"/>
      <c r="I136" s="846"/>
      <c r="J136" s="846"/>
      <c r="K136" s="846"/>
      <c r="L136" s="846"/>
      <c r="M136" s="846"/>
      <c r="N136" s="846"/>
      <c r="O136" s="846"/>
    </row>
    <row r="137" spans="1:15" ht="20.100000000000001" customHeight="1">
      <c r="A137" s="846"/>
      <c r="B137" s="846"/>
      <c r="C137" s="846"/>
      <c r="D137" s="846"/>
      <c r="E137" s="846"/>
      <c r="F137" s="846"/>
      <c r="G137" s="846"/>
      <c r="H137" s="846"/>
      <c r="I137" s="846"/>
      <c r="J137" s="846"/>
      <c r="K137" s="846"/>
      <c r="L137" s="846"/>
      <c r="M137" s="846"/>
      <c r="N137" s="846"/>
      <c r="O137" s="846"/>
    </row>
    <row r="138" spans="1:15" ht="20.100000000000001" customHeight="1">
      <c r="A138" s="846"/>
      <c r="B138" s="846"/>
      <c r="C138" s="846"/>
      <c r="D138" s="846"/>
      <c r="E138" s="846"/>
      <c r="F138" s="846"/>
      <c r="G138" s="846"/>
      <c r="H138" s="846"/>
      <c r="I138" s="846"/>
      <c r="J138" s="846"/>
      <c r="K138" s="846"/>
      <c r="L138" s="846"/>
      <c r="M138" s="846"/>
      <c r="N138" s="846"/>
      <c r="O138" s="846"/>
    </row>
    <row r="139" spans="1:15" ht="20.100000000000001" customHeight="1">
      <c r="A139" s="846"/>
      <c r="B139" s="846"/>
      <c r="C139" s="846"/>
      <c r="D139" s="846"/>
      <c r="E139" s="846"/>
      <c r="F139" s="846"/>
      <c r="G139" s="846"/>
      <c r="H139" s="846"/>
      <c r="I139" s="846"/>
      <c r="J139" s="846"/>
      <c r="K139" s="846"/>
      <c r="L139" s="846"/>
      <c r="M139" s="846"/>
      <c r="N139" s="846"/>
      <c r="O139" s="846"/>
    </row>
    <row r="140" spans="1:15" ht="20.100000000000001" customHeight="1">
      <c r="A140" s="846"/>
      <c r="B140" s="846"/>
      <c r="C140" s="846"/>
      <c r="D140" s="846"/>
      <c r="E140" s="846"/>
      <c r="F140" s="846"/>
      <c r="G140" s="846"/>
      <c r="H140" s="846"/>
      <c r="I140" s="846"/>
      <c r="J140" s="846"/>
      <c r="K140" s="846"/>
      <c r="L140" s="846"/>
      <c r="M140" s="846"/>
      <c r="N140" s="846"/>
      <c r="O140" s="846"/>
    </row>
    <row r="141" spans="1:15" ht="20.100000000000001" customHeight="1">
      <c r="A141" s="846"/>
      <c r="B141" s="846"/>
      <c r="C141" s="846"/>
      <c r="D141" s="846"/>
      <c r="E141" s="846"/>
      <c r="F141" s="846"/>
      <c r="G141" s="846"/>
      <c r="H141" s="846"/>
      <c r="I141" s="846"/>
      <c r="J141" s="846"/>
      <c r="K141" s="846"/>
      <c r="L141" s="846"/>
      <c r="M141" s="846"/>
      <c r="N141" s="846"/>
      <c r="O141" s="846"/>
    </row>
    <row r="142" spans="1:15" ht="20.100000000000001" customHeight="1">
      <c r="A142" s="846"/>
      <c r="B142" s="846"/>
      <c r="C142" s="846"/>
      <c r="D142" s="846"/>
      <c r="E142" s="846"/>
      <c r="F142" s="846"/>
      <c r="G142" s="846"/>
      <c r="H142" s="846"/>
      <c r="I142" s="846"/>
      <c r="J142" s="846"/>
      <c r="K142" s="846"/>
      <c r="L142" s="846"/>
      <c r="M142" s="846"/>
      <c r="N142" s="846"/>
      <c r="O142" s="846"/>
    </row>
    <row r="143" spans="1:15" ht="20.100000000000001" customHeight="1">
      <c r="A143" s="846"/>
      <c r="B143" s="846"/>
      <c r="C143" s="846"/>
      <c r="D143" s="846"/>
      <c r="E143" s="846"/>
      <c r="F143" s="846"/>
      <c r="G143" s="846"/>
      <c r="H143" s="846"/>
      <c r="I143" s="846"/>
      <c r="J143" s="846"/>
      <c r="K143" s="846"/>
      <c r="L143" s="846"/>
      <c r="M143" s="846"/>
      <c r="N143" s="846"/>
      <c r="O143" s="846"/>
    </row>
    <row r="144" spans="1:15" ht="20.100000000000001" customHeight="1">
      <c r="A144" s="846"/>
      <c r="B144" s="846"/>
      <c r="C144" s="846"/>
      <c r="D144" s="846"/>
      <c r="E144" s="846"/>
      <c r="F144" s="846"/>
      <c r="G144" s="846"/>
      <c r="H144" s="846"/>
      <c r="I144" s="846"/>
      <c r="J144" s="846"/>
      <c r="K144" s="846"/>
      <c r="L144" s="846"/>
      <c r="M144" s="846"/>
      <c r="N144" s="846"/>
      <c r="O144" s="846"/>
    </row>
    <row r="145" spans="1:15" ht="20.100000000000001" customHeight="1">
      <c r="A145" s="846"/>
      <c r="B145" s="846"/>
      <c r="C145" s="846"/>
      <c r="D145" s="846"/>
      <c r="E145" s="846"/>
      <c r="F145" s="846"/>
      <c r="G145" s="846"/>
      <c r="H145" s="846"/>
      <c r="I145" s="846"/>
      <c r="J145" s="846"/>
      <c r="K145" s="846"/>
      <c r="L145" s="846"/>
      <c r="M145" s="846"/>
      <c r="N145" s="846"/>
      <c r="O145" s="846"/>
    </row>
    <row r="146" spans="1:15" ht="20.100000000000001" customHeight="1">
      <c r="A146" s="846"/>
      <c r="B146" s="846"/>
      <c r="C146" s="846"/>
      <c r="D146" s="846"/>
      <c r="E146" s="846"/>
      <c r="F146" s="846"/>
      <c r="G146" s="846"/>
      <c r="H146" s="846"/>
      <c r="I146" s="846"/>
      <c r="J146" s="846"/>
      <c r="K146" s="846"/>
      <c r="L146" s="846"/>
      <c r="M146" s="846"/>
      <c r="N146" s="846"/>
      <c r="O146" s="846"/>
    </row>
    <row r="147" spans="1:15" ht="20.100000000000001" customHeight="1">
      <c r="A147" s="846"/>
      <c r="B147" s="846"/>
      <c r="C147" s="846"/>
      <c r="D147" s="846"/>
      <c r="E147" s="846"/>
      <c r="F147" s="846"/>
      <c r="G147" s="846"/>
      <c r="H147" s="846"/>
      <c r="I147" s="846"/>
      <c r="J147" s="846"/>
      <c r="K147" s="846"/>
      <c r="L147" s="846"/>
      <c r="M147" s="846"/>
      <c r="N147" s="846"/>
      <c r="O147" s="846"/>
    </row>
    <row r="148" spans="1:15" ht="20.100000000000001" customHeight="1">
      <c r="A148" s="846"/>
      <c r="B148" s="846"/>
      <c r="C148" s="846"/>
      <c r="D148" s="846"/>
      <c r="E148" s="846"/>
      <c r="F148" s="846"/>
      <c r="G148" s="846"/>
      <c r="H148" s="846"/>
      <c r="I148" s="846"/>
      <c r="J148" s="846"/>
      <c r="K148" s="846"/>
      <c r="L148" s="846"/>
      <c r="M148" s="846"/>
      <c r="N148" s="846"/>
      <c r="O148" s="846"/>
    </row>
    <row r="149" spans="1:15" ht="20.100000000000001" customHeight="1">
      <c r="A149" s="846"/>
      <c r="B149" s="846"/>
      <c r="C149" s="846"/>
      <c r="D149" s="846"/>
      <c r="E149" s="846"/>
      <c r="F149" s="846"/>
      <c r="G149" s="846"/>
      <c r="H149" s="846"/>
      <c r="I149" s="846"/>
      <c r="J149" s="846"/>
      <c r="K149" s="846"/>
      <c r="L149" s="846"/>
      <c r="M149" s="846"/>
      <c r="N149" s="846"/>
      <c r="O149" s="846"/>
    </row>
    <row r="150" spans="1:15" ht="20.100000000000001" customHeight="1">
      <c r="A150" s="846"/>
      <c r="B150" s="846"/>
      <c r="C150" s="846"/>
      <c r="D150" s="846"/>
      <c r="E150" s="846"/>
      <c r="F150" s="846"/>
      <c r="G150" s="846"/>
      <c r="H150" s="846"/>
      <c r="I150" s="846"/>
      <c r="J150" s="846"/>
      <c r="K150" s="846"/>
      <c r="L150" s="846"/>
      <c r="M150" s="846"/>
      <c r="N150" s="846"/>
      <c r="O150" s="846"/>
    </row>
    <row r="151" spans="1:15" ht="20.100000000000001" customHeight="1">
      <c r="A151" s="846"/>
      <c r="B151" s="846"/>
      <c r="C151" s="846"/>
      <c r="D151" s="846"/>
      <c r="E151" s="846"/>
      <c r="F151" s="846"/>
      <c r="G151" s="846"/>
      <c r="H151" s="846"/>
      <c r="I151" s="846"/>
      <c r="J151" s="846"/>
      <c r="K151" s="846"/>
      <c r="L151" s="846"/>
      <c r="M151" s="846"/>
      <c r="N151" s="846"/>
      <c r="O151" s="846"/>
    </row>
    <row r="152" spans="1:15" ht="20.100000000000001" customHeight="1">
      <c r="A152" s="846"/>
      <c r="B152" s="846"/>
      <c r="C152" s="846"/>
      <c r="D152" s="846"/>
      <c r="E152" s="846"/>
      <c r="F152" s="846"/>
      <c r="G152" s="846"/>
      <c r="H152" s="846"/>
      <c r="I152" s="846"/>
      <c r="J152" s="846"/>
      <c r="K152" s="846"/>
      <c r="L152" s="846"/>
      <c r="M152" s="846"/>
      <c r="N152" s="846"/>
      <c r="O152" s="846"/>
    </row>
    <row r="153" spans="1:15" ht="20.100000000000001" customHeight="1">
      <c r="A153" s="846"/>
      <c r="B153" s="846"/>
      <c r="C153" s="846"/>
      <c r="D153" s="846"/>
      <c r="E153" s="846"/>
      <c r="F153" s="846"/>
      <c r="G153" s="846"/>
      <c r="H153" s="846"/>
      <c r="I153" s="846"/>
      <c r="J153" s="846"/>
      <c r="K153" s="846"/>
      <c r="L153" s="846"/>
      <c r="M153" s="846"/>
      <c r="N153" s="846"/>
      <c r="O153" s="846"/>
    </row>
    <row r="154" spans="1:15" ht="20.100000000000001" customHeight="1">
      <c r="A154" s="846"/>
      <c r="B154" s="846"/>
      <c r="C154" s="846"/>
      <c r="D154" s="846"/>
      <c r="E154" s="846"/>
      <c r="F154" s="846"/>
      <c r="G154" s="846"/>
      <c r="H154" s="846"/>
      <c r="I154" s="846"/>
      <c r="J154" s="846"/>
      <c r="K154" s="846"/>
      <c r="L154" s="846"/>
      <c r="M154" s="846"/>
      <c r="N154" s="846"/>
      <c r="O154" s="846"/>
    </row>
    <row r="155" spans="1:15" ht="20.100000000000001" customHeight="1">
      <c r="A155" s="846"/>
      <c r="B155" s="846"/>
      <c r="C155" s="846"/>
      <c r="D155" s="846"/>
      <c r="E155" s="846"/>
      <c r="F155" s="846"/>
      <c r="G155" s="846"/>
      <c r="H155" s="846"/>
      <c r="I155" s="846"/>
      <c r="J155" s="846"/>
      <c r="K155" s="846"/>
      <c r="L155" s="846"/>
      <c r="M155" s="846"/>
      <c r="N155" s="846"/>
      <c r="O155" s="846"/>
    </row>
    <row r="156" spans="1:15" ht="20.100000000000001" customHeight="1">
      <c r="A156" s="846"/>
      <c r="B156" s="846"/>
      <c r="C156" s="846"/>
      <c r="D156" s="846"/>
      <c r="E156" s="846"/>
      <c r="F156" s="846"/>
      <c r="G156" s="846"/>
      <c r="H156" s="846"/>
      <c r="I156" s="846"/>
      <c r="J156" s="846"/>
      <c r="K156" s="846"/>
      <c r="L156" s="846"/>
      <c r="M156" s="846"/>
      <c r="N156" s="846"/>
      <c r="O156" s="846"/>
    </row>
    <row r="157" spans="1:15" ht="20.100000000000001" customHeight="1">
      <c r="A157" s="846"/>
      <c r="B157" s="846"/>
      <c r="C157" s="846"/>
      <c r="D157" s="846"/>
      <c r="E157" s="846"/>
      <c r="F157" s="846"/>
      <c r="G157" s="846"/>
      <c r="H157" s="846"/>
      <c r="I157" s="846"/>
      <c r="J157" s="846"/>
      <c r="K157" s="846"/>
      <c r="L157" s="846"/>
      <c r="M157" s="846"/>
      <c r="N157" s="846"/>
      <c r="O157" s="846"/>
    </row>
    <row r="158" spans="1:15" ht="20.100000000000001" customHeight="1">
      <c r="A158" s="846"/>
      <c r="B158" s="846"/>
      <c r="C158" s="846"/>
      <c r="D158" s="846"/>
      <c r="E158" s="846"/>
      <c r="F158" s="846"/>
      <c r="G158" s="846"/>
      <c r="H158" s="846"/>
      <c r="I158" s="846"/>
      <c r="J158" s="846"/>
      <c r="K158" s="846"/>
      <c r="L158" s="846"/>
      <c r="M158" s="846"/>
      <c r="N158" s="846"/>
      <c r="O158" s="846"/>
    </row>
    <row r="159" spans="1:15" ht="20.100000000000001" customHeight="1">
      <c r="A159" s="846"/>
      <c r="B159" s="846"/>
      <c r="C159" s="846"/>
      <c r="D159" s="846"/>
      <c r="E159" s="846"/>
      <c r="F159" s="846"/>
      <c r="G159" s="846"/>
      <c r="H159" s="846"/>
      <c r="I159" s="846"/>
      <c r="J159" s="846"/>
      <c r="K159" s="846"/>
      <c r="L159" s="846"/>
      <c r="M159" s="846"/>
      <c r="N159" s="846"/>
      <c r="O159" s="846"/>
    </row>
    <row r="160" spans="1:15" ht="20.100000000000001" customHeight="1">
      <c r="A160" s="846"/>
      <c r="B160" s="846"/>
      <c r="C160" s="846"/>
      <c r="D160" s="846"/>
      <c r="E160" s="846"/>
      <c r="F160" s="846"/>
      <c r="G160" s="846"/>
      <c r="H160" s="846"/>
      <c r="I160" s="846"/>
      <c r="J160" s="846"/>
      <c r="K160" s="846"/>
      <c r="L160" s="846"/>
      <c r="M160" s="846"/>
      <c r="N160" s="846"/>
      <c r="O160" s="846"/>
    </row>
    <row r="161" spans="1:15" ht="20.100000000000001" customHeight="1">
      <c r="A161" s="846"/>
      <c r="B161" s="846"/>
      <c r="C161" s="846"/>
      <c r="D161" s="846"/>
      <c r="E161" s="846"/>
      <c r="F161" s="846"/>
      <c r="G161" s="846"/>
      <c r="H161" s="846"/>
      <c r="I161" s="846"/>
      <c r="J161" s="846"/>
      <c r="K161" s="846"/>
      <c r="L161" s="846"/>
      <c r="M161" s="846"/>
      <c r="N161" s="846"/>
      <c r="O161" s="846"/>
    </row>
    <row r="162" spans="1:15" ht="20.100000000000001" customHeight="1">
      <c r="A162" s="846"/>
      <c r="B162" s="846"/>
      <c r="C162" s="846"/>
      <c r="D162" s="846"/>
      <c r="E162" s="846"/>
      <c r="F162" s="846"/>
      <c r="G162" s="846"/>
      <c r="H162" s="846"/>
      <c r="I162" s="846"/>
      <c r="J162" s="846"/>
      <c r="K162" s="846"/>
      <c r="L162" s="846"/>
      <c r="M162" s="846"/>
      <c r="N162" s="846"/>
      <c r="O162" s="846"/>
    </row>
    <row r="163" spans="1:15" ht="20.100000000000001" customHeight="1">
      <c r="A163" s="846"/>
      <c r="B163" s="846"/>
      <c r="C163" s="846"/>
      <c r="D163" s="846"/>
      <c r="E163" s="846"/>
      <c r="F163" s="846"/>
      <c r="G163" s="846"/>
      <c r="H163" s="846"/>
      <c r="I163" s="846"/>
      <c r="J163" s="846"/>
      <c r="K163" s="846"/>
      <c r="L163" s="846"/>
      <c r="M163" s="846"/>
      <c r="N163" s="846"/>
      <c r="O163" s="846"/>
    </row>
    <row r="164" spans="1:15" ht="20.100000000000001" customHeight="1">
      <c r="A164" s="846"/>
      <c r="B164" s="846"/>
      <c r="C164" s="846"/>
      <c r="D164" s="846"/>
      <c r="E164" s="846"/>
      <c r="F164" s="846"/>
      <c r="G164" s="846"/>
      <c r="H164" s="846"/>
      <c r="I164" s="846"/>
      <c r="J164" s="846"/>
      <c r="K164" s="846"/>
      <c r="L164" s="846"/>
      <c r="M164" s="846"/>
      <c r="N164" s="846"/>
      <c r="O164" s="846"/>
    </row>
    <row r="165" spans="1:15" ht="20.100000000000001" customHeight="1">
      <c r="A165" s="846"/>
      <c r="B165" s="846"/>
      <c r="C165" s="846"/>
      <c r="D165" s="846"/>
      <c r="E165" s="846"/>
      <c r="F165" s="846"/>
      <c r="G165" s="846"/>
      <c r="H165" s="846"/>
      <c r="I165" s="846"/>
      <c r="J165" s="846"/>
      <c r="K165" s="846"/>
      <c r="L165" s="846"/>
      <c r="M165" s="846"/>
      <c r="N165" s="846"/>
      <c r="O165" s="846"/>
    </row>
    <row r="166" spans="1:15" ht="20.100000000000001" customHeight="1">
      <c r="A166" s="846"/>
      <c r="B166" s="846"/>
      <c r="C166" s="846"/>
      <c r="D166" s="846"/>
      <c r="E166" s="846"/>
      <c r="F166" s="846"/>
      <c r="G166" s="846"/>
      <c r="H166" s="846"/>
      <c r="I166" s="846"/>
      <c r="J166" s="846"/>
      <c r="K166" s="846"/>
      <c r="L166" s="846"/>
      <c r="M166" s="846"/>
      <c r="N166" s="846"/>
      <c r="O166" s="846"/>
    </row>
    <row r="167" spans="1:15" ht="20.100000000000001" customHeight="1">
      <c r="A167" s="846"/>
      <c r="B167" s="846"/>
      <c r="C167" s="846"/>
      <c r="D167" s="846"/>
      <c r="E167" s="846"/>
      <c r="F167" s="846"/>
      <c r="G167" s="846"/>
      <c r="H167" s="846"/>
      <c r="I167" s="846"/>
      <c r="J167" s="846"/>
      <c r="K167" s="846"/>
      <c r="L167" s="846"/>
      <c r="M167" s="846"/>
      <c r="N167" s="846"/>
      <c r="O167" s="846"/>
    </row>
    <row r="168" spans="1:15" ht="20.100000000000001" customHeight="1">
      <c r="A168" s="846"/>
      <c r="B168" s="846"/>
      <c r="C168" s="846"/>
      <c r="D168" s="846"/>
      <c r="E168" s="846"/>
      <c r="F168" s="846"/>
      <c r="G168" s="846"/>
      <c r="H168" s="846"/>
      <c r="I168" s="846"/>
      <c r="J168" s="846"/>
      <c r="K168" s="846"/>
      <c r="L168" s="846"/>
      <c r="M168" s="846"/>
      <c r="N168" s="846"/>
      <c r="O168" s="846"/>
    </row>
    <row r="169" spans="1:15" ht="20.100000000000001" customHeight="1">
      <c r="A169" s="846"/>
      <c r="B169" s="846"/>
      <c r="C169" s="846"/>
      <c r="D169" s="846"/>
      <c r="E169" s="846"/>
      <c r="F169" s="846"/>
      <c r="G169" s="846"/>
      <c r="H169" s="846"/>
      <c r="I169" s="846"/>
      <c r="J169" s="846"/>
      <c r="K169" s="846"/>
      <c r="L169" s="846"/>
      <c r="M169" s="846"/>
      <c r="N169" s="846"/>
      <c r="O169" s="846"/>
    </row>
    <row r="170" spans="1:15" ht="20.100000000000001" customHeight="1">
      <c r="A170" s="846"/>
      <c r="B170" s="846"/>
      <c r="C170" s="846"/>
      <c r="D170" s="846"/>
      <c r="E170" s="846"/>
      <c r="F170" s="846"/>
      <c r="G170" s="846"/>
      <c r="H170" s="846"/>
      <c r="I170" s="846"/>
      <c r="J170" s="846"/>
      <c r="K170" s="846"/>
      <c r="L170" s="846"/>
      <c r="M170" s="846"/>
      <c r="N170" s="846"/>
      <c r="O170" s="846"/>
    </row>
    <row r="171" spans="1:15" ht="20.100000000000001" customHeight="1">
      <c r="A171" s="846"/>
      <c r="B171" s="846"/>
      <c r="C171" s="846"/>
      <c r="D171" s="846"/>
      <c r="E171" s="846"/>
      <c r="F171" s="846"/>
      <c r="G171" s="846"/>
      <c r="H171" s="846"/>
      <c r="I171" s="846"/>
      <c r="J171" s="846"/>
      <c r="K171" s="846"/>
      <c r="L171" s="846"/>
      <c r="M171" s="846"/>
      <c r="N171" s="846"/>
      <c r="O171" s="846"/>
    </row>
    <row r="172" spans="1:15" ht="20.100000000000001" customHeight="1">
      <c r="A172" s="846"/>
      <c r="B172" s="846"/>
      <c r="C172" s="846"/>
      <c r="D172" s="846"/>
      <c r="E172" s="846"/>
      <c r="F172" s="846"/>
      <c r="G172" s="846"/>
      <c r="H172" s="846"/>
      <c r="I172" s="846"/>
      <c r="J172" s="846"/>
      <c r="K172" s="846"/>
      <c r="L172" s="846"/>
      <c r="M172" s="846"/>
      <c r="N172" s="846"/>
      <c r="O172" s="846"/>
    </row>
    <row r="173" spans="1:15" ht="20.100000000000001" customHeight="1">
      <c r="A173" s="846"/>
      <c r="B173" s="846"/>
      <c r="C173" s="846"/>
      <c r="D173" s="846"/>
      <c r="E173" s="846"/>
      <c r="F173" s="846"/>
      <c r="G173" s="846"/>
      <c r="H173" s="846"/>
      <c r="I173" s="846"/>
      <c r="J173" s="846"/>
      <c r="K173" s="846"/>
      <c r="L173" s="846"/>
      <c r="M173" s="846"/>
      <c r="N173" s="846"/>
      <c r="O173" s="846"/>
    </row>
    <row r="174" spans="1:15" ht="20.100000000000001" customHeight="1">
      <c r="A174" s="846"/>
      <c r="B174" s="846"/>
      <c r="C174" s="846"/>
      <c r="D174" s="846"/>
      <c r="E174" s="846"/>
      <c r="F174" s="846"/>
      <c r="G174" s="846"/>
      <c r="H174" s="846"/>
      <c r="I174" s="846"/>
      <c r="J174" s="846"/>
      <c r="K174" s="846"/>
      <c r="L174" s="846"/>
      <c r="M174" s="846"/>
      <c r="N174" s="846"/>
      <c r="O174" s="846"/>
    </row>
    <row r="175" spans="1:15" ht="20.100000000000001" customHeight="1">
      <c r="A175" s="846"/>
      <c r="B175" s="846"/>
      <c r="C175" s="846"/>
      <c r="D175" s="846"/>
      <c r="E175" s="846"/>
      <c r="F175" s="846"/>
      <c r="G175" s="846"/>
      <c r="H175" s="846"/>
      <c r="I175" s="846"/>
      <c r="J175" s="846"/>
      <c r="K175" s="846"/>
      <c r="L175" s="846"/>
      <c r="M175" s="846"/>
      <c r="N175" s="846"/>
      <c r="O175" s="846"/>
    </row>
    <row r="176" spans="1:15" ht="20.100000000000001" customHeight="1">
      <c r="A176" s="846"/>
      <c r="B176" s="846"/>
      <c r="C176" s="846"/>
      <c r="D176" s="846"/>
      <c r="E176" s="846"/>
      <c r="F176" s="846"/>
      <c r="G176" s="846"/>
      <c r="H176" s="846"/>
      <c r="I176" s="846"/>
      <c r="J176" s="846"/>
      <c r="K176" s="846"/>
      <c r="L176" s="846"/>
      <c r="M176" s="846"/>
      <c r="N176" s="846"/>
      <c r="O176" s="846"/>
    </row>
    <row r="177" spans="1:15" ht="20.100000000000001" customHeight="1">
      <c r="A177" s="846"/>
      <c r="B177" s="846"/>
      <c r="C177" s="846"/>
      <c r="D177" s="846"/>
      <c r="E177" s="846"/>
      <c r="F177" s="846"/>
      <c r="G177" s="846"/>
      <c r="H177" s="846"/>
      <c r="I177" s="846"/>
      <c r="J177" s="846"/>
      <c r="K177" s="846"/>
      <c r="L177" s="846"/>
      <c r="M177" s="846"/>
      <c r="N177" s="846"/>
      <c r="O177" s="846"/>
    </row>
    <row r="178" spans="1:15" ht="20.100000000000001" customHeight="1">
      <c r="A178" s="846"/>
      <c r="B178" s="846"/>
      <c r="C178" s="846"/>
      <c r="D178" s="846"/>
      <c r="E178" s="846"/>
      <c r="F178" s="846"/>
      <c r="G178" s="846"/>
      <c r="H178" s="846"/>
      <c r="I178" s="846"/>
      <c r="J178" s="846"/>
      <c r="K178" s="846"/>
      <c r="L178" s="846"/>
      <c r="M178" s="846"/>
      <c r="N178" s="846"/>
      <c r="O178" s="846"/>
    </row>
    <row r="179" spans="1:15" ht="20.100000000000001" customHeight="1">
      <c r="A179" s="846"/>
      <c r="B179" s="846"/>
      <c r="C179" s="846"/>
      <c r="D179" s="846"/>
      <c r="E179" s="846"/>
      <c r="F179" s="846"/>
      <c r="G179" s="846"/>
      <c r="H179" s="846"/>
      <c r="I179" s="846"/>
      <c r="J179" s="846"/>
      <c r="K179" s="846"/>
      <c r="L179" s="846"/>
      <c r="M179" s="846"/>
      <c r="N179" s="846"/>
      <c r="O179" s="846"/>
    </row>
    <row r="180" spans="1:15" ht="20.100000000000001" customHeight="1">
      <c r="A180" s="846"/>
      <c r="B180" s="846"/>
      <c r="C180" s="846"/>
      <c r="D180" s="846"/>
      <c r="E180" s="846"/>
      <c r="F180" s="846"/>
      <c r="G180" s="846"/>
      <c r="H180" s="846"/>
      <c r="I180" s="846"/>
      <c r="J180" s="846"/>
      <c r="K180" s="846"/>
      <c r="L180" s="846"/>
      <c r="M180" s="846"/>
      <c r="N180" s="846"/>
      <c r="O180" s="846"/>
    </row>
    <row r="181" spans="1:15" ht="20.100000000000001" customHeight="1">
      <c r="A181" s="846"/>
      <c r="B181" s="846"/>
      <c r="C181" s="846"/>
      <c r="D181" s="846"/>
      <c r="E181" s="846"/>
      <c r="F181" s="846"/>
      <c r="G181" s="846"/>
      <c r="H181" s="846"/>
      <c r="I181" s="846"/>
      <c r="J181" s="846"/>
      <c r="K181" s="846"/>
      <c r="L181" s="846"/>
      <c r="M181" s="846"/>
      <c r="N181" s="846"/>
      <c r="O181" s="846"/>
    </row>
    <row r="182" spans="1:15" ht="20.100000000000001" customHeight="1">
      <c r="A182" s="846"/>
      <c r="B182" s="846"/>
      <c r="C182" s="846"/>
      <c r="D182" s="846"/>
      <c r="E182" s="846"/>
      <c r="F182" s="846"/>
      <c r="G182" s="846"/>
      <c r="H182" s="846"/>
      <c r="I182" s="846"/>
      <c r="J182" s="846"/>
      <c r="K182" s="846"/>
      <c r="L182" s="846"/>
      <c r="M182" s="846"/>
      <c r="N182" s="846"/>
      <c r="O182" s="846"/>
    </row>
    <row r="183" spans="1:15" ht="20.100000000000001" customHeight="1">
      <c r="A183" s="846"/>
      <c r="B183" s="846"/>
      <c r="C183" s="846"/>
      <c r="D183" s="846"/>
      <c r="E183" s="846"/>
      <c r="F183" s="846"/>
      <c r="G183" s="846"/>
      <c r="H183" s="846"/>
      <c r="I183" s="846"/>
      <c r="J183" s="846"/>
      <c r="K183" s="846"/>
      <c r="L183" s="846"/>
      <c r="M183" s="846"/>
      <c r="N183" s="846"/>
      <c r="O183" s="846"/>
    </row>
    <row r="184" spans="1:15" ht="20.100000000000001" customHeight="1">
      <c r="A184" s="846"/>
      <c r="B184" s="846"/>
      <c r="C184" s="846"/>
      <c r="D184" s="846"/>
      <c r="E184" s="846"/>
      <c r="F184" s="846"/>
      <c r="G184" s="846"/>
      <c r="H184" s="846"/>
      <c r="I184" s="846"/>
      <c r="J184" s="846"/>
      <c r="K184" s="846"/>
      <c r="L184" s="846"/>
      <c r="M184" s="846"/>
      <c r="N184" s="846"/>
      <c r="O184" s="846"/>
    </row>
    <row r="185" spans="1:15" ht="20.100000000000001" customHeight="1">
      <c r="A185" s="846"/>
      <c r="B185" s="846"/>
      <c r="C185" s="846"/>
      <c r="D185" s="846"/>
      <c r="E185" s="846"/>
      <c r="F185" s="846"/>
      <c r="G185" s="846"/>
      <c r="H185" s="846"/>
      <c r="I185" s="846"/>
      <c r="J185" s="846"/>
      <c r="K185" s="846"/>
      <c r="L185" s="846"/>
      <c r="M185" s="846"/>
      <c r="N185" s="846"/>
      <c r="O185" s="846"/>
    </row>
    <row r="186" spans="1:15" ht="20.100000000000001" customHeight="1">
      <c r="A186" s="846"/>
      <c r="B186" s="846"/>
      <c r="C186" s="846"/>
      <c r="D186" s="846"/>
      <c r="E186" s="846"/>
      <c r="F186" s="846"/>
      <c r="G186" s="846"/>
      <c r="H186" s="846"/>
      <c r="I186" s="846"/>
      <c r="J186" s="846"/>
      <c r="K186" s="846"/>
      <c r="L186" s="846"/>
      <c r="M186" s="846"/>
      <c r="N186" s="846"/>
      <c r="O186" s="846"/>
    </row>
    <row r="187" spans="1:15" ht="20.100000000000001" customHeight="1">
      <c r="A187" s="846"/>
      <c r="B187" s="846"/>
      <c r="C187" s="846"/>
      <c r="D187" s="846"/>
      <c r="E187" s="846"/>
      <c r="F187" s="846"/>
      <c r="G187" s="846"/>
      <c r="H187" s="846"/>
      <c r="I187" s="846"/>
      <c r="J187" s="846"/>
      <c r="K187" s="846"/>
      <c r="L187" s="846"/>
      <c r="M187" s="846"/>
      <c r="N187" s="846"/>
      <c r="O187" s="846"/>
    </row>
    <row r="188" spans="1:15" ht="20.100000000000001" customHeight="1">
      <c r="A188" s="846"/>
      <c r="B188" s="846"/>
      <c r="C188" s="846"/>
      <c r="D188" s="846"/>
      <c r="E188" s="846"/>
      <c r="F188" s="846"/>
      <c r="G188" s="846"/>
      <c r="H188" s="846"/>
      <c r="I188" s="846"/>
      <c r="J188" s="846"/>
      <c r="K188" s="846"/>
      <c r="L188" s="846"/>
      <c r="M188" s="846"/>
      <c r="N188" s="846"/>
      <c r="O188" s="846"/>
    </row>
    <row r="189" spans="1:15" ht="20.100000000000001" customHeight="1">
      <c r="A189" s="846"/>
      <c r="B189" s="846"/>
      <c r="C189" s="846"/>
      <c r="D189" s="846"/>
      <c r="E189" s="846"/>
      <c r="F189" s="846"/>
      <c r="G189" s="846"/>
      <c r="H189" s="846"/>
      <c r="I189" s="846"/>
      <c r="J189" s="846"/>
      <c r="K189" s="846"/>
      <c r="L189" s="846"/>
      <c r="M189" s="846"/>
      <c r="N189" s="846"/>
      <c r="O189" s="846"/>
    </row>
    <row r="190" spans="1:15" ht="20.100000000000001" customHeight="1">
      <c r="A190" s="846"/>
      <c r="B190" s="846"/>
      <c r="C190" s="846"/>
      <c r="D190" s="846"/>
      <c r="E190" s="846"/>
      <c r="F190" s="846"/>
      <c r="G190" s="846"/>
      <c r="H190" s="846"/>
      <c r="I190" s="846"/>
      <c r="J190" s="846"/>
      <c r="K190" s="846"/>
      <c r="L190" s="846"/>
      <c r="M190" s="846"/>
      <c r="N190" s="846"/>
      <c r="O190" s="846"/>
    </row>
    <row r="191" spans="1:15" ht="20.100000000000001" customHeight="1">
      <c r="A191" s="846"/>
      <c r="B191" s="846"/>
      <c r="C191" s="846"/>
      <c r="D191" s="846"/>
      <c r="E191" s="846"/>
      <c r="F191" s="846"/>
      <c r="G191" s="846"/>
      <c r="H191" s="846"/>
      <c r="I191" s="846"/>
      <c r="J191" s="846"/>
      <c r="K191" s="846"/>
      <c r="L191" s="846"/>
      <c r="M191" s="846"/>
      <c r="N191" s="846"/>
      <c r="O191" s="846"/>
    </row>
    <row r="192" spans="1:15" ht="20.100000000000001" customHeight="1">
      <c r="A192" s="846"/>
      <c r="B192" s="846"/>
      <c r="C192" s="846"/>
      <c r="D192" s="846"/>
      <c r="E192" s="846"/>
      <c r="F192" s="846"/>
      <c r="G192" s="846"/>
      <c r="H192" s="846"/>
      <c r="I192" s="846"/>
      <c r="J192" s="846"/>
      <c r="K192" s="846"/>
      <c r="L192" s="846"/>
      <c r="M192" s="846"/>
      <c r="N192" s="846"/>
      <c r="O192" s="846"/>
    </row>
    <row r="193" spans="1:15" ht="20.100000000000001" customHeight="1">
      <c r="A193" s="846"/>
      <c r="B193" s="846"/>
      <c r="C193" s="846"/>
      <c r="D193" s="846"/>
      <c r="E193" s="846"/>
      <c r="F193" s="846"/>
      <c r="G193" s="846"/>
      <c r="H193" s="846"/>
      <c r="I193" s="846"/>
      <c r="J193" s="846"/>
      <c r="K193" s="846"/>
      <c r="L193" s="846"/>
      <c r="M193" s="846"/>
      <c r="N193" s="846"/>
      <c r="O193" s="846"/>
    </row>
    <row r="194" spans="1:15" ht="20.100000000000001" customHeight="1">
      <c r="A194" s="846"/>
      <c r="B194" s="846"/>
      <c r="C194" s="846"/>
      <c r="D194" s="846"/>
      <c r="E194" s="846"/>
      <c r="F194" s="846"/>
      <c r="G194" s="846"/>
      <c r="H194" s="846"/>
      <c r="I194" s="846"/>
      <c r="J194" s="846"/>
      <c r="K194" s="846"/>
      <c r="L194" s="846"/>
      <c r="M194" s="846"/>
      <c r="N194" s="846"/>
      <c r="O194" s="846"/>
    </row>
    <row r="195" spans="1:15" ht="20.100000000000001" customHeight="1">
      <c r="A195" s="846"/>
      <c r="B195" s="846"/>
      <c r="C195" s="846"/>
      <c r="D195" s="846"/>
      <c r="E195" s="846"/>
      <c r="F195" s="846"/>
      <c r="G195" s="846"/>
      <c r="H195" s="846"/>
      <c r="I195" s="846"/>
      <c r="J195" s="846"/>
      <c r="K195" s="846"/>
      <c r="L195" s="846"/>
      <c r="M195" s="846"/>
      <c r="N195" s="846"/>
      <c r="O195" s="846"/>
    </row>
    <row r="196" spans="1:15" ht="20.100000000000001" customHeight="1">
      <c r="A196" s="846"/>
      <c r="B196" s="846"/>
      <c r="C196" s="846"/>
      <c r="D196" s="846"/>
      <c r="E196" s="846"/>
      <c r="F196" s="846"/>
      <c r="G196" s="846"/>
      <c r="H196" s="846"/>
      <c r="I196" s="846"/>
      <c r="J196" s="846"/>
      <c r="K196" s="846"/>
      <c r="L196" s="846"/>
      <c r="M196" s="846"/>
      <c r="N196" s="846"/>
      <c r="O196" s="846"/>
    </row>
    <row r="197" spans="1:15" ht="20.100000000000001" customHeight="1">
      <c r="A197" s="846"/>
      <c r="B197" s="846"/>
      <c r="C197" s="846"/>
      <c r="D197" s="846"/>
      <c r="E197" s="846"/>
      <c r="F197" s="846"/>
      <c r="G197" s="846"/>
      <c r="H197" s="846"/>
      <c r="I197" s="846"/>
      <c r="J197" s="846"/>
      <c r="K197" s="846"/>
      <c r="L197" s="846"/>
      <c r="M197" s="846"/>
      <c r="N197" s="846"/>
      <c r="O197" s="846"/>
    </row>
    <row r="198" spans="1:15" ht="20.100000000000001" customHeight="1">
      <c r="A198" s="846"/>
      <c r="B198" s="846"/>
      <c r="C198" s="846"/>
      <c r="D198" s="846"/>
      <c r="E198" s="846"/>
      <c r="F198" s="846"/>
      <c r="G198" s="846"/>
      <c r="H198" s="846"/>
      <c r="I198" s="846"/>
      <c r="J198" s="846"/>
      <c r="K198" s="846"/>
      <c r="L198" s="846"/>
      <c r="M198" s="846"/>
      <c r="N198" s="846"/>
      <c r="O198" s="846"/>
    </row>
    <row r="199" spans="1:15" ht="20.100000000000001" customHeight="1">
      <c r="A199" s="846"/>
      <c r="B199" s="846"/>
      <c r="C199" s="846"/>
      <c r="D199" s="846"/>
      <c r="E199" s="846"/>
      <c r="F199" s="846"/>
      <c r="G199" s="846"/>
      <c r="H199" s="846"/>
      <c r="I199" s="846"/>
      <c r="J199" s="846"/>
      <c r="K199" s="846"/>
      <c r="L199" s="846"/>
      <c r="M199" s="846"/>
      <c r="N199" s="846"/>
      <c r="O199" s="846"/>
    </row>
    <row r="200" spans="1:15" ht="20.100000000000001" customHeight="1">
      <c r="A200" s="846"/>
      <c r="B200" s="846"/>
      <c r="C200" s="846"/>
      <c r="D200" s="846"/>
      <c r="E200" s="846"/>
      <c r="F200" s="846"/>
      <c r="G200" s="846"/>
      <c r="H200" s="846"/>
      <c r="I200" s="846"/>
      <c r="J200" s="846"/>
      <c r="K200" s="846"/>
      <c r="L200" s="846"/>
      <c r="M200" s="846"/>
      <c r="N200" s="846"/>
      <c r="O200" s="846"/>
    </row>
    <row r="201" spans="1:15" ht="20.100000000000001" customHeight="1">
      <c r="A201" s="846"/>
      <c r="B201" s="846"/>
      <c r="C201" s="846"/>
      <c r="D201" s="846"/>
      <c r="E201" s="846"/>
      <c r="F201" s="846"/>
      <c r="G201" s="846"/>
      <c r="H201" s="846"/>
      <c r="I201" s="846"/>
      <c r="J201" s="846"/>
      <c r="K201" s="846"/>
      <c r="L201" s="846"/>
      <c r="M201" s="846"/>
      <c r="N201" s="846"/>
      <c r="O201" s="846"/>
    </row>
    <row r="202" spans="1:15" ht="20.100000000000001" customHeight="1">
      <c r="A202" s="846"/>
      <c r="B202" s="846"/>
      <c r="C202" s="846"/>
      <c r="D202" s="846"/>
      <c r="E202" s="846"/>
      <c r="F202" s="846"/>
      <c r="G202" s="846"/>
      <c r="H202" s="846"/>
      <c r="I202" s="846"/>
      <c r="J202" s="846"/>
      <c r="K202" s="846"/>
      <c r="L202" s="846"/>
      <c r="M202" s="846"/>
      <c r="N202" s="846"/>
      <c r="O202" s="846"/>
    </row>
    <row r="203" spans="1:15" ht="20.100000000000001" customHeight="1">
      <c r="A203" s="846"/>
      <c r="B203" s="846"/>
      <c r="C203" s="846"/>
      <c r="D203" s="846"/>
      <c r="E203" s="846"/>
      <c r="F203" s="846"/>
      <c r="G203" s="846"/>
      <c r="H203" s="846"/>
      <c r="I203" s="846"/>
      <c r="J203" s="846"/>
      <c r="K203" s="846"/>
      <c r="L203" s="846"/>
      <c r="M203" s="846"/>
      <c r="N203" s="846"/>
      <c r="O203" s="846"/>
    </row>
    <row r="204" spans="1:15" ht="20.100000000000001" customHeight="1">
      <c r="A204" s="846"/>
      <c r="B204" s="846"/>
      <c r="C204" s="846"/>
      <c r="D204" s="846"/>
      <c r="E204" s="846"/>
      <c r="F204" s="846"/>
      <c r="G204" s="846"/>
      <c r="H204" s="846"/>
      <c r="I204" s="846"/>
      <c r="J204" s="846"/>
      <c r="K204" s="846"/>
      <c r="L204" s="846"/>
      <c r="M204" s="846"/>
      <c r="N204" s="846"/>
      <c r="O204" s="846"/>
    </row>
    <row r="205" spans="1:15" ht="20.100000000000001" customHeight="1">
      <c r="A205" s="846"/>
      <c r="B205" s="846"/>
      <c r="C205" s="846"/>
      <c r="D205" s="846"/>
      <c r="E205" s="846"/>
      <c r="F205" s="846"/>
      <c r="G205" s="846"/>
      <c r="H205" s="846"/>
      <c r="I205" s="846"/>
      <c r="J205" s="846"/>
      <c r="K205" s="846"/>
      <c r="L205" s="846"/>
      <c r="M205" s="846"/>
      <c r="N205" s="846"/>
      <c r="O205" s="846"/>
    </row>
    <row r="206" spans="1:15" ht="20.100000000000001" customHeight="1">
      <c r="A206" s="846"/>
      <c r="B206" s="846"/>
      <c r="C206" s="846"/>
      <c r="D206" s="846"/>
      <c r="E206" s="846"/>
      <c r="F206" s="846"/>
      <c r="G206" s="846"/>
      <c r="H206" s="846"/>
      <c r="I206" s="846"/>
      <c r="J206" s="846"/>
      <c r="K206" s="846"/>
      <c r="L206" s="846"/>
      <c r="M206" s="846"/>
      <c r="N206" s="846"/>
      <c r="O206" s="846"/>
    </row>
    <row r="207" spans="1:15" ht="20.100000000000001" customHeight="1">
      <c r="A207" s="846"/>
      <c r="B207" s="846"/>
      <c r="C207" s="846"/>
      <c r="D207" s="846"/>
      <c r="E207" s="846"/>
      <c r="F207" s="846"/>
      <c r="G207" s="846"/>
      <c r="H207" s="846"/>
      <c r="I207" s="846"/>
      <c r="J207" s="846"/>
      <c r="K207" s="846"/>
      <c r="L207" s="846"/>
      <c r="M207" s="846"/>
      <c r="N207" s="846"/>
      <c r="O207" s="846"/>
    </row>
    <row r="208" spans="1:15" ht="20.100000000000001" customHeight="1">
      <c r="A208" s="846"/>
      <c r="B208" s="846"/>
      <c r="C208" s="846"/>
      <c r="D208" s="846"/>
      <c r="E208" s="846"/>
      <c r="F208" s="846"/>
      <c r="G208" s="846"/>
      <c r="H208" s="846"/>
      <c r="I208" s="846"/>
      <c r="J208" s="846"/>
      <c r="K208" s="846"/>
      <c r="L208" s="846"/>
      <c r="M208" s="846"/>
      <c r="N208" s="846"/>
      <c r="O208" s="846"/>
    </row>
    <row r="209" spans="1:15" ht="20.100000000000001" customHeight="1">
      <c r="A209" s="846"/>
      <c r="B209" s="846"/>
      <c r="C209" s="846"/>
      <c r="D209" s="846"/>
      <c r="E209" s="846"/>
      <c r="F209" s="846"/>
      <c r="G209" s="846"/>
      <c r="H209" s="846"/>
      <c r="I209" s="846"/>
      <c r="J209" s="846"/>
      <c r="K209" s="846"/>
      <c r="L209" s="846"/>
      <c r="M209" s="846"/>
      <c r="N209" s="846"/>
      <c r="O209" s="846"/>
    </row>
    <row r="210" spans="1:15" ht="20.100000000000001" customHeight="1">
      <c r="A210" s="846"/>
      <c r="B210" s="846"/>
      <c r="C210" s="846"/>
      <c r="D210" s="846"/>
      <c r="E210" s="846"/>
      <c r="F210" s="846"/>
      <c r="G210" s="846"/>
      <c r="H210" s="846"/>
      <c r="I210" s="846"/>
      <c r="J210" s="846"/>
      <c r="K210" s="846"/>
      <c r="L210" s="846"/>
      <c r="M210" s="846"/>
      <c r="N210" s="846"/>
      <c r="O210" s="846"/>
    </row>
    <row r="211" spans="1:15" ht="20.100000000000001" customHeight="1">
      <c r="A211" s="846"/>
      <c r="B211" s="846"/>
      <c r="C211" s="846"/>
      <c r="D211" s="846"/>
      <c r="E211" s="846"/>
      <c r="F211" s="846"/>
      <c r="G211" s="846"/>
      <c r="H211" s="846"/>
      <c r="I211" s="846"/>
      <c r="J211" s="846"/>
      <c r="K211" s="846"/>
      <c r="L211" s="846"/>
      <c r="M211" s="846"/>
      <c r="N211" s="846"/>
      <c r="O211" s="846"/>
    </row>
    <row r="212" spans="1:15" ht="20.100000000000001" customHeight="1">
      <c r="A212" s="846"/>
      <c r="B212" s="846"/>
      <c r="C212" s="846"/>
      <c r="D212" s="846"/>
      <c r="E212" s="846"/>
      <c r="F212" s="846"/>
      <c r="G212" s="846"/>
      <c r="H212" s="846"/>
      <c r="I212" s="846"/>
      <c r="J212" s="846"/>
      <c r="K212" s="846"/>
      <c r="L212" s="846"/>
      <c r="M212" s="846"/>
      <c r="N212" s="846"/>
      <c r="O212" s="846"/>
    </row>
    <row r="213" spans="1:15" ht="20.100000000000001" customHeight="1">
      <c r="A213" s="846"/>
      <c r="B213" s="846"/>
      <c r="C213" s="846"/>
      <c r="D213" s="846"/>
      <c r="E213" s="846"/>
      <c r="F213" s="846"/>
      <c r="G213" s="846"/>
      <c r="H213" s="846"/>
      <c r="I213" s="846"/>
      <c r="J213" s="846"/>
      <c r="K213" s="846"/>
      <c r="L213" s="846"/>
      <c r="M213" s="846"/>
      <c r="N213" s="846"/>
      <c r="O213" s="846"/>
    </row>
    <row r="214" spans="1:15" ht="20.100000000000001" customHeight="1">
      <c r="A214" s="846"/>
      <c r="B214" s="846"/>
      <c r="C214" s="846"/>
      <c r="D214" s="846"/>
      <c r="E214" s="846"/>
      <c r="F214" s="846"/>
      <c r="G214" s="846"/>
      <c r="H214" s="846"/>
      <c r="I214" s="846"/>
      <c r="J214" s="846"/>
      <c r="K214" s="846"/>
      <c r="L214" s="846"/>
      <c r="M214" s="846"/>
      <c r="N214" s="846"/>
      <c r="O214" s="846"/>
    </row>
    <row r="215" spans="1:15" ht="20.100000000000001" customHeight="1">
      <c r="A215" s="846"/>
      <c r="B215" s="846"/>
      <c r="C215" s="846"/>
      <c r="D215" s="846"/>
      <c r="E215" s="846"/>
      <c r="F215" s="846"/>
      <c r="G215" s="846"/>
      <c r="H215" s="846"/>
      <c r="I215" s="846"/>
      <c r="J215" s="846"/>
      <c r="K215" s="846"/>
      <c r="L215" s="846"/>
      <c r="M215" s="846"/>
      <c r="N215" s="846"/>
      <c r="O215" s="846"/>
    </row>
    <row r="216" spans="1:15" ht="20.100000000000001" customHeight="1">
      <c r="A216" s="846"/>
      <c r="B216" s="846"/>
      <c r="C216" s="846"/>
      <c r="D216" s="846"/>
      <c r="E216" s="846"/>
      <c r="F216" s="846"/>
      <c r="G216" s="846"/>
      <c r="H216" s="846"/>
      <c r="I216" s="846"/>
      <c r="J216" s="846"/>
      <c r="K216" s="846"/>
      <c r="L216" s="846"/>
      <c r="M216" s="846"/>
      <c r="N216" s="846"/>
      <c r="O216" s="846"/>
    </row>
    <row r="217" spans="1:15" ht="20.100000000000001" customHeight="1">
      <c r="A217" s="846"/>
      <c r="B217" s="846"/>
      <c r="C217" s="846"/>
      <c r="D217" s="846"/>
      <c r="E217" s="846"/>
      <c r="F217" s="846"/>
      <c r="G217" s="846"/>
      <c r="H217" s="846"/>
      <c r="I217" s="846"/>
      <c r="J217" s="846"/>
      <c r="K217" s="846"/>
      <c r="L217" s="846"/>
      <c r="M217" s="846"/>
      <c r="N217" s="846"/>
      <c r="O217" s="846"/>
    </row>
    <row r="218" spans="1:15" ht="20.100000000000001" customHeight="1">
      <c r="A218" s="846"/>
      <c r="B218" s="846"/>
      <c r="C218" s="846"/>
      <c r="D218" s="846"/>
      <c r="E218" s="846"/>
      <c r="F218" s="846"/>
      <c r="G218" s="846"/>
      <c r="H218" s="846"/>
      <c r="I218" s="846"/>
      <c r="J218" s="846"/>
      <c r="K218" s="846"/>
      <c r="L218" s="846"/>
      <c r="M218" s="846"/>
      <c r="N218" s="846"/>
      <c r="O218" s="846"/>
    </row>
    <row r="219" spans="1:15" ht="20.100000000000001" customHeight="1">
      <c r="A219" s="846"/>
      <c r="B219" s="846"/>
      <c r="C219" s="846"/>
      <c r="D219" s="846"/>
      <c r="E219" s="846"/>
      <c r="F219" s="846"/>
      <c r="G219" s="846"/>
      <c r="H219" s="846"/>
      <c r="I219" s="846"/>
      <c r="J219" s="846"/>
      <c r="K219" s="846"/>
      <c r="L219" s="846"/>
      <c r="M219" s="846"/>
      <c r="N219" s="846"/>
      <c r="O219" s="846"/>
    </row>
    <row r="220" spans="1:15" ht="20.100000000000001" customHeight="1">
      <c r="A220" s="846"/>
      <c r="B220" s="846"/>
      <c r="C220" s="846"/>
      <c r="D220" s="846"/>
      <c r="E220" s="846"/>
      <c r="F220" s="846"/>
      <c r="G220" s="846"/>
      <c r="H220" s="846"/>
      <c r="I220" s="846"/>
      <c r="J220" s="846"/>
      <c r="K220" s="846"/>
      <c r="L220" s="846"/>
      <c r="M220" s="846"/>
      <c r="N220" s="846"/>
      <c r="O220" s="846"/>
    </row>
    <row r="221" spans="1:15" ht="20.100000000000001" customHeight="1">
      <c r="A221" s="846"/>
      <c r="B221" s="846"/>
      <c r="C221" s="846"/>
      <c r="D221" s="846"/>
      <c r="E221" s="846"/>
      <c r="F221" s="846"/>
      <c r="G221" s="846"/>
      <c r="H221" s="846"/>
      <c r="I221" s="846"/>
      <c r="J221" s="846"/>
      <c r="K221" s="846"/>
      <c r="L221" s="846"/>
      <c r="M221" s="846"/>
      <c r="N221" s="846"/>
      <c r="O221" s="846"/>
    </row>
    <row r="222" spans="1:15" ht="20.100000000000001" customHeight="1">
      <c r="A222" s="846"/>
      <c r="B222" s="846"/>
      <c r="C222" s="846"/>
      <c r="D222" s="846"/>
      <c r="E222" s="846"/>
      <c r="F222" s="846"/>
      <c r="G222" s="846"/>
      <c r="H222" s="846"/>
      <c r="I222" s="846"/>
      <c r="J222" s="846"/>
      <c r="K222" s="846"/>
      <c r="L222" s="846"/>
      <c r="M222" s="846"/>
      <c r="N222" s="846"/>
      <c r="O222" s="846"/>
    </row>
    <row r="223" spans="1:15" ht="20.100000000000001" customHeight="1">
      <c r="A223" s="846"/>
      <c r="B223" s="846"/>
      <c r="C223" s="846"/>
      <c r="D223" s="846"/>
      <c r="E223" s="846"/>
      <c r="F223" s="846"/>
      <c r="G223" s="846"/>
      <c r="H223" s="846"/>
      <c r="I223" s="846"/>
      <c r="J223" s="846"/>
      <c r="K223" s="846"/>
      <c r="L223" s="846"/>
      <c r="M223" s="846"/>
      <c r="N223" s="846"/>
      <c r="O223" s="846"/>
    </row>
    <row r="224" spans="1:15" ht="20.100000000000001" customHeight="1">
      <c r="A224" s="846"/>
      <c r="B224" s="846"/>
      <c r="C224" s="846"/>
      <c r="D224" s="846"/>
      <c r="E224" s="846"/>
      <c r="F224" s="846"/>
      <c r="G224" s="846"/>
      <c r="H224" s="846"/>
      <c r="I224" s="846"/>
      <c r="J224" s="846"/>
      <c r="K224" s="846"/>
      <c r="L224" s="846"/>
      <c r="M224" s="846"/>
      <c r="N224" s="846"/>
      <c r="O224" s="846"/>
    </row>
    <row r="225" spans="1:15" ht="20.100000000000001" customHeight="1">
      <c r="A225" s="846"/>
      <c r="B225" s="846"/>
      <c r="C225" s="846"/>
      <c r="D225" s="846"/>
      <c r="E225" s="846"/>
      <c r="F225" s="846"/>
      <c r="G225" s="846"/>
      <c r="H225" s="846"/>
      <c r="I225" s="846"/>
      <c r="J225" s="846"/>
      <c r="K225" s="846"/>
      <c r="L225" s="846"/>
      <c r="M225" s="846"/>
      <c r="N225" s="846"/>
      <c r="O225" s="846"/>
    </row>
    <row r="226" spans="1:15" ht="20.100000000000001" customHeight="1">
      <c r="A226" s="846"/>
      <c r="B226" s="846"/>
      <c r="C226" s="846"/>
      <c r="D226" s="846"/>
      <c r="E226" s="846"/>
      <c r="F226" s="846"/>
      <c r="G226" s="846"/>
      <c r="H226" s="846"/>
      <c r="I226" s="846"/>
      <c r="J226" s="846"/>
      <c r="K226" s="846"/>
      <c r="L226" s="846"/>
      <c r="M226" s="846"/>
      <c r="N226" s="846"/>
      <c r="O226" s="846"/>
    </row>
    <row r="227" spans="1:15" ht="20.100000000000001" customHeight="1">
      <c r="A227" s="846"/>
      <c r="B227" s="846"/>
      <c r="C227" s="846"/>
      <c r="D227" s="846"/>
      <c r="E227" s="846"/>
      <c r="F227" s="846"/>
      <c r="G227" s="846"/>
      <c r="H227" s="846"/>
      <c r="I227" s="846"/>
      <c r="J227" s="846"/>
      <c r="K227" s="846"/>
      <c r="L227" s="846"/>
      <c r="M227" s="846"/>
      <c r="N227" s="846"/>
      <c r="O227" s="846"/>
    </row>
    <row r="228" spans="1:15" ht="20.100000000000001" customHeight="1">
      <c r="A228" s="846"/>
      <c r="B228" s="846"/>
      <c r="C228" s="846"/>
      <c r="D228" s="846"/>
      <c r="E228" s="846"/>
      <c r="F228" s="846"/>
      <c r="G228" s="846"/>
      <c r="H228" s="846"/>
      <c r="I228" s="846"/>
      <c r="J228" s="846"/>
      <c r="K228" s="846"/>
      <c r="L228" s="846"/>
      <c r="M228" s="846"/>
      <c r="N228" s="846"/>
      <c r="O228" s="846"/>
    </row>
    <row r="229" spans="1:15" ht="20.100000000000001" customHeight="1">
      <c r="A229" s="846"/>
      <c r="B229" s="846"/>
      <c r="C229" s="846"/>
      <c r="D229" s="846"/>
      <c r="E229" s="846"/>
      <c r="F229" s="846"/>
      <c r="G229" s="846"/>
      <c r="H229" s="846"/>
      <c r="I229" s="846"/>
      <c r="J229" s="846"/>
      <c r="K229" s="846"/>
      <c r="L229" s="846"/>
      <c r="M229" s="846"/>
      <c r="N229" s="846"/>
      <c r="O229" s="846"/>
    </row>
    <row r="230" spans="1:15" ht="20.100000000000001" customHeight="1">
      <c r="A230" s="846"/>
      <c r="B230" s="846"/>
      <c r="C230" s="846"/>
      <c r="D230" s="846"/>
      <c r="E230" s="846"/>
      <c r="F230" s="846"/>
      <c r="G230" s="846"/>
      <c r="H230" s="846"/>
      <c r="I230" s="846"/>
      <c r="J230" s="846"/>
      <c r="K230" s="846"/>
      <c r="L230" s="846"/>
      <c r="M230" s="846"/>
      <c r="N230" s="846"/>
      <c r="O230" s="846"/>
    </row>
    <row r="231" spans="1:15" ht="20.100000000000001" customHeight="1">
      <c r="A231" s="846"/>
      <c r="B231" s="846"/>
      <c r="C231" s="846"/>
      <c r="D231" s="846"/>
      <c r="E231" s="846"/>
      <c r="F231" s="846"/>
      <c r="G231" s="846"/>
      <c r="H231" s="846"/>
      <c r="I231" s="846"/>
      <c r="J231" s="846"/>
      <c r="K231" s="846"/>
      <c r="L231" s="846"/>
      <c r="M231" s="846"/>
      <c r="N231" s="846"/>
      <c r="O231" s="846"/>
    </row>
    <row r="232" spans="1:15" ht="20.100000000000001" customHeight="1">
      <c r="A232" s="846"/>
      <c r="B232" s="846"/>
      <c r="C232" s="846"/>
      <c r="D232" s="846"/>
      <c r="E232" s="846"/>
      <c r="F232" s="846"/>
      <c r="G232" s="846"/>
      <c r="H232" s="846"/>
      <c r="I232" s="846"/>
      <c r="J232" s="846"/>
      <c r="K232" s="846"/>
      <c r="L232" s="846"/>
      <c r="M232" s="846"/>
      <c r="N232" s="846"/>
      <c r="O232" s="846"/>
    </row>
    <row r="233" spans="1:15" ht="20.100000000000001" customHeight="1">
      <c r="A233" s="846"/>
      <c r="B233" s="846"/>
      <c r="C233" s="846"/>
      <c r="D233" s="846"/>
      <c r="E233" s="846"/>
      <c r="F233" s="846"/>
      <c r="G233" s="846"/>
      <c r="H233" s="846"/>
      <c r="I233" s="846"/>
      <c r="J233" s="846"/>
      <c r="K233" s="846"/>
      <c r="L233" s="846"/>
      <c r="M233" s="846"/>
      <c r="N233" s="846"/>
      <c r="O233" s="846"/>
    </row>
    <row r="234" spans="1:15" ht="20.100000000000001" customHeight="1">
      <c r="A234" s="846"/>
      <c r="B234" s="846"/>
      <c r="C234" s="846"/>
      <c r="D234" s="846"/>
      <c r="E234" s="846"/>
      <c r="F234" s="846"/>
      <c r="G234" s="846"/>
      <c r="H234" s="846"/>
      <c r="I234" s="846"/>
      <c r="J234" s="846"/>
      <c r="K234" s="846"/>
      <c r="L234" s="846"/>
      <c r="M234" s="846"/>
      <c r="N234" s="846"/>
      <c r="O234" s="846"/>
    </row>
    <row r="235" spans="1:15" ht="20.100000000000001" customHeight="1">
      <c r="A235" s="846"/>
      <c r="B235" s="846"/>
      <c r="C235" s="846"/>
      <c r="D235" s="846"/>
      <c r="E235" s="846"/>
      <c r="F235" s="846"/>
      <c r="G235" s="846"/>
      <c r="H235" s="846"/>
      <c r="I235" s="846"/>
      <c r="J235" s="846"/>
      <c r="K235" s="846"/>
      <c r="L235" s="846"/>
      <c r="M235" s="846"/>
      <c r="N235" s="846"/>
      <c r="O235" s="846"/>
    </row>
    <row r="236" spans="1:15" ht="20.100000000000001" customHeight="1">
      <c r="A236" s="846"/>
      <c r="B236" s="846"/>
      <c r="C236" s="846"/>
      <c r="D236" s="846"/>
      <c r="E236" s="846"/>
      <c r="F236" s="846"/>
      <c r="G236" s="846"/>
      <c r="H236" s="846"/>
      <c r="I236" s="846"/>
      <c r="J236" s="846"/>
      <c r="K236" s="846"/>
      <c r="L236" s="846"/>
      <c r="M236" s="846"/>
      <c r="N236" s="846"/>
      <c r="O236" s="846"/>
    </row>
    <row r="237" spans="1:15" ht="20.100000000000001" customHeight="1">
      <c r="A237" s="846"/>
      <c r="B237" s="846"/>
      <c r="C237" s="846"/>
      <c r="D237" s="846"/>
      <c r="E237" s="846"/>
      <c r="F237" s="846"/>
      <c r="G237" s="846"/>
      <c r="H237" s="846"/>
      <c r="I237" s="846"/>
      <c r="J237" s="846"/>
      <c r="K237" s="846"/>
      <c r="L237" s="846"/>
      <c r="M237" s="846"/>
      <c r="N237" s="846"/>
      <c r="O237" s="846"/>
    </row>
    <row r="238" spans="1:15" ht="20.100000000000001" customHeight="1">
      <c r="A238" s="846"/>
      <c r="B238" s="846"/>
      <c r="C238" s="846"/>
      <c r="D238" s="846"/>
      <c r="E238" s="846"/>
      <c r="F238" s="846"/>
      <c r="G238" s="846"/>
      <c r="H238" s="846"/>
      <c r="I238" s="846"/>
      <c r="J238" s="846"/>
      <c r="K238" s="846"/>
      <c r="L238" s="846"/>
      <c r="M238" s="846"/>
      <c r="N238" s="846"/>
      <c r="O238" s="846"/>
    </row>
    <row r="239" spans="1:15" ht="20.100000000000001" customHeight="1">
      <c r="A239" s="846"/>
      <c r="B239" s="846"/>
      <c r="C239" s="846"/>
      <c r="D239" s="846"/>
      <c r="E239" s="846"/>
      <c r="F239" s="846"/>
      <c r="G239" s="846"/>
      <c r="H239" s="846"/>
      <c r="I239" s="846"/>
      <c r="J239" s="846"/>
      <c r="K239" s="846"/>
      <c r="L239" s="846"/>
      <c r="M239" s="846"/>
      <c r="N239" s="846"/>
      <c r="O239" s="846"/>
    </row>
    <row r="240" spans="1:15" ht="20.100000000000001" customHeight="1">
      <c r="A240" s="846"/>
      <c r="B240" s="846"/>
      <c r="C240" s="846"/>
      <c r="D240" s="846"/>
      <c r="E240" s="846"/>
      <c r="F240" s="846"/>
      <c r="G240" s="846"/>
      <c r="H240" s="846"/>
      <c r="I240" s="846"/>
      <c r="J240" s="846"/>
      <c r="K240" s="846"/>
      <c r="L240" s="846"/>
      <c r="M240" s="846"/>
      <c r="N240" s="846"/>
      <c r="O240" s="846"/>
    </row>
    <row r="241" spans="1:15" ht="20.100000000000001" customHeight="1">
      <c r="A241" s="846"/>
      <c r="B241" s="846"/>
      <c r="C241" s="846"/>
      <c r="D241" s="846"/>
      <c r="E241" s="846"/>
      <c r="F241" s="846"/>
      <c r="G241" s="846"/>
      <c r="H241" s="846"/>
      <c r="I241" s="846"/>
      <c r="J241" s="846"/>
      <c r="K241" s="846"/>
      <c r="L241" s="846"/>
      <c r="M241" s="846"/>
      <c r="N241" s="846"/>
      <c r="O241" s="846"/>
    </row>
    <row r="242" spans="1:15" ht="20.100000000000001" customHeight="1">
      <c r="A242" s="846"/>
      <c r="B242" s="846"/>
      <c r="C242" s="846"/>
      <c r="D242" s="846"/>
      <c r="E242" s="846"/>
      <c r="F242" s="846"/>
      <c r="G242" s="846"/>
      <c r="H242" s="846"/>
      <c r="I242" s="846"/>
      <c r="J242" s="846"/>
      <c r="K242" s="846"/>
      <c r="L242" s="846"/>
      <c r="M242" s="846"/>
      <c r="N242" s="846"/>
      <c r="O242" s="846"/>
    </row>
    <row r="243" spans="1:15" ht="20.100000000000001" customHeight="1">
      <c r="A243" s="846"/>
      <c r="B243" s="846"/>
      <c r="C243" s="846"/>
      <c r="D243" s="846"/>
      <c r="E243" s="846"/>
      <c r="F243" s="846"/>
      <c r="G243" s="846"/>
      <c r="H243" s="846"/>
      <c r="I243" s="846"/>
      <c r="J243" s="846"/>
      <c r="K243" s="846"/>
      <c r="L243" s="846"/>
      <c r="M243" s="846"/>
      <c r="N243" s="846"/>
      <c r="O243" s="846"/>
    </row>
    <row r="244" spans="1:15" ht="20.100000000000001" customHeight="1">
      <c r="A244" s="846"/>
      <c r="B244" s="846"/>
      <c r="C244" s="846"/>
      <c r="D244" s="846"/>
      <c r="E244" s="846"/>
      <c r="F244" s="846"/>
      <c r="G244" s="846"/>
      <c r="H244" s="846"/>
      <c r="I244" s="846"/>
      <c r="J244" s="846"/>
      <c r="K244" s="846"/>
      <c r="L244" s="846"/>
      <c r="M244" s="846"/>
      <c r="N244" s="846"/>
      <c r="O244" s="846"/>
    </row>
    <row r="245" spans="1:15" ht="20.100000000000001" customHeight="1">
      <c r="A245" s="846"/>
      <c r="B245" s="846"/>
      <c r="C245" s="846"/>
      <c r="D245" s="846"/>
      <c r="E245" s="846"/>
      <c r="F245" s="846"/>
      <c r="G245" s="846"/>
      <c r="H245" s="846"/>
      <c r="I245" s="846"/>
      <c r="J245" s="846"/>
      <c r="K245" s="846"/>
      <c r="L245" s="846"/>
      <c r="M245" s="846"/>
      <c r="N245" s="846"/>
      <c r="O245" s="846"/>
    </row>
    <row r="246" spans="1:15" ht="20.100000000000001" customHeight="1">
      <c r="A246" s="846"/>
      <c r="B246" s="846"/>
      <c r="C246" s="846"/>
      <c r="D246" s="846"/>
      <c r="E246" s="846"/>
      <c r="F246" s="846"/>
      <c r="G246" s="846"/>
      <c r="H246" s="846"/>
      <c r="I246" s="846"/>
      <c r="J246" s="846"/>
      <c r="K246" s="846"/>
      <c r="L246" s="846"/>
      <c r="M246" s="846"/>
      <c r="N246" s="846"/>
      <c r="O246" s="846"/>
    </row>
    <row r="247" spans="1:15" ht="20.100000000000001" customHeight="1">
      <c r="A247" s="846"/>
      <c r="B247" s="846"/>
      <c r="C247" s="846"/>
      <c r="D247" s="846"/>
      <c r="E247" s="846"/>
      <c r="F247" s="846"/>
      <c r="G247" s="846"/>
      <c r="H247" s="846"/>
      <c r="I247" s="846"/>
      <c r="J247" s="846"/>
      <c r="K247" s="846"/>
      <c r="L247" s="846"/>
      <c r="M247" s="846"/>
      <c r="N247" s="846"/>
      <c r="O247" s="846"/>
    </row>
    <row r="248" spans="1:15" ht="20.100000000000001" customHeight="1">
      <c r="A248" s="846"/>
      <c r="B248" s="846"/>
      <c r="C248" s="846"/>
      <c r="D248" s="846"/>
      <c r="E248" s="846"/>
      <c r="F248" s="846"/>
      <c r="G248" s="846"/>
      <c r="H248" s="846"/>
      <c r="I248" s="846"/>
      <c r="J248" s="846"/>
      <c r="K248" s="846"/>
      <c r="L248" s="846"/>
      <c r="M248" s="846"/>
      <c r="N248" s="846"/>
      <c r="O248" s="846"/>
    </row>
    <row r="249" spans="1:15" ht="20.100000000000001" customHeight="1">
      <c r="A249" s="846"/>
      <c r="B249" s="846"/>
      <c r="C249" s="846"/>
      <c r="D249" s="846"/>
      <c r="E249" s="846"/>
      <c r="F249" s="846"/>
      <c r="G249" s="846"/>
      <c r="H249" s="846"/>
      <c r="I249" s="846"/>
      <c r="J249" s="846"/>
      <c r="K249" s="846"/>
      <c r="L249" s="846"/>
      <c r="M249" s="846"/>
      <c r="N249" s="846"/>
      <c r="O249" s="846"/>
    </row>
    <row r="250" spans="1:15" ht="20.100000000000001" customHeight="1">
      <c r="A250" s="846"/>
      <c r="B250" s="846"/>
      <c r="C250" s="846"/>
      <c r="D250" s="846"/>
      <c r="E250" s="846"/>
      <c r="F250" s="846"/>
      <c r="G250" s="846"/>
      <c r="H250" s="846"/>
      <c r="I250" s="846"/>
      <c r="J250" s="846"/>
      <c r="K250" s="846"/>
      <c r="L250" s="846"/>
      <c r="M250" s="846"/>
      <c r="N250" s="846"/>
      <c r="O250" s="846"/>
    </row>
    <row r="251" spans="1:15" ht="20.100000000000001" customHeight="1">
      <c r="A251" s="846"/>
      <c r="B251" s="846"/>
      <c r="C251" s="846"/>
      <c r="D251" s="846"/>
      <c r="E251" s="846"/>
      <c r="F251" s="846"/>
      <c r="G251" s="846"/>
      <c r="H251" s="846"/>
      <c r="I251" s="846"/>
      <c r="J251" s="846"/>
      <c r="K251" s="846"/>
      <c r="L251" s="846"/>
      <c r="M251" s="846"/>
      <c r="N251" s="846"/>
      <c r="O251" s="846"/>
    </row>
    <row r="252" spans="1:15" ht="20.100000000000001" customHeight="1">
      <c r="A252" s="846"/>
      <c r="B252" s="846"/>
      <c r="C252" s="846"/>
      <c r="D252" s="846"/>
      <c r="E252" s="846"/>
      <c r="F252" s="846"/>
      <c r="G252" s="846"/>
      <c r="H252" s="846"/>
      <c r="I252" s="846"/>
      <c r="J252" s="846"/>
      <c r="K252" s="846"/>
      <c r="L252" s="846"/>
      <c r="M252" s="846"/>
      <c r="N252" s="846"/>
      <c r="O252" s="846"/>
    </row>
    <row r="253" spans="1:15" ht="20.100000000000001" customHeight="1">
      <c r="A253" s="846"/>
      <c r="B253" s="846"/>
      <c r="C253" s="846"/>
      <c r="D253" s="846"/>
      <c r="E253" s="846"/>
      <c r="F253" s="846"/>
      <c r="G253" s="846"/>
      <c r="H253" s="846"/>
      <c r="I253" s="846"/>
      <c r="J253" s="846"/>
      <c r="K253" s="846"/>
      <c r="L253" s="846"/>
      <c r="M253" s="846"/>
      <c r="N253" s="846"/>
      <c r="O253" s="846"/>
    </row>
    <row r="254" spans="1:15" ht="20.100000000000001" customHeight="1">
      <c r="A254" s="846"/>
      <c r="B254" s="846"/>
      <c r="C254" s="846"/>
      <c r="D254" s="846"/>
      <c r="E254" s="846"/>
      <c r="F254" s="846"/>
      <c r="G254" s="846"/>
      <c r="H254" s="846"/>
      <c r="I254" s="846"/>
      <c r="J254" s="846"/>
      <c r="K254" s="846"/>
      <c r="L254" s="846"/>
      <c r="M254" s="846"/>
      <c r="N254" s="846"/>
      <c r="O254" s="846"/>
    </row>
    <row r="255" spans="1:15" ht="20.100000000000001" customHeight="1">
      <c r="A255" s="846"/>
      <c r="B255" s="846"/>
      <c r="C255" s="846"/>
      <c r="D255" s="846"/>
      <c r="E255" s="846"/>
      <c r="F255" s="846"/>
      <c r="G255" s="846"/>
      <c r="H255" s="846"/>
      <c r="I255" s="846"/>
      <c r="J255" s="846"/>
      <c r="K255" s="846"/>
      <c r="L255" s="846"/>
      <c r="M255" s="846"/>
      <c r="N255" s="846"/>
      <c r="O255" s="846"/>
    </row>
    <row r="256" spans="1:15" ht="20.100000000000001" customHeight="1">
      <c r="A256" s="846"/>
      <c r="B256" s="846"/>
      <c r="C256" s="846"/>
      <c r="D256" s="846"/>
      <c r="E256" s="846"/>
      <c r="F256" s="846"/>
      <c r="G256" s="846"/>
      <c r="H256" s="846"/>
      <c r="I256" s="846"/>
      <c r="J256" s="846"/>
      <c r="K256" s="846"/>
      <c r="L256" s="846"/>
      <c r="M256" s="846"/>
      <c r="N256" s="846"/>
      <c r="O256" s="846"/>
    </row>
    <row r="257" spans="1:15" ht="20.100000000000001" customHeight="1">
      <c r="A257" s="846"/>
      <c r="B257" s="846"/>
      <c r="C257" s="846"/>
      <c r="D257" s="846"/>
      <c r="E257" s="846"/>
      <c r="F257" s="846"/>
      <c r="G257" s="846"/>
      <c r="H257" s="846"/>
      <c r="I257" s="846"/>
      <c r="J257" s="846"/>
      <c r="K257" s="846"/>
      <c r="L257" s="846"/>
      <c r="M257" s="846"/>
      <c r="N257" s="846"/>
      <c r="O257" s="846"/>
    </row>
    <row r="258" spans="1:15" ht="20.100000000000001" customHeight="1">
      <c r="A258" s="846"/>
      <c r="B258" s="846"/>
      <c r="C258" s="846"/>
      <c r="D258" s="846"/>
      <c r="E258" s="846"/>
      <c r="F258" s="846"/>
      <c r="G258" s="846"/>
      <c r="H258" s="846"/>
      <c r="I258" s="846"/>
      <c r="J258" s="846"/>
      <c r="K258" s="846"/>
      <c r="L258" s="846"/>
      <c r="M258" s="846"/>
      <c r="N258" s="846"/>
      <c r="O258" s="846"/>
    </row>
    <row r="259" spans="1:15" ht="20.100000000000001" customHeight="1">
      <c r="A259" s="846"/>
      <c r="B259" s="846"/>
      <c r="C259" s="846"/>
      <c r="D259" s="846"/>
      <c r="E259" s="846"/>
      <c r="F259" s="846"/>
      <c r="G259" s="846"/>
      <c r="H259" s="846"/>
      <c r="I259" s="846"/>
      <c r="J259" s="846"/>
      <c r="K259" s="846"/>
      <c r="L259" s="846"/>
      <c r="M259" s="846"/>
      <c r="N259" s="846"/>
      <c r="O259" s="846"/>
    </row>
    <row r="260" spans="1:15" ht="20.100000000000001" customHeight="1">
      <c r="A260" s="846"/>
      <c r="B260" s="846"/>
      <c r="C260" s="846"/>
      <c r="D260" s="846"/>
      <c r="E260" s="846"/>
      <c r="F260" s="846"/>
      <c r="G260" s="846"/>
      <c r="H260" s="846"/>
      <c r="I260" s="846"/>
      <c r="J260" s="846"/>
      <c r="K260" s="846"/>
      <c r="L260" s="846"/>
      <c r="M260" s="846"/>
      <c r="N260" s="846"/>
      <c r="O260" s="846"/>
    </row>
    <row r="261" spans="1:15" ht="20.100000000000001" customHeight="1">
      <c r="A261" s="846"/>
      <c r="B261" s="846"/>
      <c r="C261" s="846"/>
      <c r="D261" s="846"/>
      <c r="E261" s="846"/>
      <c r="F261" s="846"/>
      <c r="G261" s="846"/>
      <c r="H261" s="846"/>
      <c r="I261" s="846"/>
      <c r="J261" s="846"/>
      <c r="K261" s="846"/>
      <c r="L261" s="846"/>
      <c r="M261" s="846"/>
      <c r="N261" s="846"/>
      <c r="O261" s="846"/>
    </row>
    <row r="262" spans="1:15" ht="20.100000000000001" customHeight="1">
      <c r="A262" s="846"/>
      <c r="B262" s="846"/>
      <c r="C262" s="846"/>
      <c r="D262" s="846"/>
      <c r="E262" s="846"/>
      <c r="F262" s="846"/>
      <c r="G262" s="846"/>
      <c r="H262" s="846"/>
      <c r="I262" s="846"/>
      <c r="J262" s="846"/>
      <c r="K262" s="846"/>
      <c r="L262" s="846"/>
      <c r="M262" s="846"/>
      <c r="N262" s="846"/>
      <c r="O262" s="846"/>
    </row>
    <row r="263" spans="1:15" ht="20.100000000000001" customHeight="1">
      <c r="A263" s="846"/>
      <c r="B263" s="846"/>
      <c r="C263" s="846"/>
      <c r="D263" s="846"/>
      <c r="E263" s="846"/>
      <c r="F263" s="846"/>
      <c r="G263" s="846"/>
      <c r="H263" s="846"/>
      <c r="I263" s="846"/>
      <c r="J263" s="846"/>
      <c r="K263" s="846"/>
      <c r="L263" s="846"/>
      <c r="M263" s="846"/>
      <c r="N263" s="846"/>
      <c r="O263" s="846"/>
    </row>
    <row r="264" spans="1:15" ht="20.100000000000001" customHeight="1">
      <c r="A264" s="846"/>
      <c r="B264" s="846"/>
      <c r="C264" s="846"/>
      <c r="D264" s="846"/>
      <c r="E264" s="846"/>
      <c r="F264" s="846"/>
      <c r="G264" s="846"/>
      <c r="H264" s="846"/>
      <c r="I264" s="846"/>
      <c r="J264" s="846"/>
      <c r="K264" s="846"/>
      <c r="L264" s="846"/>
      <c r="M264" s="846"/>
      <c r="N264" s="846"/>
      <c r="O264" s="846"/>
    </row>
    <row r="265" spans="1:15" ht="20.100000000000001" customHeight="1">
      <c r="A265" s="846"/>
      <c r="B265" s="846"/>
      <c r="C265" s="846"/>
      <c r="D265" s="846"/>
      <c r="E265" s="846"/>
      <c r="F265" s="846"/>
      <c r="G265" s="846"/>
      <c r="H265" s="846"/>
      <c r="I265" s="846"/>
      <c r="J265" s="846"/>
      <c r="K265" s="846"/>
      <c r="L265" s="846"/>
      <c r="M265" s="846"/>
      <c r="N265" s="846"/>
      <c r="O265" s="846"/>
    </row>
    <row r="266" spans="1:15" ht="20.100000000000001" customHeight="1">
      <c r="A266" s="846"/>
      <c r="B266" s="846"/>
      <c r="C266" s="846"/>
      <c r="D266" s="846"/>
      <c r="E266" s="846"/>
      <c r="F266" s="846"/>
      <c r="G266" s="846"/>
      <c r="H266" s="846"/>
      <c r="I266" s="846"/>
      <c r="J266" s="846"/>
      <c r="K266" s="846"/>
      <c r="L266" s="846"/>
      <c r="M266" s="846"/>
      <c r="N266" s="846"/>
      <c r="O266" s="846"/>
    </row>
    <row r="267" spans="1:15" ht="20.100000000000001" customHeight="1">
      <c r="A267" s="846"/>
      <c r="B267" s="846"/>
      <c r="C267" s="846"/>
      <c r="D267" s="846"/>
      <c r="E267" s="846"/>
      <c r="F267" s="846"/>
      <c r="G267" s="846"/>
      <c r="H267" s="846"/>
      <c r="I267" s="846"/>
      <c r="J267" s="846"/>
      <c r="K267" s="846"/>
      <c r="L267" s="846"/>
      <c r="M267" s="846"/>
      <c r="N267" s="846"/>
      <c r="O267" s="846"/>
    </row>
    <row r="268" spans="1:15" ht="20.100000000000001" customHeight="1">
      <c r="A268" s="846"/>
      <c r="B268" s="846"/>
      <c r="C268" s="846"/>
      <c r="D268" s="846"/>
      <c r="E268" s="846"/>
      <c r="F268" s="846"/>
      <c r="G268" s="846"/>
      <c r="H268" s="846"/>
      <c r="I268" s="846"/>
      <c r="J268" s="846"/>
      <c r="K268" s="846"/>
      <c r="L268" s="846"/>
      <c r="M268" s="846"/>
      <c r="N268" s="846"/>
      <c r="O268" s="846"/>
    </row>
    <row r="269" spans="1:15" ht="20.100000000000001" customHeight="1">
      <c r="A269" s="846"/>
      <c r="B269" s="846"/>
      <c r="C269" s="846"/>
      <c r="D269" s="846"/>
      <c r="E269" s="846"/>
      <c r="F269" s="846"/>
      <c r="G269" s="846"/>
      <c r="H269" s="846"/>
      <c r="I269" s="846"/>
      <c r="J269" s="846"/>
      <c r="K269" s="846"/>
      <c r="L269" s="846"/>
      <c r="M269" s="846"/>
      <c r="N269" s="846"/>
      <c r="O269" s="846"/>
    </row>
    <row r="270" spans="1:15" ht="20.100000000000001" customHeight="1">
      <c r="A270" s="846"/>
      <c r="B270" s="846"/>
      <c r="C270" s="846"/>
      <c r="D270" s="846"/>
      <c r="E270" s="846"/>
      <c r="F270" s="846"/>
      <c r="G270" s="846"/>
      <c r="H270" s="846"/>
      <c r="I270" s="846"/>
      <c r="J270" s="846"/>
      <c r="K270" s="846"/>
      <c r="L270" s="846"/>
      <c r="M270" s="846"/>
      <c r="N270" s="846"/>
      <c r="O270" s="846"/>
    </row>
    <row r="271" spans="1:15" ht="20.100000000000001" customHeight="1">
      <c r="A271" s="846"/>
      <c r="B271" s="846"/>
      <c r="C271" s="846"/>
      <c r="D271" s="846"/>
      <c r="E271" s="846"/>
      <c r="F271" s="846"/>
      <c r="G271" s="846"/>
      <c r="H271" s="846"/>
      <c r="I271" s="846"/>
      <c r="J271" s="846"/>
      <c r="K271" s="846"/>
      <c r="L271" s="846"/>
      <c r="M271" s="846"/>
      <c r="N271" s="846"/>
      <c r="O271" s="846"/>
    </row>
    <row r="272" spans="1:15" ht="20.100000000000001" customHeight="1">
      <c r="A272" s="846"/>
      <c r="B272" s="846"/>
      <c r="C272" s="846"/>
      <c r="D272" s="846"/>
      <c r="E272" s="846"/>
      <c r="F272" s="846"/>
      <c r="G272" s="846"/>
      <c r="H272" s="846"/>
      <c r="I272" s="846"/>
      <c r="J272" s="846"/>
      <c r="K272" s="846"/>
      <c r="L272" s="846"/>
      <c r="M272" s="846"/>
      <c r="N272" s="846"/>
      <c r="O272" s="846"/>
    </row>
    <row r="273" spans="1:15" ht="20.100000000000001" customHeight="1">
      <c r="A273" s="846"/>
      <c r="B273" s="846"/>
      <c r="C273" s="846"/>
      <c r="D273" s="846"/>
      <c r="E273" s="846"/>
      <c r="F273" s="846"/>
      <c r="G273" s="846"/>
      <c r="H273" s="846"/>
      <c r="I273" s="846"/>
      <c r="J273" s="846"/>
      <c r="K273" s="846"/>
      <c r="L273" s="846"/>
      <c r="M273" s="846"/>
      <c r="N273" s="846"/>
      <c r="O273" s="846"/>
    </row>
    <row r="274" spans="1:15" ht="20.100000000000001" customHeight="1">
      <c r="A274" s="846"/>
      <c r="B274" s="846"/>
      <c r="C274" s="846"/>
      <c r="D274" s="846"/>
      <c r="E274" s="846"/>
      <c r="F274" s="846"/>
      <c r="G274" s="846"/>
      <c r="H274" s="846"/>
      <c r="I274" s="846"/>
      <c r="J274" s="846"/>
      <c r="K274" s="846"/>
      <c r="L274" s="846"/>
      <c r="M274" s="846"/>
      <c r="N274" s="846"/>
      <c r="O274" s="846"/>
    </row>
    <row r="275" spans="1:15" ht="20.100000000000001" customHeight="1">
      <c r="A275" s="846"/>
      <c r="B275" s="846"/>
      <c r="C275" s="846"/>
      <c r="D275" s="846"/>
      <c r="E275" s="846"/>
      <c r="F275" s="846"/>
      <c r="G275" s="846"/>
      <c r="H275" s="846"/>
      <c r="I275" s="846"/>
      <c r="J275" s="846"/>
      <c r="K275" s="846"/>
      <c r="L275" s="846"/>
      <c r="M275" s="846"/>
      <c r="N275" s="846"/>
      <c r="O275" s="846"/>
    </row>
    <row r="276" spans="1:15" ht="20.100000000000001" customHeight="1">
      <c r="A276" s="846"/>
      <c r="B276" s="846"/>
      <c r="C276" s="846"/>
      <c r="D276" s="846"/>
      <c r="E276" s="846"/>
      <c r="F276" s="846"/>
      <c r="G276" s="846"/>
      <c r="H276" s="846"/>
      <c r="I276" s="846"/>
      <c r="J276" s="846"/>
      <c r="K276" s="846"/>
      <c r="L276" s="846"/>
      <c r="M276" s="846"/>
      <c r="N276" s="846"/>
      <c r="O276" s="846"/>
    </row>
    <row r="277" spans="1:15" ht="20.100000000000001" customHeight="1">
      <c r="A277" s="846"/>
      <c r="B277" s="846"/>
      <c r="C277" s="846"/>
      <c r="D277" s="846"/>
      <c r="E277" s="846"/>
      <c r="F277" s="846"/>
      <c r="G277" s="846"/>
      <c r="H277" s="846"/>
      <c r="I277" s="846"/>
      <c r="J277" s="846"/>
      <c r="K277" s="846"/>
      <c r="L277" s="846"/>
      <c r="M277" s="846"/>
      <c r="N277" s="846"/>
      <c r="O277" s="846"/>
    </row>
    <row r="278" spans="1:15" ht="20.100000000000001" customHeight="1">
      <c r="A278" s="846"/>
      <c r="B278" s="846"/>
      <c r="C278" s="846"/>
      <c r="D278" s="846"/>
      <c r="E278" s="846"/>
      <c r="F278" s="846"/>
      <c r="G278" s="846"/>
      <c r="H278" s="846"/>
      <c r="I278" s="846"/>
      <c r="J278" s="846"/>
      <c r="K278" s="846"/>
      <c r="L278" s="846"/>
      <c r="M278" s="846"/>
      <c r="N278" s="846"/>
      <c r="O278" s="846"/>
    </row>
    <row r="279" spans="1:15" ht="20.100000000000001" customHeight="1">
      <c r="A279" s="846"/>
      <c r="B279" s="846"/>
      <c r="C279" s="846"/>
      <c r="D279" s="846"/>
      <c r="E279" s="846"/>
      <c r="F279" s="846"/>
      <c r="G279" s="846"/>
      <c r="H279" s="846"/>
      <c r="I279" s="846"/>
      <c r="J279" s="846"/>
      <c r="K279" s="846"/>
      <c r="L279" s="846"/>
      <c r="M279" s="846"/>
      <c r="N279" s="846"/>
      <c r="O279" s="846"/>
    </row>
    <row r="280" spans="1:15" ht="20.100000000000001" customHeight="1">
      <c r="A280" s="846"/>
      <c r="B280" s="846"/>
      <c r="C280" s="846"/>
      <c r="D280" s="846"/>
      <c r="E280" s="846"/>
      <c r="F280" s="846"/>
      <c r="G280" s="846"/>
      <c r="H280" s="846"/>
      <c r="I280" s="846"/>
      <c r="J280" s="846"/>
      <c r="K280" s="846"/>
      <c r="L280" s="846"/>
      <c r="M280" s="846"/>
      <c r="N280" s="846"/>
      <c r="O280" s="846"/>
    </row>
    <row r="281" spans="1:15" ht="20.100000000000001" customHeight="1">
      <c r="A281" s="846"/>
      <c r="B281" s="846"/>
      <c r="C281" s="846"/>
      <c r="D281" s="846"/>
      <c r="E281" s="846"/>
      <c r="F281" s="846"/>
      <c r="G281" s="846"/>
      <c r="H281" s="846"/>
      <c r="I281" s="846"/>
      <c r="J281" s="846"/>
      <c r="K281" s="846"/>
      <c r="L281" s="846"/>
      <c r="M281" s="846"/>
      <c r="N281" s="846"/>
      <c r="O281" s="846"/>
    </row>
    <row r="282" spans="1:15" ht="20.100000000000001" customHeight="1">
      <c r="A282" s="846"/>
      <c r="B282" s="846"/>
      <c r="C282" s="846"/>
      <c r="D282" s="846"/>
      <c r="E282" s="846"/>
      <c r="F282" s="846"/>
      <c r="G282" s="846"/>
      <c r="H282" s="846"/>
      <c r="I282" s="846"/>
      <c r="J282" s="846"/>
      <c r="K282" s="846"/>
      <c r="L282" s="846"/>
      <c r="M282" s="846"/>
      <c r="N282" s="846"/>
      <c r="O282" s="846"/>
    </row>
    <row r="283" spans="1:15" ht="20.100000000000001" customHeight="1">
      <c r="A283" s="846"/>
      <c r="B283" s="846"/>
      <c r="C283" s="846"/>
      <c r="D283" s="846"/>
      <c r="E283" s="846"/>
      <c r="F283" s="846"/>
      <c r="G283" s="846"/>
      <c r="H283" s="846"/>
      <c r="I283" s="846"/>
      <c r="J283" s="846"/>
      <c r="K283" s="846"/>
      <c r="L283" s="846"/>
      <c r="M283" s="846"/>
      <c r="N283" s="846"/>
      <c r="O283" s="846"/>
    </row>
    <row r="284" spans="1:15" ht="20.100000000000001" customHeight="1">
      <c r="A284" s="846"/>
      <c r="B284" s="846"/>
      <c r="C284" s="846"/>
      <c r="D284" s="846"/>
      <c r="E284" s="846"/>
      <c r="F284" s="846"/>
      <c r="G284" s="846"/>
      <c r="H284" s="846"/>
      <c r="I284" s="846"/>
      <c r="J284" s="846"/>
      <c r="K284" s="846"/>
      <c r="L284" s="846"/>
      <c r="M284" s="846"/>
      <c r="N284" s="846"/>
      <c r="O284" s="846"/>
    </row>
    <row r="285" spans="1:15" ht="20.100000000000001" customHeight="1">
      <c r="A285" s="846"/>
      <c r="B285" s="846"/>
      <c r="C285" s="846"/>
      <c r="D285" s="846"/>
      <c r="E285" s="846"/>
      <c r="F285" s="846"/>
      <c r="G285" s="846"/>
      <c r="H285" s="846"/>
      <c r="I285" s="846"/>
      <c r="J285" s="846"/>
      <c r="K285" s="846"/>
      <c r="L285" s="846"/>
      <c r="M285" s="846"/>
      <c r="N285" s="846"/>
      <c r="O285" s="846"/>
    </row>
    <row r="286" spans="1:15" ht="20.100000000000001" customHeight="1">
      <c r="A286" s="846"/>
      <c r="B286" s="846"/>
      <c r="C286" s="846"/>
      <c r="D286" s="846"/>
      <c r="E286" s="846"/>
      <c r="F286" s="846"/>
      <c r="G286" s="846"/>
      <c r="H286" s="846"/>
      <c r="I286" s="846"/>
      <c r="J286" s="846"/>
      <c r="K286" s="846"/>
      <c r="L286" s="846"/>
      <c r="M286" s="846"/>
      <c r="N286" s="846"/>
      <c r="O286" s="846"/>
    </row>
    <row r="287" spans="1:15" ht="20.100000000000001" customHeight="1">
      <c r="A287" s="846"/>
      <c r="B287" s="846"/>
      <c r="C287" s="846"/>
      <c r="D287" s="846"/>
      <c r="E287" s="846"/>
      <c r="F287" s="846"/>
      <c r="G287" s="846"/>
      <c r="H287" s="846"/>
      <c r="I287" s="846"/>
      <c r="J287" s="846"/>
      <c r="K287" s="846"/>
      <c r="L287" s="846"/>
      <c r="M287" s="846"/>
      <c r="N287" s="846"/>
      <c r="O287" s="846"/>
    </row>
    <row r="288" spans="1:15" ht="20.100000000000001" customHeight="1">
      <c r="A288" s="846"/>
      <c r="B288" s="846"/>
      <c r="C288" s="846"/>
      <c r="D288" s="846"/>
      <c r="E288" s="846"/>
      <c r="F288" s="846"/>
      <c r="G288" s="846"/>
      <c r="H288" s="846"/>
      <c r="I288" s="846"/>
      <c r="J288" s="846"/>
      <c r="K288" s="846"/>
      <c r="L288" s="846"/>
      <c r="M288" s="846"/>
      <c r="N288" s="846"/>
      <c r="O288" s="846"/>
    </row>
    <row r="289" spans="1:15" ht="20.100000000000001" customHeight="1">
      <c r="A289" s="846"/>
      <c r="B289" s="846"/>
      <c r="C289" s="846"/>
      <c r="D289" s="846"/>
      <c r="E289" s="846"/>
      <c r="F289" s="846"/>
      <c r="G289" s="846"/>
      <c r="H289" s="846"/>
      <c r="I289" s="846"/>
      <c r="J289" s="846"/>
      <c r="K289" s="846"/>
      <c r="L289" s="846"/>
      <c r="M289" s="846"/>
      <c r="N289" s="846"/>
      <c r="O289" s="846"/>
    </row>
    <row r="290" spans="1:15" ht="20.100000000000001" customHeight="1">
      <c r="A290" s="846"/>
      <c r="B290" s="846"/>
      <c r="C290" s="846"/>
      <c r="D290" s="846"/>
      <c r="E290" s="846"/>
      <c r="F290" s="846"/>
      <c r="G290" s="846"/>
      <c r="H290" s="846"/>
      <c r="I290" s="846"/>
      <c r="J290" s="846"/>
      <c r="K290" s="846"/>
      <c r="L290" s="846"/>
      <c r="M290" s="846"/>
      <c r="N290" s="846"/>
      <c r="O290" s="846"/>
    </row>
    <row r="291" spans="1:15" ht="20.100000000000001" customHeight="1">
      <c r="A291" s="846"/>
      <c r="B291" s="846"/>
      <c r="C291" s="846"/>
      <c r="D291" s="846"/>
      <c r="E291" s="846"/>
      <c r="F291" s="846"/>
      <c r="G291" s="846"/>
      <c r="H291" s="846"/>
      <c r="I291" s="846"/>
      <c r="J291" s="846"/>
      <c r="K291" s="846"/>
      <c r="L291" s="846"/>
      <c r="M291" s="846"/>
      <c r="N291" s="846"/>
      <c r="O291" s="846"/>
    </row>
    <row r="292" spans="1:15" ht="20.100000000000001" customHeight="1">
      <c r="A292" s="846"/>
      <c r="B292" s="846"/>
      <c r="C292" s="846"/>
      <c r="D292" s="846"/>
      <c r="E292" s="846"/>
      <c r="F292" s="846"/>
      <c r="G292" s="846"/>
      <c r="H292" s="846"/>
      <c r="I292" s="846"/>
      <c r="J292" s="846"/>
      <c r="K292" s="846"/>
      <c r="L292" s="846"/>
      <c r="M292" s="846"/>
      <c r="N292" s="846"/>
      <c r="O292" s="846"/>
    </row>
    <row r="293" spans="1:15" ht="20.100000000000001" customHeight="1">
      <c r="A293" s="846"/>
      <c r="B293" s="846"/>
      <c r="C293" s="846"/>
      <c r="D293" s="846"/>
      <c r="E293" s="846"/>
      <c r="F293" s="846"/>
      <c r="G293" s="846"/>
      <c r="H293" s="846"/>
      <c r="I293" s="846"/>
      <c r="J293" s="846"/>
      <c r="K293" s="846"/>
      <c r="L293" s="846"/>
      <c r="M293" s="846"/>
      <c r="N293" s="846"/>
      <c r="O293" s="846"/>
    </row>
    <row r="294" spans="1:15" ht="20.100000000000001" customHeight="1">
      <c r="A294" s="846"/>
      <c r="B294" s="846"/>
      <c r="C294" s="846"/>
      <c r="D294" s="846"/>
      <c r="E294" s="846"/>
      <c r="F294" s="846"/>
      <c r="G294" s="846"/>
      <c r="H294" s="846"/>
      <c r="I294" s="846"/>
      <c r="J294" s="846"/>
      <c r="K294" s="846"/>
      <c r="L294" s="846"/>
      <c r="M294" s="846"/>
      <c r="N294" s="846"/>
      <c r="O294" s="846"/>
    </row>
    <row r="295" spans="1:15" ht="20.100000000000001" customHeight="1">
      <c r="A295" s="846"/>
      <c r="B295" s="846"/>
      <c r="C295" s="846"/>
      <c r="D295" s="846"/>
      <c r="E295" s="846"/>
      <c r="F295" s="846"/>
      <c r="G295" s="846"/>
      <c r="H295" s="846"/>
      <c r="I295" s="846"/>
      <c r="J295" s="846"/>
      <c r="K295" s="846"/>
      <c r="L295" s="846"/>
      <c r="M295" s="846"/>
      <c r="N295" s="846"/>
      <c r="O295" s="846"/>
    </row>
    <row r="296" spans="1:15" ht="20.100000000000001" customHeight="1">
      <c r="A296" s="846"/>
      <c r="B296" s="846"/>
      <c r="C296" s="846"/>
      <c r="D296" s="846"/>
      <c r="E296" s="846"/>
      <c r="F296" s="846"/>
      <c r="G296" s="846"/>
      <c r="H296" s="846"/>
      <c r="I296" s="846"/>
      <c r="J296" s="846"/>
      <c r="K296" s="846"/>
      <c r="L296" s="846"/>
      <c r="M296" s="846"/>
      <c r="N296" s="846"/>
      <c r="O296" s="846"/>
    </row>
    <row r="297" spans="1:15" ht="20.100000000000001" customHeight="1">
      <c r="A297" s="846"/>
      <c r="B297" s="846"/>
      <c r="C297" s="846"/>
      <c r="D297" s="846"/>
      <c r="E297" s="846"/>
      <c r="F297" s="846"/>
      <c r="G297" s="846"/>
      <c r="H297" s="846"/>
      <c r="I297" s="846"/>
      <c r="J297" s="846"/>
      <c r="K297" s="846"/>
      <c r="L297" s="846"/>
      <c r="M297" s="846"/>
      <c r="N297" s="846"/>
      <c r="O297" s="846"/>
    </row>
    <row r="298" spans="1:15" ht="20.100000000000001" customHeight="1">
      <c r="A298" s="846"/>
      <c r="B298" s="846"/>
      <c r="C298" s="846"/>
      <c r="D298" s="846"/>
      <c r="E298" s="846"/>
      <c r="F298" s="846"/>
      <c r="G298" s="846"/>
      <c r="H298" s="846"/>
      <c r="I298" s="846"/>
      <c r="J298" s="846"/>
      <c r="K298" s="846"/>
      <c r="L298" s="846"/>
      <c r="M298" s="846"/>
      <c r="N298" s="846"/>
      <c r="O298" s="846"/>
    </row>
    <row r="299" spans="1:15" ht="20.100000000000001" customHeight="1">
      <c r="A299" s="846"/>
      <c r="B299" s="846"/>
      <c r="C299" s="846"/>
      <c r="D299" s="846"/>
      <c r="E299" s="846"/>
      <c r="F299" s="846"/>
      <c r="G299" s="846"/>
      <c r="H299" s="846"/>
      <c r="I299" s="846"/>
      <c r="J299" s="846"/>
      <c r="K299" s="846"/>
      <c r="L299" s="846"/>
      <c r="M299" s="846"/>
      <c r="N299" s="846"/>
      <c r="O299" s="846"/>
    </row>
    <row r="300" spans="1:15" ht="20.100000000000001" customHeight="1">
      <c r="A300" s="846"/>
      <c r="B300" s="846"/>
      <c r="C300" s="846"/>
      <c r="D300" s="846"/>
      <c r="E300" s="846"/>
      <c r="F300" s="846"/>
      <c r="G300" s="846"/>
      <c r="H300" s="846"/>
      <c r="I300" s="846"/>
      <c r="J300" s="846"/>
      <c r="K300" s="846"/>
      <c r="L300" s="846"/>
      <c r="M300" s="846"/>
      <c r="N300" s="846"/>
      <c r="O300" s="846"/>
    </row>
    <row r="301" spans="1:15" ht="20.100000000000001" customHeight="1">
      <c r="A301" s="846"/>
      <c r="B301" s="846"/>
      <c r="C301" s="846"/>
      <c r="D301" s="846"/>
      <c r="E301" s="846"/>
      <c r="F301" s="846"/>
      <c r="G301" s="846"/>
      <c r="H301" s="846"/>
      <c r="I301" s="846"/>
      <c r="J301" s="846"/>
      <c r="K301" s="846"/>
      <c r="L301" s="846"/>
      <c r="M301" s="846"/>
      <c r="N301" s="846"/>
      <c r="O301" s="846"/>
    </row>
    <row r="302" spans="1:15" ht="20.100000000000001" customHeight="1">
      <c r="A302" s="846"/>
      <c r="B302" s="846"/>
      <c r="C302" s="846"/>
      <c r="D302" s="846"/>
      <c r="E302" s="846"/>
      <c r="F302" s="846"/>
      <c r="G302" s="846"/>
      <c r="H302" s="846"/>
      <c r="I302" s="846"/>
      <c r="J302" s="846"/>
      <c r="K302" s="846"/>
      <c r="L302" s="846"/>
      <c r="M302" s="846"/>
      <c r="N302" s="846"/>
      <c r="O302" s="846"/>
    </row>
    <row r="303" spans="1:15" ht="20.100000000000001" customHeight="1">
      <c r="A303" s="846"/>
      <c r="B303" s="846"/>
      <c r="C303" s="846"/>
      <c r="D303" s="846"/>
      <c r="E303" s="846"/>
      <c r="F303" s="846"/>
      <c r="G303" s="846"/>
      <c r="H303" s="846"/>
      <c r="I303" s="846"/>
      <c r="J303" s="846"/>
      <c r="K303" s="846"/>
      <c r="L303" s="846"/>
      <c r="M303" s="846"/>
      <c r="N303" s="846"/>
      <c r="O303" s="846"/>
    </row>
    <row r="304" spans="1:15" ht="20.100000000000001" customHeight="1">
      <c r="A304" s="846"/>
      <c r="B304" s="846"/>
      <c r="C304" s="846"/>
      <c r="D304" s="846"/>
      <c r="E304" s="846"/>
      <c r="F304" s="846"/>
      <c r="G304" s="846"/>
      <c r="H304" s="846"/>
      <c r="I304" s="846"/>
      <c r="J304" s="846"/>
      <c r="K304" s="846"/>
      <c r="L304" s="846"/>
      <c r="M304" s="846"/>
      <c r="N304" s="846"/>
      <c r="O304" s="846"/>
    </row>
    <row r="305" spans="1:15" ht="20.100000000000001" customHeight="1">
      <c r="A305" s="846"/>
      <c r="B305" s="846"/>
      <c r="C305" s="846"/>
      <c r="D305" s="846"/>
      <c r="E305" s="846"/>
      <c r="F305" s="846"/>
      <c r="G305" s="846"/>
      <c r="H305" s="846"/>
      <c r="I305" s="846"/>
      <c r="J305" s="846"/>
      <c r="K305" s="846"/>
      <c r="L305" s="846"/>
      <c r="M305" s="846"/>
      <c r="N305" s="846"/>
      <c r="O305" s="846"/>
    </row>
    <row r="306" spans="1:15" ht="20.100000000000001" customHeight="1">
      <c r="A306" s="846"/>
      <c r="B306" s="846"/>
      <c r="C306" s="846"/>
      <c r="D306" s="846"/>
      <c r="E306" s="846"/>
      <c r="F306" s="846"/>
      <c r="G306" s="846"/>
      <c r="H306" s="846"/>
      <c r="I306" s="846"/>
      <c r="J306" s="846"/>
      <c r="K306" s="846"/>
      <c r="L306" s="846"/>
      <c r="M306" s="846"/>
      <c r="N306" s="846"/>
      <c r="O306" s="846"/>
    </row>
    <row r="307" spans="1:15" ht="20.100000000000001" customHeight="1">
      <c r="A307" s="846"/>
      <c r="B307" s="846"/>
      <c r="C307" s="846"/>
      <c r="D307" s="846"/>
      <c r="E307" s="846"/>
      <c r="F307" s="846"/>
      <c r="G307" s="846"/>
      <c r="H307" s="846"/>
      <c r="I307" s="846"/>
      <c r="J307" s="846"/>
      <c r="K307" s="846"/>
      <c r="L307" s="846"/>
      <c r="M307" s="846"/>
      <c r="N307" s="846"/>
      <c r="O307" s="846"/>
    </row>
    <row r="308" spans="1:15" ht="20.100000000000001" customHeight="1">
      <c r="A308" s="846"/>
      <c r="B308" s="846"/>
      <c r="C308" s="846"/>
      <c r="D308" s="846"/>
      <c r="E308" s="846"/>
      <c r="F308" s="846"/>
      <c r="G308" s="846"/>
      <c r="H308" s="846"/>
      <c r="I308" s="846"/>
      <c r="J308" s="846"/>
      <c r="K308" s="846"/>
      <c r="L308" s="846"/>
      <c r="M308" s="846"/>
      <c r="N308" s="846"/>
      <c r="O308" s="846"/>
    </row>
    <row r="309" spans="1:15" ht="20.100000000000001" customHeight="1">
      <c r="A309" s="846"/>
      <c r="B309" s="846"/>
      <c r="C309" s="846"/>
      <c r="D309" s="846"/>
      <c r="E309" s="846"/>
      <c r="F309" s="846"/>
      <c r="G309" s="846"/>
      <c r="H309" s="846"/>
      <c r="I309" s="846"/>
      <c r="J309" s="846"/>
      <c r="K309" s="846"/>
      <c r="L309" s="846"/>
      <c r="M309" s="846"/>
      <c r="N309" s="846"/>
      <c r="O309" s="846"/>
    </row>
    <row r="310" spans="1:15" ht="20.100000000000001" customHeight="1">
      <c r="A310" s="846"/>
      <c r="B310" s="846"/>
      <c r="C310" s="846"/>
      <c r="D310" s="846"/>
      <c r="E310" s="846"/>
      <c r="F310" s="846"/>
      <c r="G310" s="846"/>
      <c r="H310" s="846"/>
      <c r="I310" s="846"/>
      <c r="J310" s="846"/>
      <c r="K310" s="846"/>
      <c r="L310" s="846"/>
      <c r="M310" s="846"/>
      <c r="N310" s="846"/>
      <c r="O310" s="846"/>
    </row>
    <row r="311" spans="1:15" ht="20.100000000000001" customHeight="1">
      <c r="A311" s="846"/>
      <c r="B311" s="846"/>
      <c r="C311" s="846"/>
      <c r="D311" s="846"/>
      <c r="E311" s="846"/>
      <c r="F311" s="846"/>
      <c r="G311" s="846"/>
      <c r="H311" s="846"/>
      <c r="I311" s="846"/>
      <c r="J311" s="846"/>
      <c r="K311" s="846"/>
      <c r="L311" s="846"/>
      <c r="M311" s="846"/>
      <c r="N311" s="846"/>
      <c r="O311" s="846"/>
    </row>
    <row r="312" spans="1:15" ht="20.100000000000001" customHeight="1">
      <c r="A312" s="846"/>
      <c r="B312" s="846"/>
      <c r="C312" s="846"/>
      <c r="D312" s="846"/>
      <c r="E312" s="846"/>
      <c r="F312" s="846"/>
      <c r="G312" s="846"/>
      <c r="H312" s="846"/>
      <c r="I312" s="846"/>
      <c r="J312" s="846"/>
      <c r="K312" s="846"/>
      <c r="L312" s="846"/>
      <c r="M312" s="846"/>
      <c r="N312" s="846"/>
      <c r="O312" s="846"/>
    </row>
    <row r="313" spans="1:15" ht="20.100000000000001" customHeight="1">
      <c r="A313" s="846"/>
      <c r="B313" s="846"/>
      <c r="C313" s="846"/>
      <c r="D313" s="846"/>
      <c r="E313" s="846"/>
      <c r="F313" s="846"/>
      <c r="G313" s="846"/>
      <c r="H313" s="846"/>
      <c r="I313" s="846"/>
      <c r="J313" s="846"/>
      <c r="K313" s="846"/>
      <c r="L313" s="846"/>
      <c r="M313" s="846"/>
      <c r="N313" s="846"/>
      <c r="O313" s="846"/>
    </row>
    <row r="314" spans="1:15" ht="20.100000000000001" customHeight="1">
      <c r="A314" s="846"/>
      <c r="B314" s="846"/>
      <c r="C314" s="846"/>
      <c r="D314" s="846"/>
      <c r="E314" s="846"/>
      <c r="F314" s="846"/>
      <c r="G314" s="846"/>
      <c r="H314" s="846"/>
      <c r="I314" s="846"/>
      <c r="J314" s="846"/>
      <c r="K314" s="846"/>
      <c r="L314" s="846"/>
      <c r="M314" s="846"/>
      <c r="N314" s="846"/>
      <c r="O314" s="846"/>
    </row>
    <row r="315" spans="1:15" ht="20.100000000000001" customHeight="1">
      <c r="A315" s="846"/>
      <c r="B315" s="846"/>
      <c r="C315" s="846"/>
      <c r="D315" s="846"/>
      <c r="E315" s="846"/>
      <c r="F315" s="846"/>
      <c r="G315" s="846"/>
      <c r="H315" s="846"/>
      <c r="I315" s="846"/>
      <c r="J315" s="846"/>
      <c r="K315" s="846"/>
      <c r="L315" s="846"/>
      <c r="M315" s="846"/>
      <c r="N315" s="846"/>
      <c r="O315" s="846"/>
    </row>
    <row r="316" spans="1:15" ht="20.100000000000001" customHeight="1">
      <c r="A316" s="846"/>
      <c r="B316" s="846"/>
      <c r="C316" s="846"/>
      <c r="D316" s="846"/>
      <c r="E316" s="846"/>
      <c r="F316" s="846"/>
      <c r="G316" s="846"/>
      <c r="H316" s="846"/>
      <c r="I316" s="846"/>
      <c r="J316" s="846"/>
      <c r="K316" s="846"/>
      <c r="L316" s="846"/>
      <c r="M316" s="846"/>
      <c r="N316" s="846"/>
      <c r="O316" s="846"/>
    </row>
    <row r="317" spans="1:15" ht="20.100000000000001" customHeight="1">
      <c r="A317" s="846"/>
      <c r="B317" s="846"/>
      <c r="C317" s="846"/>
      <c r="D317" s="846"/>
      <c r="E317" s="846"/>
      <c r="F317" s="846"/>
      <c r="G317" s="846"/>
      <c r="H317" s="846"/>
      <c r="I317" s="846"/>
      <c r="J317" s="846"/>
      <c r="K317" s="846"/>
      <c r="L317" s="846"/>
      <c r="M317" s="846"/>
      <c r="N317" s="846"/>
      <c r="O317" s="846"/>
    </row>
    <row r="318" spans="1:15" ht="20.100000000000001" customHeight="1">
      <c r="A318" s="846"/>
      <c r="B318" s="846"/>
      <c r="C318" s="846"/>
      <c r="D318" s="846"/>
      <c r="E318" s="846"/>
      <c r="F318" s="846"/>
      <c r="G318" s="846"/>
      <c r="H318" s="846"/>
      <c r="I318" s="846"/>
      <c r="J318" s="846"/>
      <c r="K318" s="846"/>
      <c r="L318" s="846"/>
      <c r="M318" s="846"/>
      <c r="N318" s="846"/>
      <c r="O318" s="846"/>
    </row>
    <row r="319" spans="1:15" ht="20.100000000000001" customHeight="1">
      <c r="A319" s="846"/>
      <c r="B319" s="846"/>
      <c r="C319" s="846"/>
      <c r="D319" s="846"/>
      <c r="E319" s="846"/>
      <c r="F319" s="846"/>
      <c r="G319" s="846"/>
      <c r="H319" s="846"/>
      <c r="I319" s="846"/>
      <c r="J319" s="846"/>
      <c r="K319" s="846"/>
      <c r="L319" s="846"/>
      <c r="M319" s="846"/>
      <c r="N319" s="846"/>
      <c r="O319" s="846"/>
    </row>
    <row r="320" spans="1:15" ht="20.100000000000001" customHeight="1">
      <c r="A320" s="846"/>
      <c r="B320" s="846"/>
      <c r="C320" s="846"/>
      <c r="D320" s="846"/>
      <c r="E320" s="846"/>
      <c r="F320" s="846"/>
      <c r="G320" s="846"/>
      <c r="H320" s="846"/>
      <c r="I320" s="846"/>
      <c r="J320" s="846"/>
      <c r="K320" s="846"/>
      <c r="L320" s="846"/>
      <c r="M320" s="846"/>
      <c r="N320" s="846"/>
      <c r="O320" s="846"/>
    </row>
    <row r="321" spans="1:15" ht="20.100000000000001" customHeight="1">
      <c r="A321" s="846"/>
      <c r="B321" s="846"/>
      <c r="C321" s="846"/>
      <c r="D321" s="846"/>
      <c r="E321" s="846"/>
      <c r="F321" s="846"/>
      <c r="G321" s="846"/>
      <c r="H321" s="846"/>
      <c r="I321" s="846"/>
      <c r="J321" s="846"/>
      <c r="K321" s="846"/>
      <c r="L321" s="846"/>
      <c r="M321" s="846"/>
      <c r="N321" s="846"/>
      <c r="O321" s="846"/>
    </row>
    <row r="322" spans="1:15" ht="20.100000000000001" customHeight="1">
      <c r="A322" s="846"/>
      <c r="B322" s="846"/>
      <c r="C322" s="846"/>
      <c r="D322" s="846"/>
      <c r="E322" s="846"/>
      <c r="F322" s="846"/>
      <c r="G322" s="846"/>
      <c r="H322" s="846"/>
      <c r="I322" s="846"/>
      <c r="J322" s="846"/>
      <c r="K322" s="846"/>
      <c r="L322" s="846"/>
      <c r="M322" s="846"/>
      <c r="N322" s="846"/>
      <c r="O322" s="846"/>
    </row>
    <row r="323" spans="1:15" ht="20.100000000000001" customHeight="1">
      <c r="A323" s="846"/>
      <c r="B323" s="846"/>
      <c r="C323" s="846"/>
      <c r="D323" s="846"/>
      <c r="E323" s="846"/>
      <c r="F323" s="846"/>
      <c r="G323" s="846"/>
      <c r="H323" s="846"/>
      <c r="I323" s="846"/>
      <c r="J323" s="846"/>
      <c r="K323" s="846"/>
      <c r="L323" s="846"/>
      <c r="M323" s="846"/>
      <c r="N323" s="846"/>
      <c r="O323" s="846"/>
    </row>
    <row r="324" spans="1:15" ht="20.100000000000001" customHeight="1">
      <c r="A324" s="846"/>
      <c r="B324" s="846"/>
      <c r="C324" s="846"/>
      <c r="D324" s="846"/>
      <c r="E324" s="846"/>
      <c r="F324" s="846"/>
      <c r="G324" s="846"/>
      <c r="H324" s="846"/>
      <c r="I324" s="846"/>
      <c r="J324" s="846"/>
      <c r="K324" s="846"/>
      <c r="L324" s="846"/>
      <c r="M324" s="846"/>
      <c r="N324" s="846"/>
      <c r="O324" s="846"/>
    </row>
    <row r="325" spans="1:15" ht="20.100000000000001" customHeight="1">
      <c r="A325" s="846"/>
      <c r="B325" s="846"/>
      <c r="C325" s="846"/>
      <c r="D325" s="846"/>
      <c r="E325" s="846"/>
      <c r="F325" s="846"/>
      <c r="G325" s="846"/>
      <c r="H325" s="846"/>
      <c r="I325" s="846"/>
      <c r="J325" s="846"/>
      <c r="K325" s="846"/>
      <c r="L325" s="846"/>
      <c r="M325" s="846"/>
      <c r="N325" s="846"/>
      <c r="O325" s="846"/>
    </row>
    <row r="326" spans="1:15" ht="20.100000000000001" customHeight="1">
      <c r="A326" s="846"/>
      <c r="B326" s="846"/>
      <c r="C326" s="846"/>
      <c r="D326" s="846"/>
      <c r="E326" s="846"/>
      <c r="F326" s="846"/>
      <c r="G326" s="846"/>
      <c r="H326" s="846"/>
      <c r="I326" s="846"/>
      <c r="J326" s="846"/>
      <c r="K326" s="846"/>
      <c r="L326" s="846"/>
      <c r="M326" s="846"/>
      <c r="N326" s="846"/>
      <c r="O326" s="846"/>
    </row>
    <row r="327" spans="1:15" ht="20.100000000000001" customHeight="1">
      <c r="A327" s="846"/>
      <c r="B327" s="846"/>
      <c r="C327" s="846"/>
      <c r="D327" s="846"/>
      <c r="E327" s="846"/>
      <c r="F327" s="846"/>
      <c r="G327" s="846"/>
      <c r="H327" s="846"/>
      <c r="I327" s="846"/>
      <c r="J327" s="846"/>
      <c r="K327" s="846"/>
      <c r="L327" s="846"/>
      <c r="M327" s="846"/>
      <c r="N327" s="846"/>
      <c r="O327" s="846"/>
    </row>
    <row r="328" spans="1:15" ht="20.100000000000001" customHeight="1">
      <c r="A328" s="846"/>
      <c r="B328" s="846"/>
      <c r="C328" s="846"/>
      <c r="D328" s="846"/>
      <c r="E328" s="846"/>
      <c r="F328" s="846"/>
      <c r="G328" s="846"/>
      <c r="H328" s="846"/>
      <c r="I328" s="846"/>
      <c r="J328" s="846"/>
      <c r="K328" s="846"/>
      <c r="L328" s="846"/>
      <c r="M328" s="846"/>
      <c r="N328" s="846"/>
      <c r="O328" s="846"/>
    </row>
    <row r="329" spans="1:15" ht="20.100000000000001" customHeight="1">
      <c r="A329" s="846"/>
      <c r="B329" s="846"/>
      <c r="C329" s="846"/>
      <c r="D329" s="846"/>
      <c r="E329" s="846"/>
      <c r="F329" s="846"/>
      <c r="G329" s="846"/>
      <c r="H329" s="846"/>
      <c r="I329" s="846"/>
      <c r="J329" s="846"/>
      <c r="K329" s="846"/>
      <c r="L329" s="846"/>
      <c r="M329" s="846"/>
      <c r="N329" s="846"/>
      <c r="O329" s="846"/>
    </row>
    <row r="330" spans="1:15" ht="20.100000000000001" customHeight="1">
      <c r="A330" s="846"/>
      <c r="B330" s="846"/>
      <c r="C330" s="846"/>
      <c r="D330" s="846"/>
      <c r="E330" s="846"/>
      <c r="F330" s="846"/>
      <c r="G330" s="846"/>
      <c r="H330" s="846"/>
      <c r="I330" s="846"/>
      <c r="J330" s="846"/>
      <c r="K330" s="846"/>
      <c r="L330" s="846"/>
      <c r="M330" s="846"/>
      <c r="N330" s="846"/>
      <c r="O330" s="846"/>
    </row>
    <row r="331" spans="1:15" ht="20.100000000000001" customHeight="1">
      <c r="A331" s="846"/>
      <c r="B331" s="846"/>
      <c r="C331" s="846"/>
      <c r="D331" s="846"/>
      <c r="E331" s="846"/>
      <c r="F331" s="846"/>
      <c r="G331" s="846"/>
      <c r="H331" s="846"/>
      <c r="I331" s="846"/>
      <c r="J331" s="846"/>
      <c r="K331" s="846"/>
      <c r="L331" s="846"/>
      <c r="M331" s="846"/>
      <c r="N331" s="846"/>
      <c r="O331" s="846"/>
    </row>
    <row r="332" spans="1:15" ht="20.100000000000001" customHeight="1">
      <c r="A332" s="846"/>
      <c r="B332" s="846"/>
      <c r="C332" s="846"/>
      <c r="D332" s="846"/>
      <c r="E332" s="846"/>
      <c r="F332" s="846"/>
      <c r="G332" s="846"/>
      <c r="H332" s="846"/>
      <c r="I332" s="846"/>
      <c r="J332" s="846"/>
      <c r="K332" s="846"/>
      <c r="L332" s="846"/>
      <c r="M332" s="846"/>
      <c r="N332" s="846"/>
      <c r="O332" s="846"/>
    </row>
    <row r="333" spans="1:15" ht="20.100000000000001" customHeight="1">
      <c r="A333" s="846"/>
      <c r="B333" s="846"/>
      <c r="C333" s="846"/>
      <c r="D333" s="846"/>
      <c r="E333" s="846"/>
      <c r="F333" s="846"/>
      <c r="G333" s="846"/>
      <c r="H333" s="846"/>
      <c r="I333" s="846"/>
      <c r="J333" s="846"/>
      <c r="K333" s="846"/>
      <c r="L333" s="846"/>
      <c r="M333" s="846"/>
      <c r="N333" s="846"/>
      <c r="O333" s="846"/>
    </row>
    <row r="334" spans="1:15" ht="20.100000000000001" customHeight="1">
      <c r="A334" s="846"/>
      <c r="B334" s="846"/>
      <c r="C334" s="846"/>
      <c r="D334" s="846"/>
      <c r="E334" s="846"/>
      <c r="F334" s="846"/>
      <c r="G334" s="846"/>
      <c r="H334" s="846"/>
      <c r="I334" s="846"/>
      <c r="J334" s="846"/>
      <c r="K334" s="846"/>
      <c r="L334" s="846"/>
      <c r="M334" s="846"/>
      <c r="N334" s="846"/>
      <c r="O334" s="846"/>
    </row>
    <row r="335" spans="1:15" ht="20.100000000000001" customHeight="1">
      <c r="A335" s="846"/>
      <c r="B335" s="846"/>
      <c r="C335" s="846"/>
      <c r="D335" s="846"/>
      <c r="E335" s="846"/>
      <c r="F335" s="846"/>
      <c r="G335" s="846"/>
      <c r="H335" s="846"/>
      <c r="I335" s="846"/>
      <c r="J335" s="846"/>
      <c r="K335" s="846"/>
      <c r="L335" s="846"/>
      <c r="M335" s="846"/>
      <c r="N335" s="846"/>
      <c r="O335" s="846"/>
    </row>
    <row r="336" spans="1:15" ht="20.100000000000001" customHeight="1">
      <c r="A336" s="846"/>
      <c r="B336" s="846"/>
      <c r="C336" s="846"/>
      <c r="D336" s="846"/>
      <c r="E336" s="846"/>
      <c r="F336" s="846"/>
      <c r="G336" s="846"/>
      <c r="H336" s="846"/>
      <c r="I336" s="846"/>
      <c r="J336" s="846"/>
      <c r="K336" s="846"/>
      <c r="L336" s="846"/>
      <c r="M336" s="846"/>
      <c r="N336" s="846"/>
      <c r="O336" s="846"/>
    </row>
    <row r="337" spans="1:15" ht="20.100000000000001" customHeight="1">
      <c r="A337" s="846"/>
      <c r="B337" s="846"/>
      <c r="C337" s="846"/>
      <c r="D337" s="846"/>
      <c r="E337" s="846"/>
      <c r="F337" s="846"/>
      <c r="G337" s="846"/>
      <c r="H337" s="846"/>
      <c r="I337" s="846"/>
      <c r="J337" s="846"/>
      <c r="K337" s="846"/>
      <c r="L337" s="846"/>
      <c r="M337" s="846"/>
      <c r="N337" s="846"/>
      <c r="O337" s="846"/>
    </row>
    <row r="338" spans="1:15" ht="20.100000000000001" customHeight="1">
      <c r="A338" s="846"/>
      <c r="B338" s="846"/>
      <c r="C338" s="846"/>
      <c r="D338" s="846"/>
      <c r="E338" s="846"/>
      <c r="F338" s="846"/>
      <c r="G338" s="846"/>
      <c r="H338" s="846"/>
      <c r="I338" s="846"/>
      <c r="J338" s="846"/>
      <c r="K338" s="846"/>
      <c r="L338" s="846"/>
      <c r="M338" s="846"/>
      <c r="N338" s="846"/>
      <c r="O338" s="846"/>
    </row>
    <row r="339" spans="1:15" ht="20.100000000000001" customHeight="1">
      <c r="A339" s="846"/>
      <c r="B339" s="846"/>
      <c r="C339" s="846"/>
      <c r="D339" s="846"/>
      <c r="E339" s="846"/>
      <c r="F339" s="846"/>
      <c r="G339" s="846"/>
      <c r="H339" s="846"/>
      <c r="I339" s="846"/>
      <c r="J339" s="846"/>
      <c r="K339" s="846"/>
      <c r="L339" s="846"/>
      <c r="M339" s="846"/>
      <c r="N339" s="846"/>
      <c r="O339" s="846"/>
    </row>
    <row r="340" spans="1:15" ht="20.100000000000001" customHeight="1">
      <c r="A340" s="846"/>
      <c r="B340" s="846"/>
      <c r="C340" s="846"/>
      <c r="D340" s="846"/>
      <c r="E340" s="846"/>
      <c r="F340" s="846"/>
      <c r="G340" s="846"/>
      <c r="H340" s="846"/>
      <c r="I340" s="846"/>
      <c r="J340" s="846"/>
      <c r="K340" s="846"/>
      <c r="L340" s="846"/>
      <c r="M340" s="846"/>
      <c r="N340" s="846"/>
      <c r="O340" s="846"/>
    </row>
    <row r="341" spans="1:15" ht="20.100000000000001" customHeight="1">
      <c r="A341" s="846"/>
      <c r="B341" s="846"/>
      <c r="C341" s="846"/>
      <c r="D341" s="846"/>
      <c r="E341" s="846"/>
      <c r="F341" s="846"/>
      <c r="G341" s="846"/>
      <c r="H341" s="846"/>
      <c r="I341" s="846"/>
      <c r="J341" s="846"/>
      <c r="K341" s="846"/>
      <c r="L341" s="846"/>
      <c r="M341" s="846"/>
      <c r="N341" s="846"/>
      <c r="O341" s="846"/>
    </row>
    <row r="342" spans="1:15" ht="20.100000000000001" customHeight="1">
      <c r="A342" s="846"/>
      <c r="B342" s="846"/>
      <c r="C342" s="846"/>
      <c r="D342" s="846"/>
      <c r="E342" s="846"/>
      <c r="F342" s="846"/>
      <c r="G342" s="846"/>
      <c r="H342" s="846"/>
      <c r="I342" s="846"/>
      <c r="J342" s="846"/>
      <c r="K342" s="846"/>
      <c r="L342" s="846"/>
      <c r="M342" s="846"/>
      <c r="N342" s="846"/>
      <c r="O342" s="846"/>
    </row>
    <row r="343" spans="1:15" ht="20.100000000000001" customHeight="1">
      <c r="A343" s="846"/>
      <c r="B343" s="846"/>
      <c r="C343" s="846"/>
      <c r="D343" s="846"/>
      <c r="E343" s="846"/>
      <c r="F343" s="846"/>
      <c r="G343" s="846"/>
      <c r="H343" s="846"/>
      <c r="I343" s="846"/>
      <c r="J343" s="846"/>
      <c r="K343" s="846"/>
      <c r="L343" s="846"/>
      <c r="M343" s="846"/>
      <c r="N343" s="846"/>
      <c r="O343" s="846"/>
    </row>
    <row r="344" spans="1:15" ht="20.100000000000001" customHeight="1">
      <c r="A344" s="846"/>
      <c r="B344" s="846"/>
      <c r="C344" s="846"/>
      <c r="D344" s="846"/>
      <c r="E344" s="846"/>
      <c r="F344" s="846"/>
      <c r="G344" s="846"/>
      <c r="H344" s="846"/>
      <c r="I344" s="846"/>
      <c r="J344" s="846"/>
      <c r="K344" s="846"/>
      <c r="L344" s="846"/>
      <c r="M344" s="846"/>
      <c r="N344" s="846"/>
      <c r="O344" s="846"/>
    </row>
    <row r="345" spans="1:15" ht="20.100000000000001" customHeight="1">
      <c r="A345" s="846"/>
      <c r="B345" s="846"/>
      <c r="C345" s="846"/>
      <c r="D345" s="846"/>
      <c r="E345" s="846"/>
      <c r="F345" s="846"/>
      <c r="G345" s="846"/>
      <c r="H345" s="846"/>
      <c r="I345" s="846"/>
      <c r="J345" s="846"/>
      <c r="K345" s="846"/>
      <c r="L345" s="846"/>
      <c r="M345" s="846"/>
      <c r="N345" s="846"/>
      <c r="O345" s="846"/>
    </row>
    <row r="346" spans="1:15" ht="20.100000000000001" customHeight="1">
      <c r="A346" s="846"/>
      <c r="B346" s="846"/>
      <c r="C346" s="846"/>
      <c r="D346" s="846"/>
      <c r="E346" s="846"/>
      <c r="F346" s="846"/>
      <c r="G346" s="846"/>
      <c r="H346" s="846"/>
      <c r="I346" s="846"/>
      <c r="J346" s="846"/>
      <c r="K346" s="846"/>
      <c r="L346" s="846"/>
      <c r="M346" s="846"/>
      <c r="N346" s="846"/>
      <c r="O346" s="846"/>
    </row>
    <row r="347" spans="1:15" ht="20.100000000000001" customHeight="1">
      <c r="A347" s="846"/>
      <c r="B347" s="846"/>
      <c r="C347" s="846"/>
      <c r="D347" s="846"/>
      <c r="E347" s="846"/>
      <c r="F347" s="846"/>
      <c r="G347" s="846"/>
      <c r="H347" s="846"/>
      <c r="I347" s="846"/>
      <c r="J347" s="846"/>
      <c r="K347" s="846"/>
      <c r="L347" s="846"/>
      <c r="M347" s="846"/>
      <c r="N347" s="846"/>
      <c r="O347" s="846"/>
    </row>
    <row r="348" spans="1:15" ht="20.100000000000001" customHeight="1">
      <c r="A348" s="846"/>
      <c r="B348" s="846"/>
      <c r="C348" s="846"/>
      <c r="D348" s="846"/>
      <c r="E348" s="846"/>
      <c r="F348" s="846"/>
      <c r="G348" s="846"/>
      <c r="H348" s="846"/>
      <c r="I348" s="846"/>
      <c r="J348" s="846"/>
      <c r="K348" s="846"/>
      <c r="L348" s="846"/>
      <c r="M348" s="846"/>
      <c r="N348" s="846"/>
      <c r="O348" s="846"/>
    </row>
    <row r="349" spans="1:15" ht="20.100000000000001" customHeight="1">
      <c r="A349" s="846"/>
      <c r="B349" s="846"/>
      <c r="C349" s="846"/>
      <c r="D349" s="846"/>
      <c r="E349" s="846"/>
      <c r="F349" s="846"/>
      <c r="G349" s="846"/>
      <c r="H349" s="846"/>
      <c r="I349" s="846"/>
      <c r="J349" s="846"/>
      <c r="K349" s="846"/>
      <c r="L349" s="846"/>
      <c r="M349" s="846"/>
      <c r="N349" s="846"/>
      <c r="O349" s="846"/>
    </row>
    <row r="350" spans="1:15" ht="20.100000000000001" customHeight="1">
      <c r="A350" s="846"/>
      <c r="B350" s="846"/>
      <c r="C350" s="846"/>
      <c r="D350" s="846"/>
      <c r="E350" s="846"/>
      <c r="F350" s="846"/>
      <c r="G350" s="846"/>
      <c r="H350" s="846"/>
      <c r="I350" s="846"/>
      <c r="J350" s="846"/>
      <c r="K350" s="846"/>
      <c r="L350" s="846"/>
      <c r="M350" s="846"/>
      <c r="N350" s="846"/>
      <c r="O350" s="846"/>
    </row>
    <row r="351" spans="1:15" ht="20.100000000000001" customHeight="1">
      <c r="A351" s="846"/>
      <c r="B351" s="846"/>
      <c r="C351" s="846"/>
      <c r="D351" s="846"/>
      <c r="E351" s="846"/>
      <c r="F351" s="846"/>
      <c r="G351" s="846"/>
      <c r="H351" s="846"/>
      <c r="I351" s="846"/>
      <c r="J351" s="846"/>
      <c r="K351" s="846"/>
      <c r="L351" s="846"/>
      <c r="M351" s="846"/>
      <c r="N351" s="846"/>
      <c r="O351" s="846"/>
    </row>
    <row r="352" spans="1:15" ht="20.100000000000001" customHeight="1">
      <c r="A352" s="846"/>
      <c r="B352" s="846"/>
      <c r="C352" s="846"/>
      <c r="D352" s="846"/>
      <c r="E352" s="846"/>
      <c r="F352" s="846"/>
      <c r="G352" s="846"/>
      <c r="H352" s="846"/>
      <c r="I352" s="846"/>
      <c r="J352" s="846"/>
      <c r="K352" s="846"/>
      <c r="L352" s="846"/>
      <c r="M352" s="846"/>
      <c r="N352" s="846"/>
      <c r="O352" s="846"/>
    </row>
    <row r="353" spans="1:15" ht="20.100000000000001" customHeight="1">
      <c r="A353" s="846"/>
      <c r="B353" s="846"/>
      <c r="C353" s="846"/>
      <c r="D353" s="846"/>
      <c r="E353" s="846"/>
      <c r="F353" s="846"/>
      <c r="G353" s="846"/>
      <c r="H353" s="846"/>
      <c r="I353" s="846"/>
      <c r="J353" s="846"/>
      <c r="K353" s="846"/>
      <c r="L353" s="846"/>
      <c r="M353" s="846"/>
      <c r="N353" s="846"/>
      <c r="O353" s="846"/>
    </row>
    <row r="354" spans="1:15" ht="20.100000000000001" customHeight="1">
      <c r="A354" s="846"/>
      <c r="B354" s="846"/>
      <c r="C354" s="846"/>
      <c r="D354" s="846"/>
      <c r="E354" s="846"/>
      <c r="F354" s="846"/>
      <c r="G354" s="846"/>
      <c r="H354" s="846"/>
      <c r="I354" s="846"/>
      <c r="J354" s="846"/>
      <c r="K354" s="846"/>
      <c r="L354" s="846"/>
      <c r="M354" s="846"/>
      <c r="N354" s="846"/>
      <c r="O354" s="846"/>
    </row>
    <row r="355" spans="1:15" ht="20.100000000000001" customHeight="1">
      <c r="A355" s="846"/>
      <c r="B355" s="846"/>
      <c r="C355" s="846"/>
      <c r="D355" s="846"/>
      <c r="E355" s="846"/>
      <c r="F355" s="846"/>
      <c r="G355" s="846"/>
      <c r="H355" s="846"/>
      <c r="I355" s="846"/>
      <c r="J355" s="846"/>
      <c r="K355" s="846"/>
      <c r="L355" s="846"/>
      <c r="M355" s="846"/>
      <c r="N355" s="846"/>
      <c r="O355" s="846"/>
    </row>
    <row r="356" spans="1:15" ht="20.100000000000001" customHeight="1">
      <c r="A356" s="846"/>
      <c r="B356" s="846"/>
      <c r="C356" s="846"/>
      <c r="D356" s="846"/>
      <c r="E356" s="846"/>
      <c r="F356" s="846"/>
      <c r="G356" s="846"/>
      <c r="H356" s="846"/>
      <c r="I356" s="846"/>
      <c r="J356" s="846"/>
      <c r="K356" s="846"/>
      <c r="L356" s="846"/>
      <c r="M356" s="846"/>
      <c r="N356" s="846"/>
      <c r="O356" s="846"/>
    </row>
    <row r="357" spans="1:15" ht="20.100000000000001" customHeight="1">
      <c r="A357" s="846"/>
      <c r="B357" s="846"/>
      <c r="C357" s="846"/>
      <c r="D357" s="846"/>
      <c r="E357" s="846"/>
      <c r="F357" s="846"/>
      <c r="G357" s="846"/>
      <c r="H357" s="846"/>
      <c r="I357" s="846"/>
      <c r="J357" s="846"/>
      <c r="K357" s="846"/>
      <c r="L357" s="846"/>
      <c r="M357" s="846"/>
      <c r="N357" s="846"/>
      <c r="O357" s="846"/>
    </row>
    <row r="358" spans="1:15" ht="20.100000000000001" customHeight="1">
      <c r="A358" s="846"/>
      <c r="B358" s="846"/>
      <c r="C358" s="846"/>
      <c r="D358" s="846"/>
      <c r="E358" s="846"/>
      <c r="F358" s="846"/>
      <c r="G358" s="846"/>
      <c r="H358" s="846"/>
      <c r="I358" s="846"/>
      <c r="J358" s="846"/>
      <c r="K358" s="846"/>
      <c r="L358" s="846"/>
      <c r="M358" s="846"/>
      <c r="N358" s="846"/>
      <c r="O358" s="846"/>
    </row>
    <row r="359" spans="1:15" ht="20.100000000000001" customHeight="1">
      <c r="A359" s="846"/>
      <c r="B359" s="846"/>
      <c r="C359" s="846"/>
      <c r="D359" s="846"/>
      <c r="E359" s="846"/>
      <c r="F359" s="846"/>
      <c r="G359" s="846"/>
      <c r="H359" s="846"/>
      <c r="I359" s="846"/>
      <c r="J359" s="846"/>
      <c r="K359" s="846"/>
      <c r="L359" s="846"/>
      <c r="M359" s="846"/>
      <c r="N359" s="846"/>
      <c r="O359" s="846"/>
    </row>
    <row r="360" spans="1:15" ht="20.100000000000001" customHeight="1">
      <c r="A360" s="846"/>
      <c r="B360" s="846"/>
      <c r="C360" s="846"/>
      <c r="D360" s="846"/>
      <c r="E360" s="846"/>
      <c r="F360" s="846"/>
      <c r="G360" s="846"/>
      <c r="H360" s="846"/>
      <c r="I360" s="846"/>
      <c r="J360" s="846"/>
      <c r="K360" s="846"/>
      <c r="L360" s="846"/>
      <c r="M360" s="846"/>
      <c r="N360" s="846"/>
      <c r="O360" s="846"/>
    </row>
    <row r="361" spans="1:15" ht="20.100000000000001" customHeight="1">
      <c r="A361" s="846"/>
      <c r="B361" s="846"/>
      <c r="C361" s="846"/>
      <c r="D361" s="846"/>
      <c r="E361" s="846"/>
      <c r="F361" s="846"/>
      <c r="G361" s="846"/>
      <c r="H361" s="846"/>
      <c r="I361" s="846"/>
      <c r="J361" s="846"/>
      <c r="K361" s="846"/>
      <c r="L361" s="846"/>
      <c r="M361" s="846"/>
      <c r="N361" s="846"/>
      <c r="O361" s="846"/>
    </row>
    <row r="362" spans="1:15" ht="20.100000000000001" customHeight="1">
      <c r="A362" s="846"/>
      <c r="B362" s="846"/>
      <c r="C362" s="846"/>
      <c r="D362" s="846"/>
      <c r="E362" s="846"/>
      <c r="F362" s="846"/>
      <c r="G362" s="846"/>
      <c r="H362" s="846"/>
      <c r="I362" s="846"/>
      <c r="J362" s="846"/>
      <c r="K362" s="846"/>
      <c r="L362" s="846"/>
      <c r="M362" s="846"/>
      <c r="N362" s="846"/>
      <c r="O362" s="846"/>
    </row>
    <row r="363" spans="1:15" ht="20.100000000000001" customHeight="1">
      <c r="A363" s="846"/>
      <c r="B363" s="846"/>
      <c r="C363" s="846"/>
      <c r="D363" s="846"/>
      <c r="E363" s="846"/>
      <c r="F363" s="846"/>
      <c r="G363" s="846"/>
      <c r="H363" s="846"/>
      <c r="I363" s="846"/>
      <c r="J363" s="846"/>
      <c r="K363" s="846"/>
      <c r="L363" s="846"/>
      <c r="M363" s="846"/>
      <c r="N363" s="846"/>
      <c r="O363" s="846"/>
    </row>
    <row r="364" spans="1:15" ht="20.100000000000001" customHeight="1">
      <c r="A364" s="846"/>
      <c r="B364" s="846"/>
      <c r="C364" s="846"/>
      <c r="D364" s="846"/>
      <c r="E364" s="846"/>
      <c r="F364" s="846"/>
      <c r="G364" s="846"/>
      <c r="H364" s="846"/>
      <c r="I364" s="846"/>
      <c r="J364" s="846"/>
      <c r="K364" s="846"/>
      <c r="L364" s="846"/>
      <c r="M364" s="846"/>
      <c r="N364" s="846"/>
      <c r="O364" s="846"/>
    </row>
    <row r="365" spans="1:15" ht="20.100000000000001" customHeight="1">
      <c r="A365" s="846"/>
      <c r="B365" s="846"/>
      <c r="C365" s="846"/>
      <c r="D365" s="846"/>
      <c r="E365" s="846"/>
      <c r="F365" s="846"/>
      <c r="G365" s="846"/>
      <c r="H365" s="846"/>
      <c r="I365" s="846"/>
      <c r="J365" s="846"/>
      <c r="K365" s="846"/>
      <c r="L365" s="846"/>
      <c r="M365" s="846"/>
      <c r="N365" s="846"/>
      <c r="O365" s="846"/>
    </row>
    <row r="366" spans="1:15" ht="20.100000000000001" customHeight="1">
      <c r="A366" s="846"/>
      <c r="B366" s="846"/>
      <c r="C366" s="846"/>
      <c r="D366" s="846"/>
      <c r="E366" s="846"/>
      <c r="F366" s="846"/>
      <c r="G366" s="846"/>
      <c r="H366" s="846"/>
      <c r="I366" s="846"/>
      <c r="J366" s="846"/>
      <c r="K366" s="846"/>
      <c r="L366" s="846"/>
      <c r="M366" s="846"/>
      <c r="N366" s="846"/>
      <c r="O366" s="846"/>
    </row>
    <row r="367" spans="1:15" ht="20.100000000000001" customHeight="1">
      <c r="A367" s="846"/>
      <c r="B367" s="846"/>
      <c r="C367" s="846"/>
      <c r="D367" s="846"/>
      <c r="E367" s="846"/>
      <c r="F367" s="846"/>
      <c r="G367" s="846"/>
      <c r="H367" s="846"/>
      <c r="I367" s="846"/>
      <c r="J367" s="846"/>
      <c r="K367" s="846"/>
      <c r="L367" s="846"/>
      <c r="M367" s="846"/>
      <c r="N367" s="846"/>
      <c r="O367" s="846"/>
    </row>
    <row r="368" spans="1:15" ht="20.100000000000001" customHeight="1">
      <c r="A368" s="846"/>
      <c r="B368" s="846"/>
      <c r="C368" s="846"/>
      <c r="D368" s="846"/>
      <c r="E368" s="846"/>
      <c r="F368" s="846"/>
      <c r="G368" s="846"/>
      <c r="H368" s="846"/>
      <c r="I368" s="846"/>
      <c r="J368" s="846"/>
      <c r="K368" s="846"/>
      <c r="L368" s="846"/>
      <c r="M368" s="846"/>
      <c r="N368" s="846"/>
      <c r="O368" s="846"/>
    </row>
    <row r="369" spans="1:15" ht="20.100000000000001" customHeight="1">
      <c r="A369" s="846"/>
      <c r="B369" s="846"/>
      <c r="C369" s="846"/>
      <c r="D369" s="846"/>
      <c r="E369" s="846"/>
      <c r="F369" s="846"/>
      <c r="G369" s="846"/>
      <c r="H369" s="846"/>
      <c r="I369" s="846"/>
      <c r="J369" s="846"/>
      <c r="K369" s="846"/>
      <c r="L369" s="846"/>
      <c r="M369" s="846"/>
      <c r="N369" s="846"/>
      <c r="O369" s="846"/>
    </row>
    <row r="370" spans="1:15" ht="20.100000000000001" customHeight="1">
      <c r="A370" s="846"/>
      <c r="B370" s="846"/>
      <c r="C370" s="846"/>
      <c r="D370" s="846"/>
      <c r="E370" s="846"/>
      <c r="F370" s="846"/>
      <c r="G370" s="846"/>
      <c r="H370" s="846"/>
      <c r="I370" s="846"/>
      <c r="J370" s="846"/>
      <c r="K370" s="846"/>
      <c r="L370" s="846"/>
      <c r="M370" s="846"/>
      <c r="N370" s="846"/>
      <c r="O370" s="846"/>
    </row>
    <row r="371" spans="1:15" ht="20.100000000000001" customHeight="1">
      <c r="A371" s="846"/>
      <c r="B371" s="846"/>
      <c r="C371" s="846"/>
      <c r="D371" s="846"/>
      <c r="E371" s="846"/>
      <c r="F371" s="846"/>
      <c r="G371" s="846"/>
      <c r="H371" s="846"/>
      <c r="I371" s="846"/>
      <c r="J371" s="846"/>
      <c r="K371" s="846"/>
      <c r="L371" s="846"/>
      <c r="M371" s="846"/>
      <c r="N371" s="846"/>
      <c r="O371" s="846"/>
    </row>
    <row r="372" spans="1:15" ht="20.100000000000001" customHeight="1">
      <c r="A372" s="846"/>
      <c r="B372" s="846"/>
      <c r="C372" s="846"/>
      <c r="D372" s="846"/>
      <c r="E372" s="846"/>
      <c r="F372" s="846"/>
      <c r="G372" s="846"/>
      <c r="H372" s="846"/>
      <c r="I372" s="846"/>
      <c r="J372" s="846"/>
      <c r="K372" s="846"/>
      <c r="L372" s="846"/>
      <c r="M372" s="846"/>
      <c r="N372" s="846"/>
      <c r="O372" s="846"/>
    </row>
    <row r="373" spans="1:15" ht="20.100000000000001" customHeight="1">
      <c r="A373" s="846"/>
      <c r="B373" s="846"/>
      <c r="C373" s="846"/>
      <c r="D373" s="846"/>
      <c r="E373" s="846"/>
      <c r="F373" s="846"/>
      <c r="G373" s="846"/>
      <c r="H373" s="846"/>
      <c r="I373" s="846"/>
      <c r="J373" s="846"/>
      <c r="K373" s="846"/>
      <c r="L373" s="846"/>
      <c r="M373" s="846"/>
      <c r="N373" s="846"/>
      <c r="O373" s="846"/>
    </row>
    <row r="374" spans="1:15" ht="20.100000000000001" customHeight="1">
      <c r="A374" s="846"/>
      <c r="B374" s="846"/>
      <c r="C374" s="846"/>
      <c r="D374" s="846"/>
      <c r="E374" s="846"/>
      <c r="F374" s="846"/>
      <c r="G374" s="846"/>
      <c r="H374" s="846"/>
      <c r="I374" s="846"/>
      <c r="J374" s="846"/>
      <c r="K374" s="846"/>
      <c r="L374" s="846"/>
      <c r="M374" s="846"/>
      <c r="N374" s="846"/>
      <c r="O374" s="846"/>
    </row>
    <row r="375" spans="1:15" ht="20.100000000000001" customHeight="1">
      <c r="A375" s="846"/>
      <c r="B375" s="846"/>
      <c r="C375" s="846"/>
      <c r="D375" s="846"/>
      <c r="E375" s="846"/>
      <c r="F375" s="846"/>
      <c r="G375" s="846"/>
      <c r="H375" s="846"/>
      <c r="I375" s="846"/>
      <c r="J375" s="846"/>
      <c r="K375" s="846"/>
      <c r="L375" s="846"/>
      <c r="M375" s="846"/>
      <c r="N375" s="846"/>
      <c r="O375" s="846"/>
    </row>
    <row r="376" spans="1:15" ht="20.100000000000001" customHeight="1">
      <c r="A376" s="846"/>
      <c r="B376" s="846"/>
      <c r="C376" s="846"/>
      <c r="D376" s="846"/>
      <c r="E376" s="846"/>
      <c r="F376" s="846"/>
      <c r="G376" s="846"/>
      <c r="H376" s="846"/>
      <c r="I376" s="846"/>
      <c r="J376" s="846"/>
      <c r="K376" s="846"/>
      <c r="L376" s="846"/>
      <c r="M376" s="846"/>
      <c r="N376" s="846"/>
      <c r="O376" s="846"/>
    </row>
    <row r="377" spans="1:15" ht="20.100000000000001" customHeight="1">
      <c r="A377" s="846"/>
      <c r="B377" s="846"/>
      <c r="C377" s="846"/>
      <c r="D377" s="846"/>
      <c r="E377" s="846"/>
      <c r="F377" s="846"/>
      <c r="G377" s="846"/>
      <c r="H377" s="846"/>
      <c r="I377" s="846"/>
      <c r="J377" s="846"/>
      <c r="K377" s="846"/>
      <c r="L377" s="846"/>
      <c r="M377" s="846"/>
      <c r="N377" s="846"/>
      <c r="O377" s="846"/>
    </row>
    <row r="378" spans="1:15" ht="20.100000000000001" customHeight="1">
      <c r="A378" s="846"/>
      <c r="B378" s="846"/>
      <c r="C378" s="846"/>
      <c r="D378" s="846"/>
      <c r="E378" s="846"/>
      <c r="F378" s="846"/>
      <c r="G378" s="846"/>
      <c r="H378" s="846"/>
      <c r="I378" s="846"/>
      <c r="J378" s="846"/>
      <c r="K378" s="846"/>
      <c r="L378" s="846"/>
      <c r="M378" s="846"/>
      <c r="N378" s="846"/>
      <c r="O378" s="846"/>
    </row>
    <row r="379" spans="1:15" ht="20.100000000000001" customHeight="1">
      <c r="A379" s="846"/>
      <c r="B379" s="846"/>
      <c r="C379" s="846"/>
      <c r="D379" s="846"/>
      <c r="E379" s="846"/>
      <c r="F379" s="846"/>
      <c r="G379" s="846"/>
      <c r="H379" s="846"/>
      <c r="I379" s="846"/>
      <c r="J379" s="846"/>
      <c r="K379" s="846"/>
      <c r="L379" s="846"/>
      <c r="M379" s="846"/>
      <c r="N379" s="846"/>
      <c r="O379" s="846"/>
    </row>
    <row r="380" spans="1:15" ht="20.100000000000001" customHeight="1">
      <c r="A380" s="846"/>
      <c r="B380" s="846"/>
      <c r="C380" s="846"/>
      <c r="D380" s="846"/>
      <c r="E380" s="846"/>
      <c r="F380" s="846"/>
      <c r="G380" s="846"/>
      <c r="H380" s="846"/>
      <c r="I380" s="846"/>
      <c r="J380" s="846"/>
      <c r="K380" s="846"/>
      <c r="L380" s="846"/>
      <c r="M380" s="846"/>
      <c r="N380" s="846"/>
      <c r="O380" s="846"/>
    </row>
    <row r="381" spans="1:15" ht="20.100000000000001" customHeight="1">
      <c r="A381" s="846"/>
      <c r="B381" s="846"/>
      <c r="C381" s="846"/>
      <c r="D381" s="846"/>
      <c r="E381" s="846"/>
      <c r="F381" s="846"/>
      <c r="G381" s="846"/>
      <c r="H381" s="846"/>
      <c r="I381" s="846"/>
      <c r="J381" s="846"/>
      <c r="K381" s="846"/>
      <c r="L381" s="846"/>
      <c r="M381" s="846"/>
      <c r="N381" s="846"/>
      <c r="O381" s="846"/>
    </row>
    <row r="382" spans="1:15" ht="20.100000000000001" customHeight="1">
      <c r="A382" s="846"/>
      <c r="B382" s="846"/>
      <c r="C382" s="846"/>
      <c r="D382" s="846"/>
      <c r="E382" s="846"/>
      <c r="F382" s="846"/>
      <c r="G382" s="846"/>
      <c r="H382" s="846"/>
      <c r="I382" s="846"/>
      <c r="J382" s="846"/>
      <c r="K382" s="846"/>
      <c r="L382" s="846"/>
      <c r="M382" s="846"/>
      <c r="N382" s="846"/>
      <c r="O382" s="846"/>
    </row>
    <row r="383" spans="1:15" ht="20.100000000000001" customHeight="1">
      <c r="A383" s="846"/>
      <c r="B383" s="846"/>
      <c r="C383" s="846"/>
      <c r="D383" s="846"/>
      <c r="E383" s="846"/>
      <c r="F383" s="846"/>
      <c r="G383" s="846"/>
      <c r="H383" s="846"/>
      <c r="I383" s="846"/>
      <c r="J383" s="846"/>
      <c r="K383" s="846"/>
      <c r="L383" s="846"/>
      <c r="M383" s="846"/>
      <c r="N383" s="846"/>
      <c r="O383" s="846"/>
    </row>
    <row r="384" spans="1:15" ht="20.100000000000001" customHeight="1">
      <c r="A384" s="846"/>
      <c r="B384" s="846"/>
      <c r="C384" s="846"/>
      <c r="D384" s="846"/>
      <c r="E384" s="846"/>
      <c r="F384" s="846"/>
      <c r="G384" s="846"/>
      <c r="H384" s="846"/>
      <c r="I384" s="846"/>
      <c r="J384" s="846"/>
      <c r="K384" s="846"/>
      <c r="L384" s="846"/>
      <c r="M384" s="846"/>
      <c r="N384" s="846"/>
      <c r="O384" s="846"/>
    </row>
    <row r="385" spans="1:15" ht="20.100000000000001" customHeight="1">
      <c r="A385" s="846"/>
      <c r="B385" s="846"/>
      <c r="C385" s="846"/>
      <c r="D385" s="846"/>
      <c r="E385" s="846"/>
      <c r="F385" s="846"/>
      <c r="G385" s="846"/>
      <c r="H385" s="846"/>
      <c r="I385" s="846"/>
      <c r="J385" s="846"/>
      <c r="K385" s="846"/>
      <c r="L385" s="846"/>
      <c r="M385" s="846"/>
      <c r="N385" s="846"/>
      <c r="O385" s="846"/>
    </row>
    <row r="386" spans="1:15" ht="20.100000000000001" customHeight="1">
      <c r="A386" s="846"/>
      <c r="B386" s="846"/>
      <c r="C386" s="846"/>
      <c r="D386" s="846"/>
      <c r="E386" s="846"/>
      <c r="F386" s="846"/>
      <c r="G386" s="846"/>
      <c r="H386" s="846"/>
      <c r="I386" s="846"/>
      <c r="J386" s="846"/>
      <c r="K386" s="846"/>
      <c r="L386" s="846"/>
      <c r="M386" s="846"/>
      <c r="N386" s="846"/>
      <c r="O386" s="846"/>
    </row>
    <row r="387" spans="1:15" ht="20.100000000000001" customHeight="1">
      <c r="A387" s="846"/>
      <c r="B387" s="846"/>
      <c r="C387" s="846"/>
      <c r="D387" s="846"/>
      <c r="E387" s="846"/>
      <c r="F387" s="846"/>
      <c r="G387" s="846"/>
      <c r="H387" s="846"/>
      <c r="I387" s="846"/>
      <c r="J387" s="846"/>
      <c r="K387" s="846"/>
      <c r="L387" s="846"/>
      <c r="M387" s="846"/>
      <c r="N387" s="846"/>
      <c r="O387" s="846"/>
    </row>
    <row r="388" spans="1:15" ht="20.100000000000001" customHeight="1">
      <c r="A388" s="846"/>
      <c r="B388" s="846"/>
      <c r="C388" s="846"/>
      <c r="D388" s="846"/>
      <c r="E388" s="846"/>
      <c r="F388" s="846"/>
      <c r="G388" s="846"/>
      <c r="H388" s="846"/>
      <c r="I388" s="846"/>
      <c r="J388" s="846"/>
      <c r="K388" s="846"/>
      <c r="L388" s="846"/>
      <c r="M388" s="846"/>
      <c r="N388" s="846"/>
      <c r="O388" s="846"/>
    </row>
    <row r="389" spans="1:15" ht="20.100000000000001" customHeight="1">
      <c r="A389" s="846"/>
      <c r="B389" s="846"/>
      <c r="C389" s="846"/>
      <c r="D389" s="846"/>
      <c r="E389" s="846"/>
      <c r="F389" s="846"/>
      <c r="G389" s="846"/>
      <c r="H389" s="846"/>
      <c r="I389" s="846"/>
      <c r="J389" s="846"/>
      <c r="K389" s="846"/>
      <c r="L389" s="846"/>
      <c r="M389" s="846"/>
      <c r="N389" s="846"/>
      <c r="O389" s="846"/>
    </row>
    <row r="390" spans="1:15" ht="20.100000000000001" customHeight="1">
      <c r="A390" s="846"/>
      <c r="B390" s="846"/>
      <c r="C390" s="846"/>
      <c r="D390" s="846"/>
      <c r="E390" s="846"/>
      <c r="F390" s="846"/>
      <c r="G390" s="846"/>
      <c r="H390" s="846"/>
      <c r="I390" s="846"/>
      <c r="J390" s="846"/>
      <c r="K390" s="846"/>
      <c r="L390" s="846"/>
      <c r="M390" s="846"/>
      <c r="N390" s="846"/>
      <c r="O390" s="846"/>
    </row>
    <row r="391" spans="1:15" ht="20.100000000000001" customHeight="1">
      <c r="A391" s="846"/>
      <c r="B391" s="846"/>
      <c r="C391" s="846"/>
      <c r="D391" s="846"/>
      <c r="E391" s="846"/>
      <c r="F391" s="846"/>
      <c r="G391" s="846"/>
      <c r="H391" s="846"/>
      <c r="I391" s="846"/>
      <c r="J391" s="846"/>
      <c r="K391" s="846"/>
      <c r="L391" s="846"/>
      <c r="M391" s="846"/>
      <c r="N391" s="846"/>
      <c r="O391" s="846"/>
    </row>
    <row r="392" spans="1:15" ht="20.100000000000001" customHeight="1">
      <c r="A392" s="846"/>
      <c r="B392" s="846"/>
      <c r="C392" s="846"/>
      <c r="D392" s="846"/>
      <c r="E392" s="846"/>
      <c r="F392" s="846"/>
      <c r="G392" s="846"/>
      <c r="H392" s="846"/>
      <c r="I392" s="846"/>
      <c r="J392" s="846"/>
      <c r="K392" s="846"/>
      <c r="L392" s="846"/>
      <c r="M392" s="846"/>
      <c r="N392" s="846"/>
      <c r="O392" s="846"/>
    </row>
    <row r="393" spans="1:15" ht="20.100000000000001" customHeight="1">
      <c r="A393" s="846"/>
      <c r="B393" s="846"/>
      <c r="C393" s="846"/>
      <c r="D393" s="846"/>
      <c r="E393" s="846"/>
      <c r="F393" s="846"/>
      <c r="G393" s="846"/>
      <c r="H393" s="846"/>
      <c r="I393" s="846"/>
      <c r="J393" s="846"/>
      <c r="K393" s="846"/>
      <c r="L393" s="846"/>
      <c r="M393" s="846"/>
      <c r="N393" s="846"/>
      <c r="O393" s="846"/>
    </row>
    <row r="394" spans="1:15" ht="20.100000000000001" customHeight="1">
      <c r="A394" s="846"/>
      <c r="B394" s="846"/>
      <c r="C394" s="846"/>
      <c r="D394" s="846"/>
      <c r="E394" s="846"/>
      <c r="F394" s="846"/>
      <c r="G394" s="846"/>
      <c r="H394" s="846"/>
      <c r="I394" s="846"/>
      <c r="J394" s="846"/>
      <c r="K394" s="846"/>
      <c r="L394" s="846"/>
      <c r="M394" s="846"/>
      <c r="N394" s="846"/>
      <c r="O394" s="846"/>
    </row>
    <row r="395" spans="1:15" ht="20.100000000000001" customHeight="1">
      <c r="A395" s="846"/>
      <c r="B395" s="846"/>
      <c r="C395" s="846"/>
      <c r="D395" s="846"/>
      <c r="E395" s="846"/>
      <c r="F395" s="846"/>
      <c r="G395" s="846"/>
      <c r="H395" s="846"/>
      <c r="I395" s="846"/>
      <c r="J395" s="846"/>
      <c r="K395" s="846"/>
      <c r="L395" s="846"/>
      <c r="M395" s="846"/>
      <c r="N395" s="846"/>
      <c r="O395" s="846"/>
    </row>
    <row r="396" spans="1:15" ht="20.100000000000001" customHeight="1">
      <c r="A396" s="846"/>
      <c r="B396" s="846"/>
      <c r="C396" s="846"/>
      <c r="D396" s="846"/>
      <c r="E396" s="846"/>
      <c r="F396" s="846"/>
      <c r="G396" s="846"/>
      <c r="H396" s="846"/>
      <c r="I396" s="846"/>
      <c r="J396" s="846"/>
      <c r="K396" s="846"/>
      <c r="L396" s="846"/>
      <c r="M396" s="846"/>
      <c r="N396" s="846"/>
      <c r="O396" s="846"/>
    </row>
    <row r="397" spans="1:15" ht="20.100000000000001" customHeight="1">
      <c r="A397" s="846"/>
      <c r="B397" s="846"/>
      <c r="C397" s="846"/>
      <c r="D397" s="846"/>
      <c r="E397" s="846"/>
      <c r="F397" s="846"/>
      <c r="G397" s="846"/>
      <c r="H397" s="846"/>
      <c r="I397" s="846"/>
      <c r="J397" s="846"/>
      <c r="K397" s="846"/>
      <c r="L397" s="846"/>
      <c r="M397" s="846"/>
      <c r="N397" s="846"/>
      <c r="O397" s="846"/>
    </row>
    <row r="398" spans="1:15" ht="20.100000000000001" customHeight="1">
      <c r="A398" s="846"/>
      <c r="B398" s="846"/>
      <c r="C398" s="846"/>
      <c r="D398" s="846"/>
      <c r="E398" s="846"/>
      <c r="F398" s="846"/>
      <c r="G398" s="846"/>
      <c r="H398" s="846"/>
      <c r="I398" s="846"/>
      <c r="J398" s="846"/>
      <c r="K398" s="846"/>
      <c r="L398" s="846"/>
      <c r="M398" s="846"/>
      <c r="N398" s="846"/>
      <c r="O398" s="846"/>
    </row>
    <row r="399" spans="1:15" ht="20.100000000000001" customHeight="1">
      <c r="A399" s="846"/>
      <c r="B399" s="846"/>
      <c r="C399" s="846"/>
      <c r="D399" s="846"/>
      <c r="E399" s="846"/>
      <c r="F399" s="846"/>
      <c r="G399" s="846"/>
      <c r="H399" s="846"/>
      <c r="I399" s="846"/>
      <c r="J399" s="846"/>
      <c r="K399" s="846"/>
      <c r="L399" s="846"/>
      <c r="M399" s="846"/>
      <c r="N399" s="846"/>
      <c r="O399" s="846"/>
    </row>
    <row r="400" spans="1:15" ht="20.100000000000001" customHeight="1">
      <c r="A400" s="846"/>
      <c r="B400" s="846"/>
      <c r="C400" s="846"/>
      <c r="D400" s="846"/>
      <c r="E400" s="846"/>
      <c r="F400" s="846"/>
      <c r="G400" s="846"/>
      <c r="H400" s="846"/>
      <c r="I400" s="846"/>
      <c r="J400" s="846"/>
      <c r="K400" s="846"/>
      <c r="L400" s="846"/>
      <c r="M400" s="846"/>
      <c r="N400" s="846"/>
      <c r="O400" s="846"/>
    </row>
    <row r="401" spans="1:15" ht="20.100000000000001" customHeight="1">
      <c r="A401" s="846"/>
      <c r="B401" s="846"/>
      <c r="C401" s="846"/>
      <c r="D401" s="846"/>
      <c r="E401" s="846"/>
      <c r="F401" s="846"/>
      <c r="G401" s="846"/>
      <c r="H401" s="846"/>
      <c r="I401" s="846"/>
      <c r="J401" s="846"/>
      <c r="K401" s="846"/>
      <c r="L401" s="846"/>
      <c r="M401" s="846"/>
      <c r="N401" s="846"/>
      <c r="O401" s="846"/>
    </row>
    <row r="402" spans="1:15" ht="20.100000000000001" customHeight="1">
      <c r="A402" s="846"/>
      <c r="B402" s="846"/>
      <c r="C402" s="846"/>
      <c r="D402" s="846"/>
      <c r="E402" s="846"/>
      <c r="F402" s="846"/>
      <c r="G402" s="846"/>
      <c r="H402" s="846"/>
      <c r="I402" s="846"/>
      <c r="J402" s="846"/>
      <c r="K402" s="846"/>
      <c r="L402" s="846"/>
      <c r="M402" s="846"/>
      <c r="N402" s="846"/>
      <c r="O402" s="846"/>
    </row>
    <row r="403" spans="1:15" ht="20.100000000000001" customHeight="1">
      <c r="A403" s="846"/>
      <c r="B403" s="846"/>
      <c r="C403" s="846"/>
      <c r="D403" s="846"/>
      <c r="E403" s="846"/>
      <c r="F403" s="846"/>
      <c r="G403" s="846"/>
      <c r="H403" s="846"/>
      <c r="I403" s="846"/>
      <c r="J403" s="846"/>
      <c r="K403" s="846"/>
      <c r="L403" s="846"/>
      <c r="M403" s="846"/>
      <c r="N403" s="846"/>
      <c r="O403" s="846"/>
    </row>
    <row r="404" spans="1:15" ht="20.100000000000001" customHeight="1">
      <c r="A404" s="846"/>
      <c r="B404" s="846"/>
      <c r="C404" s="846"/>
      <c r="D404" s="846"/>
      <c r="E404" s="846"/>
      <c r="F404" s="846"/>
      <c r="G404" s="846"/>
      <c r="H404" s="846"/>
      <c r="I404" s="846"/>
      <c r="J404" s="846"/>
      <c r="K404" s="846"/>
      <c r="L404" s="846"/>
      <c r="M404" s="846"/>
      <c r="N404" s="846"/>
      <c r="O404" s="846"/>
    </row>
    <row r="405" spans="1:15" ht="20.100000000000001" customHeight="1">
      <c r="A405" s="846"/>
      <c r="B405" s="846"/>
      <c r="C405" s="846"/>
      <c r="D405" s="846"/>
      <c r="E405" s="846"/>
      <c r="F405" s="846"/>
      <c r="G405" s="846"/>
      <c r="H405" s="846"/>
      <c r="I405" s="846"/>
      <c r="J405" s="846"/>
      <c r="K405" s="846"/>
      <c r="L405" s="846"/>
      <c r="M405" s="846"/>
      <c r="N405" s="846"/>
      <c r="O405" s="846"/>
    </row>
    <row r="406" spans="1:15" ht="20.100000000000001" customHeight="1">
      <c r="A406" s="846"/>
      <c r="B406" s="846"/>
      <c r="C406" s="846"/>
      <c r="D406" s="846"/>
      <c r="E406" s="846"/>
      <c r="F406" s="846"/>
      <c r="G406" s="846"/>
      <c r="H406" s="846"/>
      <c r="I406" s="846"/>
      <c r="J406" s="846"/>
      <c r="K406" s="846"/>
      <c r="L406" s="846"/>
      <c r="M406" s="846"/>
      <c r="N406" s="846"/>
      <c r="O406" s="846"/>
    </row>
    <row r="407" spans="1:15" ht="20.100000000000001" customHeight="1">
      <c r="A407" s="846"/>
      <c r="B407" s="846"/>
      <c r="C407" s="846"/>
      <c r="D407" s="846"/>
      <c r="E407" s="846"/>
      <c r="F407" s="846"/>
      <c r="G407" s="846"/>
      <c r="H407" s="846"/>
      <c r="I407" s="846"/>
      <c r="J407" s="846"/>
      <c r="K407" s="846"/>
      <c r="L407" s="846"/>
      <c r="M407" s="846"/>
      <c r="N407" s="846"/>
      <c r="O407" s="846"/>
    </row>
    <row r="408" spans="1:15" ht="20.100000000000001" customHeight="1">
      <c r="A408" s="846"/>
      <c r="B408" s="846"/>
      <c r="C408" s="846"/>
      <c r="D408" s="846"/>
      <c r="E408" s="846"/>
      <c r="F408" s="846"/>
      <c r="G408" s="846"/>
      <c r="H408" s="846"/>
      <c r="I408" s="846"/>
      <c r="J408" s="846"/>
      <c r="K408" s="846"/>
      <c r="L408" s="846"/>
      <c r="M408" s="846"/>
      <c r="N408" s="846"/>
      <c r="O408" s="846"/>
    </row>
    <row r="409" spans="1:15" ht="20.100000000000001" customHeight="1">
      <c r="A409" s="846"/>
      <c r="B409" s="846"/>
      <c r="C409" s="846"/>
      <c r="D409" s="846"/>
      <c r="E409" s="846"/>
      <c r="F409" s="846"/>
      <c r="G409" s="846"/>
      <c r="H409" s="846"/>
      <c r="I409" s="846"/>
      <c r="J409" s="846"/>
      <c r="K409" s="846"/>
      <c r="L409" s="846"/>
      <c r="M409" s="846"/>
      <c r="N409" s="846"/>
      <c r="O409" s="846"/>
    </row>
    <row r="410" spans="1:15" ht="20.100000000000001" customHeight="1">
      <c r="A410" s="846"/>
      <c r="B410" s="846"/>
      <c r="C410" s="846"/>
      <c r="D410" s="846"/>
      <c r="E410" s="846"/>
      <c r="F410" s="846"/>
      <c r="G410" s="846"/>
      <c r="H410" s="846"/>
      <c r="I410" s="846"/>
      <c r="J410" s="846"/>
      <c r="K410" s="846"/>
      <c r="L410" s="846"/>
      <c r="M410" s="846"/>
      <c r="N410" s="846"/>
      <c r="O410" s="846"/>
    </row>
    <row r="411" spans="1:15" ht="20.100000000000001" customHeight="1">
      <c r="A411" s="846"/>
      <c r="B411" s="846"/>
      <c r="C411" s="846"/>
      <c r="D411" s="846"/>
      <c r="E411" s="846"/>
      <c r="F411" s="846"/>
      <c r="G411" s="846"/>
      <c r="H411" s="846"/>
      <c r="I411" s="846"/>
      <c r="J411" s="846"/>
      <c r="K411" s="846"/>
      <c r="L411" s="846"/>
      <c r="M411" s="846"/>
      <c r="N411" s="846"/>
      <c r="O411" s="846"/>
    </row>
    <row r="412" spans="1:15" ht="20.100000000000001" customHeight="1">
      <c r="A412" s="846"/>
      <c r="B412" s="846"/>
      <c r="C412" s="846"/>
      <c r="D412" s="846"/>
      <c r="E412" s="846"/>
      <c r="F412" s="846"/>
      <c r="G412" s="846"/>
      <c r="H412" s="846"/>
      <c r="I412" s="846"/>
      <c r="J412" s="846"/>
      <c r="K412" s="846"/>
      <c r="L412" s="846"/>
      <c r="M412" s="846"/>
      <c r="N412" s="846"/>
      <c r="O412" s="846"/>
    </row>
    <row r="413" spans="1:15" ht="20.100000000000001" customHeight="1">
      <c r="A413" s="846"/>
      <c r="B413" s="846"/>
      <c r="C413" s="846"/>
      <c r="D413" s="846"/>
      <c r="E413" s="846"/>
      <c r="F413" s="846"/>
      <c r="G413" s="846"/>
      <c r="H413" s="846"/>
      <c r="I413" s="846"/>
      <c r="J413" s="846"/>
      <c r="K413" s="846"/>
      <c r="L413" s="846"/>
      <c r="M413" s="846"/>
      <c r="N413" s="846"/>
      <c r="O413" s="846"/>
    </row>
    <row r="414" spans="1:15" ht="20.100000000000001" customHeight="1">
      <c r="A414" s="846"/>
      <c r="B414" s="846"/>
      <c r="C414" s="846"/>
      <c r="D414" s="846"/>
      <c r="E414" s="846"/>
      <c r="F414" s="846"/>
      <c r="G414" s="846"/>
      <c r="H414" s="846"/>
      <c r="I414" s="846"/>
      <c r="J414" s="846"/>
      <c r="K414" s="846"/>
      <c r="L414" s="846"/>
      <c r="M414" s="846"/>
      <c r="N414" s="846"/>
      <c r="O414" s="846"/>
    </row>
    <row r="415" spans="1:15" ht="20.100000000000001" customHeight="1">
      <c r="A415" s="846"/>
      <c r="B415" s="846"/>
      <c r="C415" s="846"/>
      <c r="D415" s="846"/>
      <c r="E415" s="846"/>
      <c r="F415" s="846"/>
      <c r="G415" s="846"/>
      <c r="H415" s="846"/>
      <c r="I415" s="846"/>
      <c r="J415" s="846"/>
      <c r="K415" s="846"/>
      <c r="L415" s="846"/>
      <c r="M415" s="846"/>
      <c r="N415" s="846"/>
      <c r="O415" s="846"/>
    </row>
    <row r="416" spans="1:15" ht="20.100000000000001" customHeight="1">
      <c r="A416" s="846"/>
      <c r="B416" s="846"/>
      <c r="C416" s="846"/>
      <c r="D416" s="846"/>
      <c r="E416" s="846"/>
      <c r="F416" s="846"/>
      <c r="G416" s="846"/>
      <c r="H416" s="846"/>
      <c r="I416" s="846"/>
      <c r="J416" s="846"/>
      <c r="K416" s="846"/>
      <c r="L416" s="846"/>
      <c r="M416" s="846"/>
      <c r="N416" s="846"/>
      <c r="O416" s="846"/>
    </row>
    <row r="417" spans="1:15" ht="20.100000000000001" customHeight="1">
      <c r="A417" s="846"/>
      <c r="B417" s="846"/>
      <c r="C417" s="846"/>
      <c r="D417" s="846"/>
      <c r="E417" s="846"/>
      <c r="F417" s="846"/>
      <c r="G417" s="846"/>
      <c r="H417" s="846"/>
      <c r="I417" s="846"/>
      <c r="J417" s="846"/>
      <c r="K417" s="846"/>
      <c r="L417" s="846"/>
      <c r="M417" s="846"/>
      <c r="N417" s="846"/>
      <c r="O417" s="846"/>
    </row>
    <row r="418" spans="1:15" ht="20.100000000000001" customHeight="1">
      <c r="A418" s="846"/>
      <c r="B418" s="846"/>
      <c r="C418" s="846"/>
      <c r="D418" s="846"/>
      <c r="E418" s="846"/>
      <c r="F418" s="846"/>
      <c r="G418" s="846"/>
      <c r="H418" s="846"/>
      <c r="I418" s="846"/>
      <c r="J418" s="846"/>
      <c r="K418" s="846"/>
      <c r="L418" s="846"/>
      <c r="M418" s="846"/>
      <c r="N418" s="846"/>
      <c r="O418" s="846"/>
    </row>
    <row r="419" spans="1:15" ht="20.100000000000001" customHeight="1">
      <c r="A419" s="846"/>
      <c r="B419" s="846"/>
      <c r="C419" s="846"/>
      <c r="D419" s="846"/>
      <c r="E419" s="846"/>
      <c r="F419" s="846"/>
      <c r="G419" s="846"/>
      <c r="H419" s="846"/>
      <c r="I419" s="846"/>
      <c r="J419" s="846"/>
      <c r="K419" s="846"/>
      <c r="L419" s="846"/>
      <c r="M419" s="846"/>
      <c r="N419" s="846"/>
      <c r="O419" s="846"/>
    </row>
    <row r="420" spans="1:15" ht="20.100000000000001" customHeight="1">
      <c r="A420" s="846"/>
      <c r="B420" s="846"/>
      <c r="C420" s="846"/>
      <c r="D420" s="846"/>
      <c r="E420" s="846"/>
      <c r="F420" s="846"/>
      <c r="G420" s="846"/>
      <c r="H420" s="846"/>
      <c r="I420" s="846"/>
      <c r="J420" s="846"/>
      <c r="K420" s="846"/>
      <c r="L420" s="846"/>
      <c r="M420" s="846"/>
      <c r="N420" s="846"/>
      <c r="O420" s="846"/>
    </row>
    <row r="421" spans="1:15" ht="20.100000000000001" customHeight="1">
      <c r="A421" s="846"/>
      <c r="B421" s="846"/>
      <c r="C421" s="846"/>
      <c r="D421" s="846"/>
      <c r="E421" s="846"/>
      <c r="F421" s="846"/>
      <c r="G421" s="846"/>
      <c r="H421" s="846"/>
      <c r="I421" s="846"/>
      <c r="J421" s="846"/>
      <c r="K421" s="846"/>
      <c r="L421" s="846"/>
      <c r="M421" s="846"/>
      <c r="N421" s="846"/>
      <c r="O421" s="846"/>
    </row>
    <row r="422" spans="1:15" ht="20.100000000000001" customHeight="1">
      <c r="A422" s="846"/>
      <c r="B422" s="846"/>
      <c r="C422" s="846"/>
      <c r="D422" s="846"/>
      <c r="E422" s="846"/>
      <c r="F422" s="846"/>
      <c r="G422" s="846"/>
      <c r="H422" s="846"/>
      <c r="I422" s="846"/>
      <c r="J422" s="846"/>
      <c r="K422" s="846"/>
      <c r="L422" s="846"/>
      <c r="M422" s="846"/>
      <c r="N422" s="846"/>
      <c r="O422" s="846"/>
    </row>
    <row r="423" spans="1:15" ht="20.100000000000001" customHeight="1">
      <c r="A423" s="846"/>
      <c r="B423" s="846"/>
      <c r="C423" s="846"/>
      <c r="D423" s="846"/>
      <c r="E423" s="846"/>
      <c r="F423" s="846"/>
      <c r="G423" s="846"/>
      <c r="H423" s="846"/>
      <c r="I423" s="846"/>
      <c r="J423" s="846"/>
      <c r="K423" s="846"/>
      <c r="L423" s="846"/>
      <c r="M423" s="846"/>
      <c r="N423" s="846"/>
      <c r="O423" s="846"/>
    </row>
    <row r="424" spans="1:15" ht="20.100000000000001" customHeight="1">
      <c r="A424" s="846"/>
      <c r="B424" s="846"/>
      <c r="C424" s="846"/>
      <c r="D424" s="846"/>
      <c r="E424" s="846"/>
      <c r="F424" s="846"/>
      <c r="G424" s="846"/>
      <c r="H424" s="846"/>
      <c r="I424" s="846"/>
      <c r="J424" s="846"/>
      <c r="K424" s="846"/>
      <c r="L424" s="846"/>
      <c r="M424" s="846"/>
      <c r="N424" s="846"/>
      <c r="O424" s="846"/>
    </row>
    <row r="425" spans="1:15" ht="20.100000000000001" customHeight="1">
      <c r="A425" s="846"/>
      <c r="B425" s="846"/>
      <c r="C425" s="846"/>
      <c r="D425" s="846"/>
      <c r="E425" s="846"/>
      <c r="F425" s="846"/>
      <c r="G425" s="846"/>
      <c r="H425" s="846"/>
      <c r="I425" s="846"/>
      <c r="J425" s="846"/>
      <c r="K425" s="846"/>
      <c r="L425" s="846"/>
      <c r="M425" s="846"/>
      <c r="N425" s="846"/>
      <c r="O425" s="846"/>
    </row>
    <row r="426" spans="1:15" ht="20.100000000000001" customHeight="1">
      <c r="A426" s="846"/>
      <c r="B426" s="846"/>
      <c r="C426" s="846"/>
      <c r="D426" s="846"/>
      <c r="E426" s="846"/>
      <c r="F426" s="846"/>
      <c r="G426" s="846"/>
      <c r="H426" s="846"/>
      <c r="I426" s="846"/>
      <c r="J426" s="846"/>
      <c r="K426" s="846"/>
      <c r="L426" s="846"/>
      <c r="M426" s="846"/>
      <c r="N426" s="846"/>
      <c r="O426" s="846"/>
    </row>
    <row r="427" spans="1:15" ht="20.100000000000001" customHeight="1">
      <c r="A427" s="846"/>
      <c r="B427" s="846"/>
      <c r="C427" s="846"/>
      <c r="D427" s="846"/>
      <c r="E427" s="846"/>
      <c r="F427" s="846"/>
      <c r="G427" s="846"/>
      <c r="H427" s="846"/>
      <c r="I427" s="846"/>
      <c r="J427" s="846"/>
      <c r="K427" s="846"/>
      <c r="L427" s="846"/>
      <c r="M427" s="846"/>
      <c r="N427" s="846"/>
      <c r="O427" s="846"/>
    </row>
    <row r="428" spans="1:15" ht="20.100000000000001" customHeight="1">
      <c r="A428" s="846"/>
      <c r="B428" s="846"/>
      <c r="C428" s="846"/>
      <c r="D428" s="846"/>
      <c r="E428" s="846"/>
      <c r="F428" s="846"/>
      <c r="G428" s="846"/>
      <c r="H428" s="846"/>
      <c r="I428" s="846"/>
      <c r="J428" s="846"/>
      <c r="K428" s="846"/>
      <c r="L428" s="846"/>
      <c r="M428" s="846"/>
      <c r="N428" s="846"/>
      <c r="O428" s="846"/>
    </row>
    <row r="429" spans="1:15" ht="20.100000000000001" customHeight="1">
      <c r="A429" s="846"/>
      <c r="B429" s="846"/>
      <c r="C429" s="846"/>
      <c r="D429" s="846"/>
      <c r="E429" s="846"/>
      <c r="F429" s="846"/>
      <c r="G429" s="846"/>
      <c r="H429" s="846"/>
      <c r="I429" s="846"/>
      <c r="J429" s="846"/>
      <c r="K429" s="846"/>
      <c r="L429" s="846"/>
      <c r="M429" s="846"/>
      <c r="N429" s="846"/>
      <c r="O429" s="846"/>
    </row>
    <row r="430" spans="1:15" ht="20.100000000000001" customHeight="1">
      <c r="A430" s="846"/>
      <c r="B430" s="846"/>
      <c r="C430" s="846"/>
      <c r="D430" s="846"/>
      <c r="E430" s="846"/>
      <c r="F430" s="846"/>
      <c r="G430" s="846"/>
      <c r="H430" s="846"/>
      <c r="I430" s="846"/>
      <c r="J430" s="846"/>
      <c r="K430" s="846"/>
      <c r="L430" s="846"/>
      <c r="M430" s="846"/>
      <c r="N430" s="846"/>
      <c r="O430" s="846"/>
    </row>
    <row r="431" spans="1:15" ht="20.100000000000001" customHeight="1">
      <c r="A431" s="846"/>
      <c r="B431" s="846"/>
      <c r="C431" s="846"/>
      <c r="D431" s="846"/>
      <c r="E431" s="846"/>
      <c r="F431" s="846"/>
      <c r="G431" s="846"/>
      <c r="H431" s="846"/>
      <c r="I431" s="846"/>
      <c r="J431" s="846"/>
      <c r="K431" s="846"/>
      <c r="L431" s="846"/>
      <c r="M431" s="846"/>
      <c r="N431" s="846"/>
      <c r="O431" s="846"/>
    </row>
    <row r="432" spans="1:15" ht="20.100000000000001" customHeight="1">
      <c r="A432" s="846"/>
      <c r="B432" s="846"/>
      <c r="C432" s="846"/>
      <c r="D432" s="846"/>
      <c r="E432" s="846"/>
      <c r="F432" s="846"/>
      <c r="G432" s="846"/>
      <c r="H432" s="846"/>
      <c r="I432" s="846"/>
      <c r="J432" s="846"/>
      <c r="K432" s="846"/>
      <c r="L432" s="846"/>
      <c r="M432" s="846"/>
      <c r="N432" s="846"/>
      <c r="O432" s="846"/>
    </row>
    <row r="433" spans="1:15" ht="20.100000000000001" customHeight="1">
      <c r="A433" s="846"/>
      <c r="B433" s="846"/>
      <c r="C433" s="846"/>
      <c r="D433" s="846"/>
      <c r="E433" s="846"/>
      <c r="F433" s="846"/>
      <c r="G433" s="846"/>
      <c r="H433" s="846"/>
      <c r="I433" s="846"/>
      <c r="J433" s="846"/>
      <c r="K433" s="846"/>
      <c r="L433" s="846"/>
      <c r="M433" s="846"/>
      <c r="N433" s="846"/>
      <c r="O433" s="846"/>
    </row>
    <row r="434" spans="1:15" ht="20.100000000000001" customHeight="1">
      <c r="A434" s="846"/>
      <c r="B434" s="846"/>
      <c r="C434" s="846"/>
      <c r="D434" s="846"/>
      <c r="E434" s="846"/>
      <c r="F434" s="846"/>
      <c r="G434" s="846"/>
      <c r="H434" s="846"/>
      <c r="I434" s="846"/>
      <c r="J434" s="846"/>
      <c r="K434" s="846"/>
      <c r="L434" s="846"/>
      <c r="M434" s="846"/>
      <c r="N434" s="846"/>
      <c r="O434" s="846"/>
    </row>
    <row r="435" spans="1:15" ht="20.100000000000001" customHeight="1">
      <c r="A435" s="846"/>
      <c r="B435" s="846"/>
      <c r="C435" s="846"/>
      <c r="D435" s="846"/>
      <c r="E435" s="846"/>
      <c r="F435" s="846"/>
      <c r="G435" s="846"/>
      <c r="H435" s="846"/>
      <c r="I435" s="846"/>
      <c r="J435" s="846"/>
      <c r="K435" s="846"/>
      <c r="L435" s="846"/>
      <c r="M435" s="846"/>
      <c r="N435" s="846"/>
      <c r="O435" s="846"/>
    </row>
    <row r="436" spans="1:15" ht="20.100000000000001" customHeight="1">
      <c r="A436" s="846"/>
      <c r="B436" s="846"/>
      <c r="C436" s="846"/>
      <c r="D436" s="846"/>
      <c r="E436" s="846"/>
      <c r="F436" s="846"/>
      <c r="G436" s="846"/>
      <c r="H436" s="846"/>
      <c r="I436" s="846"/>
      <c r="J436" s="846"/>
      <c r="K436" s="846"/>
      <c r="L436" s="846"/>
      <c r="M436" s="846"/>
      <c r="N436" s="846"/>
      <c r="O436" s="846"/>
    </row>
    <row r="437" spans="1:15" ht="20.100000000000001" customHeight="1">
      <c r="A437" s="846"/>
      <c r="B437" s="846"/>
      <c r="C437" s="846"/>
      <c r="D437" s="846"/>
      <c r="E437" s="846"/>
      <c r="F437" s="846"/>
      <c r="G437" s="846"/>
      <c r="H437" s="846"/>
      <c r="I437" s="846"/>
      <c r="J437" s="846"/>
      <c r="K437" s="846"/>
      <c r="L437" s="846"/>
      <c r="M437" s="846"/>
      <c r="N437" s="846"/>
      <c r="O437" s="846"/>
    </row>
    <row r="438" spans="1:15" ht="20.100000000000001" customHeight="1">
      <c r="A438" s="846"/>
      <c r="B438" s="846"/>
      <c r="C438" s="846"/>
      <c r="D438" s="846"/>
      <c r="E438" s="846"/>
      <c r="F438" s="846"/>
      <c r="G438" s="846"/>
      <c r="H438" s="846"/>
      <c r="I438" s="846"/>
      <c r="J438" s="846"/>
      <c r="K438" s="846"/>
      <c r="L438" s="846"/>
      <c r="M438" s="846"/>
      <c r="N438" s="846"/>
      <c r="O438" s="846"/>
    </row>
    <row r="439" spans="1:15" ht="20.100000000000001" customHeight="1">
      <c r="A439" s="846"/>
      <c r="B439" s="846"/>
      <c r="C439" s="846"/>
      <c r="D439" s="846"/>
      <c r="E439" s="846"/>
      <c r="F439" s="846"/>
      <c r="G439" s="846"/>
      <c r="H439" s="846"/>
      <c r="I439" s="846"/>
      <c r="J439" s="846"/>
      <c r="K439" s="846"/>
      <c r="L439" s="846"/>
      <c r="M439" s="846"/>
      <c r="N439" s="846"/>
      <c r="O439" s="846"/>
    </row>
    <row r="440" spans="1:15" ht="20.100000000000001" customHeight="1">
      <c r="A440" s="846"/>
      <c r="B440" s="846"/>
      <c r="C440" s="846"/>
      <c r="D440" s="846"/>
      <c r="E440" s="846"/>
      <c r="F440" s="846"/>
      <c r="G440" s="846"/>
      <c r="H440" s="846"/>
      <c r="I440" s="846"/>
      <c r="J440" s="846"/>
      <c r="K440" s="846"/>
      <c r="L440" s="846"/>
      <c r="M440" s="846"/>
      <c r="N440" s="846"/>
      <c r="O440" s="846"/>
    </row>
    <row r="441" spans="1:15" ht="20.100000000000001" customHeight="1">
      <c r="A441" s="846"/>
      <c r="B441" s="846"/>
      <c r="C441" s="846"/>
      <c r="D441" s="846"/>
      <c r="E441" s="846"/>
      <c r="F441" s="846"/>
      <c r="G441" s="846"/>
      <c r="H441" s="846"/>
      <c r="I441" s="846"/>
      <c r="J441" s="846"/>
      <c r="K441" s="846"/>
      <c r="L441" s="846"/>
      <c r="M441" s="846"/>
      <c r="N441" s="846"/>
      <c r="O441" s="846"/>
    </row>
    <row r="442" spans="1:15" ht="20.100000000000001" customHeight="1">
      <c r="A442" s="846"/>
      <c r="B442" s="846"/>
      <c r="C442" s="846"/>
      <c r="D442" s="846"/>
      <c r="E442" s="846"/>
      <c r="F442" s="846"/>
      <c r="G442" s="846"/>
      <c r="H442" s="846"/>
      <c r="I442" s="846"/>
      <c r="J442" s="846"/>
      <c r="K442" s="846"/>
      <c r="L442" s="846"/>
      <c r="M442" s="846"/>
      <c r="N442" s="846"/>
      <c r="O442" s="846"/>
    </row>
    <row r="443" spans="1:15" ht="20.100000000000001" customHeight="1">
      <c r="A443" s="846"/>
      <c r="B443" s="846"/>
      <c r="C443" s="846"/>
      <c r="D443" s="846"/>
      <c r="E443" s="846"/>
      <c r="F443" s="846"/>
      <c r="G443" s="846"/>
      <c r="H443" s="846"/>
      <c r="I443" s="846"/>
      <c r="J443" s="846"/>
      <c r="K443" s="846"/>
      <c r="L443" s="846"/>
      <c r="M443" s="846"/>
      <c r="N443" s="846"/>
      <c r="O443" s="846"/>
    </row>
    <row r="444" spans="1:15" ht="20.100000000000001" customHeight="1">
      <c r="A444" s="846"/>
      <c r="B444" s="846"/>
      <c r="C444" s="846"/>
      <c r="D444" s="846"/>
      <c r="E444" s="846"/>
      <c r="F444" s="846"/>
      <c r="G444" s="846"/>
      <c r="H444" s="846"/>
      <c r="I444" s="846"/>
      <c r="J444" s="846"/>
      <c r="K444" s="846"/>
      <c r="L444" s="846"/>
      <c r="M444" s="846"/>
      <c r="N444" s="846"/>
      <c r="O444" s="846"/>
    </row>
    <row r="445" spans="1:15" ht="20.100000000000001" customHeight="1">
      <c r="A445" s="846"/>
      <c r="B445" s="846"/>
      <c r="C445" s="846"/>
      <c r="D445" s="846"/>
      <c r="E445" s="846"/>
      <c r="F445" s="846"/>
      <c r="G445" s="846"/>
      <c r="H445" s="846"/>
      <c r="I445" s="846"/>
      <c r="J445" s="846"/>
      <c r="K445" s="846"/>
      <c r="L445" s="846"/>
      <c r="M445" s="846"/>
      <c r="N445" s="846"/>
      <c r="O445" s="846"/>
    </row>
    <row r="446" spans="1:15" ht="20.100000000000001" customHeight="1">
      <c r="A446" s="846"/>
      <c r="B446" s="846"/>
      <c r="C446" s="846"/>
      <c r="D446" s="846"/>
      <c r="E446" s="846"/>
      <c r="F446" s="846"/>
      <c r="G446" s="846"/>
      <c r="H446" s="846"/>
      <c r="I446" s="846"/>
      <c r="J446" s="846"/>
      <c r="K446" s="846"/>
      <c r="L446" s="846"/>
      <c r="M446" s="846"/>
      <c r="N446" s="846"/>
      <c r="O446" s="846"/>
    </row>
    <row r="447" spans="1:15" ht="20.100000000000001" customHeight="1">
      <c r="A447" s="846"/>
      <c r="B447" s="846"/>
      <c r="C447" s="846"/>
      <c r="D447" s="846"/>
      <c r="E447" s="846"/>
      <c r="F447" s="846"/>
      <c r="G447" s="846"/>
      <c r="H447" s="846"/>
      <c r="I447" s="846"/>
      <c r="J447" s="846"/>
      <c r="K447" s="846"/>
      <c r="L447" s="846"/>
      <c r="M447" s="846"/>
      <c r="N447" s="846"/>
      <c r="O447" s="846"/>
    </row>
    <row r="448" spans="1:15" ht="20.100000000000001" customHeight="1">
      <c r="A448" s="846"/>
      <c r="B448" s="846"/>
      <c r="C448" s="846"/>
      <c r="D448" s="846"/>
      <c r="E448" s="846"/>
      <c r="F448" s="846"/>
      <c r="G448" s="846"/>
      <c r="H448" s="846"/>
      <c r="I448" s="846"/>
      <c r="J448" s="846"/>
      <c r="K448" s="846"/>
      <c r="L448" s="846"/>
      <c r="M448" s="846"/>
      <c r="N448" s="846"/>
      <c r="O448" s="846"/>
    </row>
    <row r="449" spans="1:15" ht="20.100000000000001" customHeight="1">
      <c r="A449" s="846"/>
      <c r="B449" s="846"/>
      <c r="C449" s="846"/>
      <c r="D449" s="846"/>
      <c r="E449" s="846"/>
      <c r="F449" s="846"/>
      <c r="G449" s="846"/>
      <c r="H449" s="846"/>
      <c r="I449" s="846"/>
      <c r="J449" s="846"/>
      <c r="K449" s="846"/>
      <c r="L449" s="846"/>
      <c r="M449" s="846"/>
      <c r="N449" s="846"/>
      <c r="O449" s="846"/>
    </row>
    <row r="450" spans="1:15" ht="20.100000000000001" customHeight="1">
      <c r="A450" s="846"/>
      <c r="B450" s="846"/>
      <c r="C450" s="846"/>
      <c r="D450" s="846"/>
      <c r="E450" s="846"/>
      <c r="F450" s="846"/>
      <c r="G450" s="846"/>
      <c r="H450" s="846"/>
      <c r="I450" s="846"/>
      <c r="J450" s="846"/>
      <c r="K450" s="846"/>
      <c r="L450" s="846"/>
      <c r="M450" s="846"/>
      <c r="N450" s="846"/>
      <c r="O450" s="846"/>
    </row>
    <row r="451" spans="1:15" ht="20.100000000000001" customHeight="1">
      <c r="A451" s="846"/>
      <c r="B451" s="846"/>
      <c r="C451" s="846"/>
      <c r="D451" s="846"/>
      <c r="E451" s="846"/>
      <c r="F451" s="846"/>
      <c r="G451" s="846"/>
      <c r="H451" s="846"/>
      <c r="I451" s="846"/>
      <c r="J451" s="846"/>
      <c r="K451" s="846"/>
      <c r="L451" s="846"/>
      <c r="M451" s="846"/>
      <c r="N451" s="846"/>
      <c r="O451" s="846"/>
    </row>
    <row r="452" spans="1:15" ht="20.100000000000001" customHeight="1">
      <c r="A452" s="846"/>
      <c r="B452" s="846"/>
      <c r="C452" s="846"/>
      <c r="D452" s="846"/>
      <c r="E452" s="846"/>
      <c r="F452" s="846"/>
      <c r="G452" s="846"/>
      <c r="H452" s="846"/>
      <c r="I452" s="846"/>
      <c r="J452" s="846"/>
      <c r="K452" s="846"/>
      <c r="L452" s="846"/>
      <c r="M452" s="846"/>
      <c r="N452" s="846"/>
      <c r="O452" s="846"/>
    </row>
    <row r="453" spans="1:15" ht="20.100000000000001" customHeight="1">
      <c r="A453" s="846"/>
      <c r="B453" s="846"/>
      <c r="C453" s="846"/>
      <c r="D453" s="846"/>
      <c r="E453" s="846"/>
      <c r="F453" s="846"/>
      <c r="G453" s="846"/>
      <c r="H453" s="846"/>
      <c r="I453" s="846"/>
      <c r="J453" s="846"/>
      <c r="K453" s="846"/>
      <c r="L453" s="846"/>
      <c r="M453" s="846"/>
      <c r="N453" s="846"/>
      <c r="O453" s="846"/>
    </row>
    <row r="454" spans="1:15" ht="20.100000000000001" customHeight="1">
      <c r="A454" s="846"/>
      <c r="B454" s="846"/>
      <c r="C454" s="846"/>
      <c r="D454" s="846"/>
      <c r="E454" s="846"/>
      <c r="F454" s="846"/>
      <c r="G454" s="846"/>
      <c r="H454" s="846"/>
      <c r="I454" s="846"/>
      <c r="J454" s="846"/>
      <c r="K454" s="846"/>
      <c r="L454" s="846"/>
      <c r="M454" s="846"/>
      <c r="N454" s="846"/>
      <c r="O454" s="846"/>
    </row>
    <row r="455" spans="1:15" ht="20.100000000000001" customHeight="1">
      <c r="A455" s="846"/>
      <c r="B455" s="846"/>
      <c r="C455" s="846"/>
      <c r="D455" s="846"/>
      <c r="E455" s="846"/>
      <c r="F455" s="846"/>
      <c r="G455" s="846"/>
      <c r="H455" s="846"/>
      <c r="I455" s="846"/>
      <c r="J455" s="846"/>
      <c r="K455" s="846"/>
      <c r="L455" s="846"/>
      <c r="M455" s="846"/>
      <c r="N455" s="846"/>
      <c r="O455" s="846"/>
    </row>
    <row r="456" spans="1:15" ht="20.100000000000001" customHeight="1">
      <c r="A456" s="846"/>
      <c r="B456" s="846"/>
      <c r="C456" s="846"/>
      <c r="D456" s="846"/>
      <c r="E456" s="846"/>
      <c r="F456" s="846"/>
      <c r="G456" s="846"/>
      <c r="H456" s="846"/>
      <c r="I456" s="846"/>
      <c r="J456" s="846"/>
      <c r="K456" s="846"/>
      <c r="L456" s="846"/>
      <c r="M456" s="846"/>
      <c r="N456" s="846"/>
      <c r="O456" s="846"/>
    </row>
    <row r="457" spans="1:15" ht="20.100000000000001" customHeight="1">
      <c r="A457" s="846"/>
      <c r="B457" s="846"/>
      <c r="C457" s="846"/>
      <c r="D457" s="846"/>
      <c r="E457" s="846"/>
      <c r="F457" s="846"/>
      <c r="G457" s="846"/>
      <c r="H457" s="846"/>
      <c r="I457" s="846"/>
      <c r="J457" s="846"/>
      <c r="K457" s="846"/>
      <c r="L457" s="846"/>
      <c r="M457" s="846"/>
      <c r="N457" s="846"/>
      <c r="O457" s="846"/>
    </row>
    <row r="458" spans="1:15" ht="20.100000000000001" customHeight="1">
      <c r="A458" s="846"/>
      <c r="B458" s="846"/>
      <c r="C458" s="846"/>
      <c r="D458" s="846"/>
      <c r="E458" s="846"/>
      <c r="F458" s="846"/>
      <c r="G458" s="846"/>
      <c r="H458" s="846"/>
      <c r="I458" s="846"/>
      <c r="J458" s="846"/>
      <c r="K458" s="846"/>
      <c r="L458" s="846"/>
      <c r="M458" s="846"/>
      <c r="N458" s="846"/>
      <c r="O458" s="846"/>
    </row>
    <row r="459" spans="1:15" ht="20.100000000000001" customHeight="1">
      <c r="A459" s="846"/>
      <c r="B459" s="846"/>
      <c r="C459" s="846"/>
      <c r="D459" s="846"/>
      <c r="E459" s="846"/>
      <c r="F459" s="846"/>
      <c r="G459" s="846"/>
      <c r="H459" s="846"/>
      <c r="I459" s="846"/>
      <c r="J459" s="846"/>
      <c r="K459" s="846"/>
      <c r="L459" s="846"/>
      <c r="M459" s="846"/>
      <c r="N459" s="846"/>
      <c r="O459" s="846"/>
    </row>
    <row r="460" spans="1:15" ht="20.100000000000001" customHeight="1">
      <c r="A460" s="846"/>
      <c r="B460" s="846"/>
      <c r="C460" s="846"/>
      <c r="D460" s="846"/>
      <c r="E460" s="846"/>
      <c r="F460" s="846"/>
      <c r="G460" s="846"/>
      <c r="H460" s="846"/>
      <c r="I460" s="846"/>
      <c r="J460" s="846"/>
      <c r="K460" s="846"/>
      <c r="L460" s="846"/>
      <c r="M460" s="846"/>
      <c r="N460" s="846"/>
      <c r="O460" s="846"/>
    </row>
    <row r="461" spans="1:15" ht="20.100000000000001" customHeight="1">
      <c r="A461" s="846"/>
      <c r="B461" s="846"/>
      <c r="C461" s="846"/>
      <c r="D461" s="846"/>
      <c r="E461" s="846"/>
      <c r="F461" s="846"/>
      <c r="G461" s="846"/>
      <c r="H461" s="846"/>
      <c r="I461" s="846"/>
      <c r="J461" s="846"/>
      <c r="K461" s="846"/>
      <c r="L461" s="846"/>
      <c r="M461" s="846"/>
      <c r="N461" s="846"/>
      <c r="O461" s="846"/>
    </row>
    <row r="462" spans="1:15" ht="20.100000000000001" customHeight="1">
      <c r="A462" s="846"/>
      <c r="B462" s="846"/>
      <c r="C462" s="846"/>
      <c r="D462" s="846"/>
      <c r="E462" s="846"/>
      <c r="F462" s="846"/>
      <c r="G462" s="846"/>
      <c r="H462" s="846"/>
      <c r="I462" s="846"/>
      <c r="J462" s="846"/>
      <c r="K462" s="846"/>
      <c r="L462" s="846"/>
      <c r="M462" s="846"/>
      <c r="N462" s="846"/>
      <c r="O462" s="846"/>
    </row>
    <row r="463" spans="1:15" ht="20.100000000000001" customHeight="1">
      <c r="A463" s="846"/>
      <c r="B463" s="846"/>
      <c r="C463" s="846"/>
      <c r="D463" s="846"/>
      <c r="E463" s="846"/>
      <c r="F463" s="846"/>
      <c r="G463" s="846"/>
      <c r="H463" s="846"/>
      <c r="I463" s="846"/>
      <c r="J463" s="846"/>
      <c r="K463" s="846"/>
      <c r="L463" s="846"/>
      <c r="M463" s="846"/>
      <c r="N463" s="846"/>
      <c r="O463" s="846"/>
    </row>
    <row r="464" spans="1:15" ht="20.100000000000001" customHeight="1">
      <c r="A464" s="846"/>
      <c r="B464" s="846"/>
      <c r="C464" s="846"/>
      <c r="D464" s="846"/>
      <c r="E464" s="846"/>
      <c r="F464" s="846"/>
      <c r="G464" s="846"/>
      <c r="H464" s="846"/>
      <c r="I464" s="846"/>
      <c r="J464" s="846"/>
      <c r="K464" s="846"/>
      <c r="L464" s="846"/>
      <c r="M464" s="846"/>
      <c r="N464" s="846"/>
      <c r="O464" s="846"/>
    </row>
    <row r="465" spans="1:15" ht="20.100000000000001" customHeight="1">
      <c r="A465" s="846"/>
      <c r="B465" s="846"/>
      <c r="C465" s="846"/>
      <c r="D465" s="846"/>
      <c r="E465" s="846"/>
      <c r="F465" s="846"/>
      <c r="G465" s="846"/>
      <c r="H465" s="846"/>
      <c r="I465" s="846"/>
      <c r="J465" s="846"/>
      <c r="K465" s="846"/>
      <c r="L465" s="846"/>
      <c r="M465" s="846"/>
      <c r="N465" s="846"/>
      <c r="O465" s="846"/>
    </row>
    <row r="466" spans="1:15" ht="20.100000000000001" customHeight="1">
      <c r="A466" s="846"/>
      <c r="B466" s="846"/>
      <c r="C466" s="846"/>
      <c r="D466" s="846"/>
      <c r="E466" s="846"/>
      <c r="F466" s="846"/>
      <c r="G466" s="846"/>
      <c r="H466" s="846"/>
      <c r="I466" s="846"/>
      <c r="J466" s="846"/>
      <c r="K466" s="846"/>
      <c r="L466" s="846"/>
      <c r="M466" s="846"/>
      <c r="N466" s="846"/>
      <c r="O466" s="846"/>
    </row>
    <row r="467" spans="1:15" ht="20.100000000000001" customHeight="1">
      <c r="A467" s="846"/>
      <c r="B467" s="846"/>
      <c r="C467" s="846"/>
      <c r="D467" s="846"/>
      <c r="E467" s="846"/>
      <c r="F467" s="846"/>
      <c r="G467" s="846"/>
      <c r="H467" s="846"/>
      <c r="I467" s="846"/>
      <c r="J467" s="846"/>
      <c r="K467" s="846"/>
      <c r="L467" s="846"/>
      <c r="M467" s="846"/>
      <c r="N467" s="846"/>
      <c r="O467" s="846"/>
    </row>
    <row r="468" spans="1:15" ht="20.100000000000001" customHeight="1">
      <c r="A468" s="846"/>
      <c r="B468" s="846"/>
      <c r="C468" s="846"/>
      <c r="D468" s="846"/>
      <c r="E468" s="846"/>
      <c r="F468" s="846"/>
      <c r="G468" s="846"/>
      <c r="H468" s="846"/>
      <c r="I468" s="846"/>
      <c r="J468" s="846"/>
      <c r="K468" s="846"/>
      <c r="L468" s="846"/>
      <c r="M468" s="846"/>
      <c r="N468" s="846"/>
      <c r="O468" s="846"/>
    </row>
    <row r="469" spans="1:15" ht="20.100000000000001" customHeight="1">
      <c r="A469" s="846"/>
      <c r="B469" s="846"/>
      <c r="C469" s="846"/>
      <c r="D469" s="846"/>
      <c r="E469" s="846"/>
      <c r="F469" s="846"/>
      <c r="G469" s="846"/>
      <c r="H469" s="846"/>
      <c r="I469" s="846"/>
      <c r="J469" s="846"/>
      <c r="K469" s="846"/>
      <c r="L469" s="846"/>
      <c r="M469" s="846"/>
      <c r="N469" s="846"/>
      <c r="O469" s="846"/>
    </row>
    <row r="470" spans="1:15" ht="20.100000000000001" customHeight="1">
      <c r="A470" s="846"/>
      <c r="B470" s="846"/>
      <c r="C470" s="846"/>
      <c r="D470" s="846"/>
      <c r="E470" s="846"/>
      <c r="F470" s="846"/>
      <c r="G470" s="846"/>
      <c r="H470" s="846"/>
      <c r="I470" s="846"/>
      <c r="J470" s="846"/>
      <c r="K470" s="846"/>
      <c r="L470" s="846"/>
      <c r="M470" s="846"/>
      <c r="N470" s="846"/>
      <c r="O470" s="846"/>
    </row>
    <row r="471" spans="1:15" ht="20.100000000000001" customHeight="1">
      <c r="A471" s="846"/>
      <c r="B471" s="846"/>
      <c r="C471" s="846"/>
      <c r="D471" s="846"/>
      <c r="E471" s="846"/>
      <c r="F471" s="846"/>
      <c r="G471" s="846"/>
      <c r="H471" s="846"/>
      <c r="I471" s="846"/>
      <c r="J471" s="846"/>
      <c r="K471" s="846"/>
      <c r="L471" s="846"/>
      <c r="M471" s="846"/>
      <c r="N471" s="846"/>
      <c r="O471" s="846"/>
    </row>
    <row r="472" spans="1:15" ht="20.100000000000001" customHeight="1">
      <c r="A472" s="846"/>
      <c r="B472" s="846"/>
      <c r="C472" s="846"/>
      <c r="D472" s="846"/>
      <c r="E472" s="846"/>
      <c r="F472" s="846"/>
      <c r="G472" s="846"/>
      <c r="H472" s="846"/>
      <c r="I472" s="846"/>
      <c r="J472" s="846"/>
      <c r="K472" s="846"/>
      <c r="L472" s="846"/>
      <c r="M472" s="846"/>
      <c r="N472" s="846"/>
      <c r="O472" s="846"/>
    </row>
    <row r="473" spans="1:15" ht="20.100000000000001" customHeight="1">
      <c r="A473" s="846"/>
      <c r="B473" s="846"/>
      <c r="C473" s="846"/>
      <c r="D473" s="846"/>
      <c r="E473" s="846"/>
      <c r="F473" s="846"/>
      <c r="G473" s="846"/>
      <c r="H473" s="846"/>
      <c r="I473" s="846"/>
      <c r="J473" s="846"/>
      <c r="K473" s="846"/>
      <c r="L473" s="846"/>
      <c r="M473" s="846"/>
      <c r="N473" s="846"/>
      <c r="O473" s="846"/>
    </row>
    <row r="474" spans="1:15" ht="20.100000000000001" customHeight="1">
      <c r="A474" s="846"/>
      <c r="B474" s="846"/>
      <c r="C474" s="846"/>
      <c r="D474" s="846"/>
      <c r="E474" s="846"/>
      <c r="F474" s="846"/>
      <c r="G474" s="846"/>
      <c r="H474" s="846"/>
      <c r="I474" s="846"/>
      <c r="J474" s="846"/>
      <c r="K474" s="846"/>
      <c r="L474" s="846"/>
      <c r="M474" s="846"/>
      <c r="N474" s="846"/>
      <c r="O474" s="846"/>
    </row>
    <row r="475" spans="1:15" ht="20.100000000000001" customHeight="1">
      <c r="A475" s="846"/>
      <c r="B475" s="846"/>
      <c r="C475" s="846"/>
      <c r="D475" s="846"/>
      <c r="E475" s="846"/>
      <c r="F475" s="846"/>
      <c r="G475" s="846"/>
      <c r="H475" s="846"/>
      <c r="I475" s="846"/>
      <c r="J475" s="846"/>
      <c r="K475" s="846"/>
      <c r="L475" s="846"/>
      <c r="M475" s="846"/>
      <c r="N475" s="846"/>
      <c r="O475" s="846"/>
    </row>
    <row r="476" spans="1:15" ht="20.100000000000001" customHeight="1">
      <c r="A476" s="846"/>
      <c r="B476" s="846"/>
      <c r="C476" s="846"/>
      <c r="D476" s="846"/>
      <c r="E476" s="846"/>
      <c r="F476" s="846"/>
      <c r="G476" s="846"/>
      <c r="H476" s="846"/>
      <c r="I476" s="846"/>
      <c r="J476" s="846"/>
      <c r="K476" s="846"/>
      <c r="L476" s="846"/>
      <c r="M476" s="846"/>
      <c r="N476" s="846"/>
      <c r="O476" s="846"/>
    </row>
    <row r="477" spans="1:15" ht="20.100000000000001" customHeight="1">
      <c r="A477" s="846"/>
      <c r="B477" s="846"/>
      <c r="C477" s="846"/>
      <c r="D477" s="846"/>
      <c r="E477" s="846"/>
      <c r="F477" s="846"/>
      <c r="G477" s="846"/>
      <c r="H477" s="846"/>
      <c r="I477" s="846"/>
      <c r="J477" s="846"/>
      <c r="K477" s="846"/>
      <c r="L477" s="846"/>
      <c r="M477" s="846"/>
      <c r="N477" s="846"/>
      <c r="O477" s="846"/>
    </row>
    <row r="478" spans="1:15" ht="20.100000000000001" customHeight="1">
      <c r="A478" s="846"/>
      <c r="B478" s="846"/>
      <c r="C478" s="846"/>
      <c r="D478" s="846"/>
      <c r="E478" s="846"/>
      <c r="F478" s="846"/>
      <c r="G478" s="846"/>
      <c r="H478" s="846"/>
      <c r="I478" s="846"/>
      <c r="J478" s="846"/>
      <c r="K478" s="846"/>
      <c r="L478" s="846"/>
      <c r="M478" s="846"/>
      <c r="N478" s="846"/>
      <c r="O478" s="846"/>
    </row>
    <row r="479" spans="1:15" ht="20.100000000000001" customHeight="1">
      <c r="A479" s="846"/>
      <c r="B479" s="846"/>
      <c r="C479" s="846"/>
      <c r="D479" s="846"/>
      <c r="E479" s="846"/>
      <c r="F479" s="846"/>
      <c r="G479" s="846"/>
      <c r="H479" s="846"/>
      <c r="I479" s="846"/>
      <c r="J479" s="846"/>
      <c r="K479" s="846"/>
      <c r="L479" s="846"/>
      <c r="M479" s="846"/>
      <c r="N479" s="846"/>
      <c r="O479" s="846"/>
    </row>
    <row r="480" spans="1:15" ht="20.100000000000001" customHeight="1">
      <c r="A480" s="846"/>
      <c r="B480" s="846"/>
      <c r="C480" s="846"/>
      <c r="D480" s="846"/>
      <c r="E480" s="846"/>
      <c r="F480" s="846"/>
      <c r="G480" s="846"/>
      <c r="H480" s="846"/>
      <c r="I480" s="846"/>
      <c r="J480" s="846"/>
      <c r="K480" s="846"/>
      <c r="L480" s="846"/>
      <c r="M480" s="846"/>
      <c r="N480" s="846"/>
      <c r="O480" s="846"/>
    </row>
    <row r="481" spans="1:15" ht="20.100000000000001" customHeight="1">
      <c r="A481" s="846"/>
      <c r="B481" s="846"/>
      <c r="C481" s="846"/>
      <c r="D481" s="846"/>
      <c r="E481" s="846"/>
      <c r="F481" s="846"/>
      <c r="G481" s="846"/>
      <c r="H481" s="846"/>
      <c r="I481" s="846"/>
      <c r="J481" s="846"/>
      <c r="K481" s="846"/>
      <c r="L481" s="846"/>
      <c r="M481" s="846"/>
      <c r="N481" s="846"/>
      <c r="O481" s="846"/>
    </row>
    <row r="482" spans="1:15" ht="20.100000000000001" customHeight="1">
      <c r="A482" s="846"/>
      <c r="B482" s="846"/>
      <c r="C482" s="846"/>
      <c r="D482" s="846"/>
      <c r="E482" s="846"/>
      <c r="F482" s="846"/>
      <c r="G482" s="846"/>
      <c r="H482" s="846"/>
      <c r="I482" s="846"/>
      <c r="J482" s="846"/>
      <c r="K482" s="846"/>
      <c r="L482" s="846"/>
      <c r="M482" s="846"/>
      <c r="N482" s="846"/>
      <c r="O482" s="846"/>
    </row>
    <row r="483" spans="1:15" ht="20.100000000000001" customHeight="1">
      <c r="A483" s="846"/>
      <c r="B483" s="846"/>
      <c r="C483" s="846"/>
      <c r="D483" s="846"/>
      <c r="E483" s="846"/>
      <c r="F483" s="846"/>
      <c r="G483" s="846"/>
      <c r="H483" s="846"/>
      <c r="I483" s="846"/>
      <c r="J483" s="846"/>
      <c r="K483" s="846"/>
      <c r="L483" s="846"/>
      <c r="M483" s="846"/>
      <c r="N483" s="846"/>
      <c r="O483" s="846"/>
    </row>
    <row r="484" spans="1:15" ht="20.100000000000001" customHeight="1">
      <c r="A484" s="846"/>
      <c r="B484" s="846"/>
      <c r="C484" s="846"/>
      <c r="D484" s="846"/>
      <c r="E484" s="846"/>
      <c r="F484" s="846"/>
      <c r="G484" s="846"/>
      <c r="H484" s="846"/>
      <c r="I484" s="846"/>
      <c r="J484" s="846"/>
      <c r="K484" s="846"/>
      <c r="L484" s="846"/>
      <c r="M484" s="846"/>
      <c r="N484" s="846"/>
      <c r="O484" s="846"/>
    </row>
    <row r="485" spans="1:15" ht="20.100000000000001" customHeight="1">
      <c r="A485" s="846"/>
      <c r="B485" s="846"/>
      <c r="C485" s="846"/>
      <c r="D485" s="846"/>
      <c r="E485" s="846"/>
      <c r="F485" s="846"/>
      <c r="G485" s="846"/>
      <c r="H485" s="846"/>
      <c r="I485" s="846"/>
      <c r="J485" s="846"/>
      <c r="K485" s="846"/>
      <c r="L485" s="846"/>
      <c r="M485" s="846"/>
      <c r="N485" s="846"/>
      <c r="O485" s="846"/>
    </row>
    <row r="486" spans="1:15" ht="20.100000000000001" customHeight="1">
      <c r="A486" s="846"/>
      <c r="B486" s="846"/>
      <c r="C486" s="846"/>
      <c r="D486" s="846"/>
      <c r="E486" s="846"/>
      <c r="F486" s="846"/>
      <c r="G486" s="846"/>
      <c r="H486" s="846"/>
      <c r="I486" s="846"/>
      <c r="J486" s="846"/>
      <c r="K486" s="846"/>
      <c r="L486" s="846"/>
      <c r="M486" s="846"/>
      <c r="N486" s="846"/>
      <c r="O486" s="846"/>
    </row>
    <row r="487" spans="1:15" ht="20.100000000000001" customHeight="1">
      <c r="A487" s="846"/>
      <c r="B487" s="846"/>
      <c r="C487" s="846"/>
      <c r="D487" s="846"/>
      <c r="E487" s="846"/>
      <c r="F487" s="846"/>
      <c r="G487" s="846"/>
      <c r="H487" s="846"/>
      <c r="I487" s="846"/>
      <c r="J487" s="846"/>
      <c r="K487" s="846"/>
      <c r="L487" s="846"/>
      <c r="M487" s="846"/>
      <c r="N487" s="846"/>
      <c r="O487" s="846"/>
    </row>
    <row r="488" spans="1:15" ht="20.100000000000001" customHeight="1">
      <c r="A488" s="846"/>
      <c r="B488" s="846"/>
      <c r="C488" s="846"/>
      <c r="D488" s="846"/>
      <c r="E488" s="846"/>
      <c r="F488" s="846"/>
      <c r="G488" s="846"/>
      <c r="H488" s="846"/>
      <c r="I488" s="846"/>
      <c r="J488" s="846"/>
      <c r="K488" s="846"/>
      <c r="L488" s="846"/>
      <c r="M488" s="846"/>
      <c r="N488" s="846"/>
      <c r="O488" s="846"/>
    </row>
    <row r="489" spans="1:15" ht="20.100000000000001" customHeight="1">
      <c r="A489" s="846"/>
      <c r="B489" s="846"/>
      <c r="C489" s="846"/>
      <c r="D489" s="846"/>
      <c r="E489" s="846"/>
      <c r="F489" s="846"/>
      <c r="G489" s="846"/>
      <c r="H489" s="846"/>
      <c r="I489" s="846"/>
      <c r="J489" s="846"/>
      <c r="K489" s="846"/>
      <c r="L489" s="846"/>
      <c r="M489" s="846"/>
      <c r="N489" s="846"/>
      <c r="O489" s="846"/>
    </row>
    <row r="490" spans="1:15" ht="20.100000000000001" customHeight="1">
      <c r="A490" s="846"/>
      <c r="B490" s="846"/>
      <c r="C490" s="846"/>
      <c r="D490" s="846"/>
      <c r="E490" s="846"/>
      <c r="F490" s="846"/>
      <c r="G490" s="846"/>
      <c r="H490" s="846"/>
      <c r="I490" s="846"/>
      <c r="J490" s="846"/>
      <c r="K490" s="846"/>
      <c r="L490" s="846"/>
      <c r="M490" s="846"/>
      <c r="N490" s="846"/>
      <c r="O490" s="846"/>
    </row>
    <row r="491" spans="1:15" ht="20.100000000000001" customHeight="1">
      <c r="A491" s="846"/>
      <c r="B491" s="846"/>
      <c r="C491" s="846"/>
      <c r="D491" s="846"/>
      <c r="E491" s="846"/>
      <c r="F491" s="846"/>
      <c r="G491" s="846"/>
      <c r="H491" s="846"/>
      <c r="I491" s="846"/>
      <c r="J491" s="846"/>
      <c r="K491" s="846"/>
      <c r="L491" s="846"/>
      <c r="M491" s="846"/>
      <c r="N491" s="846"/>
      <c r="O491" s="846"/>
    </row>
    <row r="492" spans="1:15" ht="20.100000000000001" customHeight="1">
      <c r="A492" s="846"/>
      <c r="B492" s="846"/>
      <c r="C492" s="846"/>
      <c r="D492" s="846"/>
      <c r="E492" s="846"/>
      <c r="F492" s="846"/>
      <c r="G492" s="846"/>
      <c r="H492" s="846"/>
      <c r="I492" s="846"/>
      <c r="J492" s="846"/>
      <c r="K492" s="846"/>
      <c r="L492" s="846"/>
      <c r="M492" s="846"/>
      <c r="N492" s="846"/>
      <c r="O492" s="846"/>
    </row>
    <row r="493" spans="1:15" ht="20.100000000000001" customHeight="1">
      <c r="A493" s="846"/>
      <c r="B493" s="846"/>
      <c r="C493" s="846"/>
      <c r="D493" s="846"/>
      <c r="E493" s="846"/>
      <c r="F493" s="846"/>
      <c r="G493" s="846"/>
      <c r="H493" s="846"/>
      <c r="I493" s="846"/>
      <c r="J493" s="846"/>
      <c r="K493" s="846"/>
      <c r="L493" s="846"/>
      <c r="M493" s="846"/>
      <c r="N493" s="846"/>
      <c r="O493" s="846"/>
    </row>
    <row r="494" spans="1:15" ht="20.100000000000001" customHeight="1">
      <c r="A494" s="846"/>
      <c r="B494" s="846"/>
      <c r="C494" s="846"/>
      <c r="D494" s="846"/>
      <c r="E494" s="846"/>
      <c r="F494" s="846"/>
      <c r="G494" s="846"/>
      <c r="H494" s="846"/>
      <c r="I494" s="846"/>
      <c r="J494" s="846"/>
      <c r="K494" s="846"/>
      <c r="L494" s="846"/>
      <c r="M494" s="846"/>
      <c r="N494" s="846"/>
      <c r="O494" s="846"/>
    </row>
    <row r="495" spans="1:15" ht="20.100000000000001" customHeight="1">
      <c r="A495" s="846"/>
      <c r="B495" s="846"/>
      <c r="C495" s="846"/>
      <c r="D495" s="846"/>
      <c r="E495" s="846"/>
      <c r="F495" s="846"/>
      <c r="G495" s="846"/>
      <c r="H495" s="846"/>
      <c r="I495" s="846"/>
      <c r="J495" s="846"/>
      <c r="K495" s="846"/>
      <c r="L495" s="846"/>
      <c r="M495" s="846"/>
      <c r="N495" s="846"/>
      <c r="O495" s="846"/>
    </row>
    <row r="496" spans="1:15" ht="20.100000000000001" customHeight="1">
      <c r="A496" s="846"/>
      <c r="B496" s="846"/>
      <c r="C496" s="846"/>
      <c r="D496" s="846"/>
      <c r="E496" s="846"/>
      <c r="F496" s="846"/>
      <c r="G496" s="846"/>
      <c r="H496" s="846"/>
      <c r="I496" s="846"/>
      <c r="J496" s="846"/>
      <c r="K496" s="846"/>
      <c r="L496" s="846"/>
      <c r="M496" s="846"/>
      <c r="N496" s="846"/>
      <c r="O496" s="846"/>
    </row>
    <row r="497" spans="1:15" ht="20.100000000000001" customHeight="1">
      <c r="A497" s="846"/>
      <c r="B497" s="846"/>
      <c r="C497" s="846"/>
      <c r="D497" s="846"/>
      <c r="E497" s="846"/>
      <c r="F497" s="846"/>
      <c r="G497" s="846"/>
      <c r="H497" s="846"/>
      <c r="I497" s="846"/>
      <c r="J497" s="846"/>
      <c r="K497" s="846"/>
      <c r="L497" s="846"/>
      <c r="M497" s="846"/>
      <c r="N497" s="846"/>
      <c r="O497" s="846"/>
    </row>
    <row r="498" spans="1:15" ht="20.100000000000001" customHeight="1">
      <c r="A498" s="846"/>
      <c r="B498" s="846"/>
      <c r="C498" s="846"/>
      <c r="D498" s="846"/>
      <c r="E498" s="846"/>
      <c r="F498" s="846"/>
      <c r="G498" s="846"/>
      <c r="H498" s="846"/>
      <c r="I498" s="846"/>
      <c r="J498" s="846"/>
      <c r="K498" s="846"/>
      <c r="L498" s="846"/>
      <c r="M498" s="846"/>
      <c r="N498" s="846"/>
      <c r="O498" s="846"/>
    </row>
    <row r="499" spans="1:15" ht="20.100000000000001" customHeight="1">
      <c r="A499" s="846"/>
      <c r="B499" s="846"/>
      <c r="C499" s="846"/>
      <c r="D499" s="846"/>
      <c r="E499" s="846"/>
      <c r="F499" s="846"/>
      <c r="G499" s="846"/>
      <c r="H499" s="846"/>
      <c r="I499" s="846"/>
      <c r="J499" s="846"/>
      <c r="K499" s="846"/>
      <c r="L499" s="846"/>
      <c r="M499" s="846"/>
      <c r="N499" s="846"/>
      <c r="O499" s="846"/>
    </row>
    <row r="500" spans="1:15" ht="20.100000000000001" customHeight="1">
      <c r="A500" s="846"/>
      <c r="B500" s="846"/>
      <c r="C500" s="846"/>
      <c r="D500" s="846"/>
      <c r="E500" s="846"/>
      <c r="F500" s="846"/>
      <c r="G500" s="846"/>
      <c r="H500" s="846"/>
      <c r="I500" s="846"/>
      <c r="J500" s="846"/>
      <c r="K500" s="846"/>
      <c r="L500" s="846"/>
      <c r="M500" s="846"/>
      <c r="N500" s="846"/>
      <c r="O500" s="846"/>
    </row>
    <row r="501" spans="1:15" ht="20.100000000000001" customHeight="1">
      <c r="A501" s="846"/>
      <c r="B501" s="846"/>
      <c r="C501" s="846"/>
      <c r="D501" s="846"/>
      <c r="E501" s="846"/>
      <c r="F501" s="846"/>
      <c r="G501" s="846"/>
      <c r="H501" s="846"/>
      <c r="I501" s="846"/>
      <c r="J501" s="846"/>
      <c r="K501" s="846"/>
      <c r="L501" s="846"/>
      <c r="M501" s="846"/>
      <c r="N501" s="846"/>
      <c r="O501" s="846"/>
    </row>
    <row r="502" spans="1:15" ht="20.100000000000001" customHeight="1">
      <c r="A502" s="846"/>
      <c r="B502" s="846"/>
      <c r="C502" s="846"/>
      <c r="D502" s="846"/>
      <c r="E502" s="846"/>
      <c r="F502" s="846"/>
      <c r="G502" s="846"/>
      <c r="H502" s="846"/>
      <c r="I502" s="846"/>
      <c r="J502" s="846"/>
      <c r="K502" s="846"/>
      <c r="L502" s="846"/>
      <c r="M502" s="846"/>
      <c r="N502" s="846"/>
      <c r="O502" s="846"/>
    </row>
    <row r="503" spans="1:15" ht="20.100000000000001" customHeight="1">
      <c r="A503" s="846"/>
      <c r="B503" s="846"/>
      <c r="C503" s="846"/>
      <c r="D503" s="846"/>
      <c r="E503" s="846"/>
      <c r="F503" s="846"/>
      <c r="G503" s="846"/>
      <c r="H503" s="846"/>
      <c r="I503" s="846"/>
      <c r="J503" s="846"/>
      <c r="K503" s="846"/>
      <c r="L503" s="846"/>
      <c r="M503" s="846"/>
      <c r="N503" s="846"/>
      <c r="O503" s="846"/>
    </row>
    <row r="504" spans="1:15" ht="20.100000000000001" customHeight="1">
      <c r="A504" s="846"/>
      <c r="B504" s="846"/>
      <c r="C504" s="846"/>
      <c r="D504" s="846"/>
      <c r="E504" s="846"/>
      <c r="F504" s="846"/>
      <c r="G504" s="846"/>
      <c r="H504" s="846"/>
      <c r="I504" s="846"/>
      <c r="J504" s="846"/>
      <c r="K504" s="846"/>
      <c r="L504" s="846"/>
      <c r="M504" s="846"/>
      <c r="N504" s="846"/>
      <c r="O504" s="846"/>
    </row>
    <row r="505" spans="1:15" ht="20.100000000000001" customHeight="1">
      <c r="A505" s="846"/>
      <c r="B505" s="846"/>
      <c r="C505" s="846"/>
      <c r="D505" s="846"/>
      <c r="E505" s="846"/>
      <c r="F505" s="846"/>
      <c r="G505" s="846"/>
      <c r="H505" s="846"/>
      <c r="I505" s="846"/>
      <c r="J505" s="846"/>
      <c r="K505" s="846"/>
      <c r="L505" s="846"/>
      <c r="M505" s="846"/>
      <c r="N505" s="846"/>
      <c r="O505" s="846"/>
    </row>
    <row r="506" spans="1:15" ht="20.100000000000001" customHeight="1">
      <c r="A506" s="846"/>
      <c r="B506" s="846"/>
      <c r="C506" s="846"/>
      <c r="D506" s="846"/>
      <c r="E506" s="846"/>
      <c r="F506" s="846"/>
      <c r="G506" s="846"/>
      <c r="H506" s="846"/>
      <c r="I506" s="846"/>
      <c r="J506" s="846"/>
      <c r="K506" s="846"/>
      <c r="L506" s="846"/>
      <c r="M506" s="846"/>
      <c r="N506" s="846"/>
      <c r="O506" s="846"/>
    </row>
    <row r="507" spans="1:15" ht="20.100000000000001" customHeight="1">
      <c r="A507" s="846"/>
      <c r="B507" s="846"/>
      <c r="C507" s="846"/>
      <c r="D507" s="846"/>
      <c r="E507" s="846"/>
      <c r="F507" s="846"/>
      <c r="G507" s="846"/>
      <c r="H507" s="846"/>
      <c r="I507" s="846"/>
      <c r="J507" s="846"/>
      <c r="K507" s="846"/>
      <c r="L507" s="846"/>
      <c r="M507" s="846"/>
      <c r="N507" s="846"/>
      <c r="O507" s="846"/>
    </row>
    <row r="508" spans="1:15" ht="20.100000000000001" customHeight="1">
      <c r="A508" s="846"/>
      <c r="B508" s="846"/>
      <c r="C508" s="846"/>
      <c r="D508" s="846"/>
      <c r="E508" s="846"/>
      <c r="F508" s="846"/>
      <c r="G508" s="846"/>
      <c r="H508" s="846"/>
      <c r="I508" s="846"/>
      <c r="J508" s="846"/>
      <c r="K508" s="846"/>
      <c r="L508" s="846"/>
      <c r="M508" s="846"/>
      <c r="N508" s="846"/>
      <c r="O508" s="846"/>
    </row>
    <row r="509" spans="1:15" ht="20.100000000000001" customHeight="1">
      <c r="A509" s="846"/>
      <c r="B509" s="846"/>
      <c r="C509" s="846"/>
      <c r="D509" s="846"/>
      <c r="E509" s="846"/>
      <c r="F509" s="846"/>
      <c r="G509" s="846"/>
      <c r="H509" s="846"/>
      <c r="I509" s="846"/>
      <c r="J509" s="846"/>
      <c r="K509" s="846"/>
      <c r="L509" s="846"/>
      <c r="M509" s="846"/>
      <c r="N509" s="846"/>
      <c r="O509" s="846"/>
    </row>
    <row r="510" spans="1:15" ht="20.100000000000001" customHeight="1">
      <c r="A510" s="846"/>
      <c r="B510" s="846"/>
      <c r="C510" s="846"/>
      <c r="D510" s="846"/>
      <c r="E510" s="846"/>
      <c r="F510" s="846"/>
      <c r="G510" s="846"/>
      <c r="H510" s="846"/>
      <c r="I510" s="846"/>
      <c r="J510" s="846"/>
      <c r="K510" s="846"/>
      <c r="L510" s="846"/>
      <c r="M510" s="846"/>
      <c r="N510" s="846"/>
      <c r="O510" s="846"/>
    </row>
    <row r="511" spans="1:15" ht="20.100000000000001" customHeight="1">
      <c r="A511" s="846"/>
      <c r="B511" s="846"/>
      <c r="C511" s="846"/>
      <c r="D511" s="846"/>
      <c r="E511" s="846"/>
      <c r="F511" s="846"/>
      <c r="G511" s="846"/>
      <c r="H511" s="846"/>
      <c r="I511" s="846"/>
      <c r="J511" s="846"/>
      <c r="K511" s="846"/>
      <c r="L511" s="846"/>
      <c r="M511" s="846"/>
      <c r="N511" s="846"/>
      <c r="O511" s="846"/>
    </row>
    <row r="512" spans="1:15" ht="20.100000000000001" customHeight="1">
      <c r="A512" s="846"/>
      <c r="B512" s="846"/>
      <c r="C512" s="846"/>
      <c r="D512" s="846"/>
      <c r="E512" s="846"/>
      <c r="F512" s="846"/>
      <c r="G512" s="846"/>
      <c r="H512" s="846"/>
      <c r="I512" s="846"/>
      <c r="J512" s="846"/>
      <c r="K512" s="846"/>
      <c r="L512" s="846"/>
      <c r="M512" s="846"/>
      <c r="N512" s="846"/>
      <c r="O512" s="846"/>
    </row>
    <row r="513" spans="1:15" ht="20.100000000000001" customHeight="1">
      <c r="A513" s="846"/>
      <c r="B513" s="846"/>
      <c r="C513" s="846"/>
      <c r="D513" s="846"/>
      <c r="E513" s="846"/>
      <c r="F513" s="846"/>
      <c r="G513" s="846"/>
      <c r="H513" s="846"/>
      <c r="I513" s="846"/>
      <c r="J513" s="846"/>
      <c r="K513" s="846"/>
      <c r="L513" s="846"/>
      <c r="M513" s="846"/>
      <c r="N513" s="846"/>
      <c r="O513" s="846"/>
    </row>
    <row r="514" spans="1:15" ht="20.100000000000001" customHeight="1">
      <c r="A514" s="846"/>
      <c r="B514" s="846"/>
      <c r="C514" s="846"/>
      <c r="D514" s="846"/>
      <c r="E514" s="846"/>
      <c r="F514" s="846"/>
      <c r="G514" s="846"/>
      <c r="H514" s="846"/>
      <c r="I514" s="846"/>
      <c r="J514" s="846"/>
      <c r="K514" s="846"/>
      <c r="L514" s="846"/>
      <c r="M514" s="846"/>
      <c r="N514" s="846"/>
      <c r="O514" s="846"/>
    </row>
    <row r="515" spans="1:15" ht="20.100000000000001" customHeight="1">
      <c r="A515" s="846"/>
      <c r="B515" s="846"/>
      <c r="C515" s="846"/>
      <c r="D515" s="846"/>
      <c r="E515" s="846"/>
      <c r="F515" s="846"/>
      <c r="G515" s="846"/>
      <c r="H515" s="846"/>
      <c r="I515" s="846"/>
      <c r="J515" s="846"/>
      <c r="K515" s="846"/>
      <c r="L515" s="846"/>
      <c r="M515" s="846"/>
      <c r="N515" s="846"/>
      <c r="O515" s="846"/>
    </row>
    <row r="516" spans="1:15" ht="20.100000000000001" customHeight="1">
      <c r="A516" s="846"/>
      <c r="B516" s="846"/>
      <c r="C516" s="846"/>
      <c r="D516" s="846"/>
      <c r="E516" s="846"/>
      <c r="F516" s="846"/>
      <c r="G516" s="846"/>
      <c r="H516" s="846"/>
      <c r="I516" s="846"/>
      <c r="J516" s="846"/>
      <c r="K516" s="846"/>
      <c r="L516" s="846"/>
      <c r="M516" s="846"/>
      <c r="N516" s="846"/>
      <c r="O516" s="846"/>
    </row>
    <row r="517" spans="1:15" ht="20.100000000000001" customHeight="1">
      <c r="A517" s="846"/>
      <c r="B517" s="846"/>
      <c r="C517" s="846"/>
      <c r="D517" s="846"/>
      <c r="E517" s="846"/>
      <c r="F517" s="846"/>
      <c r="G517" s="846"/>
      <c r="H517" s="846"/>
      <c r="I517" s="846"/>
      <c r="J517" s="846"/>
      <c r="K517" s="846"/>
      <c r="L517" s="846"/>
      <c r="M517" s="846"/>
      <c r="N517" s="846"/>
      <c r="O517" s="846"/>
    </row>
    <row r="518" spans="1:15" ht="20.100000000000001" customHeight="1">
      <c r="A518" s="846"/>
      <c r="B518" s="846"/>
      <c r="C518" s="846"/>
      <c r="D518" s="846"/>
      <c r="E518" s="846"/>
      <c r="F518" s="846"/>
      <c r="G518" s="846"/>
      <c r="H518" s="846"/>
      <c r="I518" s="846"/>
      <c r="J518" s="846"/>
      <c r="K518" s="846"/>
      <c r="L518" s="846"/>
      <c r="M518" s="846"/>
      <c r="N518" s="846"/>
      <c r="O518" s="846"/>
    </row>
    <row r="519" spans="1:15" ht="20.100000000000001" customHeight="1">
      <c r="A519" s="846"/>
      <c r="B519" s="846"/>
      <c r="C519" s="846"/>
      <c r="D519" s="846"/>
      <c r="E519" s="846"/>
      <c r="F519" s="846"/>
      <c r="G519" s="846"/>
      <c r="H519" s="846"/>
      <c r="I519" s="846"/>
      <c r="J519" s="846"/>
      <c r="K519" s="846"/>
      <c r="L519" s="846"/>
      <c r="M519" s="846"/>
      <c r="N519" s="846"/>
      <c r="O519" s="846"/>
    </row>
    <row r="520" spans="1:15" ht="20.100000000000001" customHeight="1">
      <c r="A520" s="846"/>
      <c r="B520" s="846"/>
      <c r="C520" s="846"/>
      <c r="D520" s="846"/>
      <c r="E520" s="846"/>
      <c r="F520" s="846"/>
      <c r="G520" s="846"/>
      <c r="H520" s="846"/>
      <c r="I520" s="846"/>
      <c r="J520" s="846"/>
      <c r="K520" s="846"/>
      <c r="L520" s="846"/>
      <c r="M520" s="846"/>
      <c r="N520" s="846"/>
      <c r="O520" s="846"/>
    </row>
    <row r="521" spans="1:15" ht="20.100000000000001" customHeight="1">
      <c r="A521" s="846"/>
      <c r="B521" s="846"/>
      <c r="C521" s="846"/>
      <c r="D521" s="846"/>
      <c r="E521" s="846"/>
      <c r="F521" s="846"/>
      <c r="G521" s="846"/>
      <c r="H521" s="846"/>
      <c r="I521" s="846"/>
      <c r="J521" s="846"/>
      <c r="K521" s="846"/>
      <c r="L521" s="846"/>
      <c r="M521" s="846"/>
      <c r="N521" s="846"/>
      <c r="O521" s="846"/>
    </row>
    <row r="522" spans="1:15" ht="20.100000000000001" customHeight="1">
      <c r="A522" s="846"/>
      <c r="B522" s="846"/>
      <c r="C522" s="846"/>
      <c r="D522" s="846"/>
      <c r="E522" s="846"/>
      <c r="F522" s="846"/>
      <c r="G522" s="846"/>
      <c r="H522" s="846"/>
      <c r="I522" s="846"/>
      <c r="J522" s="846"/>
      <c r="K522" s="846"/>
      <c r="L522" s="846"/>
      <c r="M522" s="846"/>
      <c r="N522" s="846"/>
      <c r="O522" s="846"/>
    </row>
    <row r="523" spans="1:15" ht="20.100000000000001" customHeight="1">
      <c r="A523" s="846"/>
      <c r="B523" s="846"/>
      <c r="C523" s="846"/>
      <c r="D523" s="846"/>
      <c r="E523" s="846"/>
      <c r="F523" s="846"/>
      <c r="G523" s="846"/>
      <c r="H523" s="846"/>
      <c r="I523" s="846"/>
      <c r="J523" s="846"/>
      <c r="K523" s="846"/>
      <c r="L523" s="846"/>
      <c r="M523" s="846"/>
      <c r="N523" s="846"/>
      <c r="O523" s="846"/>
    </row>
    <row r="524" spans="1:15" ht="20.100000000000001" customHeight="1">
      <c r="A524" s="846"/>
      <c r="B524" s="846"/>
      <c r="C524" s="846"/>
      <c r="D524" s="846"/>
      <c r="E524" s="846"/>
      <c r="F524" s="846"/>
      <c r="G524" s="846"/>
      <c r="H524" s="846"/>
      <c r="I524" s="846"/>
      <c r="J524" s="846"/>
      <c r="K524" s="846"/>
      <c r="L524" s="846"/>
      <c r="M524" s="846"/>
      <c r="N524" s="846"/>
      <c r="O524" s="846"/>
    </row>
    <row r="525" spans="1:15" ht="20.100000000000001" customHeight="1">
      <c r="A525" s="846"/>
      <c r="B525" s="846"/>
      <c r="C525" s="846"/>
      <c r="D525" s="846"/>
      <c r="E525" s="846"/>
      <c r="F525" s="846"/>
      <c r="G525" s="846"/>
      <c r="H525" s="846"/>
      <c r="I525" s="846"/>
      <c r="J525" s="846"/>
      <c r="K525" s="846"/>
      <c r="L525" s="846"/>
      <c r="M525" s="846"/>
      <c r="N525" s="846"/>
      <c r="O525" s="846"/>
    </row>
    <row r="526" spans="1:15" ht="20.100000000000001" customHeight="1">
      <c r="A526" s="846"/>
      <c r="B526" s="846"/>
      <c r="C526" s="846"/>
      <c r="D526" s="846"/>
      <c r="E526" s="846"/>
      <c r="F526" s="846"/>
      <c r="G526" s="846"/>
      <c r="H526" s="846"/>
      <c r="I526" s="846"/>
      <c r="J526" s="846"/>
      <c r="K526" s="846"/>
      <c r="L526" s="846"/>
      <c r="M526" s="846"/>
      <c r="N526" s="846"/>
      <c r="O526" s="846"/>
    </row>
    <row r="527" spans="1:15" ht="20.100000000000001" customHeight="1">
      <c r="A527" s="846"/>
      <c r="B527" s="846"/>
      <c r="C527" s="846"/>
      <c r="D527" s="846"/>
      <c r="E527" s="846"/>
      <c r="F527" s="846"/>
      <c r="G527" s="846"/>
      <c r="H527" s="846"/>
      <c r="I527" s="846"/>
      <c r="J527" s="846"/>
      <c r="K527" s="846"/>
      <c r="L527" s="846"/>
      <c r="M527" s="846"/>
      <c r="N527" s="846"/>
      <c r="O527" s="846"/>
    </row>
    <row r="528" spans="1:15" ht="20.100000000000001" customHeight="1">
      <c r="A528" s="846"/>
      <c r="B528" s="846"/>
      <c r="C528" s="846"/>
      <c r="D528" s="846"/>
      <c r="E528" s="846"/>
      <c r="F528" s="846"/>
      <c r="G528" s="846"/>
      <c r="H528" s="846"/>
      <c r="I528" s="846"/>
      <c r="J528" s="846"/>
      <c r="K528" s="846"/>
      <c r="L528" s="846"/>
      <c r="M528" s="846"/>
      <c r="N528" s="846"/>
      <c r="O528" s="846"/>
    </row>
    <row r="529" spans="1:15" ht="20.100000000000001" customHeight="1">
      <c r="A529" s="846"/>
      <c r="B529" s="846"/>
      <c r="C529" s="846"/>
      <c r="D529" s="846"/>
      <c r="E529" s="846"/>
      <c r="F529" s="846"/>
      <c r="G529" s="846"/>
      <c r="H529" s="846"/>
      <c r="I529" s="846"/>
      <c r="J529" s="846"/>
      <c r="K529" s="846"/>
      <c r="L529" s="846"/>
      <c r="M529" s="846"/>
      <c r="N529" s="846"/>
      <c r="O529" s="846"/>
    </row>
    <row r="530" spans="1:15" ht="20.100000000000001" customHeight="1">
      <c r="A530" s="846"/>
      <c r="B530" s="846"/>
      <c r="C530" s="846"/>
      <c r="D530" s="846"/>
      <c r="E530" s="846"/>
      <c r="F530" s="846"/>
      <c r="G530" s="846"/>
      <c r="H530" s="846"/>
      <c r="I530" s="846"/>
      <c r="J530" s="846"/>
      <c r="K530" s="846"/>
      <c r="L530" s="846"/>
      <c r="M530" s="846"/>
      <c r="N530" s="846"/>
      <c r="O530" s="846"/>
    </row>
    <row r="531" spans="1:15" ht="20.100000000000001" customHeight="1">
      <c r="A531" s="846"/>
      <c r="B531" s="846"/>
      <c r="C531" s="846"/>
      <c r="D531" s="846"/>
      <c r="E531" s="846"/>
      <c r="F531" s="846"/>
      <c r="G531" s="846"/>
      <c r="H531" s="846"/>
      <c r="I531" s="846"/>
      <c r="J531" s="846"/>
      <c r="K531" s="846"/>
      <c r="L531" s="846"/>
      <c r="M531" s="846"/>
      <c r="N531" s="846"/>
      <c r="O531" s="846"/>
    </row>
    <row r="532" spans="1:15" ht="20.100000000000001" customHeight="1">
      <c r="A532" s="846"/>
      <c r="B532" s="846"/>
      <c r="C532" s="846"/>
      <c r="D532" s="846"/>
      <c r="E532" s="846"/>
      <c r="F532" s="846"/>
      <c r="G532" s="846"/>
      <c r="H532" s="846"/>
      <c r="I532" s="846"/>
      <c r="J532" s="846"/>
      <c r="K532" s="846"/>
      <c r="L532" s="846"/>
      <c r="M532" s="846"/>
      <c r="N532" s="846"/>
      <c r="O532" s="846"/>
    </row>
    <row r="533" spans="1:15" ht="20.100000000000001" customHeight="1">
      <c r="A533" s="846"/>
      <c r="B533" s="846"/>
      <c r="C533" s="846"/>
      <c r="D533" s="846"/>
      <c r="E533" s="846"/>
      <c r="F533" s="846"/>
      <c r="G533" s="846"/>
      <c r="H533" s="846"/>
      <c r="I533" s="846"/>
      <c r="J533" s="846"/>
      <c r="K533" s="846"/>
      <c r="L533" s="846"/>
      <c r="M533" s="846"/>
      <c r="N533" s="846"/>
      <c r="O533" s="846"/>
    </row>
    <row r="534" spans="1:15" ht="20.100000000000001" customHeight="1">
      <c r="A534" s="846"/>
      <c r="B534" s="846"/>
      <c r="C534" s="846"/>
      <c r="D534" s="846"/>
      <c r="E534" s="846"/>
      <c r="F534" s="846"/>
      <c r="G534" s="846"/>
      <c r="H534" s="846"/>
      <c r="I534" s="846"/>
      <c r="J534" s="846"/>
      <c r="K534" s="846"/>
      <c r="L534" s="846"/>
      <c r="M534" s="846"/>
      <c r="N534" s="846"/>
      <c r="O534" s="846"/>
    </row>
    <row r="535" spans="1:15" ht="20.100000000000001" customHeight="1">
      <c r="A535" s="846"/>
      <c r="B535" s="846"/>
      <c r="C535" s="846"/>
      <c r="D535" s="846"/>
      <c r="E535" s="846"/>
      <c r="F535" s="846"/>
      <c r="G535" s="846"/>
      <c r="H535" s="846"/>
      <c r="I535" s="846"/>
      <c r="J535" s="846"/>
      <c r="K535" s="846"/>
      <c r="L535" s="846"/>
      <c r="M535" s="846"/>
      <c r="N535" s="846"/>
      <c r="O535" s="846"/>
    </row>
    <row r="536" spans="1:15" ht="20.100000000000001" customHeight="1">
      <c r="A536" s="846"/>
      <c r="B536" s="846"/>
      <c r="C536" s="846"/>
      <c r="D536" s="846"/>
      <c r="E536" s="846"/>
      <c r="F536" s="846"/>
      <c r="G536" s="846"/>
      <c r="H536" s="846"/>
      <c r="I536" s="846"/>
      <c r="J536" s="846"/>
      <c r="K536" s="846"/>
      <c r="L536" s="846"/>
      <c r="M536" s="846"/>
      <c r="N536" s="846"/>
      <c r="O536" s="846"/>
    </row>
    <row r="537" spans="1:15" ht="20.100000000000001" customHeight="1">
      <c r="A537" s="846"/>
      <c r="B537" s="846"/>
      <c r="C537" s="846"/>
      <c r="D537" s="846"/>
      <c r="E537" s="846"/>
      <c r="F537" s="846"/>
      <c r="G537" s="846"/>
      <c r="H537" s="846"/>
      <c r="I537" s="846"/>
      <c r="J537" s="846"/>
      <c r="K537" s="846"/>
      <c r="L537" s="846"/>
      <c r="M537" s="846"/>
      <c r="N537" s="846"/>
      <c r="O537" s="846"/>
    </row>
    <row r="538" spans="1:15" ht="20.100000000000001" customHeight="1">
      <c r="A538" s="846"/>
      <c r="B538" s="846"/>
      <c r="C538" s="846"/>
      <c r="D538" s="846"/>
      <c r="E538" s="846"/>
      <c r="F538" s="846"/>
      <c r="G538" s="846"/>
      <c r="H538" s="846"/>
      <c r="I538" s="846"/>
      <c r="J538" s="846"/>
      <c r="K538" s="846"/>
      <c r="L538" s="846"/>
      <c r="M538" s="846"/>
      <c r="N538" s="846"/>
      <c r="O538" s="846"/>
    </row>
    <row r="539" spans="1:15" ht="20.100000000000001" customHeight="1">
      <c r="A539" s="846"/>
      <c r="B539" s="846"/>
      <c r="C539" s="846"/>
      <c r="D539" s="846"/>
      <c r="E539" s="846"/>
      <c r="F539" s="846"/>
      <c r="G539" s="846"/>
      <c r="H539" s="846"/>
      <c r="I539" s="846"/>
      <c r="J539" s="846"/>
      <c r="K539" s="846"/>
      <c r="L539" s="846"/>
      <c r="M539" s="846"/>
      <c r="N539" s="846"/>
      <c r="O539" s="846"/>
    </row>
    <row r="540" spans="1:15" ht="20.100000000000001" customHeight="1">
      <c r="A540" s="846"/>
      <c r="B540" s="846"/>
      <c r="C540" s="846"/>
      <c r="D540" s="846"/>
      <c r="E540" s="846"/>
      <c r="F540" s="846"/>
      <c r="G540" s="846"/>
      <c r="H540" s="846"/>
      <c r="I540" s="846"/>
      <c r="J540" s="846"/>
      <c r="K540" s="846"/>
      <c r="L540" s="846"/>
      <c r="M540" s="846"/>
      <c r="N540" s="846"/>
      <c r="O540" s="846"/>
    </row>
    <row r="541" spans="1:15" ht="20.100000000000001" customHeight="1">
      <c r="A541" s="846"/>
      <c r="B541" s="846"/>
      <c r="C541" s="846"/>
      <c r="D541" s="846"/>
      <c r="E541" s="846"/>
      <c r="F541" s="846"/>
      <c r="G541" s="846"/>
      <c r="H541" s="846"/>
      <c r="I541" s="846"/>
      <c r="J541" s="846"/>
      <c r="K541" s="846"/>
      <c r="L541" s="846"/>
      <c r="M541" s="846"/>
      <c r="N541" s="846"/>
      <c r="O541" s="846"/>
    </row>
    <row r="542" spans="1:15" ht="20.100000000000001" customHeight="1">
      <c r="A542" s="846"/>
      <c r="B542" s="846"/>
      <c r="C542" s="846"/>
      <c r="D542" s="846"/>
      <c r="E542" s="846"/>
      <c r="F542" s="846"/>
      <c r="G542" s="846"/>
      <c r="H542" s="846"/>
      <c r="I542" s="846"/>
      <c r="J542" s="846"/>
      <c r="K542" s="846"/>
      <c r="L542" s="846"/>
      <c r="M542" s="846"/>
      <c r="N542" s="846"/>
      <c r="O542" s="846"/>
    </row>
    <row r="543" spans="1:15" ht="20.100000000000001" customHeight="1">
      <c r="A543" s="846"/>
      <c r="B543" s="846"/>
      <c r="C543" s="846"/>
      <c r="D543" s="846"/>
      <c r="E543" s="846"/>
      <c r="F543" s="846"/>
      <c r="G543" s="846"/>
      <c r="H543" s="846"/>
      <c r="I543" s="846"/>
      <c r="J543" s="846"/>
      <c r="K543" s="846"/>
      <c r="L543" s="846"/>
      <c r="M543" s="846"/>
      <c r="N543" s="846"/>
      <c r="O543" s="846"/>
    </row>
    <row r="544" spans="1:15" ht="20.100000000000001" customHeight="1">
      <c r="A544" s="846"/>
      <c r="B544" s="846"/>
      <c r="C544" s="846"/>
      <c r="D544" s="846"/>
      <c r="E544" s="846"/>
      <c r="F544" s="846"/>
      <c r="G544" s="846"/>
      <c r="H544" s="846"/>
      <c r="I544" s="846"/>
      <c r="J544" s="846"/>
      <c r="K544" s="846"/>
      <c r="L544" s="846"/>
      <c r="M544" s="846"/>
      <c r="N544" s="846"/>
      <c r="O544" s="846"/>
    </row>
    <row r="545" spans="1:15" ht="20.100000000000001" customHeight="1">
      <c r="A545" s="846"/>
      <c r="B545" s="846"/>
      <c r="C545" s="846"/>
      <c r="D545" s="846"/>
      <c r="E545" s="846"/>
      <c r="F545" s="846"/>
      <c r="G545" s="846"/>
      <c r="H545" s="846"/>
      <c r="I545" s="846"/>
      <c r="J545" s="846"/>
      <c r="K545" s="846"/>
      <c r="L545" s="846"/>
      <c r="M545" s="846"/>
      <c r="N545" s="846"/>
      <c r="O545" s="846"/>
    </row>
    <row r="546" spans="1:15" ht="20.100000000000001" customHeight="1">
      <c r="A546" s="846"/>
      <c r="B546" s="846"/>
      <c r="C546" s="846"/>
      <c r="D546" s="846"/>
      <c r="E546" s="846"/>
      <c r="F546" s="846"/>
      <c r="G546" s="846"/>
      <c r="H546" s="846"/>
      <c r="I546" s="846"/>
      <c r="J546" s="846"/>
      <c r="K546" s="846"/>
      <c r="L546" s="846"/>
      <c r="M546" s="846"/>
      <c r="N546" s="846"/>
      <c r="O546" s="846"/>
    </row>
    <row r="547" spans="1:15" ht="20.100000000000001" customHeight="1">
      <c r="A547" s="846"/>
      <c r="B547" s="846"/>
      <c r="C547" s="846"/>
      <c r="D547" s="846"/>
      <c r="E547" s="846"/>
      <c r="F547" s="846"/>
      <c r="G547" s="846"/>
      <c r="H547" s="846"/>
      <c r="I547" s="846"/>
      <c r="J547" s="846"/>
      <c r="K547" s="846"/>
      <c r="L547" s="846"/>
      <c r="M547" s="846"/>
      <c r="N547" s="846"/>
      <c r="O547" s="846"/>
    </row>
    <row r="548" spans="1:15" ht="20.100000000000001" customHeight="1">
      <c r="A548" s="846"/>
      <c r="B548" s="846"/>
      <c r="C548" s="846"/>
      <c r="D548" s="846"/>
      <c r="E548" s="846"/>
      <c r="F548" s="846"/>
      <c r="G548" s="846"/>
      <c r="H548" s="846"/>
      <c r="I548" s="846"/>
      <c r="J548" s="846"/>
      <c r="K548" s="846"/>
      <c r="L548" s="846"/>
      <c r="M548" s="846"/>
      <c r="N548" s="846"/>
      <c r="O548" s="846"/>
    </row>
    <row r="549" spans="1:15" ht="20.100000000000001" customHeight="1">
      <c r="A549" s="846"/>
      <c r="B549" s="846"/>
      <c r="C549" s="846"/>
      <c r="D549" s="846"/>
      <c r="E549" s="846"/>
      <c r="F549" s="846"/>
      <c r="G549" s="846"/>
      <c r="H549" s="846"/>
      <c r="I549" s="846"/>
      <c r="J549" s="846"/>
      <c r="K549" s="846"/>
      <c r="L549" s="846"/>
      <c r="M549" s="846"/>
      <c r="N549" s="846"/>
      <c r="O549" s="846"/>
    </row>
    <row r="550" spans="1:15" ht="20.100000000000001" customHeight="1">
      <c r="A550" s="846"/>
      <c r="B550" s="846"/>
      <c r="C550" s="846"/>
      <c r="D550" s="846"/>
      <c r="E550" s="846"/>
      <c r="F550" s="846"/>
      <c r="G550" s="846"/>
      <c r="H550" s="846"/>
      <c r="I550" s="846"/>
      <c r="J550" s="846"/>
      <c r="K550" s="846"/>
      <c r="L550" s="846"/>
      <c r="M550" s="846"/>
      <c r="N550" s="846"/>
      <c r="O550" s="846"/>
    </row>
    <row r="551" spans="1:15" ht="20.100000000000001" customHeight="1">
      <c r="A551" s="846"/>
      <c r="B551" s="846"/>
      <c r="C551" s="846"/>
      <c r="D551" s="846"/>
      <c r="E551" s="846"/>
      <c r="F551" s="846"/>
      <c r="G551" s="846"/>
      <c r="H551" s="846"/>
      <c r="I551" s="846"/>
      <c r="J551" s="846"/>
      <c r="K551" s="846"/>
      <c r="L551" s="846"/>
      <c r="M551" s="846"/>
      <c r="N551" s="846"/>
      <c r="O551" s="846"/>
    </row>
    <row r="552" spans="1:15" ht="20.100000000000001" customHeight="1">
      <c r="A552" s="846"/>
      <c r="B552" s="846"/>
      <c r="C552" s="846"/>
      <c r="D552" s="846"/>
      <c r="E552" s="846"/>
      <c r="F552" s="846"/>
      <c r="G552" s="846"/>
      <c r="H552" s="846"/>
      <c r="I552" s="846"/>
      <c r="J552" s="846"/>
      <c r="K552" s="846"/>
      <c r="L552" s="846"/>
      <c r="M552" s="846"/>
      <c r="N552" s="846"/>
      <c r="O552" s="846"/>
    </row>
    <row r="553" spans="1:15" ht="20.100000000000001" customHeight="1">
      <c r="A553" s="846"/>
      <c r="B553" s="846"/>
      <c r="C553" s="846"/>
      <c r="D553" s="846"/>
      <c r="E553" s="846"/>
      <c r="F553" s="846"/>
      <c r="G553" s="846"/>
      <c r="H553" s="846"/>
      <c r="I553" s="846"/>
      <c r="J553" s="846"/>
      <c r="K553" s="846"/>
      <c r="L553" s="846"/>
      <c r="M553" s="846"/>
      <c r="N553" s="846"/>
      <c r="O553" s="846"/>
    </row>
    <row r="554" spans="1:15" ht="20.100000000000001" customHeight="1">
      <c r="A554" s="846"/>
      <c r="B554" s="846"/>
      <c r="C554" s="846"/>
      <c r="D554" s="846"/>
      <c r="E554" s="846"/>
      <c r="F554" s="846"/>
      <c r="G554" s="846"/>
      <c r="H554" s="846"/>
      <c r="I554" s="846"/>
      <c r="J554" s="846"/>
      <c r="K554" s="846"/>
      <c r="L554" s="846"/>
      <c r="M554" s="846"/>
      <c r="N554" s="846"/>
      <c r="O554" s="846"/>
    </row>
    <row r="555" spans="1:15" ht="20.100000000000001" customHeight="1">
      <c r="A555" s="846"/>
      <c r="B555" s="846"/>
      <c r="C555" s="846"/>
      <c r="D555" s="846"/>
      <c r="E555" s="846"/>
      <c r="F555" s="846"/>
      <c r="G555" s="846"/>
      <c r="H555" s="846"/>
      <c r="I555" s="846"/>
      <c r="J555" s="846"/>
      <c r="K555" s="846"/>
      <c r="L555" s="846"/>
      <c r="M555" s="846"/>
      <c r="N555" s="846"/>
      <c r="O555" s="846"/>
    </row>
    <row r="556" spans="1:15" ht="20.100000000000001" customHeight="1">
      <c r="A556" s="846"/>
      <c r="B556" s="846"/>
      <c r="C556" s="846"/>
      <c r="D556" s="846"/>
      <c r="E556" s="846"/>
      <c r="F556" s="846"/>
      <c r="G556" s="846"/>
      <c r="H556" s="846"/>
      <c r="I556" s="846"/>
      <c r="J556" s="846"/>
      <c r="K556" s="846"/>
      <c r="L556" s="846"/>
      <c r="M556" s="846"/>
      <c r="N556" s="846"/>
      <c r="O556" s="846"/>
    </row>
    <row r="557" spans="1:15" ht="20.100000000000001" customHeight="1">
      <c r="A557" s="846"/>
      <c r="B557" s="846"/>
      <c r="C557" s="846"/>
      <c r="D557" s="846"/>
      <c r="E557" s="846"/>
      <c r="F557" s="846"/>
      <c r="G557" s="846"/>
      <c r="H557" s="846"/>
      <c r="I557" s="846"/>
      <c r="J557" s="846"/>
      <c r="K557" s="846"/>
      <c r="L557" s="846"/>
      <c r="M557" s="846"/>
      <c r="N557" s="846"/>
      <c r="O557" s="846"/>
    </row>
    <row r="558" spans="1:15" ht="20.100000000000001" customHeight="1">
      <c r="A558" s="846"/>
      <c r="B558" s="846"/>
      <c r="C558" s="846"/>
      <c r="D558" s="846"/>
      <c r="E558" s="846"/>
      <c r="F558" s="846"/>
      <c r="G558" s="846"/>
      <c r="H558" s="846"/>
      <c r="I558" s="846"/>
      <c r="J558" s="846"/>
      <c r="K558" s="846"/>
      <c r="L558" s="846"/>
      <c r="M558" s="846"/>
      <c r="N558" s="846"/>
      <c r="O558" s="846"/>
    </row>
    <row r="559" spans="1:15" ht="20.100000000000001" customHeight="1">
      <c r="A559" s="846"/>
      <c r="B559" s="846"/>
      <c r="C559" s="846"/>
      <c r="D559" s="846"/>
      <c r="E559" s="846"/>
      <c r="F559" s="846"/>
      <c r="G559" s="846"/>
      <c r="H559" s="846"/>
      <c r="I559" s="846"/>
      <c r="J559" s="846"/>
      <c r="K559" s="846"/>
      <c r="L559" s="846"/>
      <c r="M559" s="846"/>
      <c r="N559" s="846"/>
      <c r="O559" s="846"/>
    </row>
    <row r="560" spans="1:15" ht="20.100000000000001" customHeight="1">
      <c r="A560" s="846"/>
      <c r="B560" s="846"/>
      <c r="C560" s="846"/>
      <c r="D560" s="846"/>
      <c r="E560" s="846"/>
      <c r="F560" s="846"/>
      <c r="G560" s="846"/>
      <c r="H560" s="846"/>
      <c r="I560" s="846"/>
      <c r="J560" s="846"/>
      <c r="K560" s="846"/>
      <c r="L560" s="846"/>
      <c r="M560" s="846"/>
      <c r="N560" s="846"/>
      <c r="O560" s="846"/>
    </row>
    <row r="561" spans="1:15" ht="20.100000000000001" customHeight="1">
      <c r="A561" s="846"/>
      <c r="B561" s="846"/>
      <c r="C561" s="846"/>
      <c r="D561" s="846"/>
      <c r="E561" s="846"/>
      <c r="F561" s="846"/>
      <c r="G561" s="846"/>
      <c r="H561" s="846"/>
      <c r="I561" s="846"/>
      <c r="J561" s="846"/>
      <c r="K561" s="846"/>
      <c r="L561" s="846"/>
      <c r="M561" s="846"/>
      <c r="N561" s="846"/>
      <c r="O561" s="846"/>
    </row>
    <row r="562" spans="1:15" ht="20.100000000000001" customHeight="1">
      <c r="A562" s="846"/>
      <c r="B562" s="846"/>
      <c r="C562" s="846"/>
      <c r="D562" s="846"/>
      <c r="E562" s="846"/>
      <c r="F562" s="846"/>
      <c r="G562" s="846"/>
      <c r="H562" s="846"/>
      <c r="I562" s="846"/>
      <c r="J562" s="846"/>
      <c r="K562" s="846"/>
      <c r="L562" s="846"/>
      <c r="M562" s="846"/>
      <c r="N562" s="846"/>
      <c r="O562" s="846"/>
    </row>
    <row r="563" spans="1:15" ht="20.100000000000001" customHeight="1">
      <c r="A563" s="846"/>
      <c r="B563" s="846"/>
      <c r="C563" s="846"/>
      <c r="D563" s="846"/>
      <c r="E563" s="846"/>
      <c r="F563" s="846"/>
      <c r="G563" s="846"/>
      <c r="H563" s="846"/>
      <c r="I563" s="846"/>
      <c r="J563" s="846"/>
      <c r="K563" s="846"/>
      <c r="L563" s="846"/>
      <c r="M563" s="846"/>
      <c r="N563" s="846"/>
      <c r="O563" s="846"/>
    </row>
    <row r="564" spans="1:15" ht="20.100000000000001" customHeight="1">
      <c r="A564" s="846"/>
      <c r="B564" s="846"/>
      <c r="C564" s="846"/>
      <c r="D564" s="846"/>
      <c r="E564" s="846"/>
      <c r="F564" s="846"/>
      <c r="G564" s="846"/>
      <c r="H564" s="846"/>
      <c r="I564" s="846"/>
      <c r="J564" s="846"/>
      <c r="K564" s="846"/>
      <c r="L564" s="846"/>
      <c r="M564" s="846"/>
      <c r="N564" s="846"/>
      <c r="O564" s="846"/>
    </row>
    <row r="565" spans="1:15" ht="20.100000000000001" customHeight="1">
      <c r="A565" s="846"/>
      <c r="B565" s="846"/>
      <c r="C565" s="846"/>
      <c r="D565" s="846"/>
      <c r="E565" s="846"/>
      <c r="F565" s="846"/>
      <c r="G565" s="846"/>
      <c r="H565" s="846"/>
      <c r="I565" s="846"/>
      <c r="J565" s="846"/>
      <c r="K565" s="846"/>
      <c r="L565" s="846"/>
      <c r="M565" s="846"/>
      <c r="N565" s="846"/>
      <c r="O565" s="846"/>
    </row>
    <row r="566" spans="1:15" ht="20.100000000000001" customHeight="1">
      <c r="A566" s="846"/>
      <c r="B566" s="846"/>
      <c r="C566" s="846"/>
      <c r="D566" s="846"/>
      <c r="E566" s="846"/>
      <c r="F566" s="846"/>
      <c r="G566" s="846"/>
      <c r="H566" s="846"/>
      <c r="I566" s="846"/>
      <c r="J566" s="846"/>
      <c r="K566" s="846"/>
      <c r="L566" s="846"/>
      <c r="M566" s="846"/>
      <c r="N566" s="846"/>
      <c r="O566" s="846"/>
    </row>
    <row r="567" spans="1:15" ht="20.100000000000001" customHeight="1">
      <c r="A567" s="846"/>
      <c r="B567" s="846"/>
      <c r="C567" s="846"/>
      <c r="D567" s="846"/>
      <c r="E567" s="846"/>
      <c r="F567" s="846"/>
      <c r="G567" s="846"/>
      <c r="H567" s="846"/>
      <c r="I567" s="846"/>
      <c r="J567" s="846"/>
      <c r="K567" s="846"/>
      <c r="L567" s="846"/>
      <c r="M567" s="846"/>
      <c r="N567" s="846"/>
      <c r="O567" s="846"/>
    </row>
    <row r="568" spans="1:15" ht="20.100000000000001" customHeight="1">
      <c r="A568" s="846"/>
      <c r="B568" s="846"/>
      <c r="C568" s="846"/>
      <c r="D568" s="846"/>
      <c r="E568" s="846"/>
      <c r="F568" s="846"/>
      <c r="G568" s="846"/>
      <c r="H568" s="846"/>
      <c r="I568" s="846"/>
      <c r="J568" s="846"/>
      <c r="K568" s="846"/>
      <c r="L568" s="846"/>
      <c r="M568" s="846"/>
      <c r="N568" s="846"/>
      <c r="O568" s="846"/>
    </row>
    <row r="569" spans="1:15" ht="20.100000000000001" customHeight="1">
      <c r="A569" s="846"/>
      <c r="B569" s="846"/>
      <c r="C569" s="846"/>
      <c r="D569" s="846"/>
      <c r="E569" s="846"/>
      <c r="F569" s="846"/>
      <c r="G569" s="846"/>
      <c r="H569" s="846"/>
      <c r="I569" s="846"/>
      <c r="J569" s="846"/>
      <c r="K569" s="846"/>
      <c r="L569" s="846"/>
      <c r="M569" s="846"/>
      <c r="N569" s="846"/>
      <c r="O569" s="846"/>
    </row>
    <row r="570" spans="1:15" ht="20.100000000000001" customHeight="1">
      <c r="A570" s="846"/>
      <c r="B570" s="846"/>
      <c r="C570" s="846"/>
      <c r="D570" s="846"/>
      <c r="E570" s="846"/>
      <c r="F570" s="846"/>
      <c r="G570" s="846"/>
      <c r="H570" s="846"/>
      <c r="I570" s="846"/>
      <c r="J570" s="846"/>
      <c r="K570" s="846"/>
      <c r="L570" s="846"/>
      <c r="M570" s="846"/>
      <c r="N570" s="846"/>
      <c r="O570" s="846"/>
    </row>
    <row r="571" spans="1:15" ht="20.100000000000001" customHeight="1">
      <c r="A571" s="846"/>
      <c r="B571" s="846"/>
      <c r="C571" s="846"/>
      <c r="D571" s="846"/>
      <c r="E571" s="846"/>
      <c r="F571" s="846"/>
      <c r="G571" s="846"/>
      <c r="H571" s="846"/>
      <c r="I571" s="846"/>
      <c r="J571" s="846"/>
      <c r="K571" s="846"/>
      <c r="L571" s="846"/>
      <c r="M571" s="846"/>
      <c r="N571" s="846"/>
      <c r="O571" s="846"/>
    </row>
    <row r="572" spans="1:15" ht="20.100000000000001" customHeight="1">
      <c r="A572" s="846"/>
      <c r="B572" s="846"/>
      <c r="C572" s="846"/>
      <c r="D572" s="846"/>
      <c r="E572" s="846"/>
      <c r="F572" s="846"/>
      <c r="G572" s="846"/>
      <c r="H572" s="846"/>
      <c r="I572" s="846"/>
      <c r="J572" s="846"/>
      <c r="K572" s="846"/>
      <c r="L572" s="846"/>
      <c r="M572" s="846"/>
      <c r="N572" s="846"/>
      <c r="O572" s="846"/>
    </row>
    <row r="573" spans="1:15" ht="20.100000000000001" customHeight="1">
      <c r="A573" s="846"/>
      <c r="B573" s="846"/>
      <c r="C573" s="846"/>
      <c r="D573" s="846"/>
      <c r="E573" s="846"/>
      <c r="F573" s="846"/>
      <c r="G573" s="846"/>
      <c r="H573" s="846"/>
      <c r="I573" s="846"/>
      <c r="J573" s="846"/>
      <c r="K573" s="846"/>
      <c r="L573" s="846"/>
      <c r="M573" s="846"/>
      <c r="N573" s="846"/>
      <c r="O573" s="846"/>
    </row>
    <row r="574" spans="1:15" ht="20.100000000000001" customHeight="1">
      <c r="A574" s="846"/>
      <c r="B574" s="846"/>
      <c r="C574" s="846"/>
      <c r="D574" s="846"/>
      <c r="E574" s="846"/>
      <c r="F574" s="846"/>
      <c r="G574" s="846"/>
      <c r="H574" s="846"/>
      <c r="I574" s="846"/>
      <c r="J574" s="846"/>
      <c r="K574" s="846"/>
      <c r="L574" s="846"/>
      <c r="M574" s="846"/>
      <c r="N574" s="846"/>
      <c r="O574" s="846"/>
    </row>
    <row r="575" spans="1:15" ht="20.100000000000001" customHeight="1">
      <c r="A575" s="846"/>
      <c r="B575" s="846"/>
      <c r="C575" s="846"/>
      <c r="D575" s="846"/>
      <c r="E575" s="846"/>
      <c r="F575" s="846"/>
      <c r="G575" s="846"/>
      <c r="H575" s="846"/>
      <c r="I575" s="846"/>
      <c r="J575" s="846"/>
      <c r="K575" s="846"/>
      <c r="L575" s="846"/>
      <c r="M575" s="846"/>
      <c r="N575" s="846"/>
      <c r="O575" s="846"/>
    </row>
    <row r="576" spans="1:15" ht="20.100000000000001" customHeight="1">
      <c r="A576" s="846"/>
      <c r="B576" s="846"/>
      <c r="C576" s="846"/>
      <c r="D576" s="846"/>
      <c r="E576" s="846"/>
      <c r="F576" s="846"/>
      <c r="G576" s="846"/>
      <c r="H576" s="846"/>
      <c r="I576" s="846"/>
      <c r="J576" s="846"/>
      <c r="K576" s="846"/>
      <c r="L576" s="846"/>
      <c r="M576" s="846"/>
      <c r="N576" s="846"/>
      <c r="O576" s="846"/>
    </row>
    <row r="577" spans="1:15" ht="20.100000000000001" customHeight="1">
      <c r="A577" s="846"/>
      <c r="B577" s="846"/>
      <c r="C577" s="846"/>
      <c r="D577" s="846"/>
      <c r="E577" s="846"/>
      <c r="F577" s="846"/>
      <c r="G577" s="846"/>
      <c r="H577" s="846"/>
      <c r="I577" s="846"/>
      <c r="J577" s="846"/>
      <c r="K577" s="846"/>
      <c r="L577" s="846"/>
      <c r="M577" s="846"/>
      <c r="N577" s="846"/>
      <c r="O577" s="846"/>
    </row>
    <row r="578" spans="1:15" ht="20.100000000000001" customHeight="1">
      <c r="A578" s="846"/>
      <c r="B578" s="846"/>
      <c r="C578" s="846"/>
      <c r="D578" s="846"/>
      <c r="E578" s="846"/>
      <c r="F578" s="846"/>
      <c r="G578" s="846"/>
      <c r="H578" s="846"/>
      <c r="I578" s="846"/>
      <c r="J578" s="846"/>
      <c r="K578" s="846"/>
      <c r="L578" s="846"/>
      <c r="M578" s="846"/>
      <c r="N578" s="846"/>
      <c r="O578" s="846"/>
    </row>
    <row r="579" spans="1:15" ht="20.100000000000001" customHeight="1">
      <c r="A579" s="846"/>
      <c r="B579" s="846"/>
      <c r="C579" s="846"/>
      <c r="D579" s="846"/>
      <c r="E579" s="846"/>
      <c r="F579" s="846"/>
      <c r="G579" s="846"/>
      <c r="H579" s="846"/>
      <c r="I579" s="846"/>
      <c r="J579" s="846"/>
      <c r="K579" s="846"/>
      <c r="L579" s="846"/>
      <c r="M579" s="846"/>
      <c r="N579" s="846"/>
      <c r="O579" s="846"/>
    </row>
    <row r="580" spans="1:15" ht="20.100000000000001" customHeight="1">
      <c r="A580" s="846"/>
      <c r="B580" s="846"/>
      <c r="C580" s="846"/>
      <c r="D580" s="846"/>
      <c r="E580" s="846"/>
      <c r="F580" s="846"/>
      <c r="G580" s="846"/>
      <c r="H580" s="846"/>
      <c r="I580" s="846"/>
      <c r="J580" s="846"/>
      <c r="K580" s="846"/>
      <c r="L580" s="846"/>
      <c r="M580" s="846"/>
      <c r="N580" s="846"/>
      <c r="O580" s="846"/>
    </row>
    <row r="581" spans="1:15" ht="20.100000000000001" customHeight="1">
      <c r="A581" s="846"/>
      <c r="B581" s="846"/>
      <c r="C581" s="846"/>
      <c r="D581" s="846"/>
      <c r="E581" s="846"/>
      <c r="F581" s="846"/>
      <c r="G581" s="846"/>
      <c r="H581" s="846"/>
      <c r="I581" s="846"/>
      <c r="J581" s="846"/>
      <c r="K581" s="846"/>
      <c r="L581" s="846"/>
      <c r="M581" s="846"/>
      <c r="N581" s="846"/>
      <c r="O581" s="846"/>
    </row>
    <row r="582" spans="1:15" ht="20.100000000000001" customHeight="1">
      <c r="A582" s="846"/>
      <c r="B582" s="846"/>
      <c r="C582" s="846"/>
      <c r="D582" s="846"/>
      <c r="E582" s="846"/>
      <c r="F582" s="846"/>
      <c r="G582" s="846"/>
      <c r="H582" s="846"/>
      <c r="I582" s="846"/>
      <c r="J582" s="846"/>
      <c r="K582" s="846"/>
      <c r="L582" s="846"/>
      <c r="M582" s="846"/>
      <c r="N582" s="846"/>
      <c r="O582" s="846"/>
    </row>
    <row r="583" spans="1:15" ht="20.100000000000001" customHeight="1">
      <c r="A583" s="846"/>
      <c r="B583" s="846"/>
      <c r="C583" s="846"/>
      <c r="D583" s="846"/>
      <c r="E583" s="846"/>
      <c r="F583" s="846"/>
      <c r="G583" s="846"/>
      <c r="H583" s="846"/>
      <c r="I583" s="846"/>
      <c r="J583" s="846"/>
      <c r="K583" s="846"/>
      <c r="L583" s="846"/>
      <c r="M583" s="846"/>
      <c r="N583" s="846"/>
      <c r="O583" s="846"/>
    </row>
    <row r="584" spans="1:15" ht="20.100000000000001" customHeight="1">
      <c r="A584" s="846"/>
      <c r="B584" s="846"/>
      <c r="C584" s="846"/>
      <c r="D584" s="846"/>
      <c r="E584" s="846"/>
      <c r="F584" s="846"/>
      <c r="G584" s="846"/>
      <c r="H584" s="846"/>
      <c r="I584" s="846"/>
      <c r="J584" s="846"/>
      <c r="K584" s="846"/>
      <c r="L584" s="846"/>
      <c r="M584" s="846"/>
      <c r="N584" s="846"/>
      <c r="O584" s="846"/>
    </row>
    <row r="585" spans="1:15" ht="20.100000000000001" customHeight="1">
      <c r="A585" s="846"/>
      <c r="B585" s="846"/>
      <c r="C585" s="846"/>
      <c r="D585" s="846"/>
      <c r="E585" s="846"/>
      <c r="F585" s="846"/>
      <c r="G585" s="846"/>
      <c r="H585" s="846"/>
      <c r="I585" s="846"/>
      <c r="J585" s="846"/>
      <c r="K585" s="846"/>
      <c r="L585" s="846"/>
      <c r="M585" s="846"/>
      <c r="N585" s="846"/>
      <c r="O585" s="846"/>
    </row>
    <row r="586" spans="1:15" ht="20.100000000000001" customHeight="1">
      <c r="A586" s="846"/>
      <c r="B586" s="846"/>
      <c r="C586" s="846"/>
      <c r="D586" s="846"/>
      <c r="E586" s="846"/>
      <c r="F586" s="846"/>
      <c r="G586" s="846"/>
      <c r="H586" s="846"/>
      <c r="I586" s="846"/>
      <c r="J586" s="846"/>
      <c r="K586" s="846"/>
      <c r="L586" s="846"/>
      <c r="M586" s="846"/>
      <c r="N586" s="846"/>
      <c r="O586" s="846"/>
    </row>
    <row r="587" spans="1:15" ht="20.100000000000001" customHeight="1">
      <c r="A587" s="846"/>
      <c r="B587" s="846"/>
      <c r="C587" s="846"/>
      <c r="D587" s="846"/>
      <c r="E587" s="846"/>
      <c r="F587" s="846"/>
      <c r="G587" s="846"/>
      <c r="H587" s="846"/>
      <c r="I587" s="846"/>
      <c r="J587" s="846"/>
      <c r="K587" s="846"/>
      <c r="L587" s="846"/>
      <c r="M587" s="846"/>
      <c r="N587" s="846"/>
      <c r="O587" s="846"/>
    </row>
    <row r="588" spans="1:15" ht="20.100000000000001" customHeight="1">
      <c r="A588" s="846"/>
      <c r="B588" s="846"/>
      <c r="C588" s="846"/>
      <c r="D588" s="846"/>
      <c r="E588" s="846"/>
      <c r="F588" s="846"/>
      <c r="G588" s="846"/>
      <c r="H588" s="846"/>
      <c r="I588" s="846"/>
      <c r="J588" s="846"/>
      <c r="K588" s="846"/>
      <c r="L588" s="846"/>
      <c r="M588" s="846"/>
      <c r="N588" s="846"/>
      <c r="O588" s="846"/>
    </row>
    <row r="589" spans="1:15" ht="20.100000000000001" customHeight="1">
      <c r="A589" s="846"/>
      <c r="B589" s="846"/>
      <c r="C589" s="846"/>
      <c r="D589" s="846"/>
      <c r="E589" s="846"/>
      <c r="F589" s="846"/>
      <c r="G589" s="846"/>
      <c r="H589" s="846"/>
      <c r="I589" s="846"/>
      <c r="J589" s="846"/>
      <c r="K589" s="846"/>
      <c r="L589" s="846"/>
      <c r="M589" s="846"/>
      <c r="N589" s="846"/>
      <c r="O589" s="846"/>
    </row>
    <row r="590" spans="1:15" ht="20.100000000000001" customHeight="1">
      <c r="A590" s="846"/>
      <c r="B590" s="846"/>
      <c r="C590" s="846"/>
      <c r="D590" s="846"/>
      <c r="E590" s="846"/>
      <c r="F590" s="846"/>
      <c r="G590" s="846"/>
      <c r="H590" s="846"/>
      <c r="I590" s="846"/>
      <c r="J590" s="846"/>
      <c r="K590" s="846"/>
      <c r="L590" s="846"/>
      <c r="M590" s="846"/>
      <c r="N590" s="846"/>
      <c r="O590" s="846"/>
    </row>
    <row r="591" spans="1:15" ht="20.100000000000001" customHeight="1">
      <c r="A591" s="846"/>
      <c r="B591" s="846"/>
      <c r="C591" s="846"/>
      <c r="D591" s="846"/>
      <c r="E591" s="846"/>
      <c r="F591" s="846"/>
      <c r="G591" s="846"/>
      <c r="H591" s="846"/>
      <c r="I591" s="846"/>
      <c r="J591" s="846"/>
      <c r="K591" s="846"/>
      <c r="L591" s="846"/>
      <c r="M591" s="846"/>
      <c r="N591" s="846"/>
      <c r="O591" s="846"/>
    </row>
    <row r="592" spans="1:15" ht="20.100000000000001" customHeight="1">
      <c r="A592" s="846"/>
      <c r="B592" s="846"/>
      <c r="C592" s="846"/>
      <c r="D592" s="846"/>
      <c r="E592" s="846"/>
      <c r="F592" s="846"/>
      <c r="G592" s="846"/>
      <c r="H592" s="846"/>
      <c r="I592" s="846"/>
      <c r="J592" s="846"/>
      <c r="K592" s="846"/>
      <c r="L592" s="846"/>
      <c r="M592" s="846"/>
      <c r="N592" s="846"/>
      <c r="O592" s="846"/>
    </row>
    <row r="593" spans="1:15" ht="20.100000000000001" customHeight="1">
      <c r="A593" s="846"/>
      <c r="B593" s="846"/>
      <c r="C593" s="846"/>
      <c r="D593" s="846"/>
      <c r="E593" s="846"/>
      <c r="F593" s="846"/>
      <c r="G593" s="846"/>
      <c r="H593" s="846"/>
      <c r="I593" s="846"/>
      <c r="J593" s="846"/>
      <c r="K593" s="846"/>
      <c r="L593" s="846"/>
      <c r="M593" s="846"/>
      <c r="N593" s="846"/>
      <c r="O593" s="846"/>
    </row>
    <row r="594" spans="1:15" ht="20.100000000000001" customHeight="1">
      <c r="A594" s="846"/>
      <c r="B594" s="846"/>
      <c r="C594" s="846"/>
      <c r="D594" s="846"/>
      <c r="E594" s="846"/>
      <c r="F594" s="846"/>
      <c r="G594" s="846"/>
      <c r="H594" s="846"/>
      <c r="I594" s="846"/>
      <c r="J594" s="846"/>
      <c r="K594" s="846"/>
      <c r="L594" s="846"/>
      <c r="M594" s="846"/>
      <c r="N594" s="846"/>
      <c r="O594" s="846"/>
    </row>
    <row r="595" spans="1:15" ht="20.100000000000001" customHeight="1">
      <c r="A595" s="846"/>
      <c r="B595" s="846"/>
      <c r="C595" s="846"/>
      <c r="D595" s="846"/>
      <c r="E595" s="846"/>
      <c r="F595" s="846"/>
      <c r="G595" s="846"/>
      <c r="H595" s="846"/>
      <c r="I595" s="846"/>
      <c r="J595" s="846"/>
      <c r="K595" s="846"/>
      <c r="L595" s="846"/>
      <c r="M595" s="846"/>
      <c r="N595" s="846"/>
      <c r="O595" s="846"/>
    </row>
    <row r="596" spans="1:15" ht="20.100000000000001" customHeight="1">
      <c r="A596" s="846"/>
      <c r="B596" s="846"/>
      <c r="C596" s="846"/>
      <c r="D596" s="846"/>
      <c r="E596" s="846"/>
      <c r="F596" s="846"/>
      <c r="G596" s="846"/>
      <c r="H596" s="846"/>
      <c r="I596" s="846"/>
      <c r="J596" s="846"/>
      <c r="K596" s="846"/>
      <c r="L596" s="846"/>
      <c r="M596" s="846"/>
      <c r="N596" s="846"/>
      <c r="O596" s="846"/>
    </row>
    <row r="597" spans="1:15" ht="20.100000000000001" customHeight="1">
      <c r="A597" s="846"/>
      <c r="B597" s="846"/>
      <c r="C597" s="846"/>
      <c r="D597" s="846"/>
      <c r="E597" s="846"/>
      <c r="F597" s="846"/>
      <c r="G597" s="846"/>
      <c r="H597" s="846"/>
      <c r="I597" s="846"/>
      <c r="J597" s="846"/>
      <c r="K597" s="846"/>
      <c r="L597" s="846"/>
      <c r="M597" s="846"/>
      <c r="N597" s="846"/>
      <c r="O597" s="846"/>
    </row>
    <row r="598" spans="1:15" ht="20.100000000000001" customHeight="1">
      <c r="A598" s="846"/>
      <c r="B598" s="846"/>
      <c r="C598" s="846"/>
      <c r="D598" s="846"/>
      <c r="E598" s="846"/>
      <c r="F598" s="846"/>
      <c r="G598" s="846"/>
      <c r="H598" s="846"/>
      <c r="I598" s="846"/>
      <c r="J598" s="846"/>
      <c r="K598" s="846"/>
      <c r="L598" s="846"/>
      <c r="M598" s="846"/>
      <c r="N598" s="846"/>
      <c r="O598" s="846"/>
    </row>
    <row r="599" spans="1:15" ht="20.100000000000001" customHeight="1">
      <c r="A599" s="846"/>
      <c r="B599" s="846"/>
      <c r="C599" s="846"/>
      <c r="D599" s="846"/>
      <c r="E599" s="846"/>
      <c r="F599" s="846"/>
      <c r="G599" s="846"/>
      <c r="H599" s="846"/>
      <c r="I599" s="846"/>
      <c r="J599" s="846"/>
      <c r="K599" s="846"/>
      <c r="L599" s="846"/>
      <c r="M599" s="846"/>
      <c r="N599" s="846"/>
      <c r="O599" s="846"/>
    </row>
    <row r="600" spans="1:15" ht="20.100000000000001" customHeight="1">
      <c r="A600" s="846"/>
      <c r="B600" s="846"/>
      <c r="C600" s="846"/>
      <c r="D600" s="846"/>
      <c r="E600" s="846"/>
      <c r="F600" s="846"/>
      <c r="G600" s="846"/>
      <c r="H600" s="846"/>
      <c r="I600" s="846"/>
      <c r="J600" s="846"/>
      <c r="K600" s="846"/>
      <c r="L600" s="846"/>
      <c r="M600" s="846"/>
      <c r="N600" s="846"/>
      <c r="O600" s="846"/>
    </row>
    <row r="601" spans="1:15" ht="20.100000000000001" customHeight="1">
      <c r="A601" s="846"/>
      <c r="B601" s="846"/>
      <c r="C601" s="846"/>
      <c r="D601" s="846"/>
      <c r="E601" s="846"/>
      <c r="F601" s="846"/>
      <c r="G601" s="846"/>
      <c r="H601" s="846"/>
      <c r="I601" s="846"/>
      <c r="J601" s="846"/>
      <c r="K601" s="846"/>
      <c r="L601" s="846"/>
      <c r="M601" s="846"/>
      <c r="N601" s="846"/>
      <c r="O601" s="846"/>
    </row>
    <row r="602" spans="1:15" ht="20.100000000000001" customHeight="1">
      <c r="A602" s="846"/>
      <c r="B602" s="846"/>
      <c r="C602" s="846"/>
      <c r="D602" s="846"/>
      <c r="E602" s="846"/>
      <c r="F602" s="846"/>
      <c r="G602" s="846"/>
      <c r="H602" s="846"/>
      <c r="I602" s="846"/>
      <c r="J602" s="846"/>
      <c r="K602" s="846"/>
      <c r="L602" s="846"/>
      <c r="M602" s="846"/>
      <c r="N602" s="846"/>
      <c r="O602" s="846"/>
    </row>
    <row r="603" spans="1:15" ht="20.100000000000001" customHeight="1">
      <c r="A603" s="846"/>
      <c r="B603" s="846"/>
      <c r="C603" s="846"/>
      <c r="D603" s="846"/>
      <c r="E603" s="846"/>
      <c r="F603" s="846"/>
      <c r="G603" s="846"/>
      <c r="H603" s="846"/>
      <c r="I603" s="846"/>
      <c r="J603" s="846"/>
      <c r="K603" s="846"/>
      <c r="L603" s="846"/>
      <c r="M603" s="846"/>
      <c r="N603" s="846"/>
      <c r="O603" s="846"/>
    </row>
    <row r="604" spans="1:15" ht="20.100000000000001" customHeight="1">
      <c r="A604" s="846"/>
      <c r="B604" s="846"/>
      <c r="C604" s="846"/>
      <c r="D604" s="846"/>
      <c r="E604" s="846"/>
      <c r="F604" s="846"/>
      <c r="G604" s="846"/>
      <c r="H604" s="846"/>
      <c r="I604" s="846"/>
      <c r="J604" s="846"/>
      <c r="K604" s="846"/>
      <c r="L604" s="846"/>
      <c r="M604" s="846"/>
      <c r="N604" s="846"/>
      <c r="O604" s="846"/>
    </row>
    <row r="605" spans="1:15" ht="20.100000000000001" customHeight="1">
      <c r="A605" s="846"/>
      <c r="B605" s="846"/>
      <c r="C605" s="846"/>
      <c r="D605" s="846"/>
      <c r="E605" s="846"/>
      <c r="F605" s="846"/>
      <c r="G605" s="846"/>
      <c r="H605" s="846"/>
      <c r="I605" s="846"/>
      <c r="J605" s="846"/>
      <c r="K605" s="846"/>
      <c r="L605" s="846"/>
      <c r="M605" s="846"/>
      <c r="N605" s="846"/>
      <c r="O605" s="846"/>
    </row>
    <row r="606" spans="1:15" ht="20.100000000000001" customHeight="1">
      <c r="A606" s="846"/>
      <c r="B606" s="846"/>
      <c r="C606" s="846"/>
      <c r="D606" s="846"/>
      <c r="E606" s="846"/>
      <c r="F606" s="846"/>
      <c r="G606" s="846"/>
      <c r="H606" s="846"/>
      <c r="I606" s="846"/>
      <c r="J606" s="846"/>
      <c r="K606" s="846"/>
      <c r="L606" s="846"/>
      <c r="M606" s="846"/>
      <c r="N606" s="846"/>
      <c r="O606" s="846"/>
    </row>
    <row r="607" spans="1:15" ht="20.100000000000001" customHeight="1">
      <c r="A607" s="846"/>
      <c r="B607" s="846"/>
      <c r="C607" s="846"/>
      <c r="D607" s="846"/>
      <c r="E607" s="846"/>
      <c r="F607" s="846"/>
      <c r="G607" s="846"/>
      <c r="H607" s="846"/>
      <c r="I607" s="846"/>
      <c r="J607" s="846"/>
      <c r="K607" s="846"/>
      <c r="L607" s="846"/>
      <c r="M607" s="846"/>
      <c r="N607" s="846"/>
      <c r="O607" s="846"/>
    </row>
    <row r="608" spans="1:15" ht="20.100000000000001" customHeight="1">
      <c r="A608" s="846"/>
      <c r="B608" s="846"/>
      <c r="C608" s="846"/>
      <c r="D608" s="846"/>
      <c r="E608" s="846"/>
      <c r="F608" s="846"/>
      <c r="G608" s="846"/>
      <c r="H608" s="846"/>
      <c r="I608" s="846"/>
      <c r="J608" s="846"/>
      <c r="K608" s="846"/>
      <c r="L608" s="846"/>
      <c r="M608" s="846"/>
      <c r="N608" s="846"/>
      <c r="O608" s="846"/>
    </row>
    <row r="609" spans="1:15" ht="20.100000000000001" customHeight="1">
      <c r="A609" s="846"/>
      <c r="B609" s="846"/>
      <c r="C609" s="846"/>
      <c r="D609" s="846"/>
      <c r="E609" s="846"/>
      <c r="F609" s="846"/>
      <c r="G609" s="846"/>
      <c r="H609" s="846"/>
      <c r="I609" s="846"/>
      <c r="J609" s="846"/>
      <c r="K609" s="846"/>
      <c r="L609" s="846"/>
      <c r="M609" s="846"/>
      <c r="N609" s="846"/>
      <c r="O609" s="846"/>
    </row>
    <row r="610" spans="1:15" ht="20.100000000000001" customHeight="1">
      <c r="A610" s="846"/>
      <c r="B610" s="846"/>
      <c r="C610" s="846"/>
      <c r="D610" s="846"/>
      <c r="E610" s="846"/>
      <c r="F610" s="846"/>
      <c r="G610" s="846"/>
      <c r="H610" s="846"/>
      <c r="I610" s="846"/>
      <c r="J610" s="846"/>
      <c r="K610" s="846"/>
      <c r="L610" s="846"/>
      <c r="M610" s="846"/>
      <c r="N610" s="846"/>
      <c r="O610" s="846"/>
    </row>
    <row r="611" spans="1:15" ht="20.100000000000001" customHeight="1">
      <c r="A611" s="846"/>
      <c r="B611" s="846"/>
      <c r="C611" s="846"/>
      <c r="D611" s="846"/>
      <c r="E611" s="846"/>
      <c r="F611" s="846"/>
      <c r="G611" s="846"/>
      <c r="H611" s="846"/>
      <c r="I611" s="846"/>
      <c r="J611" s="846"/>
      <c r="K611" s="846"/>
      <c r="L611" s="846"/>
      <c r="M611" s="846"/>
      <c r="N611" s="846"/>
      <c r="O611" s="846"/>
    </row>
    <row r="612" spans="1:15" ht="20.100000000000001" customHeight="1">
      <c r="A612" s="846"/>
      <c r="B612" s="846"/>
      <c r="C612" s="846"/>
      <c r="D612" s="846"/>
      <c r="E612" s="846"/>
      <c r="F612" s="846"/>
      <c r="G612" s="846"/>
      <c r="H612" s="846"/>
      <c r="I612" s="846"/>
      <c r="J612" s="846"/>
      <c r="K612" s="846"/>
      <c r="L612" s="846"/>
      <c r="M612" s="846"/>
      <c r="N612" s="846"/>
      <c r="O612" s="846"/>
    </row>
    <row r="613" spans="1:15" ht="20.100000000000001" customHeight="1">
      <c r="A613" s="846"/>
      <c r="B613" s="846"/>
      <c r="C613" s="846"/>
      <c r="D613" s="846"/>
      <c r="E613" s="846"/>
      <c r="F613" s="846"/>
      <c r="G613" s="846"/>
      <c r="H613" s="846"/>
      <c r="I613" s="846"/>
      <c r="J613" s="846"/>
      <c r="K613" s="846"/>
      <c r="L613" s="846"/>
      <c r="M613" s="846"/>
      <c r="N613" s="846"/>
      <c r="O613" s="846"/>
    </row>
    <row r="614" spans="1:15" ht="20.100000000000001" customHeight="1">
      <c r="A614" s="846"/>
      <c r="B614" s="846"/>
      <c r="C614" s="846"/>
      <c r="D614" s="846"/>
      <c r="E614" s="846"/>
      <c r="F614" s="846"/>
      <c r="G614" s="846"/>
      <c r="H614" s="846"/>
      <c r="I614" s="846"/>
      <c r="J614" s="846"/>
      <c r="K614" s="846"/>
      <c r="L614" s="846"/>
      <c r="M614" s="846"/>
      <c r="N614" s="846"/>
      <c r="O614" s="846"/>
    </row>
    <row r="615" spans="1:15" ht="20.100000000000001" customHeight="1">
      <c r="A615" s="846"/>
      <c r="B615" s="846"/>
      <c r="C615" s="846"/>
      <c r="D615" s="846"/>
      <c r="E615" s="846"/>
      <c r="F615" s="846"/>
      <c r="G615" s="846"/>
      <c r="H615" s="846"/>
      <c r="I615" s="846"/>
      <c r="J615" s="846"/>
      <c r="K615" s="846"/>
      <c r="L615" s="846"/>
      <c r="M615" s="846"/>
      <c r="N615" s="846"/>
      <c r="O615" s="846"/>
    </row>
    <row r="616" spans="1:15" ht="20.100000000000001" customHeight="1">
      <c r="A616" s="846"/>
      <c r="B616" s="846"/>
      <c r="C616" s="846"/>
      <c r="D616" s="846"/>
      <c r="E616" s="846"/>
      <c r="F616" s="846"/>
      <c r="G616" s="846"/>
      <c r="H616" s="846"/>
      <c r="I616" s="846"/>
      <c r="J616" s="846"/>
      <c r="K616" s="846"/>
      <c r="L616" s="846"/>
      <c r="M616" s="846"/>
      <c r="N616" s="846"/>
      <c r="O616" s="846"/>
    </row>
    <row r="617" spans="1:15" ht="20.100000000000001" customHeight="1">
      <c r="A617" s="846"/>
      <c r="B617" s="846"/>
      <c r="C617" s="846"/>
      <c r="D617" s="846"/>
      <c r="E617" s="846"/>
      <c r="F617" s="846"/>
      <c r="G617" s="846"/>
      <c r="H617" s="846"/>
      <c r="I617" s="846"/>
      <c r="J617" s="846"/>
      <c r="K617" s="846"/>
      <c r="L617" s="846"/>
      <c r="M617" s="846"/>
      <c r="N617" s="846"/>
      <c r="O617" s="846"/>
    </row>
    <row r="618" spans="1:15" ht="20.100000000000001" customHeight="1">
      <c r="A618" s="846"/>
      <c r="B618" s="846"/>
      <c r="C618" s="846"/>
      <c r="D618" s="846"/>
      <c r="E618" s="846"/>
      <c r="F618" s="846"/>
      <c r="G618" s="846"/>
      <c r="H618" s="846"/>
      <c r="I618" s="846"/>
      <c r="J618" s="846"/>
      <c r="K618" s="846"/>
      <c r="L618" s="846"/>
      <c r="M618" s="846"/>
      <c r="N618" s="846"/>
      <c r="O618" s="846"/>
    </row>
    <row r="619" spans="1:15" ht="20.100000000000001" customHeight="1">
      <c r="A619" s="846"/>
      <c r="B619" s="846"/>
      <c r="C619" s="846"/>
      <c r="D619" s="846"/>
      <c r="E619" s="846"/>
      <c r="F619" s="846"/>
      <c r="G619" s="846"/>
      <c r="H619" s="846"/>
      <c r="I619" s="846"/>
      <c r="J619" s="846"/>
      <c r="K619" s="846"/>
      <c r="L619" s="846"/>
      <c r="M619" s="846"/>
      <c r="N619" s="846"/>
      <c r="O619" s="846"/>
    </row>
    <row r="620" spans="1:15" ht="20.100000000000001" customHeight="1">
      <c r="A620" s="846"/>
      <c r="B620" s="846"/>
      <c r="C620" s="846"/>
      <c r="D620" s="846"/>
      <c r="E620" s="846"/>
      <c r="F620" s="846"/>
      <c r="G620" s="846"/>
      <c r="H620" s="846"/>
      <c r="I620" s="846"/>
      <c r="J620" s="846"/>
      <c r="K620" s="846"/>
      <c r="L620" s="846"/>
      <c r="M620" s="846"/>
      <c r="N620" s="846"/>
      <c r="O620" s="846"/>
    </row>
    <row r="621" spans="1:15" ht="20.100000000000001" customHeight="1">
      <c r="A621" s="846"/>
      <c r="B621" s="846"/>
      <c r="C621" s="846"/>
      <c r="D621" s="846"/>
      <c r="E621" s="846"/>
      <c r="F621" s="846"/>
      <c r="G621" s="846"/>
      <c r="H621" s="846"/>
      <c r="I621" s="846"/>
      <c r="J621" s="846"/>
      <c r="K621" s="846"/>
      <c r="L621" s="846"/>
      <c r="M621" s="846"/>
      <c r="N621" s="846"/>
      <c r="O621" s="846"/>
    </row>
    <row r="622" spans="1:15" ht="20.100000000000001" customHeight="1">
      <c r="A622" s="846"/>
      <c r="B622" s="846"/>
      <c r="C622" s="846"/>
      <c r="D622" s="846"/>
      <c r="E622" s="846"/>
      <c r="F622" s="846"/>
      <c r="G622" s="846"/>
      <c r="H622" s="846"/>
      <c r="I622" s="846"/>
      <c r="J622" s="846"/>
      <c r="K622" s="846"/>
      <c r="L622" s="846"/>
      <c r="M622" s="846"/>
      <c r="N622" s="846"/>
      <c r="O622" s="846"/>
    </row>
    <row r="623" spans="1:15" ht="20.100000000000001" customHeight="1">
      <c r="A623" s="846"/>
      <c r="B623" s="846"/>
      <c r="C623" s="846"/>
      <c r="D623" s="846"/>
      <c r="E623" s="846"/>
      <c r="F623" s="846"/>
      <c r="G623" s="846"/>
      <c r="H623" s="846"/>
      <c r="I623" s="846"/>
      <c r="J623" s="846"/>
      <c r="K623" s="846"/>
      <c r="L623" s="846"/>
      <c r="M623" s="846"/>
      <c r="N623" s="846"/>
      <c r="O623" s="846"/>
    </row>
    <row r="624" spans="1:15" ht="20.100000000000001" customHeight="1">
      <c r="A624" s="846"/>
      <c r="B624" s="846"/>
      <c r="C624" s="846"/>
      <c r="D624" s="846"/>
      <c r="E624" s="846"/>
      <c r="F624" s="846"/>
      <c r="G624" s="846"/>
      <c r="H624" s="846"/>
      <c r="I624" s="846"/>
      <c r="J624" s="846"/>
      <c r="K624" s="846"/>
      <c r="L624" s="846"/>
      <c r="M624" s="846"/>
      <c r="N624" s="846"/>
      <c r="O624" s="846"/>
    </row>
    <row r="625" spans="1:15" ht="20.100000000000001" customHeight="1">
      <c r="A625" s="846"/>
      <c r="B625" s="846"/>
      <c r="C625" s="846"/>
      <c r="D625" s="846"/>
      <c r="E625" s="846"/>
      <c r="F625" s="846"/>
      <c r="G625" s="846"/>
      <c r="H625" s="846"/>
      <c r="I625" s="846"/>
      <c r="J625" s="846"/>
      <c r="K625" s="846"/>
      <c r="L625" s="846"/>
      <c r="M625" s="846"/>
      <c r="N625" s="846"/>
      <c r="O625" s="846"/>
    </row>
    <row r="626" spans="1:15" ht="20.100000000000001" customHeight="1">
      <c r="A626" s="846"/>
      <c r="B626" s="846"/>
      <c r="C626" s="846"/>
      <c r="D626" s="846"/>
      <c r="E626" s="846"/>
      <c r="F626" s="846"/>
      <c r="G626" s="846"/>
      <c r="H626" s="846"/>
      <c r="I626" s="846"/>
      <c r="J626" s="846"/>
      <c r="K626" s="846"/>
      <c r="L626" s="846"/>
      <c r="M626" s="846"/>
      <c r="N626" s="846"/>
      <c r="O626" s="846"/>
    </row>
    <row r="627" spans="1:15" ht="20.100000000000001" customHeight="1">
      <c r="A627" s="846"/>
      <c r="B627" s="846"/>
      <c r="C627" s="846"/>
      <c r="D627" s="846"/>
      <c r="E627" s="846"/>
      <c r="F627" s="846"/>
      <c r="G627" s="846"/>
      <c r="H627" s="846"/>
      <c r="I627" s="846"/>
      <c r="J627" s="846"/>
      <c r="K627" s="846"/>
      <c r="L627" s="846"/>
      <c r="M627" s="846"/>
      <c r="N627" s="846"/>
      <c r="O627" s="846"/>
    </row>
    <row r="628" spans="1:15" ht="20.100000000000001" customHeight="1">
      <c r="A628" s="846"/>
      <c r="B628" s="846"/>
      <c r="C628" s="846"/>
      <c r="D628" s="846"/>
      <c r="E628" s="846"/>
      <c r="F628" s="846"/>
      <c r="G628" s="846"/>
      <c r="H628" s="846"/>
      <c r="I628" s="846"/>
      <c r="J628" s="846"/>
      <c r="K628" s="846"/>
      <c r="L628" s="846"/>
      <c r="M628" s="846"/>
      <c r="N628" s="846"/>
      <c r="O628" s="846"/>
    </row>
    <row r="629" spans="1:15" ht="20.100000000000001" customHeight="1">
      <c r="A629" s="846"/>
      <c r="B629" s="846"/>
      <c r="C629" s="846"/>
      <c r="D629" s="846"/>
      <c r="E629" s="846"/>
      <c r="F629" s="846"/>
      <c r="G629" s="846"/>
      <c r="H629" s="846"/>
      <c r="I629" s="846"/>
      <c r="J629" s="846"/>
      <c r="K629" s="846"/>
      <c r="L629" s="846"/>
      <c r="M629" s="846"/>
      <c r="N629" s="846"/>
      <c r="O629" s="846"/>
    </row>
    <row r="630" spans="1:15" ht="20.100000000000001" customHeight="1">
      <c r="A630" s="846"/>
      <c r="B630" s="846"/>
      <c r="C630" s="846"/>
      <c r="D630" s="846"/>
      <c r="E630" s="846"/>
      <c r="F630" s="846"/>
      <c r="G630" s="846"/>
      <c r="H630" s="846"/>
      <c r="I630" s="846"/>
      <c r="J630" s="846"/>
      <c r="K630" s="846"/>
      <c r="L630" s="846"/>
      <c r="M630" s="846"/>
      <c r="N630" s="846"/>
      <c r="O630" s="846"/>
    </row>
    <row r="631" spans="1:15" ht="20.100000000000001" customHeight="1">
      <c r="A631" s="846"/>
      <c r="B631" s="846"/>
      <c r="C631" s="846"/>
      <c r="D631" s="846"/>
      <c r="E631" s="846"/>
      <c r="F631" s="846"/>
      <c r="G631" s="846"/>
      <c r="H631" s="846"/>
      <c r="I631" s="846"/>
      <c r="J631" s="846"/>
      <c r="K631" s="846"/>
      <c r="L631" s="846"/>
      <c r="M631" s="846"/>
      <c r="N631" s="846"/>
      <c r="O631" s="846"/>
    </row>
    <row r="632" spans="1:15" ht="20.100000000000001" customHeight="1">
      <c r="A632" s="846"/>
      <c r="B632" s="846"/>
      <c r="C632" s="846"/>
      <c r="D632" s="846"/>
      <c r="E632" s="846"/>
      <c r="F632" s="846"/>
      <c r="G632" s="846"/>
      <c r="H632" s="846"/>
      <c r="I632" s="846"/>
      <c r="J632" s="846"/>
      <c r="K632" s="846"/>
      <c r="L632" s="846"/>
      <c r="M632" s="846"/>
      <c r="N632" s="846"/>
      <c r="O632" s="846"/>
    </row>
    <row r="633" spans="1:15" ht="20.100000000000001" customHeight="1">
      <c r="A633" s="846"/>
      <c r="B633" s="846"/>
      <c r="C633" s="846"/>
      <c r="D633" s="846"/>
      <c r="E633" s="846"/>
      <c r="F633" s="846"/>
      <c r="G633" s="846"/>
      <c r="H633" s="846"/>
      <c r="I633" s="846"/>
      <c r="J633" s="846"/>
      <c r="K633" s="846"/>
      <c r="L633" s="846"/>
      <c r="M633" s="846"/>
      <c r="N633" s="846"/>
      <c r="O633" s="846"/>
    </row>
    <row r="634" spans="1:15" ht="20.100000000000001" customHeight="1">
      <c r="A634" s="846"/>
      <c r="B634" s="846"/>
      <c r="C634" s="846"/>
      <c r="D634" s="846"/>
      <c r="E634" s="846"/>
      <c r="F634" s="846"/>
      <c r="G634" s="846"/>
      <c r="H634" s="846"/>
      <c r="I634" s="846"/>
      <c r="J634" s="846"/>
      <c r="K634" s="846"/>
      <c r="L634" s="846"/>
      <c r="M634" s="846"/>
      <c r="N634" s="846"/>
      <c r="O634" s="846"/>
    </row>
    <row r="635" spans="1:15" ht="20.100000000000001" customHeight="1">
      <c r="A635" s="846"/>
      <c r="B635" s="846"/>
      <c r="C635" s="846"/>
      <c r="D635" s="846"/>
      <c r="E635" s="846"/>
      <c r="F635" s="846"/>
      <c r="G635" s="846"/>
      <c r="H635" s="846"/>
      <c r="I635" s="846"/>
      <c r="J635" s="846"/>
      <c r="K635" s="846"/>
      <c r="L635" s="846"/>
      <c r="M635" s="846"/>
      <c r="N635" s="846"/>
      <c r="O635" s="846"/>
    </row>
    <row r="636" spans="1:15" ht="20.100000000000001" customHeight="1">
      <c r="A636" s="846"/>
      <c r="B636" s="846"/>
      <c r="C636" s="846"/>
      <c r="D636" s="846"/>
      <c r="E636" s="846"/>
      <c r="F636" s="846"/>
      <c r="G636" s="846"/>
      <c r="H636" s="846"/>
      <c r="I636" s="846"/>
      <c r="J636" s="846"/>
      <c r="K636" s="846"/>
      <c r="L636" s="846"/>
      <c r="M636" s="846"/>
      <c r="N636" s="846"/>
      <c r="O636" s="846"/>
    </row>
    <row r="637" spans="1:15" ht="20.100000000000001" customHeight="1">
      <c r="A637" s="846"/>
      <c r="B637" s="846"/>
      <c r="C637" s="846"/>
      <c r="D637" s="846"/>
      <c r="E637" s="846"/>
      <c r="F637" s="846"/>
      <c r="G637" s="846"/>
      <c r="H637" s="846"/>
      <c r="I637" s="846"/>
      <c r="J637" s="846"/>
      <c r="K637" s="846"/>
      <c r="L637" s="846"/>
      <c r="M637" s="846"/>
      <c r="N637" s="846"/>
      <c r="O637" s="846"/>
    </row>
    <row r="638" spans="1:15" ht="20.100000000000001" customHeight="1">
      <c r="A638" s="846"/>
      <c r="B638" s="846"/>
      <c r="C638" s="846"/>
      <c r="D638" s="846"/>
      <c r="E638" s="846"/>
      <c r="F638" s="846"/>
      <c r="G638" s="846"/>
      <c r="H638" s="846"/>
      <c r="I638" s="846"/>
      <c r="J638" s="846"/>
      <c r="K638" s="846"/>
      <c r="L638" s="846"/>
      <c r="M638" s="846"/>
      <c r="N638" s="846"/>
      <c r="O638" s="846"/>
    </row>
    <row r="639" spans="1:15" ht="20.100000000000001" customHeight="1">
      <c r="A639" s="846"/>
      <c r="B639" s="846"/>
      <c r="C639" s="846"/>
      <c r="D639" s="846"/>
      <c r="E639" s="846"/>
      <c r="F639" s="846"/>
      <c r="G639" s="846"/>
      <c r="H639" s="846"/>
      <c r="I639" s="846"/>
      <c r="J639" s="846"/>
      <c r="K639" s="846"/>
      <c r="L639" s="846"/>
      <c r="M639" s="846"/>
      <c r="N639" s="846"/>
      <c r="O639" s="846"/>
    </row>
    <row r="640" spans="1:15" ht="20.100000000000001" customHeight="1">
      <c r="A640" s="846"/>
      <c r="B640" s="846"/>
      <c r="C640" s="846"/>
      <c r="D640" s="846"/>
      <c r="E640" s="846"/>
      <c r="F640" s="846"/>
      <c r="G640" s="846"/>
      <c r="H640" s="846"/>
      <c r="I640" s="846"/>
      <c r="J640" s="846"/>
      <c r="K640" s="846"/>
      <c r="L640" s="846"/>
      <c r="M640" s="846"/>
      <c r="N640" s="846"/>
      <c r="O640" s="846"/>
    </row>
    <row r="641" spans="1:15" ht="20.100000000000001" customHeight="1">
      <c r="A641" s="846"/>
      <c r="B641" s="846"/>
      <c r="C641" s="846"/>
      <c r="D641" s="846"/>
      <c r="E641" s="846"/>
      <c r="F641" s="846"/>
      <c r="G641" s="846"/>
      <c r="H641" s="846"/>
      <c r="I641" s="846"/>
      <c r="J641" s="846"/>
      <c r="K641" s="846"/>
      <c r="L641" s="846"/>
      <c r="M641" s="846"/>
      <c r="N641" s="846"/>
      <c r="O641" s="846"/>
    </row>
    <row r="642" spans="1:15" ht="20.100000000000001" customHeight="1">
      <c r="A642" s="846"/>
      <c r="B642" s="846"/>
      <c r="C642" s="846"/>
      <c r="D642" s="846"/>
      <c r="E642" s="846"/>
      <c r="F642" s="846"/>
      <c r="G642" s="846"/>
      <c r="H642" s="846"/>
      <c r="I642" s="846"/>
      <c r="J642" s="846"/>
      <c r="K642" s="846"/>
      <c r="L642" s="846"/>
      <c r="M642" s="846"/>
      <c r="N642" s="846"/>
      <c r="O642" s="846"/>
    </row>
    <row r="643" spans="1:15" ht="20.100000000000001" customHeight="1">
      <c r="A643" s="846"/>
      <c r="B643" s="846"/>
      <c r="C643" s="846"/>
      <c r="D643" s="846"/>
      <c r="E643" s="846"/>
      <c r="F643" s="846"/>
      <c r="G643" s="846"/>
      <c r="H643" s="846"/>
      <c r="I643" s="846"/>
      <c r="J643" s="846"/>
      <c r="K643" s="846"/>
      <c r="L643" s="846"/>
      <c r="M643" s="846"/>
      <c r="N643" s="846"/>
      <c r="O643" s="846"/>
    </row>
    <row r="644" spans="1:15" ht="20.100000000000001" customHeight="1">
      <c r="A644" s="846"/>
      <c r="B644" s="846"/>
      <c r="C644" s="846"/>
      <c r="D644" s="846"/>
      <c r="E644" s="846"/>
      <c r="F644" s="846"/>
      <c r="G644" s="846"/>
      <c r="H644" s="846"/>
      <c r="I644" s="846"/>
      <c r="J644" s="846"/>
      <c r="K644" s="846"/>
      <c r="L644" s="846"/>
      <c r="M644" s="846"/>
      <c r="N644" s="846"/>
      <c r="O644" s="846"/>
    </row>
    <row r="645" spans="1:15" ht="20.100000000000001" customHeight="1">
      <c r="A645" s="846"/>
      <c r="B645" s="846"/>
      <c r="C645" s="846"/>
      <c r="D645" s="846"/>
      <c r="E645" s="846"/>
      <c r="F645" s="846"/>
      <c r="G645" s="846"/>
      <c r="H645" s="846"/>
      <c r="I645" s="846"/>
      <c r="J645" s="846"/>
      <c r="K645" s="846"/>
      <c r="L645" s="846"/>
      <c r="M645" s="846"/>
      <c r="N645" s="846"/>
      <c r="O645" s="846"/>
    </row>
    <row r="646" spans="1:15" ht="20.100000000000001" customHeight="1">
      <c r="A646" s="846"/>
      <c r="B646" s="846"/>
      <c r="C646" s="846"/>
      <c r="D646" s="846"/>
      <c r="E646" s="846"/>
      <c r="F646" s="846"/>
      <c r="G646" s="846"/>
      <c r="H646" s="846"/>
      <c r="I646" s="846"/>
      <c r="J646" s="846"/>
      <c r="K646" s="846"/>
      <c r="L646" s="846"/>
      <c r="M646" s="846"/>
      <c r="N646" s="846"/>
      <c r="O646" s="846"/>
    </row>
    <row r="647" spans="1:15" ht="20.100000000000001" customHeight="1">
      <c r="A647" s="846"/>
      <c r="B647" s="846"/>
      <c r="C647" s="846"/>
      <c r="D647" s="846"/>
      <c r="E647" s="846"/>
      <c r="F647" s="846"/>
      <c r="G647" s="846"/>
      <c r="H647" s="846"/>
      <c r="I647" s="846"/>
      <c r="J647" s="846"/>
      <c r="K647" s="846"/>
      <c r="L647" s="846"/>
      <c r="M647" s="846"/>
      <c r="N647" s="846"/>
      <c r="O647" s="846"/>
    </row>
    <row r="648" spans="1:15" ht="20.100000000000001" customHeight="1">
      <c r="A648" s="846"/>
      <c r="B648" s="846"/>
      <c r="C648" s="846"/>
      <c r="D648" s="846"/>
      <c r="E648" s="846"/>
      <c r="F648" s="846"/>
      <c r="G648" s="846"/>
      <c r="H648" s="846"/>
      <c r="I648" s="846"/>
      <c r="J648" s="846"/>
      <c r="K648" s="846"/>
      <c r="L648" s="846"/>
      <c r="M648" s="846"/>
      <c r="N648" s="846"/>
      <c r="O648" s="846"/>
    </row>
    <row r="649" spans="1:15" ht="20.100000000000001" customHeight="1">
      <c r="A649" s="846"/>
      <c r="B649" s="846"/>
      <c r="C649" s="846"/>
      <c r="D649" s="846"/>
      <c r="E649" s="846"/>
      <c r="F649" s="846"/>
      <c r="G649" s="846"/>
      <c r="H649" s="846"/>
      <c r="I649" s="846"/>
      <c r="J649" s="846"/>
      <c r="K649" s="846"/>
      <c r="L649" s="846"/>
      <c r="M649" s="846"/>
      <c r="N649" s="846"/>
      <c r="O649" s="846"/>
    </row>
    <row r="650" spans="1:15" ht="20.100000000000001" customHeight="1">
      <c r="A650" s="846"/>
      <c r="B650" s="846"/>
      <c r="C650" s="846"/>
      <c r="D650" s="846"/>
      <c r="E650" s="846"/>
      <c r="F650" s="846"/>
      <c r="G650" s="846"/>
      <c r="H650" s="846"/>
      <c r="I650" s="846"/>
      <c r="J650" s="846"/>
      <c r="K650" s="846"/>
      <c r="L650" s="846"/>
      <c r="M650" s="846"/>
      <c r="N650" s="846"/>
      <c r="O650" s="846"/>
    </row>
    <row r="651" spans="1:15" ht="20.100000000000001" customHeight="1">
      <c r="A651" s="846"/>
      <c r="B651" s="846"/>
      <c r="C651" s="846"/>
      <c r="D651" s="846"/>
      <c r="E651" s="846"/>
      <c r="F651" s="846"/>
      <c r="G651" s="846"/>
      <c r="H651" s="846"/>
      <c r="I651" s="846"/>
      <c r="J651" s="846"/>
      <c r="K651" s="846"/>
      <c r="L651" s="846"/>
      <c r="M651" s="846"/>
      <c r="N651" s="846"/>
      <c r="O651" s="846"/>
    </row>
    <row r="652" spans="1:15" ht="20.100000000000001" customHeight="1">
      <c r="A652" s="846"/>
      <c r="B652" s="846"/>
      <c r="C652" s="846"/>
      <c r="D652" s="846"/>
      <c r="E652" s="846"/>
      <c r="F652" s="846"/>
      <c r="G652" s="846"/>
      <c r="H652" s="846"/>
      <c r="I652" s="846"/>
      <c r="J652" s="846"/>
      <c r="K652" s="846"/>
      <c r="L652" s="846"/>
      <c r="M652" s="846"/>
      <c r="N652" s="846"/>
      <c r="O652" s="846"/>
    </row>
    <row r="653" spans="1:15" ht="20.100000000000001" customHeight="1">
      <c r="A653" s="846"/>
      <c r="B653" s="846"/>
      <c r="C653" s="846"/>
      <c r="D653" s="846"/>
      <c r="E653" s="846"/>
      <c r="F653" s="846"/>
      <c r="G653" s="846"/>
      <c r="H653" s="846"/>
      <c r="I653" s="846"/>
      <c r="J653" s="846"/>
      <c r="K653" s="846"/>
      <c r="L653" s="846"/>
      <c r="M653" s="846"/>
      <c r="N653" s="846"/>
      <c r="O653" s="846"/>
    </row>
    <row r="654" spans="1:15" ht="20.100000000000001" customHeight="1">
      <c r="A654" s="846"/>
      <c r="B654" s="846"/>
      <c r="C654" s="846"/>
      <c r="D654" s="846"/>
      <c r="E654" s="846"/>
      <c r="F654" s="846"/>
      <c r="G654" s="846"/>
      <c r="H654" s="846"/>
      <c r="I654" s="846"/>
      <c r="J654" s="846"/>
      <c r="K654" s="846"/>
      <c r="L654" s="846"/>
      <c r="M654" s="846"/>
      <c r="N654" s="846"/>
      <c r="O654" s="846"/>
    </row>
    <row r="655" spans="1:15" ht="20.100000000000001" customHeight="1">
      <c r="A655" s="846"/>
      <c r="B655" s="846"/>
      <c r="C655" s="846"/>
      <c r="D655" s="846"/>
      <c r="E655" s="846"/>
      <c r="F655" s="846"/>
      <c r="G655" s="846"/>
      <c r="H655" s="846"/>
      <c r="I655" s="846"/>
      <c r="J655" s="846"/>
      <c r="K655" s="846"/>
      <c r="L655" s="846"/>
      <c r="M655" s="846"/>
      <c r="N655" s="846"/>
      <c r="O655" s="846"/>
    </row>
    <row r="656" spans="1:15" ht="20.100000000000001" customHeight="1">
      <c r="A656" s="846"/>
      <c r="B656" s="846"/>
      <c r="C656" s="846"/>
      <c r="D656" s="846"/>
      <c r="E656" s="846"/>
      <c r="F656" s="846"/>
      <c r="G656" s="846"/>
      <c r="H656" s="846"/>
      <c r="I656" s="846"/>
      <c r="J656" s="846"/>
      <c r="K656" s="846"/>
      <c r="L656" s="846"/>
      <c r="M656" s="846"/>
      <c r="N656" s="846"/>
      <c r="O656" s="846"/>
    </row>
    <row r="657" spans="1:15" ht="20.100000000000001" customHeight="1">
      <c r="A657" s="846"/>
      <c r="B657" s="846"/>
      <c r="C657" s="846"/>
      <c r="D657" s="846"/>
      <c r="E657" s="846"/>
      <c r="F657" s="846"/>
      <c r="G657" s="846"/>
      <c r="H657" s="846"/>
      <c r="I657" s="846"/>
      <c r="J657" s="846"/>
      <c r="K657" s="846"/>
      <c r="L657" s="846"/>
      <c r="M657" s="846"/>
      <c r="N657" s="846"/>
      <c r="O657" s="846"/>
    </row>
    <row r="658" spans="1:15" ht="20.100000000000001" customHeight="1">
      <c r="A658" s="846"/>
      <c r="B658" s="846"/>
      <c r="C658" s="846"/>
      <c r="D658" s="846"/>
      <c r="E658" s="846"/>
      <c r="F658" s="846"/>
      <c r="G658" s="846"/>
      <c r="H658" s="846"/>
      <c r="I658" s="846"/>
      <c r="J658" s="846"/>
      <c r="K658" s="846"/>
      <c r="L658" s="846"/>
      <c r="M658" s="846"/>
      <c r="N658" s="846"/>
      <c r="O658" s="846"/>
    </row>
    <row r="659" spans="1:15" ht="20.100000000000001" customHeight="1">
      <c r="A659" s="846"/>
      <c r="B659" s="846"/>
      <c r="C659" s="846"/>
      <c r="D659" s="846"/>
      <c r="E659" s="846"/>
      <c r="F659" s="846"/>
      <c r="G659" s="846"/>
      <c r="H659" s="846"/>
      <c r="I659" s="846"/>
      <c r="J659" s="846"/>
      <c r="K659" s="846"/>
      <c r="L659" s="846"/>
      <c r="M659" s="846"/>
      <c r="N659" s="846"/>
      <c r="O659" s="846"/>
    </row>
    <row r="660" spans="1:15" ht="20.100000000000001" customHeight="1">
      <c r="A660" s="846"/>
      <c r="B660" s="846"/>
      <c r="C660" s="846"/>
      <c r="D660" s="846"/>
      <c r="E660" s="846"/>
      <c r="F660" s="846"/>
      <c r="G660" s="846"/>
      <c r="H660" s="846"/>
      <c r="I660" s="846"/>
      <c r="J660" s="846"/>
      <c r="K660" s="846"/>
      <c r="L660" s="846"/>
      <c r="M660" s="846"/>
      <c r="N660" s="846"/>
      <c r="O660" s="846"/>
    </row>
    <row r="661" spans="1:15" ht="20.100000000000001" customHeight="1">
      <c r="A661" s="846"/>
      <c r="B661" s="846"/>
      <c r="C661" s="846"/>
      <c r="D661" s="846"/>
      <c r="E661" s="846"/>
      <c r="F661" s="846"/>
      <c r="G661" s="846"/>
      <c r="H661" s="846"/>
      <c r="I661" s="846"/>
      <c r="J661" s="846"/>
      <c r="K661" s="846"/>
      <c r="L661" s="846"/>
      <c r="M661" s="846"/>
      <c r="N661" s="846"/>
      <c r="O661" s="846"/>
    </row>
    <row r="662" spans="1:15" ht="20.100000000000001" customHeight="1">
      <c r="A662" s="846"/>
      <c r="B662" s="846"/>
      <c r="C662" s="846"/>
      <c r="D662" s="846"/>
      <c r="E662" s="846"/>
      <c r="F662" s="846"/>
      <c r="G662" s="846"/>
      <c r="H662" s="846"/>
      <c r="I662" s="846"/>
      <c r="J662" s="846"/>
      <c r="K662" s="846"/>
      <c r="L662" s="846"/>
      <c r="M662" s="846"/>
      <c r="N662" s="846"/>
      <c r="O662" s="846"/>
    </row>
    <row r="663" spans="1:15" ht="20.100000000000001" customHeight="1">
      <c r="A663" s="846"/>
      <c r="B663" s="846"/>
      <c r="C663" s="846"/>
      <c r="D663" s="846"/>
      <c r="E663" s="846"/>
      <c r="F663" s="846"/>
      <c r="G663" s="846"/>
      <c r="H663" s="846"/>
      <c r="I663" s="846"/>
      <c r="J663" s="846"/>
      <c r="K663" s="846"/>
      <c r="L663" s="846"/>
      <c r="M663" s="846"/>
      <c r="N663" s="846"/>
      <c r="O663" s="846"/>
    </row>
    <row r="664" spans="1:15" ht="20.100000000000001" customHeight="1">
      <c r="A664" s="846"/>
      <c r="B664" s="846"/>
      <c r="C664" s="846"/>
      <c r="D664" s="846"/>
      <c r="E664" s="846"/>
      <c r="F664" s="846"/>
      <c r="G664" s="846"/>
      <c r="H664" s="846"/>
      <c r="I664" s="846"/>
      <c r="J664" s="846"/>
      <c r="K664" s="846"/>
      <c r="L664" s="846"/>
      <c r="M664" s="846"/>
      <c r="N664" s="846"/>
      <c r="O664" s="846"/>
    </row>
    <row r="665" spans="1:15" ht="20.100000000000001" customHeight="1">
      <c r="A665" s="846"/>
      <c r="B665" s="846"/>
      <c r="C665" s="846"/>
      <c r="D665" s="846"/>
      <c r="E665" s="846"/>
      <c r="F665" s="846"/>
      <c r="G665" s="846"/>
      <c r="H665" s="846"/>
      <c r="I665" s="846"/>
      <c r="J665" s="846"/>
      <c r="K665" s="846"/>
      <c r="L665" s="846"/>
      <c r="M665" s="846"/>
      <c r="N665" s="846"/>
      <c r="O665" s="846"/>
    </row>
    <row r="666" spans="1:15" ht="20.100000000000001" customHeight="1">
      <c r="A666" s="846"/>
      <c r="B666" s="846"/>
      <c r="C666" s="846"/>
      <c r="D666" s="846"/>
      <c r="E666" s="846"/>
      <c r="F666" s="846"/>
      <c r="G666" s="846"/>
      <c r="H666" s="846"/>
      <c r="I666" s="846"/>
      <c r="J666" s="846"/>
      <c r="K666" s="846"/>
      <c r="L666" s="846"/>
      <c r="M666" s="846"/>
      <c r="N666" s="846"/>
      <c r="O666" s="846"/>
    </row>
    <row r="667" spans="1:15" ht="20.100000000000001" customHeight="1">
      <c r="A667" s="846"/>
      <c r="B667" s="846"/>
      <c r="C667" s="846"/>
      <c r="D667" s="846"/>
      <c r="E667" s="846"/>
      <c r="F667" s="846"/>
      <c r="G667" s="846"/>
      <c r="H667" s="846"/>
      <c r="I667" s="846"/>
      <c r="J667" s="846"/>
      <c r="K667" s="846"/>
      <c r="L667" s="846"/>
      <c r="M667" s="846"/>
      <c r="N667" s="846"/>
      <c r="O667" s="846"/>
    </row>
    <row r="668" spans="1:15" ht="20.100000000000001" customHeight="1">
      <c r="A668" s="846"/>
      <c r="B668" s="846"/>
      <c r="C668" s="846"/>
      <c r="D668" s="846"/>
      <c r="E668" s="846"/>
      <c r="F668" s="846"/>
      <c r="G668" s="846"/>
      <c r="H668" s="846"/>
      <c r="I668" s="846"/>
      <c r="J668" s="846"/>
      <c r="K668" s="846"/>
      <c r="L668" s="846"/>
      <c r="M668" s="846"/>
      <c r="N668" s="846"/>
      <c r="O668" s="846"/>
    </row>
    <row r="669" spans="1:15" ht="20.100000000000001" customHeight="1">
      <c r="A669" s="846"/>
      <c r="B669" s="846"/>
      <c r="C669" s="846"/>
      <c r="D669" s="846"/>
      <c r="E669" s="846"/>
      <c r="F669" s="846"/>
      <c r="G669" s="846"/>
      <c r="H669" s="846"/>
      <c r="I669" s="846"/>
      <c r="J669" s="846"/>
      <c r="K669" s="846"/>
      <c r="L669" s="846"/>
      <c r="M669" s="846"/>
      <c r="N669" s="846"/>
      <c r="O669" s="846"/>
    </row>
    <row r="670" spans="1:15" ht="20.100000000000001" customHeight="1">
      <c r="A670" s="846"/>
      <c r="B670" s="846"/>
      <c r="C670" s="846"/>
      <c r="D670" s="846"/>
      <c r="E670" s="846"/>
      <c r="F670" s="846"/>
      <c r="G670" s="846"/>
      <c r="H670" s="846"/>
      <c r="I670" s="846"/>
      <c r="J670" s="846"/>
      <c r="K670" s="846"/>
      <c r="L670" s="846"/>
      <c r="M670" s="846"/>
      <c r="N670" s="846"/>
      <c r="O670" s="846"/>
    </row>
    <row r="671" spans="1:15" ht="20.100000000000001" customHeight="1">
      <c r="A671" s="846"/>
      <c r="B671" s="846"/>
      <c r="C671" s="846"/>
      <c r="D671" s="846"/>
      <c r="E671" s="846"/>
      <c r="F671" s="846"/>
      <c r="G671" s="846"/>
      <c r="H671" s="846"/>
      <c r="I671" s="846"/>
      <c r="J671" s="846"/>
      <c r="K671" s="846"/>
      <c r="L671" s="846"/>
      <c r="M671" s="846"/>
      <c r="N671" s="846"/>
      <c r="O671" s="846"/>
    </row>
    <row r="672" spans="1:15" ht="20.100000000000001" customHeight="1">
      <c r="A672" s="846"/>
      <c r="B672" s="846"/>
      <c r="C672" s="846"/>
      <c r="D672" s="846"/>
      <c r="E672" s="846"/>
      <c r="F672" s="846"/>
      <c r="G672" s="846"/>
      <c r="H672" s="846"/>
      <c r="I672" s="846"/>
      <c r="J672" s="846"/>
      <c r="K672" s="846"/>
      <c r="L672" s="846"/>
      <c r="M672" s="846"/>
      <c r="N672" s="846"/>
      <c r="O672" s="846"/>
    </row>
    <row r="673" spans="1:15" ht="20.100000000000001" customHeight="1">
      <c r="A673" s="846"/>
      <c r="B673" s="846"/>
      <c r="C673" s="846"/>
      <c r="D673" s="846"/>
      <c r="E673" s="846"/>
      <c r="F673" s="846"/>
      <c r="G673" s="846"/>
      <c r="H673" s="846"/>
      <c r="I673" s="846"/>
      <c r="J673" s="846"/>
      <c r="K673" s="846"/>
      <c r="L673" s="846"/>
      <c r="M673" s="846"/>
      <c r="N673" s="846"/>
      <c r="O673" s="846"/>
    </row>
    <row r="674" spans="1:15" ht="20.100000000000001" customHeight="1">
      <c r="A674" s="846"/>
      <c r="B674" s="846"/>
      <c r="C674" s="846"/>
      <c r="D674" s="846"/>
      <c r="E674" s="846"/>
      <c r="F674" s="846"/>
      <c r="G674" s="846"/>
      <c r="H674" s="846"/>
      <c r="I674" s="846"/>
      <c r="J674" s="846"/>
      <c r="K674" s="846"/>
      <c r="L674" s="846"/>
      <c r="M674" s="846"/>
      <c r="N674" s="846"/>
      <c r="O674" s="846"/>
    </row>
    <row r="675" spans="1:15" ht="20.100000000000001" customHeight="1">
      <c r="A675" s="846"/>
      <c r="B675" s="846"/>
      <c r="C675" s="846"/>
      <c r="D675" s="846"/>
      <c r="E675" s="846"/>
      <c r="F675" s="846"/>
      <c r="G675" s="846"/>
      <c r="H675" s="846"/>
      <c r="I675" s="846"/>
      <c r="J675" s="846"/>
      <c r="K675" s="846"/>
      <c r="L675" s="846"/>
      <c r="M675" s="846"/>
      <c r="N675" s="846"/>
      <c r="O675" s="846"/>
    </row>
    <row r="676" spans="1:15" ht="20.100000000000001" customHeight="1">
      <c r="A676" s="846"/>
      <c r="B676" s="846"/>
      <c r="C676" s="846"/>
      <c r="D676" s="846"/>
      <c r="E676" s="846"/>
      <c r="F676" s="846"/>
      <c r="G676" s="846"/>
      <c r="H676" s="846"/>
      <c r="I676" s="846"/>
      <c r="J676" s="846"/>
      <c r="K676" s="846"/>
      <c r="L676" s="846"/>
      <c r="M676" s="846"/>
      <c r="N676" s="846"/>
      <c r="O676" s="846"/>
    </row>
    <row r="677" spans="1:15" ht="20.100000000000001" customHeight="1">
      <c r="A677" s="846"/>
      <c r="B677" s="846"/>
      <c r="C677" s="846"/>
      <c r="D677" s="846"/>
      <c r="E677" s="846"/>
      <c r="F677" s="846"/>
      <c r="G677" s="846"/>
      <c r="H677" s="846"/>
      <c r="I677" s="846"/>
      <c r="J677" s="846"/>
      <c r="K677" s="846"/>
      <c r="L677" s="846"/>
      <c r="M677" s="846"/>
      <c r="N677" s="846"/>
      <c r="O677" s="846"/>
    </row>
    <row r="678" spans="1:15" ht="20.100000000000001" customHeight="1">
      <c r="A678" s="846"/>
      <c r="B678" s="846"/>
      <c r="C678" s="846"/>
      <c r="D678" s="846"/>
      <c r="E678" s="846"/>
      <c r="F678" s="846"/>
      <c r="G678" s="846"/>
      <c r="H678" s="846"/>
      <c r="I678" s="846"/>
      <c r="J678" s="846"/>
      <c r="K678" s="846"/>
      <c r="L678" s="846"/>
      <c r="M678" s="846"/>
      <c r="N678" s="846"/>
      <c r="O678" s="846"/>
    </row>
    <row r="679" spans="1:15" ht="20.100000000000001" customHeight="1">
      <c r="A679" s="846"/>
      <c r="B679" s="846"/>
      <c r="C679" s="846"/>
      <c r="D679" s="846"/>
      <c r="E679" s="846"/>
      <c r="F679" s="846"/>
      <c r="G679" s="846"/>
      <c r="H679" s="846"/>
      <c r="I679" s="846"/>
      <c r="J679" s="846"/>
      <c r="K679" s="846"/>
      <c r="L679" s="846"/>
      <c r="M679" s="846"/>
      <c r="N679" s="846"/>
      <c r="O679" s="846"/>
    </row>
    <row r="680" spans="1:15" ht="20.100000000000001" customHeight="1">
      <c r="A680" s="846"/>
      <c r="B680" s="846"/>
      <c r="C680" s="846"/>
      <c r="D680" s="846"/>
      <c r="E680" s="846"/>
      <c r="F680" s="846"/>
      <c r="G680" s="846"/>
      <c r="H680" s="846"/>
      <c r="I680" s="846"/>
      <c r="J680" s="846"/>
      <c r="K680" s="846"/>
      <c r="L680" s="846"/>
      <c r="M680" s="846"/>
      <c r="N680" s="846"/>
      <c r="O680" s="846"/>
    </row>
    <row r="681" spans="1:15" ht="20.100000000000001" customHeight="1">
      <c r="A681" s="846"/>
      <c r="B681" s="846"/>
      <c r="C681" s="846"/>
      <c r="D681" s="846"/>
      <c r="E681" s="846"/>
      <c r="F681" s="846"/>
      <c r="G681" s="846"/>
      <c r="H681" s="846"/>
      <c r="I681" s="846"/>
      <c r="J681" s="846"/>
      <c r="K681" s="846"/>
      <c r="L681" s="846"/>
      <c r="M681" s="846"/>
      <c r="N681" s="846"/>
      <c r="O681" s="846"/>
    </row>
    <row r="682" spans="1:15" ht="20.100000000000001" customHeight="1">
      <c r="A682" s="846"/>
      <c r="B682" s="846"/>
      <c r="C682" s="846"/>
      <c r="D682" s="846"/>
      <c r="E682" s="846"/>
      <c r="F682" s="846"/>
      <c r="G682" s="846"/>
      <c r="H682" s="846"/>
      <c r="I682" s="846"/>
      <c r="J682" s="846"/>
      <c r="K682" s="846"/>
      <c r="L682" s="846"/>
      <c r="M682" s="846"/>
      <c r="N682" s="846"/>
      <c r="O682" s="846"/>
    </row>
    <row r="683" spans="1:15" ht="20.100000000000001" customHeight="1">
      <c r="A683" s="846"/>
      <c r="B683" s="846"/>
      <c r="C683" s="846"/>
      <c r="D683" s="846"/>
      <c r="E683" s="846"/>
      <c r="F683" s="846"/>
      <c r="G683" s="846"/>
      <c r="H683" s="846"/>
      <c r="I683" s="846"/>
      <c r="J683" s="846"/>
      <c r="K683" s="846"/>
      <c r="L683" s="846"/>
      <c r="M683" s="846"/>
      <c r="N683" s="846"/>
      <c r="O683" s="846"/>
    </row>
    <row r="684" spans="1:15" ht="20.100000000000001" customHeight="1">
      <c r="A684" s="846"/>
      <c r="B684" s="846"/>
      <c r="C684" s="846"/>
      <c r="D684" s="846"/>
      <c r="E684" s="846"/>
      <c r="F684" s="846"/>
      <c r="G684" s="846"/>
      <c r="H684" s="846"/>
      <c r="I684" s="846"/>
      <c r="J684" s="846"/>
      <c r="K684" s="846"/>
      <c r="L684" s="846"/>
      <c r="M684" s="846"/>
      <c r="N684" s="846"/>
      <c r="O684" s="846"/>
    </row>
    <row r="685" spans="1:15" ht="20.100000000000001" customHeight="1">
      <c r="A685" s="846"/>
      <c r="B685" s="846"/>
      <c r="C685" s="846"/>
      <c r="D685" s="846"/>
      <c r="E685" s="846"/>
      <c r="F685" s="846"/>
      <c r="G685" s="846"/>
      <c r="H685" s="846"/>
      <c r="I685" s="846"/>
      <c r="J685" s="846"/>
      <c r="K685" s="846"/>
      <c r="L685" s="846"/>
      <c r="M685" s="846"/>
      <c r="N685" s="846"/>
      <c r="O685" s="846"/>
    </row>
    <row r="686" spans="1:15" ht="20.100000000000001" customHeight="1">
      <c r="A686" s="846"/>
      <c r="B686" s="846"/>
      <c r="C686" s="846"/>
      <c r="D686" s="846"/>
      <c r="E686" s="846"/>
      <c r="F686" s="846"/>
      <c r="G686" s="846"/>
      <c r="H686" s="846"/>
      <c r="I686" s="846"/>
      <c r="J686" s="846"/>
      <c r="K686" s="846"/>
      <c r="L686" s="846"/>
      <c r="M686" s="846"/>
      <c r="N686" s="846"/>
      <c r="O686" s="846"/>
    </row>
    <row r="687" spans="1:15" ht="20.100000000000001" customHeight="1">
      <c r="A687" s="846"/>
      <c r="B687" s="846"/>
      <c r="C687" s="846"/>
      <c r="D687" s="846"/>
      <c r="E687" s="846"/>
      <c r="F687" s="846"/>
      <c r="G687" s="846"/>
      <c r="H687" s="846"/>
      <c r="I687" s="846"/>
      <c r="J687" s="846"/>
      <c r="K687" s="846"/>
      <c r="L687" s="846"/>
      <c r="M687" s="846"/>
      <c r="N687" s="846"/>
      <c r="O687" s="846"/>
    </row>
    <row r="688" spans="1:15" ht="20.100000000000001" customHeight="1">
      <c r="A688" s="846"/>
      <c r="B688" s="846"/>
      <c r="C688" s="846"/>
      <c r="D688" s="846"/>
      <c r="E688" s="846"/>
      <c r="F688" s="846"/>
      <c r="G688" s="846"/>
      <c r="H688" s="846"/>
      <c r="I688" s="846"/>
      <c r="J688" s="846"/>
      <c r="K688" s="846"/>
      <c r="L688" s="846"/>
      <c r="M688" s="846"/>
      <c r="N688" s="846"/>
      <c r="O688" s="846"/>
    </row>
    <row r="689" spans="1:15" ht="20.100000000000001" customHeight="1">
      <c r="A689" s="846"/>
      <c r="B689" s="846"/>
      <c r="C689" s="846"/>
      <c r="D689" s="846"/>
      <c r="E689" s="846"/>
      <c r="F689" s="846"/>
      <c r="G689" s="846"/>
      <c r="H689" s="846"/>
      <c r="I689" s="846"/>
      <c r="J689" s="846"/>
      <c r="K689" s="846"/>
      <c r="L689" s="846"/>
      <c r="M689" s="846"/>
      <c r="N689" s="846"/>
      <c r="O689" s="846"/>
    </row>
    <row r="690" spans="1:15" ht="20.100000000000001" customHeight="1">
      <c r="A690" s="846"/>
      <c r="B690" s="846"/>
      <c r="C690" s="846"/>
      <c r="D690" s="846"/>
      <c r="E690" s="846"/>
      <c r="F690" s="846"/>
      <c r="G690" s="846"/>
      <c r="H690" s="846"/>
      <c r="I690" s="846"/>
      <c r="J690" s="846"/>
      <c r="K690" s="846"/>
      <c r="L690" s="846"/>
      <c r="M690" s="846"/>
      <c r="N690" s="846"/>
      <c r="O690" s="846"/>
    </row>
    <row r="691" spans="1:15" ht="20.100000000000001" customHeight="1">
      <c r="A691" s="846"/>
      <c r="B691" s="846"/>
      <c r="C691" s="846"/>
      <c r="D691" s="846"/>
      <c r="E691" s="846"/>
      <c r="F691" s="846"/>
      <c r="G691" s="846"/>
      <c r="H691" s="846"/>
      <c r="I691" s="846"/>
      <c r="J691" s="846"/>
      <c r="K691" s="846"/>
      <c r="L691" s="846"/>
      <c r="M691" s="846"/>
      <c r="N691" s="846"/>
      <c r="O691" s="846"/>
    </row>
    <row r="692" spans="1:15" ht="20.100000000000001" customHeight="1">
      <c r="A692" s="846"/>
      <c r="B692" s="846"/>
      <c r="C692" s="846"/>
      <c r="D692" s="846"/>
      <c r="E692" s="846"/>
      <c r="F692" s="846"/>
      <c r="G692" s="846"/>
      <c r="H692" s="846"/>
      <c r="I692" s="846"/>
      <c r="J692" s="846"/>
      <c r="K692" s="846"/>
      <c r="L692" s="846"/>
      <c r="M692" s="846"/>
      <c r="N692" s="846"/>
      <c r="O692" s="846"/>
    </row>
    <row r="693" spans="1:15" ht="20.100000000000001" customHeight="1">
      <c r="A693" s="846"/>
      <c r="B693" s="846"/>
      <c r="C693" s="846"/>
      <c r="D693" s="846"/>
      <c r="E693" s="846"/>
      <c r="F693" s="846"/>
      <c r="G693" s="846"/>
      <c r="H693" s="846"/>
      <c r="I693" s="846"/>
      <c r="J693" s="846"/>
      <c r="K693" s="846"/>
      <c r="L693" s="846"/>
      <c r="M693" s="846"/>
      <c r="N693" s="846"/>
      <c r="O693" s="846"/>
    </row>
    <row r="694" spans="1:15" ht="20.100000000000001" customHeight="1">
      <c r="A694" s="846"/>
      <c r="B694" s="846"/>
      <c r="C694" s="846"/>
      <c r="D694" s="846"/>
      <c r="E694" s="846"/>
      <c r="F694" s="846"/>
      <c r="G694" s="846"/>
      <c r="H694" s="846"/>
      <c r="I694" s="846"/>
      <c r="J694" s="846"/>
      <c r="K694" s="846"/>
      <c r="L694" s="846"/>
      <c r="M694" s="846"/>
      <c r="N694" s="846"/>
      <c r="O694" s="846"/>
    </row>
    <row r="695" spans="1:15" ht="20.100000000000001" customHeight="1">
      <c r="A695" s="846"/>
      <c r="B695" s="846"/>
      <c r="C695" s="846"/>
      <c r="D695" s="846"/>
      <c r="E695" s="846"/>
      <c r="F695" s="846"/>
      <c r="G695" s="846"/>
      <c r="H695" s="846"/>
      <c r="I695" s="846"/>
      <c r="J695" s="846"/>
      <c r="K695" s="846"/>
      <c r="L695" s="846"/>
      <c r="M695" s="846"/>
      <c r="N695" s="846"/>
      <c r="O695" s="846"/>
    </row>
    <row r="696" spans="1:15" ht="20.100000000000001" customHeight="1">
      <c r="A696" s="846"/>
      <c r="B696" s="846"/>
      <c r="C696" s="846"/>
      <c r="D696" s="846"/>
      <c r="E696" s="846"/>
      <c r="F696" s="846"/>
      <c r="G696" s="846"/>
      <c r="H696" s="846"/>
      <c r="I696" s="846"/>
      <c r="J696" s="846"/>
      <c r="K696" s="846"/>
      <c r="L696" s="846"/>
      <c r="M696" s="846"/>
      <c r="N696" s="846"/>
      <c r="O696" s="846"/>
    </row>
    <row r="697" spans="1:15" ht="20.100000000000001" customHeight="1">
      <c r="A697" s="846"/>
      <c r="B697" s="846"/>
      <c r="C697" s="846"/>
      <c r="D697" s="846"/>
      <c r="E697" s="846"/>
      <c r="F697" s="846"/>
      <c r="G697" s="846"/>
      <c r="H697" s="846"/>
      <c r="I697" s="846"/>
      <c r="J697" s="846"/>
      <c r="K697" s="846"/>
      <c r="L697" s="846"/>
      <c r="M697" s="846"/>
      <c r="N697" s="846"/>
      <c r="O697" s="846"/>
    </row>
    <row r="698" spans="1:15" ht="20.100000000000001" customHeight="1">
      <c r="A698" s="846"/>
      <c r="B698" s="846"/>
      <c r="C698" s="846"/>
      <c r="D698" s="846"/>
      <c r="E698" s="846"/>
      <c r="F698" s="846"/>
      <c r="G698" s="846"/>
      <c r="H698" s="846"/>
      <c r="I698" s="846"/>
      <c r="J698" s="846"/>
      <c r="K698" s="846"/>
      <c r="L698" s="846"/>
      <c r="M698" s="846"/>
      <c r="N698" s="846"/>
      <c r="O698" s="846"/>
    </row>
    <row r="699" spans="1:15" ht="20.100000000000001" customHeight="1">
      <c r="A699" s="846"/>
      <c r="B699" s="846"/>
      <c r="C699" s="846"/>
      <c r="D699" s="846"/>
      <c r="E699" s="846"/>
      <c r="F699" s="846"/>
      <c r="G699" s="846"/>
      <c r="H699" s="846"/>
      <c r="I699" s="846"/>
      <c r="J699" s="846"/>
      <c r="K699" s="846"/>
      <c r="L699" s="846"/>
      <c r="M699" s="846"/>
      <c r="N699" s="846"/>
      <c r="O699" s="846"/>
    </row>
    <row r="700" spans="1:15" ht="20.100000000000001" customHeight="1">
      <c r="A700" s="846"/>
      <c r="B700" s="846"/>
      <c r="C700" s="846"/>
      <c r="D700" s="846"/>
      <c r="E700" s="846"/>
      <c r="F700" s="846"/>
      <c r="G700" s="846"/>
      <c r="H700" s="846"/>
      <c r="I700" s="846"/>
      <c r="J700" s="846"/>
      <c r="K700" s="846"/>
      <c r="L700" s="846"/>
      <c r="M700" s="846"/>
      <c r="N700" s="846"/>
      <c r="O700" s="846"/>
    </row>
    <row r="701" spans="1:15" ht="20.100000000000001" customHeight="1">
      <c r="A701" s="846"/>
      <c r="B701" s="846"/>
      <c r="C701" s="846"/>
      <c r="D701" s="846"/>
      <c r="E701" s="846"/>
      <c r="F701" s="846"/>
      <c r="G701" s="846"/>
      <c r="H701" s="846"/>
      <c r="I701" s="846"/>
      <c r="J701" s="846"/>
      <c r="K701" s="846"/>
      <c r="L701" s="846"/>
      <c r="M701" s="846"/>
      <c r="N701" s="846"/>
      <c r="O701" s="846"/>
    </row>
    <row r="702" spans="1:15" ht="20.100000000000001" customHeight="1">
      <c r="A702" s="846"/>
      <c r="B702" s="846"/>
      <c r="C702" s="846"/>
      <c r="D702" s="846"/>
      <c r="E702" s="846"/>
      <c r="F702" s="846"/>
      <c r="G702" s="846"/>
      <c r="H702" s="846"/>
      <c r="I702" s="846"/>
      <c r="J702" s="846"/>
      <c r="K702" s="846"/>
      <c r="L702" s="846"/>
      <c r="M702" s="846"/>
      <c r="N702" s="846"/>
      <c r="O702" s="846"/>
    </row>
    <row r="703" spans="1:15" ht="20.100000000000001" customHeight="1">
      <c r="A703" s="846"/>
      <c r="B703" s="846"/>
      <c r="C703" s="846"/>
      <c r="D703" s="846"/>
      <c r="E703" s="846"/>
      <c r="F703" s="846"/>
      <c r="G703" s="846"/>
      <c r="H703" s="846"/>
      <c r="I703" s="846"/>
      <c r="J703" s="846"/>
      <c r="K703" s="846"/>
      <c r="L703" s="846"/>
      <c r="M703" s="846"/>
      <c r="N703" s="846"/>
      <c r="O703" s="846"/>
    </row>
    <row r="704" spans="1:15" ht="20.100000000000001" customHeight="1">
      <c r="A704" s="846"/>
      <c r="B704" s="846"/>
      <c r="C704" s="846"/>
      <c r="D704" s="846"/>
      <c r="E704" s="846"/>
      <c r="F704" s="846"/>
      <c r="G704" s="846"/>
      <c r="H704" s="846"/>
      <c r="I704" s="846"/>
      <c r="J704" s="846"/>
      <c r="K704" s="846"/>
      <c r="L704" s="846"/>
      <c r="M704" s="846"/>
      <c r="N704" s="846"/>
      <c r="O704" s="846"/>
    </row>
    <row r="705" spans="1:15" ht="20.100000000000001" customHeight="1">
      <c r="A705" s="846"/>
      <c r="B705" s="846"/>
      <c r="C705" s="846"/>
      <c r="D705" s="846"/>
      <c r="E705" s="846"/>
      <c r="F705" s="846"/>
      <c r="G705" s="846"/>
      <c r="H705" s="846"/>
      <c r="I705" s="846"/>
      <c r="J705" s="846"/>
      <c r="K705" s="846"/>
      <c r="L705" s="846"/>
      <c r="M705" s="846"/>
      <c r="N705" s="846"/>
      <c r="O705" s="846"/>
    </row>
    <row r="706" spans="1:15" ht="20.100000000000001" customHeight="1">
      <c r="A706" s="846"/>
      <c r="B706" s="846"/>
      <c r="C706" s="846"/>
      <c r="D706" s="846"/>
      <c r="E706" s="846"/>
      <c r="F706" s="846"/>
      <c r="G706" s="846"/>
      <c r="H706" s="846"/>
      <c r="I706" s="846"/>
      <c r="J706" s="846"/>
      <c r="K706" s="846"/>
      <c r="L706" s="846"/>
      <c r="M706" s="846"/>
      <c r="N706" s="846"/>
      <c r="O706" s="846"/>
    </row>
    <row r="707" spans="1:15" ht="20.100000000000001" customHeight="1">
      <c r="A707" s="846"/>
      <c r="B707" s="846"/>
      <c r="C707" s="846"/>
      <c r="D707" s="846"/>
      <c r="E707" s="846"/>
      <c r="F707" s="846"/>
      <c r="G707" s="846"/>
      <c r="H707" s="846"/>
      <c r="I707" s="846"/>
      <c r="J707" s="846"/>
      <c r="K707" s="846"/>
      <c r="L707" s="846"/>
      <c r="M707" s="846"/>
      <c r="N707" s="846"/>
      <c r="O707" s="846"/>
    </row>
    <row r="708" spans="1:15" ht="20.100000000000001" customHeight="1">
      <c r="A708" s="846"/>
      <c r="B708" s="846"/>
      <c r="C708" s="846"/>
      <c r="D708" s="846"/>
      <c r="E708" s="846"/>
      <c r="F708" s="846"/>
      <c r="G708" s="846"/>
      <c r="H708" s="846"/>
      <c r="I708" s="846"/>
      <c r="J708" s="846"/>
      <c r="K708" s="846"/>
      <c r="L708" s="846"/>
      <c r="M708" s="846"/>
      <c r="N708" s="846"/>
      <c r="O708" s="846"/>
    </row>
    <row r="709" spans="1:15" ht="20.100000000000001" customHeight="1">
      <c r="A709" s="846"/>
      <c r="B709" s="846"/>
      <c r="C709" s="846"/>
      <c r="D709" s="846"/>
      <c r="E709" s="846"/>
      <c r="F709" s="846"/>
      <c r="G709" s="846"/>
      <c r="H709" s="846"/>
      <c r="I709" s="846"/>
      <c r="J709" s="846"/>
      <c r="K709" s="846"/>
      <c r="L709" s="846"/>
      <c r="M709" s="846"/>
      <c r="N709" s="846"/>
      <c r="O709" s="846"/>
    </row>
    <row r="710" spans="1:15" ht="20.100000000000001" customHeight="1">
      <c r="A710" s="846"/>
      <c r="B710" s="846"/>
      <c r="C710" s="846"/>
      <c r="D710" s="846"/>
      <c r="E710" s="846"/>
      <c r="F710" s="846"/>
      <c r="G710" s="846"/>
      <c r="H710" s="846"/>
      <c r="I710" s="846"/>
      <c r="J710" s="846"/>
      <c r="K710" s="846"/>
      <c r="L710" s="846"/>
      <c r="M710" s="846"/>
      <c r="N710" s="846"/>
      <c r="O710" s="846"/>
    </row>
    <row r="711" spans="1:15" ht="20.100000000000001" customHeight="1">
      <c r="A711" s="846"/>
      <c r="B711" s="846"/>
      <c r="C711" s="846"/>
      <c r="D711" s="846"/>
      <c r="E711" s="846"/>
      <c r="F711" s="846"/>
      <c r="G711" s="846"/>
      <c r="H711" s="846"/>
      <c r="I711" s="846"/>
      <c r="J711" s="846"/>
      <c r="K711" s="846"/>
      <c r="L711" s="846"/>
      <c r="M711" s="846"/>
      <c r="N711" s="846"/>
      <c r="O711" s="846"/>
    </row>
    <row r="712" spans="1:15" ht="20.100000000000001" customHeight="1">
      <c r="A712" s="846"/>
      <c r="B712" s="846"/>
      <c r="C712" s="846"/>
      <c r="D712" s="846"/>
      <c r="E712" s="846"/>
      <c r="F712" s="846"/>
      <c r="G712" s="846"/>
      <c r="H712" s="846"/>
      <c r="I712" s="846"/>
      <c r="J712" s="846"/>
      <c r="K712" s="846"/>
      <c r="L712" s="846"/>
      <c r="M712" s="846"/>
      <c r="N712" s="846"/>
      <c r="O712" s="846"/>
    </row>
    <row r="713" spans="1:15" ht="20.100000000000001" customHeight="1">
      <c r="A713" s="846"/>
      <c r="B713" s="846"/>
      <c r="C713" s="846"/>
      <c r="D713" s="846"/>
      <c r="E713" s="846"/>
      <c r="F713" s="846"/>
      <c r="G713" s="846"/>
      <c r="H713" s="846"/>
      <c r="I713" s="846"/>
      <c r="J713" s="846"/>
      <c r="K713" s="846"/>
      <c r="L713" s="846"/>
      <c r="M713" s="846"/>
      <c r="N713" s="846"/>
      <c r="O713" s="846"/>
    </row>
    <row r="714" spans="1:15" ht="20.100000000000001" customHeight="1">
      <c r="A714" s="846"/>
      <c r="B714" s="846"/>
      <c r="C714" s="846"/>
      <c r="D714" s="846"/>
      <c r="E714" s="846"/>
      <c r="F714" s="846"/>
      <c r="G714" s="846"/>
      <c r="H714" s="846"/>
      <c r="I714" s="846"/>
      <c r="J714" s="846"/>
      <c r="K714" s="846"/>
      <c r="L714" s="846"/>
      <c r="M714" s="846"/>
      <c r="N714" s="846"/>
      <c r="O714" s="846"/>
    </row>
    <row r="715" spans="1:15" ht="20.100000000000001" customHeight="1">
      <c r="A715" s="846"/>
      <c r="B715" s="846"/>
      <c r="C715" s="846"/>
      <c r="D715" s="846"/>
      <c r="E715" s="846"/>
      <c r="F715" s="846"/>
      <c r="G715" s="846"/>
      <c r="H715" s="846"/>
      <c r="I715" s="846"/>
      <c r="J715" s="846"/>
      <c r="K715" s="846"/>
      <c r="L715" s="846"/>
      <c r="M715" s="846"/>
      <c r="N715" s="846"/>
      <c r="O715" s="846"/>
    </row>
    <row r="716" spans="1:15" ht="20.100000000000001" customHeight="1">
      <c r="A716" s="846"/>
      <c r="B716" s="846"/>
      <c r="C716" s="846"/>
      <c r="D716" s="846"/>
      <c r="E716" s="846"/>
      <c r="F716" s="846"/>
      <c r="G716" s="846"/>
      <c r="H716" s="846"/>
      <c r="I716" s="846"/>
      <c r="J716" s="846"/>
      <c r="K716" s="846"/>
      <c r="L716" s="846"/>
      <c r="M716" s="846"/>
      <c r="N716" s="846"/>
      <c r="O716" s="846"/>
    </row>
    <row r="717" spans="1:15" ht="20.100000000000001" customHeight="1">
      <c r="A717" s="846"/>
      <c r="B717" s="846"/>
      <c r="C717" s="846"/>
      <c r="D717" s="846"/>
      <c r="E717" s="846"/>
      <c r="F717" s="846"/>
      <c r="G717" s="846"/>
      <c r="H717" s="846"/>
      <c r="I717" s="846"/>
      <c r="J717" s="846"/>
      <c r="K717" s="846"/>
      <c r="L717" s="846"/>
      <c r="M717" s="846"/>
      <c r="N717" s="846"/>
      <c r="O717" s="846"/>
    </row>
    <row r="718" spans="1:15" ht="20.100000000000001" customHeight="1">
      <c r="A718" s="846"/>
      <c r="B718" s="846"/>
      <c r="C718" s="846"/>
      <c r="D718" s="846"/>
      <c r="E718" s="846"/>
      <c r="F718" s="846"/>
      <c r="G718" s="846"/>
      <c r="H718" s="846"/>
      <c r="I718" s="846"/>
      <c r="J718" s="846"/>
      <c r="K718" s="846"/>
      <c r="L718" s="846"/>
      <c r="M718" s="846"/>
      <c r="N718" s="846"/>
      <c r="O718" s="846"/>
    </row>
    <row r="719" spans="1:15" ht="20.100000000000001" customHeight="1">
      <c r="A719" s="846"/>
      <c r="B719" s="846"/>
      <c r="C719" s="846"/>
      <c r="D719" s="846"/>
      <c r="E719" s="846"/>
      <c r="F719" s="846"/>
      <c r="G719" s="846"/>
      <c r="H719" s="846"/>
      <c r="I719" s="846"/>
      <c r="J719" s="846"/>
      <c r="K719" s="846"/>
      <c r="L719" s="846"/>
      <c r="M719" s="846"/>
      <c r="N719" s="846"/>
      <c r="O719" s="846"/>
    </row>
    <row r="720" spans="1:15" ht="20.100000000000001" customHeight="1">
      <c r="A720" s="846"/>
      <c r="B720" s="846"/>
      <c r="C720" s="846"/>
      <c r="D720" s="846"/>
      <c r="E720" s="846"/>
      <c r="F720" s="846"/>
      <c r="G720" s="846"/>
      <c r="H720" s="846"/>
      <c r="I720" s="846"/>
      <c r="J720" s="846"/>
      <c r="K720" s="846"/>
      <c r="L720" s="846"/>
      <c r="M720" s="846"/>
      <c r="N720" s="846"/>
      <c r="O720" s="846"/>
    </row>
    <row r="721" spans="1:15" ht="20.100000000000001" customHeight="1">
      <c r="A721" s="846"/>
      <c r="B721" s="846"/>
      <c r="C721" s="846"/>
      <c r="D721" s="846"/>
      <c r="E721" s="846"/>
      <c r="F721" s="846"/>
      <c r="G721" s="846"/>
      <c r="H721" s="846"/>
      <c r="I721" s="846"/>
      <c r="J721" s="846"/>
      <c r="K721" s="846"/>
      <c r="L721" s="846"/>
      <c r="M721" s="846"/>
      <c r="N721" s="846"/>
      <c r="O721" s="846"/>
    </row>
    <row r="722" spans="1:15" ht="20.100000000000001" customHeight="1">
      <c r="A722" s="846"/>
      <c r="B722" s="846"/>
      <c r="C722" s="846"/>
      <c r="D722" s="846"/>
      <c r="E722" s="846"/>
      <c r="F722" s="846"/>
      <c r="G722" s="846"/>
      <c r="H722" s="846"/>
      <c r="I722" s="846"/>
      <c r="J722" s="846"/>
      <c r="K722" s="846"/>
      <c r="L722" s="846"/>
      <c r="M722" s="846"/>
      <c r="N722" s="846"/>
      <c r="O722" s="846"/>
    </row>
    <row r="723" spans="1:15" ht="20.100000000000001" customHeight="1">
      <c r="A723" s="846"/>
      <c r="B723" s="846"/>
      <c r="C723" s="846"/>
      <c r="D723" s="846"/>
      <c r="E723" s="846"/>
      <c r="F723" s="846"/>
      <c r="G723" s="846"/>
      <c r="H723" s="846"/>
      <c r="I723" s="846"/>
      <c r="J723" s="846"/>
      <c r="K723" s="846"/>
      <c r="L723" s="846"/>
      <c r="M723" s="846"/>
      <c r="N723" s="846"/>
      <c r="O723" s="846"/>
    </row>
    <row r="724" spans="1:15" ht="20.100000000000001" customHeight="1">
      <c r="A724" s="846"/>
      <c r="B724" s="846"/>
      <c r="C724" s="846"/>
      <c r="D724" s="846"/>
      <c r="E724" s="846"/>
      <c r="F724" s="846"/>
      <c r="G724" s="846"/>
      <c r="H724" s="846"/>
      <c r="I724" s="846"/>
      <c r="J724" s="846"/>
      <c r="K724" s="846"/>
      <c r="L724" s="846"/>
      <c r="M724" s="846"/>
      <c r="N724" s="846"/>
      <c r="O724" s="846"/>
    </row>
    <row r="725" spans="1:15" ht="20.100000000000001" customHeight="1">
      <c r="A725" s="846"/>
      <c r="B725" s="846"/>
      <c r="C725" s="846"/>
      <c r="D725" s="846"/>
      <c r="E725" s="846"/>
      <c r="F725" s="846"/>
      <c r="G725" s="846"/>
      <c r="H725" s="846"/>
      <c r="I725" s="846"/>
      <c r="J725" s="846"/>
      <c r="K725" s="846"/>
      <c r="L725" s="846"/>
      <c r="M725" s="846"/>
      <c r="N725" s="846"/>
      <c r="O725" s="846"/>
    </row>
    <row r="726" spans="1:15" ht="20.100000000000001" customHeight="1">
      <c r="A726" s="846"/>
      <c r="B726" s="846"/>
      <c r="C726" s="846"/>
      <c r="D726" s="846"/>
      <c r="E726" s="846"/>
      <c r="F726" s="846"/>
      <c r="G726" s="846"/>
      <c r="H726" s="846"/>
      <c r="I726" s="846"/>
      <c r="J726" s="846"/>
      <c r="K726" s="846"/>
      <c r="L726" s="846"/>
      <c r="M726" s="846"/>
      <c r="N726" s="846"/>
      <c r="O726" s="846"/>
    </row>
    <row r="727" spans="1:15" ht="20.100000000000001" customHeight="1">
      <c r="A727" s="846"/>
      <c r="B727" s="846"/>
      <c r="C727" s="846"/>
      <c r="D727" s="846"/>
      <c r="E727" s="846"/>
      <c r="F727" s="846"/>
      <c r="G727" s="846"/>
      <c r="H727" s="846"/>
      <c r="I727" s="846"/>
      <c r="J727" s="846"/>
      <c r="K727" s="846"/>
      <c r="L727" s="846"/>
      <c r="M727" s="846"/>
      <c r="N727" s="846"/>
      <c r="O727" s="846"/>
    </row>
    <row r="728" spans="1:15" ht="20.100000000000001" customHeight="1">
      <c r="A728" s="846"/>
      <c r="B728" s="846"/>
      <c r="C728" s="846"/>
      <c r="D728" s="846"/>
      <c r="E728" s="846"/>
      <c r="F728" s="846"/>
      <c r="G728" s="846"/>
      <c r="H728" s="846"/>
      <c r="I728" s="846"/>
      <c r="J728" s="846"/>
      <c r="K728" s="846"/>
      <c r="L728" s="846"/>
      <c r="M728" s="846"/>
      <c r="N728" s="846"/>
      <c r="O728" s="846"/>
    </row>
    <row r="729" spans="1:15" ht="20.100000000000001" customHeight="1">
      <c r="A729" s="846"/>
      <c r="B729" s="846"/>
      <c r="C729" s="846"/>
      <c r="D729" s="846"/>
      <c r="E729" s="846"/>
      <c r="F729" s="846"/>
      <c r="G729" s="846"/>
      <c r="H729" s="846"/>
      <c r="I729" s="846"/>
      <c r="J729" s="846"/>
      <c r="K729" s="846"/>
      <c r="L729" s="846"/>
      <c r="M729" s="846"/>
      <c r="N729" s="846"/>
      <c r="O729" s="846"/>
    </row>
    <row r="730" spans="1:15" ht="20.100000000000001" customHeight="1">
      <c r="A730" s="846"/>
      <c r="B730" s="846"/>
      <c r="C730" s="846"/>
      <c r="D730" s="846"/>
      <c r="E730" s="846"/>
      <c r="F730" s="846"/>
      <c r="G730" s="846"/>
      <c r="H730" s="846"/>
      <c r="I730" s="846"/>
      <c r="J730" s="846"/>
      <c r="K730" s="846"/>
      <c r="L730" s="846"/>
      <c r="M730" s="846"/>
      <c r="N730" s="846"/>
      <c r="O730" s="846"/>
    </row>
    <row r="731" spans="1:15" ht="20.100000000000001" customHeight="1">
      <c r="A731" s="846"/>
      <c r="B731" s="846"/>
      <c r="C731" s="846"/>
      <c r="D731" s="846"/>
      <c r="E731" s="846"/>
      <c r="F731" s="846"/>
      <c r="G731" s="846"/>
      <c r="H731" s="846"/>
      <c r="I731" s="846"/>
      <c r="J731" s="846"/>
      <c r="K731" s="846"/>
      <c r="L731" s="846"/>
      <c r="M731" s="846"/>
      <c r="N731" s="846"/>
      <c r="O731" s="846"/>
    </row>
    <row r="732" spans="1:15" ht="20.100000000000001" customHeight="1">
      <c r="A732" s="846"/>
      <c r="B732" s="846"/>
      <c r="C732" s="846"/>
      <c r="D732" s="846"/>
      <c r="E732" s="846"/>
      <c r="F732" s="846"/>
      <c r="G732" s="846"/>
      <c r="H732" s="846"/>
      <c r="I732" s="846"/>
      <c r="J732" s="846"/>
      <c r="K732" s="846"/>
      <c r="L732" s="846"/>
      <c r="M732" s="846"/>
      <c r="N732" s="846"/>
      <c r="O732" s="846"/>
    </row>
    <row r="733" spans="1:15" ht="20.100000000000001" customHeight="1">
      <c r="A733" s="846"/>
      <c r="B733" s="846"/>
      <c r="C733" s="846"/>
      <c r="D733" s="846"/>
      <c r="E733" s="846"/>
      <c r="F733" s="846"/>
      <c r="G733" s="846"/>
      <c r="H733" s="846"/>
      <c r="I733" s="846"/>
      <c r="J733" s="846"/>
      <c r="K733" s="846"/>
      <c r="L733" s="846"/>
      <c r="M733" s="846"/>
      <c r="N733" s="846"/>
      <c r="O733" s="846"/>
    </row>
    <row r="734" spans="1:15" ht="20.100000000000001" customHeight="1">
      <c r="A734" s="846"/>
      <c r="B734" s="846"/>
      <c r="C734" s="846"/>
      <c r="D734" s="846"/>
      <c r="E734" s="846"/>
      <c r="F734" s="846"/>
      <c r="G734" s="846"/>
      <c r="H734" s="846"/>
      <c r="I734" s="846"/>
      <c r="J734" s="846"/>
      <c r="K734" s="846"/>
      <c r="L734" s="846"/>
      <c r="M734" s="846"/>
      <c r="N734" s="846"/>
      <c r="O734" s="846"/>
    </row>
    <row r="735" spans="1:15" ht="20.100000000000001" customHeight="1">
      <c r="A735" s="846"/>
      <c r="B735" s="846"/>
      <c r="C735" s="846"/>
      <c r="D735" s="846"/>
      <c r="E735" s="846"/>
      <c r="F735" s="846"/>
      <c r="G735" s="846"/>
      <c r="H735" s="846"/>
      <c r="I735" s="846"/>
      <c r="J735" s="846"/>
      <c r="K735" s="846"/>
      <c r="L735" s="846"/>
      <c r="M735" s="846"/>
      <c r="N735" s="846"/>
      <c r="O735" s="846"/>
    </row>
    <row r="736" spans="1:15" ht="20.100000000000001" customHeight="1">
      <c r="A736" s="846"/>
      <c r="B736" s="846"/>
      <c r="C736" s="846"/>
      <c r="D736" s="846"/>
      <c r="E736" s="846"/>
      <c r="F736" s="846"/>
      <c r="G736" s="846"/>
      <c r="H736" s="846"/>
      <c r="I736" s="846"/>
      <c r="J736" s="846"/>
      <c r="K736" s="846"/>
      <c r="L736" s="846"/>
      <c r="M736" s="846"/>
      <c r="N736" s="846"/>
      <c r="O736" s="846"/>
    </row>
    <row r="737" spans="1:15" ht="20.100000000000001" customHeight="1">
      <c r="A737" s="846"/>
      <c r="B737" s="846"/>
      <c r="C737" s="846"/>
      <c r="D737" s="846"/>
      <c r="E737" s="846"/>
      <c r="F737" s="846"/>
      <c r="G737" s="846"/>
      <c r="H737" s="846"/>
      <c r="I737" s="846"/>
      <c r="J737" s="846"/>
      <c r="K737" s="846"/>
      <c r="L737" s="846"/>
      <c r="M737" s="846"/>
      <c r="N737" s="846"/>
      <c r="O737" s="846"/>
    </row>
    <row r="738" spans="1:15" ht="20.100000000000001" customHeight="1">
      <c r="A738" s="846"/>
      <c r="B738" s="846"/>
      <c r="C738" s="846"/>
      <c r="D738" s="846"/>
      <c r="E738" s="846"/>
      <c r="F738" s="846"/>
      <c r="G738" s="846"/>
      <c r="H738" s="846"/>
      <c r="I738" s="846"/>
      <c r="J738" s="846"/>
      <c r="K738" s="846"/>
      <c r="L738" s="846"/>
      <c r="M738" s="846"/>
      <c r="N738" s="846"/>
      <c r="O738" s="846"/>
    </row>
    <row r="739" spans="1:15" ht="20.100000000000001" customHeight="1">
      <c r="A739" s="846"/>
      <c r="B739" s="846"/>
      <c r="C739" s="846"/>
      <c r="D739" s="846"/>
      <c r="E739" s="846"/>
      <c r="F739" s="846"/>
      <c r="G739" s="846"/>
      <c r="H739" s="846"/>
      <c r="I739" s="846"/>
      <c r="J739" s="846"/>
      <c r="K739" s="846"/>
      <c r="L739" s="846"/>
      <c r="M739" s="846"/>
      <c r="N739" s="846"/>
      <c r="O739" s="846"/>
    </row>
    <row r="740" spans="1:15" ht="20.100000000000001" customHeight="1">
      <c r="A740" s="846"/>
      <c r="B740" s="846"/>
      <c r="C740" s="846"/>
      <c r="D740" s="846"/>
      <c r="E740" s="846"/>
      <c r="F740" s="846"/>
      <c r="G740" s="846"/>
      <c r="H740" s="846"/>
      <c r="I740" s="846"/>
      <c r="J740" s="846"/>
      <c r="K740" s="846"/>
      <c r="L740" s="846"/>
      <c r="M740" s="846"/>
      <c r="N740" s="846"/>
      <c r="O740" s="846"/>
    </row>
    <row r="741" spans="1:15" ht="20.100000000000001" customHeight="1">
      <c r="A741" s="846"/>
      <c r="B741" s="846"/>
      <c r="C741" s="846"/>
      <c r="D741" s="846"/>
      <c r="E741" s="846"/>
      <c r="F741" s="846"/>
      <c r="G741" s="846"/>
      <c r="H741" s="846"/>
      <c r="I741" s="846"/>
      <c r="J741" s="846"/>
      <c r="K741" s="846"/>
      <c r="L741" s="846"/>
      <c r="M741" s="846"/>
      <c r="N741" s="846"/>
      <c r="O741" s="846"/>
    </row>
    <row r="742" spans="1:15" ht="20.100000000000001" customHeight="1">
      <c r="A742" s="846"/>
      <c r="B742" s="846"/>
      <c r="C742" s="846"/>
      <c r="D742" s="846"/>
      <c r="E742" s="846"/>
      <c r="F742" s="846"/>
      <c r="G742" s="846"/>
      <c r="H742" s="846"/>
      <c r="I742" s="846"/>
      <c r="J742" s="846"/>
      <c r="K742" s="846"/>
      <c r="L742" s="846"/>
      <c r="M742" s="846"/>
      <c r="N742" s="846"/>
      <c r="O742" s="846"/>
    </row>
    <row r="743" spans="1:15" ht="20.100000000000001" customHeight="1">
      <c r="A743" s="846"/>
      <c r="B743" s="846"/>
      <c r="C743" s="846"/>
      <c r="D743" s="846"/>
      <c r="E743" s="846"/>
      <c r="F743" s="846"/>
      <c r="G743" s="846"/>
      <c r="H743" s="846"/>
      <c r="I743" s="846"/>
      <c r="J743" s="846"/>
      <c r="K743" s="846"/>
      <c r="L743" s="846"/>
      <c r="M743" s="846"/>
      <c r="N743" s="846"/>
      <c r="O743" s="846"/>
    </row>
    <row r="744" spans="1:15" ht="20.100000000000001" customHeight="1">
      <c r="A744" s="846"/>
      <c r="B744" s="846"/>
      <c r="C744" s="846"/>
      <c r="D744" s="846"/>
      <c r="E744" s="846"/>
      <c r="F744" s="846"/>
      <c r="G744" s="846"/>
      <c r="H744" s="846"/>
      <c r="I744" s="846"/>
      <c r="J744" s="846"/>
      <c r="K744" s="846"/>
      <c r="L744" s="846"/>
      <c r="M744" s="846"/>
      <c r="N744" s="846"/>
      <c r="O744" s="846"/>
    </row>
    <row r="745" spans="1:15" ht="20.100000000000001" customHeight="1">
      <c r="A745" s="846"/>
      <c r="B745" s="846"/>
      <c r="C745" s="846"/>
      <c r="D745" s="846"/>
      <c r="E745" s="846"/>
      <c r="F745" s="846"/>
      <c r="G745" s="846"/>
      <c r="H745" s="846"/>
      <c r="I745" s="846"/>
      <c r="J745" s="846"/>
      <c r="K745" s="846"/>
      <c r="L745" s="846"/>
      <c r="M745" s="846"/>
      <c r="N745" s="846"/>
      <c r="O745" s="846"/>
    </row>
    <row r="746" spans="1:15" ht="20.100000000000001" customHeight="1">
      <c r="A746" s="846"/>
      <c r="B746" s="846"/>
      <c r="C746" s="846"/>
      <c r="D746" s="846"/>
      <c r="E746" s="846"/>
      <c r="F746" s="846"/>
      <c r="G746" s="846"/>
      <c r="H746" s="846"/>
      <c r="I746" s="846"/>
      <c r="J746" s="846"/>
      <c r="K746" s="846"/>
      <c r="L746" s="846"/>
      <c r="M746" s="846"/>
      <c r="N746" s="846"/>
      <c r="O746" s="846"/>
    </row>
    <row r="747" spans="1:15" ht="20.100000000000001" customHeight="1">
      <c r="A747" s="846"/>
      <c r="B747" s="846"/>
      <c r="C747" s="846"/>
      <c r="D747" s="846"/>
      <c r="E747" s="846"/>
      <c r="F747" s="846"/>
      <c r="G747" s="846"/>
      <c r="H747" s="846"/>
      <c r="I747" s="846"/>
      <c r="J747" s="846"/>
      <c r="K747" s="846"/>
      <c r="L747" s="846"/>
      <c r="M747" s="846"/>
      <c r="N747" s="846"/>
      <c r="O747" s="846"/>
    </row>
    <row r="748" spans="1:15" ht="20.100000000000001" customHeight="1">
      <c r="A748" s="846"/>
      <c r="B748" s="846"/>
      <c r="C748" s="846"/>
      <c r="D748" s="846"/>
      <c r="E748" s="846"/>
      <c r="F748" s="846"/>
      <c r="G748" s="846"/>
      <c r="H748" s="846"/>
      <c r="I748" s="846"/>
      <c r="J748" s="846"/>
      <c r="K748" s="846"/>
      <c r="L748" s="846"/>
      <c r="M748" s="846"/>
      <c r="N748" s="846"/>
      <c r="O748" s="846"/>
    </row>
    <row r="749" spans="1:15" ht="20.100000000000001" customHeight="1">
      <c r="A749" s="846"/>
      <c r="B749" s="846"/>
      <c r="C749" s="846"/>
      <c r="D749" s="846"/>
      <c r="E749" s="846"/>
      <c r="F749" s="846"/>
      <c r="G749" s="846"/>
      <c r="H749" s="846"/>
      <c r="I749" s="846"/>
      <c r="J749" s="846"/>
      <c r="K749" s="846"/>
      <c r="L749" s="846"/>
      <c r="M749" s="846"/>
      <c r="N749" s="846"/>
      <c r="O749" s="846"/>
    </row>
    <row r="750" spans="1:15" ht="20.100000000000001" customHeight="1">
      <c r="A750" s="846"/>
      <c r="B750" s="846"/>
      <c r="C750" s="846"/>
      <c r="D750" s="846"/>
      <c r="E750" s="846"/>
      <c r="F750" s="846"/>
      <c r="G750" s="846"/>
      <c r="H750" s="846"/>
      <c r="I750" s="846"/>
      <c r="J750" s="846"/>
      <c r="K750" s="846"/>
      <c r="L750" s="846"/>
      <c r="M750" s="846"/>
      <c r="N750" s="846"/>
      <c r="O750" s="846"/>
    </row>
    <row r="751" spans="1:15" ht="20.100000000000001" customHeight="1">
      <c r="A751" s="846"/>
      <c r="B751" s="846"/>
      <c r="C751" s="846"/>
      <c r="D751" s="846"/>
      <c r="E751" s="846"/>
      <c r="F751" s="846"/>
      <c r="G751" s="846"/>
      <c r="H751" s="846"/>
      <c r="I751" s="846"/>
      <c r="J751" s="846"/>
      <c r="K751" s="846"/>
      <c r="L751" s="846"/>
      <c r="M751" s="846"/>
      <c r="N751" s="846"/>
      <c r="O751" s="846"/>
    </row>
    <row r="752" spans="1:15" ht="20.100000000000001" customHeight="1">
      <c r="A752" s="846"/>
      <c r="B752" s="846"/>
      <c r="C752" s="846"/>
      <c r="D752" s="846"/>
      <c r="E752" s="846"/>
      <c r="F752" s="846"/>
      <c r="G752" s="846"/>
      <c r="H752" s="846"/>
      <c r="I752" s="846"/>
      <c r="J752" s="846"/>
      <c r="K752" s="846"/>
      <c r="L752" s="846"/>
      <c r="M752" s="846"/>
      <c r="N752" s="846"/>
      <c r="O752" s="846"/>
    </row>
    <row r="753" spans="1:15" ht="20.100000000000001" customHeight="1">
      <c r="A753" s="846"/>
      <c r="B753" s="846"/>
      <c r="C753" s="846"/>
      <c r="D753" s="846"/>
      <c r="E753" s="846"/>
      <c r="F753" s="846"/>
      <c r="G753" s="846"/>
      <c r="H753" s="846"/>
      <c r="I753" s="846"/>
      <c r="J753" s="846"/>
      <c r="K753" s="846"/>
      <c r="L753" s="846"/>
      <c r="M753" s="846"/>
      <c r="N753" s="846"/>
      <c r="O753" s="846"/>
    </row>
    <row r="754" spans="1:15" ht="20.100000000000001" customHeight="1">
      <c r="A754" s="846"/>
      <c r="B754" s="846"/>
      <c r="C754" s="846"/>
      <c r="D754" s="846"/>
      <c r="E754" s="846"/>
      <c r="F754" s="846"/>
      <c r="G754" s="846"/>
      <c r="H754" s="846"/>
      <c r="I754" s="846"/>
      <c r="J754" s="846"/>
      <c r="K754" s="846"/>
      <c r="L754" s="846"/>
      <c r="M754" s="846"/>
      <c r="N754" s="846"/>
      <c r="O754" s="846"/>
    </row>
    <row r="755" spans="1:15" ht="20.100000000000001" customHeight="1">
      <c r="A755" s="846"/>
      <c r="B755" s="846"/>
      <c r="C755" s="846"/>
      <c r="D755" s="846"/>
      <c r="E755" s="846"/>
      <c r="F755" s="846"/>
      <c r="G755" s="846"/>
      <c r="H755" s="846"/>
      <c r="I755" s="846"/>
      <c r="J755" s="846"/>
      <c r="K755" s="846"/>
      <c r="L755" s="846"/>
      <c r="M755" s="846"/>
      <c r="N755" s="846"/>
      <c r="O755" s="846"/>
    </row>
    <row r="756" spans="1:15" ht="20.100000000000001" customHeight="1">
      <c r="A756" s="846"/>
      <c r="B756" s="846"/>
      <c r="C756" s="846"/>
      <c r="D756" s="846"/>
      <c r="E756" s="846"/>
      <c r="F756" s="846"/>
      <c r="G756" s="846"/>
      <c r="H756" s="846"/>
      <c r="I756" s="846"/>
      <c r="J756" s="846"/>
      <c r="K756" s="846"/>
      <c r="L756" s="846"/>
      <c r="M756" s="846"/>
      <c r="N756" s="846"/>
      <c r="O756" s="846"/>
    </row>
    <row r="757" spans="1:15" ht="20.100000000000001" customHeight="1">
      <c r="A757" s="846"/>
      <c r="B757" s="846"/>
      <c r="C757" s="846"/>
      <c r="D757" s="846"/>
      <c r="E757" s="846"/>
      <c r="F757" s="846"/>
      <c r="G757" s="846"/>
      <c r="H757" s="846"/>
      <c r="I757" s="846"/>
      <c r="J757" s="846"/>
      <c r="K757" s="846"/>
      <c r="L757" s="846"/>
      <c r="M757" s="846"/>
      <c r="N757" s="846"/>
      <c r="O757" s="846"/>
    </row>
    <row r="758" spans="1:15" ht="20.100000000000001" customHeight="1">
      <c r="A758" s="846"/>
      <c r="B758" s="846"/>
      <c r="C758" s="846"/>
      <c r="D758" s="846"/>
      <c r="E758" s="846"/>
      <c r="F758" s="846"/>
      <c r="G758" s="846"/>
      <c r="H758" s="846"/>
      <c r="I758" s="846"/>
      <c r="J758" s="846"/>
      <c r="K758" s="846"/>
      <c r="L758" s="846"/>
      <c r="M758" s="846"/>
      <c r="N758" s="846"/>
      <c r="O758" s="846"/>
    </row>
    <row r="759" spans="1:15" ht="20.100000000000001" customHeight="1">
      <c r="A759" s="846"/>
      <c r="B759" s="846"/>
      <c r="C759" s="846"/>
      <c r="D759" s="846"/>
      <c r="E759" s="846"/>
      <c r="F759" s="846"/>
      <c r="G759" s="846"/>
      <c r="H759" s="846"/>
      <c r="I759" s="846"/>
      <c r="J759" s="846"/>
      <c r="K759" s="846"/>
      <c r="L759" s="846"/>
      <c r="M759" s="846"/>
      <c r="N759" s="846"/>
      <c r="O759" s="846"/>
    </row>
    <row r="760" spans="1:15" ht="20.100000000000001" customHeight="1">
      <c r="A760" s="846"/>
      <c r="B760" s="846"/>
      <c r="C760" s="846"/>
      <c r="D760" s="846"/>
      <c r="E760" s="846"/>
      <c r="F760" s="846"/>
      <c r="G760" s="846"/>
      <c r="H760" s="846"/>
      <c r="I760" s="846"/>
      <c r="J760" s="846"/>
      <c r="K760" s="846"/>
      <c r="L760" s="846"/>
      <c r="M760" s="846"/>
      <c r="N760" s="846"/>
      <c r="O760" s="846"/>
    </row>
    <row r="761" spans="1:15" ht="20.100000000000001" customHeight="1">
      <c r="A761" s="846"/>
      <c r="B761" s="846"/>
      <c r="C761" s="846"/>
      <c r="D761" s="846"/>
      <c r="E761" s="846"/>
      <c r="F761" s="846"/>
      <c r="G761" s="846"/>
      <c r="H761" s="846"/>
      <c r="I761" s="846"/>
      <c r="J761" s="846"/>
      <c r="K761" s="846"/>
      <c r="L761" s="846"/>
      <c r="M761" s="846"/>
      <c r="N761" s="846"/>
      <c r="O761" s="846"/>
    </row>
    <row r="762" spans="1:15" ht="20.100000000000001" customHeight="1">
      <c r="A762" s="846"/>
      <c r="B762" s="846"/>
      <c r="C762" s="846"/>
      <c r="D762" s="846"/>
      <c r="E762" s="846"/>
      <c r="F762" s="846"/>
      <c r="G762" s="846"/>
      <c r="H762" s="846"/>
      <c r="I762" s="846"/>
      <c r="J762" s="846"/>
      <c r="K762" s="846"/>
      <c r="L762" s="846"/>
      <c r="M762" s="846"/>
      <c r="N762" s="846"/>
      <c r="O762" s="846"/>
    </row>
    <row r="763" spans="1:15" ht="20.100000000000001" customHeight="1">
      <c r="A763" s="846"/>
      <c r="B763" s="846"/>
      <c r="C763" s="846"/>
      <c r="D763" s="846"/>
      <c r="E763" s="846"/>
      <c r="F763" s="846"/>
      <c r="G763" s="846"/>
      <c r="H763" s="846"/>
      <c r="I763" s="846"/>
      <c r="J763" s="846"/>
      <c r="K763" s="846"/>
      <c r="L763" s="846"/>
      <c r="M763" s="846"/>
      <c r="N763" s="846"/>
      <c r="O763" s="846"/>
    </row>
    <row r="764" spans="1:15" ht="20.100000000000001" customHeight="1">
      <c r="A764" s="846"/>
      <c r="B764" s="846"/>
      <c r="C764" s="846"/>
      <c r="D764" s="846"/>
      <c r="E764" s="846"/>
      <c r="F764" s="846"/>
      <c r="G764" s="846"/>
      <c r="H764" s="846"/>
      <c r="I764" s="846"/>
      <c r="J764" s="846"/>
      <c r="K764" s="846"/>
      <c r="L764" s="846"/>
      <c r="M764" s="846"/>
      <c r="N764" s="846"/>
      <c r="O764" s="846"/>
    </row>
    <row r="765" spans="1:15" ht="20.100000000000001" customHeight="1">
      <c r="A765" s="846"/>
      <c r="B765" s="846"/>
      <c r="C765" s="846"/>
      <c r="D765" s="846"/>
      <c r="E765" s="846"/>
      <c r="F765" s="846"/>
      <c r="G765" s="846"/>
      <c r="H765" s="846"/>
      <c r="I765" s="846"/>
      <c r="J765" s="846"/>
      <c r="K765" s="846"/>
      <c r="L765" s="846"/>
      <c r="M765" s="846"/>
      <c r="N765" s="846"/>
      <c r="O765" s="846"/>
    </row>
    <row r="766" spans="1:15" ht="20.100000000000001" customHeight="1">
      <c r="A766" s="846"/>
      <c r="B766" s="846"/>
      <c r="C766" s="846"/>
      <c r="D766" s="846"/>
      <c r="E766" s="846"/>
      <c r="F766" s="846"/>
      <c r="G766" s="846"/>
      <c r="H766" s="846"/>
      <c r="I766" s="846"/>
      <c r="J766" s="846"/>
      <c r="K766" s="846"/>
      <c r="L766" s="846"/>
      <c r="M766" s="846"/>
      <c r="N766" s="846"/>
      <c r="O766" s="846"/>
    </row>
    <row r="767" spans="1:15" ht="20.100000000000001" customHeight="1">
      <c r="A767" s="846"/>
      <c r="B767" s="846"/>
      <c r="C767" s="846"/>
      <c r="D767" s="846"/>
      <c r="E767" s="846"/>
      <c r="F767" s="846"/>
      <c r="G767" s="846"/>
      <c r="H767" s="846"/>
      <c r="I767" s="846"/>
      <c r="J767" s="846"/>
      <c r="K767" s="846"/>
      <c r="L767" s="846"/>
      <c r="M767" s="846"/>
      <c r="N767" s="846"/>
      <c r="O767" s="846"/>
    </row>
    <row r="768" spans="1:15" ht="20.100000000000001" customHeight="1">
      <c r="A768" s="846"/>
      <c r="B768" s="846"/>
      <c r="C768" s="846"/>
      <c r="D768" s="846"/>
      <c r="E768" s="846"/>
      <c r="F768" s="846"/>
      <c r="G768" s="846"/>
      <c r="H768" s="846"/>
      <c r="I768" s="846"/>
      <c r="J768" s="846"/>
      <c r="K768" s="846"/>
      <c r="L768" s="846"/>
      <c r="M768" s="846"/>
      <c r="N768" s="846"/>
      <c r="O768" s="846"/>
    </row>
    <row r="769" spans="1:15" ht="20.100000000000001" customHeight="1">
      <c r="A769" s="846"/>
      <c r="B769" s="846"/>
      <c r="C769" s="846"/>
      <c r="D769" s="846"/>
      <c r="E769" s="846"/>
      <c r="F769" s="846"/>
      <c r="G769" s="846"/>
      <c r="H769" s="846"/>
      <c r="I769" s="846"/>
      <c r="J769" s="846"/>
      <c r="K769" s="846"/>
      <c r="L769" s="846"/>
      <c r="M769" s="846"/>
      <c r="N769" s="846"/>
      <c r="O769" s="846"/>
    </row>
    <row r="770" spans="1:15" ht="20.100000000000001" customHeight="1">
      <c r="A770" s="846"/>
      <c r="B770" s="846"/>
      <c r="C770" s="846"/>
      <c r="D770" s="846"/>
      <c r="E770" s="846"/>
      <c r="F770" s="846"/>
      <c r="G770" s="846"/>
      <c r="H770" s="846"/>
      <c r="I770" s="846"/>
      <c r="J770" s="846"/>
      <c r="K770" s="846"/>
      <c r="L770" s="846"/>
      <c r="M770" s="846"/>
      <c r="N770" s="846"/>
      <c r="O770" s="846"/>
    </row>
    <row r="771" spans="1:15" ht="20.100000000000001" customHeight="1">
      <c r="A771" s="846"/>
      <c r="B771" s="846"/>
      <c r="C771" s="846"/>
      <c r="D771" s="846"/>
      <c r="E771" s="846"/>
      <c r="F771" s="846"/>
      <c r="G771" s="846"/>
      <c r="H771" s="846"/>
      <c r="I771" s="846"/>
      <c r="J771" s="846"/>
      <c r="K771" s="846"/>
      <c r="L771" s="846"/>
      <c r="M771" s="846"/>
      <c r="N771" s="846"/>
      <c r="O771" s="846"/>
    </row>
    <row r="772" spans="1:15" ht="20.100000000000001" customHeight="1">
      <c r="A772" s="846"/>
      <c r="B772" s="846"/>
      <c r="C772" s="846"/>
      <c r="D772" s="846"/>
      <c r="E772" s="846"/>
      <c r="F772" s="846"/>
      <c r="G772" s="846"/>
      <c r="H772" s="846"/>
      <c r="I772" s="846"/>
      <c r="J772" s="846"/>
      <c r="K772" s="846"/>
      <c r="L772" s="846"/>
      <c r="M772" s="846"/>
      <c r="N772" s="846"/>
      <c r="O772" s="846"/>
    </row>
    <row r="773" spans="1:15" ht="20.100000000000001" customHeight="1">
      <c r="A773" s="846"/>
      <c r="B773" s="846"/>
      <c r="C773" s="846"/>
      <c r="D773" s="846"/>
      <c r="E773" s="846"/>
      <c r="F773" s="846"/>
      <c r="G773" s="846"/>
      <c r="H773" s="846"/>
      <c r="I773" s="846"/>
      <c r="J773" s="846"/>
      <c r="K773" s="846"/>
      <c r="L773" s="846"/>
      <c r="M773" s="846"/>
      <c r="N773" s="846"/>
      <c r="O773" s="846"/>
    </row>
    <row r="774" spans="1:15" ht="20.100000000000001" customHeight="1">
      <c r="A774" s="846"/>
      <c r="B774" s="846"/>
      <c r="C774" s="846"/>
      <c r="D774" s="846"/>
      <c r="E774" s="846"/>
      <c r="F774" s="846"/>
      <c r="G774" s="846"/>
      <c r="H774" s="846"/>
      <c r="I774" s="846"/>
      <c r="J774" s="846"/>
      <c r="K774" s="846"/>
      <c r="L774" s="846"/>
      <c r="M774" s="846"/>
      <c r="N774" s="846"/>
      <c r="O774" s="846"/>
    </row>
    <row r="775" spans="1:15" ht="20.100000000000001" customHeight="1">
      <c r="A775" s="846"/>
      <c r="B775" s="846"/>
      <c r="C775" s="846"/>
      <c r="D775" s="846"/>
      <c r="E775" s="846"/>
      <c r="F775" s="846"/>
      <c r="G775" s="846"/>
      <c r="H775" s="846"/>
      <c r="I775" s="846"/>
      <c r="J775" s="846"/>
      <c r="K775" s="846"/>
      <c r="L775" s="846"/>
      <c r="M775" s="846"/>
      <c r="N775" s="846"/>
      <c r="O775" s="846"/>
    </row>
    <row r="776" spans="1:15" ht="20.100000000000001" customHeight="1">
      <c r="A776" s="846"/>
      <c r="B776" s="846"/>
      <c r="C776" s="846"/>
      <c r="D776" s="846"/>
      <c r="E776" s="846"/>
      <c r="F776" s="846"/>
      <c r="G776" s="846"/>
      <c r="H776" s="846"/>
      <c r="I776" s="846"/>
      <c r="J776" s="846"/>
      <c r="K776" s="846"/>
      <c r="L776" s="846"/>
      <c r="M776" s="846"/>
      <c r="N776" s="846"/>
      <c r="O776" s="846"/>
    </row>
    <row r="777" spans="1:15" ht="20.100000000000001" customHeight="1">
      <c r="A777" s="846"/>
      <c r="B777" s="846"/>
      <c r="C777" s="846"/>
      <c r="D777" s="846"/>
      <c r="E777" s="846"/>
      <c r="F777" s="846"/>
      <c r="G777" s="846"/>
      <c r="H777" s="846"/>
      <c r="I777" s="846"/>
      <c r="J777" s="846"/>
      <c r="K777" s="846"/>
      <c r="L777" s="846"/>
      <c r="M777" s="846"/>
      <c r="N777" s="846"/>
      <c r="O777" s="846"/>
    </row>
    <row r="778" spans="1:15" ht="20.100000000000001" customHeight="1">
      <c r="A778" s="846"/>
      <c r="B778" s="846"/>
      <c r="C778" s="846"/>
      <c r="D778" s="846"/>
      <c r="E778" s="846"/>
      <c r="F778" s="846"/>
      <c r="G778" s="846"/>
      <c r="H778" s="846"/>
      <c r="I778" s="846"/>
      <c r="J778" s="846"/>
      <c r="K778" s="846"/>
      <c r="L778" s="846"/>
      <c r="M778" s="846"/>
      <c r="N778" s="846"/>
      <c r="O778" s="846"/>
    </row>
    <row r="779" spans="1:15" ht="20.100000000000001" customHeight="1">
      <c r="A779" s="846"/>
      <c r="B779" s="846"/>
      <c r="C779" s="846"/>
      <c r="D779" s="846"/>
      <c r="E779" s="846"/>
      <c r="F779" s="846"/>
      <c r="G779" s="846"/>
      <c r="H779" s="846"/>
      <c r="I779" s="846"/>
      <c r="J779" s="846"/>
      <c r="K779" s="846"/>
      <c r="L779" s="846"/>
      <c r="M779" s="846"/>
      <c r="N779" s="846"/>
      <c r="O779" s="846"/>
    </row>
    <row r="780" spans="1:15" ht="20.100000000000001" customHeight="1">
      <c r="A780" s="846"/>
      <c r="B780" s="846"/>
      <c r="C780" s="846"/>
      <c r="D780" s="846"/>
      <c r="E780" s="846"/>
      <c r="F780" s="846"/>
      <c r="G780" s="846"/>
      <c r="H780" s="846"/>
      <c r="I780" s="846"/>
      <c r="J780" s="846"/>
      <c r="K780" s="846"/>
      <c r="L780" s="846"/>
      <c r="M780" s="846"/>
      <c r="N780" s="846"/>
      <c r="O780" s="846"/>
    </row>
    <row r="781" spans="1:15" ht="20.100000000000001" customHeight="1">
      <c r="A781" s="846"/>
      <c r="B781" s="846"/>
      <c r="C781" s="846"/>
      <c r="D781" s="846"/>
      <c r="E781" s="846"/>
      <c r="F781" s="846"/>
      <c r="G781" s="846"/>
      <c r="H781" s="846"/>
      <c r="I781" s="846"/>
      <c r="J781" s="846"/>
      <c r="K781" s="846"/>
      <c r="L781" s="846"/>
      <c r="M781" s="846"/>
      <c r="N781" s="846"/>
      <c r="O781" s="846"/>
    </row>
    <row r="782" spans="1:15" ht="20.100000000000001" customHeight="1">
      <c r="A782" s="846"/>
      <c r="B782" s="846"/>
      <c r="C782" s="846"/>
      <c r="D782" s="846"/>
      <c r="E782" s="846"/>
      <c r="F782" s="846"/>
      <c r="G782" s="846"/>
      <c r="H782" s="846"/>
      <c r="I782" s="846"/>
      <c r="J782" s="846"/>
      <c r="K782" s="846"/>
      <c r="L782" s="846"/>
      <c r="M782" s="846"/>
      <c r="N782" s="846"/>
      <c r="O782" s="846"/>
    </row>
    <row r="783" spans="1:15" ht="20.100000000000001" customHeight="1">
      <c r="A783" s="846"/>
      <c r="B783" s="846"/>
      <c r="C783" s="846"/>
      <c r="D783" s="846"/>
      <c r="E783" s="846"/>
      <c r="F783" s="846"/>
      <c r="G783" s="846"/>
      <c r="H783" s="846"/>
      <c r="I783" s="846"/>
      <c r="J783" s="846"/>
      <c r="K783" s="846"/>
      <c r="L783" s="846"/>
      <c r="M783" s="846"/>
      <c r="N783" s="846"/>
      <c r="O783" s="846"/>
    </row>
    <row r="784" spans="1:15" ht="20.100000000000001" customHeight="1">
      <c r="A784" s="846"/>
      <c r="B784" s="846"/>
      <c r="C784" s="846"/>
      <c r="D784" s="846"/>
      <c r="E784" s="846"/>
      <c r="F784" s="846"/>
      <c r="G784" s="846"/>
      <c r="H784" s="846"/>
      <c r="I784" s="846"/>
      <c r="J784" s="846"/>
      <c r="K784" s="846"/>
      <c r="L784" s="846"/>
      <c r="M784" s="846"/>
      <c r="N784" s="846"/>
      <c r="O784" s="846"/>
    </row>
    <row r="785" spans="1:15" ht="20.100000000000001" customHeight="1">
      <c r="A785" s="846"/>
      <c r="B785" s="846"/>
      <c r="C785" s="846"/>
      <c r="D785" s="846"/>
      <c r="E785" s="846"/>
      <c r="F785" s="846"/>
      <c r="G785" s="846"/>
      <c r="H785" s="846"/>
      <c r="I785" s="846"/>
      <c r="J785" s="846"/>
      <c r="K785" s="846"/>
      <c r="L785" s="846"/>
      <c r="M785" s="846"/>
      <c r="N785" s="846"/>
      <c r="O785" s="846"/>
    </row>
    <row r="786" spans="1:15" ht="20.100000000000001" customHeight="1">
      <c r="A786" s="846"/>
      <c r="B786" s="846"/>
      <c r="C786" s="846"/>
      <c r="D786" s="846"/>
      <c r="E786" s="846"/>
      <c r="F786" s="846"/>
      <c r="G786" s="846"/>
      <c r="H786" s="846"/>
      <c r="I786" s="846"/>
      <c r="J786" s="846"/>
      <c r="K786" s="846"/>
      <c r="L786" s="846"/>
      <c r="M786" s="846"/>
      <c r="N786" s="846"/>
      <c r="O786" s="846"/>
    </row>
    <row r="787" spans="1:15" ht="20.100000000000001" customHeight="1">
      <c r="A787" s="846"/>
      <c r="B787" s="846"/>
      <c r="C787" s="846"/>
      <c r="D787" s="846"/>
      <c r="E787" s="846"/>
      <c r="F787" s="846"/>
      <c r="G787" s="846"/>
      <c r="H787" s="846"/>
      <c r="I787" s="846"/>
      <c r="J787" s="846"/>
      <c r="K787" s="846"/>
      <c r="L787" s="846"/>
      <c r="M787" s="846"/>
      <c r="N787" s="846"/>
      <c r="O787" s="846"/>
    </row>
    <row r="788" spans="1:15" ht="20.100000000000001" customHeight="1">
      <c r="A788" s="846"/>
      <c r="B788" s="846"/>
      <c r="C788" s="846"/>
      <c r="D788" s="846"/>
      <c r="E788" s="846"/>
      <c r="F788" s="846"/>
      <c r="G788" s="846"/>
      <c r="H788" s="846"/>
      <c r="I788" s="846"/>
      <c r="J788" s="846"/>
      <c r="K788" s="846"/>
      <c r="L788" s="846"/>
      <c r="M788" s="846"/>
      <c r="N788" s="846"/>
      <c r="O788" s="846"/>
    </row>
    <row r="789" spans="1:15" ht="20.100000000000001" customHeight="1">
      <c r="A789" s="846"/>
      <c r="B789" s="846"/>
      <c r="C789" s="846"/>
      <c r="D789" s="846"/>
      <c r="E789" s="846"/>
      <c r="F789" s="846"/>
      <c r="G789" s="846"/>
      <c r="H789" s="846"/>
      <c r="I789" s="846"/>
      <c r="J789" s="846"/>
      <c r="K789" s="846"/>
      <c r="L789" s="846"/>
      <c r="M789" s="846"/>
      <c r="N789" s="846"/>
      <c r="O789" s="846"/>
    </row>
    <row r="790" spans="1:15" ht="20.100000000000001" customHeight="1">
      <c r="A790" s="846"/>
      <c r="B790" s="846"/>
      <c r="C790" s="846"/>
      <c r="D790" s="846"/>
      <c r="E790" s="846"/>
      <c r="F790" s="846"/>
      <c r="G790" s="846"/>
      <c r="H790" s="846"/>
      <c r="I790" s="846"/>
      <c r="J790" s="846"/>
      <c r="K790" s="846"/>
      <c r="L790" s="846"/>
      <c r="M790" s="846"/>
      <c r="N790" s="846"/>
      <c r="O790" s="846"/>
    </row>
    <row r="791" spans="1:15" ht="20.100000000000001" customHeight="1">
      <c r="A791" s="846"/>
      <c r="B791" s="846"/>
      <c r="C791" s="846"/>
      <c r="D791" s="846"/>
      <c r="E791" s="846"/>
      <c r="F791" s="846"/>
      <c r="G791" s="846"/>
      <c r="H791" s="846"/>
      <c r="I791" s="846"/>
      <c r="J791" s="846"/>
      <c r="K791" s="846"/>
      <c r="L791" s="846"/>
      <c r="M791" s="846"/>
      <c r="N791" s="846"/>
      <c r="O791" s="846"/>
    </row>
    <row r="792" spans="1:15" ht="20.100000000000001" customHeight="1">
      <c r="A792" s="846"/>
      <c r="B792" s="846"/>
      <c r="C792" s="846"/>
      <c r="D792" s="846"/>
      <c r="E792" s="846"/>
      <c r="F792" s="846"/>
      <c r="G792" s="846"/>
      <c r="H792" s="846"/>
      <c r="I792" s="846"/>
      <c r="J792" s="846"/>
      <c r="K792" s="846"/>
      <c r="L792" s="846"/>
      <c r="M792" s="846"/>
      <c r="N792" s="846"/>
      <c r="O792" s="846"/>
    </row>
    <row r="793" spans="1:15" ht="20.100000000000001" customHeight="1">
      <c r="A793" s="846"/>
      <c r="B793" s="846"/>
      <c r="C793" s="846"/>
      <c r="D793" s="846"/>
      <c r="E793" s="846"/>
      <c r="F793" s="846"/>
      <c r="G793" s="846"/>
      <c r="H793" s="846"/>
      <c r="I793" s="846"/>
      <c r="J793" s="846"/>
      <c r="K793" s="846"/>
      <c r="L793" s="846"/>
      <c r="M793" s="846"/>
      <c r="N793" s="846"/>
      <c r="O793" s="846"/>
    </row>
    <row r="794" spans="1:15" ht="20.100000000000001" customHeight="1">
      <c r="A794" s="846"/>
      <c r="B794" s="846"/>
      <c r="C794" s="846"/>
      <c r="D794" s="846"/>
      <c r="E794" s="846"/>
      <c r="F794" s="846"/>
      <c r="G794" s="846"/>
      <c r="H794" s="846"/>
      <c r="I794" s="846"/>
      <c r="J794" s="846"/>
      <c r="K794" s="846"/>
      <c r="L794" s="846"/>
      <c r="M794" s="846"/>
      <c r="N794" s="846"/>
      <c r="O794" s="846"/>
    </row>
    <row r="795" spans="1:15" ht="20.100000000000001" customHeight="1">
      <c r="A795" s="846"/>
      <c r="B795" s="846"/>
      <c r="C795" s="846"/>
      <c r="D795" s="846"/>
      <c r="E795" s="846"/>
      <c r="F795" s="846"/>
      <c r="G795" s="846"/>
      <c r="H795" s="846"/>
      <c r="I795" s="846"/>
      <c r="J795" s="846"/>
      <c r="K795" s="846"/>
      <c r="L795" s="846"/>
      <c r="M795" s="846"/>
      <c r="N795" s="846"/>
      <c r="O795" s="846"/>
    </row>
    <row r="796" spans="1:15" ht="20.100000000000001" customHeight="1">
      <c r="A796" s="846"/>
      <c r="B796" s="846"/>
      <c r="C796" s="846"/>
      <c r="D796" s="846"/>
      <c r="E796" s="846"/>
      <c r="F796" s="846"/>
      <c r="G796" s="846"/>
      <c r="H796" s="846"/>
      <c r="I796" s="846"/>
      <c r="J796" s="846"/>
      <c r="K796" s="846"/>
      <c r="L796" s="846"/>
      <c r="M796" s="846"/>
      <c r="N796" s="846"/>
      <c r="O796" s="846"/>
    </row>
    <row r="797" spans="1:15" ht="20.100000000000001" customHeight="1">
      <c r="A797" s="846"/>
      <c r="B797" s="846"/>
      <c r="C797" s="846"/>
      <c r="D797" s="846"/>
      <c r="E797" s="846"/>
      <c r="F797" s="846"/>
      <c r="G797" s="846"/>
      <c r="H797" s="846"/>
      <c r="I797" s="846"/>
      <c r="J797" s="846"/>
      <c r="K797" s="846"/>
      <c r="L797" s="846"/>
      <c r="M797" s="846"/>
      <c r="N797" s="846"/>
      <c r="O797" s="846"/>
    </row>
    <row r="798" spans="1:15" ht="20.100000000000001" customHeight="1">
      <c r="A798" s="846"/>
      <c r="B798" s="846"/>
      <c r="C798" s="846"/>
      <c r="D798" s="846"/>
      <c r="E798" s="846"/>
      <c r="F798" s="846"/>
      <c r="G798" s="846"/>
      <c r="H798" s="846"/>
      <c r="I798" s="846"/>
      <c r="J798" s="846"/>
      <c r="K798" s="846"/>
      <c r="L798" s="846"/>
      <c r="M798" s="846"/>
      <c r="N798" s="846"/>
      <c r="O798" s="846"/>
    </row>
    <row r="799" spans="1:15" ht="20.100000000000001" customHeight="1">
      <c r="A799" s="846"/>
      <c r="B799" s="846"/>
      <c r="C799" s="846"/>
      <c r="D799" s="846"/>
      <c r="E799" s="846"/>
      <c r="F799" s="846"/>
      <c r="G799" s="846"/>
      <c r="H799" s="846"/>
      <c r="I799" s="846"/>
      <c r="J799" s="846"/>
      <c r="K799" s="846"/>
      <c r="L799" s="846"/>
      <c r="M799" s="846"/>
      <c r="N799" s="846"/>
      <c r="O799" s="846"/>
    </row>
    <row r="800" spans="1:15" ht="20.100000000000001" customHeight="1">
      <c r="A800" s="846"/>
      <c r="B800" s="846"/>
      <c r="C800" s="846"/>
      <c r="D800" s="846"/>
      <c r="E800" s="846"/>
      <c r="F800" s="846"/>
      <c r="G800" s="846"/>
      <c r="H800" s="846"/>
      <c r="I800" s="846"/>
      <c r="J800" s="846"/>
      <c r="K800" s="846"/>
      <c r="L800" s="846"/>
      <c r="M800" s="846"/>
      <c r="N800" s="846"/>
      <c r="O800" s="846"/>
    </row>
    <row r="801" spans="1:15" ht="20.100000000000001" customHeight="1">
      <c r="A801" s="846"/>
      <c r="B801" s="846"/>
      <c r="C801" s="846"/>
      <c r="D801" s="846"/>
      <c r="E801" s="846"/>
      <c r="F801" s="846"/>
      <c r="G801" s="846"/>
      <c r="H801" s="846"/>
      <c r="I801" s="846"/>
      <c r="J801" s="846"/>
      <c r="K801" s="846"/>
      <c r="L801" s="846"/>
      <c r="M801" s="846"/>
      <c r="N801" s="846"/>
      <c r="O801" s="846"/>
    </row>
    <row r="802" spans="1:15" ht="20.100000000000001" customHeight="1">
      <c r="A802" s="846"/>
      <c r="B802" s="846"/>
      <c r="C802" s="846"/>
      <c r="D802" s="846"/>
      <c r="E802" s="846"/>
      <c r="F802" s="846"/>
      <c r="G802" s="846"/>
      <c r="H802" s="846"/>
      <c r="I802" s="846"/>
      <c r="J802" s="846"/>
      <c r="K802" s="846"/>
      <c r="L802" s="846"/>
      <c r="M802" s="846"/>
      <c r="N802" s="846"/>
      <c r="O802" s="846"/>
    </row>
    <row r="803" spans="1:15" ht="20.100000000000001" customHeight="1">
      <c r="A803" s="846"/>
      <c r="B803" s="846"/>
      <c r="C803" s="846"/>
      <c r="D803" s="846"/>
      <c r="E803" s="846"/>
      <c r="F803" s="846"/>
      <c r="G803" s="846"/>
      <c r="H803" s="846"/>
      <c r="I803" s="846"/>
      <c r="J803" s="846"/>
      <c r="K803" s="846"/>
      <c r="L803" s="846"/>
      <c r="M803" s="846"/>
      <c r="N803" s="846"/>
      <c r="O803" s="846"/>
    </row>
    <row r="804" spans="1:15" ht="20.100000000000001" customHeight="1">
      <c r="A804" s="846"/>
      <c r="B804" s="846"/>
      <c r="C804" s="846"/>
      <c r="D804" s="846"/>
      <c r="E804" s="846"/>
      <c r="F804" s="846"/>
      <c r="G804" s="846"/>
      <c r="H804" s="846"/>
      <c r="I804" s="846"/>
      <c r="J804" s="846"/>
      <c r="K804" s="846"/>
      <c r="L804" s="846"/>
      <c r="M804" s="846"/>
      <c r="N804" s="846"/>
      <c r="O804" s="846"/>
    </row>
    <row r="805" spans="1:15" ht="20.100000000000001" customHeight="1">
      <c r="A805" s="846"/>
      <c r="B805" s="846"/>
      <c r="C805" s="846"/>
      <c r="D805" s="846"/>
      <c r="E805" s="846"/>
      <c r="F805" s="846"/>
      <c r="G805" s="846"/>
      <c r="H805" s="846"/>
      <c r="I805" s="846"/>
      <c r="J805" s="846"/>
      <c r="K805" s="846"/>
      <c r="L805" s="846"/>
      <c r="M805" s="846"/>
      <c r="N805" s="846"/>
      <c r="O805" s="846"/>
    </row>
    <row r="806" spans="1:15" ht="20.100000000000001" customHeight="1">
      <c r="A806" s="846"/>
      <c r="B806" s="846"/>
      <c r="C806" s="846"/>
      <c r="D806" s="846"/>
      <c r="E806" s="846"/>
      <c r="F806" s="846"/>
      <c r="G806" s="846"/>
      <c r="H806" s="846"/>
      <c r="I806" s="846"/>
      <c r="J806" s="846"/>
      <c r="K806" s="846"/>
      <c r="L806" s="846"/>
      <c r="M806" s="846"/>
      <c r="N806" s="846"/>
      <c r="O806" s="846"/>
    </row>
    <row r="807" spans="1:15" ht="20.100000000000001" customHeight="1">
      <c r="A807" s="846"/>
      <c r="B807" s="846"/>
      <c r="C807" s="846"/>
      <c r="D807" s="846"/>
      <c r="E807" s="846"/>
      <c r="F807" s="846"/>
      <c r="G807" s="846"/>
      <c r="H807" s="846"/>
      <c r="I807" s="846"/>
      <c r="J807" s="846"/>
      <c r="K807" s="846"/>
      <c r="L807" s="846"/>
      <c r="M807" s="846"/>
      <c r="N807" s="846"/>
      <c r="O807" s="846"/>
    </row>
    <row r="808" spans="1:15" ht="20.100000000000001" customHeight="1">
      <c r="A808" s="846"/>
      <c r="B808" s="846"/>
      <c r="C808" s="846"/>
      <c r="D808" s="846"/>
      <c r="E808" s="846"/>
      <c r="F808" s="846"/>
      <c r="G808" s="846"/>
      <c r="H808" s="846"/>
      <c r="I808" s="846"/>
      <c r="J808" s="846"/>
      <c r="K808" s="846"/>
      <c r="L808" s="846"/>
      <c r="M808" s="846"/>
      <c r="N808" s="846"/>
      <c r="O808" s="846"/>
    </row>
    <row r="809" spans="1:15" ht="20.100000000000001" customHeight="1">
      <c r="A809" s="846"/>
      <c r="B809" s="846"/>
      <c r="C809" s="846"/>
      <c r="D809" s="846"/>
      <c r="E809" s="846"/>
      <c r="F809" s="846"/>
      <c r="G809" s="846"/>
      <c r="H809" s="846"/>
      <c r="I809" s="846"/>
      <c r="J809" s="846"/>
      <c r="K809" s="846"/>
      <c r="L809" s="846"/>
      <c r="M809" s="846"/>
      <c r="N809" s="846"/>
      <c r="O809" s="846"/>
    </row>
    <row r="810" spans="1:15" ht="20.100000000000001" customHeight="1">
      <c r="A810" s="846"/>
      <c r="B810" s="846"/>
      <c r="C810" s="846"/>
      <c r="D810" s="846"/>
      <c r="E810" s="846"/>
      <c r="F810" s="846"/>
      <c r="G810" s="846"/>
      <c r="H810" s="846"/>
      <c r="I810" s="846"/>
      <c r="J810" s="846"/>
      <c r="K810" s="846"/>
      <c r="L810" s="846"/>
      <c r="M810" s="846"/>
      <c r="N810" s="846"/>
      <c r="O810" s="846"/>
    </row>
    <row r="811" spans="1:15" ht="20.100000000000001" customHeight="1">
      <c r="A811" s="846"/>
      <c r="B811" s="846"/>
      <c r="C811" s="846"/>
      <c r="D811" s="846"/>
      <c r="E811" s="846"/>
      <c r="F811" s="846"/>
      <c r="G811" s="846"/>
      <c r="H811" s="846"/>
      <c r="I811" s="846"/>
      <c r="J811" s="846"/>
      <c r="K811" s="846"/>
      <c r="L811" s="846"/>
      <c r="M811" s="846"/>
      <c r="N811" s="846"/>
      <c r="O811" s="846"/>
    </row>
    <row r="812" spans="1:15" ht="20.100000000000001" customHeight="1">
      <c r="A812" s="846"/>
      <c r="B812" s="846"/>
      <c r="C812" s="846"/>
      <c r="D812" s="846"/>
      <c r="E812" s="846"/>
      <c r="F812" s="846"/>
      <c r="G812" s="846"/>
      <c r="H812" s="846"/>
      <c r="I812" s="846"/>
      <c r="J812" s="846"/>
      <c r="K812" s="846"/>
      <c r="L812" s="846"/>
      <c r="M812" s="846"/>
      <c r="N812" s="846"/>
      <c r="O812" s="846"/>
    </row>
    <row r="813" spans="1:15" ht="20.100000000000001" customHeight="1">
      <c r="A813" s="846"/>
      <c r="B813" s="846"/>
      <c r="C813" s="846"/>
      <c r="D813" s="846"/>
      <c r="E813" s="846"/>
      <c r="F813" s="846"/>
      <c r="G813" s="846"/>
      <c r="H813" s="846"/>
      <c r="I813" s="846"/>
      <c r="J813" s="846"/>
      <c r="K813" s="846"/>
      <c r="L813" s="846"/>
      <c r="M813" s="846"/>
      <c r="N813" s="846"/>
      <c r="O813" s="846"/>
    </row>
    <row r="814" spans="1:15" ht="20.100000000000001" customHeight="1">
      <c r="A814" s="846"/>
      <c r="B814" s="846"/>
      <c r="C814" s="846"/>
      <c r="D814" s="846"/>
      <c r="E814" s="846"/>
      <c r="F814" s="846"/>
      <c r="G814" s="846"/>
      <c r="H814" s="846"/>
      <c r="I814" s="846"/>
      <c r="J814" s="846"/>
      <c r="K814" s="846"/>
      <c r="L814" s="846"/>
      <c r="M814" s="846"/>
      <c r="N814" s="846"/>
      <c r="O814" s="846"/>
    </row>
    <row r="815" spans="1:15" ht="20.100000000000001" customHeight="1">
      <c r="A815" s="846"/>
      <c r="B815" s="846"/>
      <c r="C815" s="846"/>
      <c r="D815" s="846"/>
      <c r="E815" s="846"/>
      <c r="F815" s="846"/>
      <c r="G815" s="846"/>
      <c r="H815" s="846"/>
      <c r="I815" s="846"/>
      <c r="J815" s="846"/>
      <c r="K815" s="846"/>
      <c r="L815" s="846"/>
      <c r="M815" s="846"/>
      <c r="N815" s="846"/>
      <c r="O815" s="846"/>
    </row>
    <row r="816" spans="1:15" ht="20.100000000000001" customHeight="1">
      <c r="A816" s="846"/>
      <c r="B816" s="846"/>
      <c r="C816" s="846"/>
      <c r="D816" s="846"/>
      <c r="E816" s="846"/>
      <c r="F816" s="846"/>
      <c r="G816" s="846"/>
      <c r="H816" s="846"/>
      <c r="I816" s="846"/>
      <c r="J816" s="846"/>
      <c r="K816" s="846"/>
      <c r="L816" s="846"/>
      <c r="M816" s="846"/>
      <c r="N816" s="846"/>
      <c r="O816" s="846"/>
    </row>
    <row r="817" spans="1:15" ht="20.100000000000001" customHeight="1">
      <c r="A817" s="846"/>
      <c r="B817" s="846"/>
      <c r="C817" s="846"/>
      <c r="D817" s="846"/>
      <c r="E817" s="846"/>
      <c r="F817" s="846"/>
      <c r="G817" s="846"/>
      <c r="H817" s="846"/>
      <c r="I817" s="846"/>
      <c r="J817" s="846"/>
      <c r="K817" s="846"/>
      <c r="L817" s="846"/>
      <c r="M817" s="846"/>
      <c r="N817" s="846"/>
      <c r="O817" s="846"/>
    </row>
    <row r="818" spans="1:15" ht="20.100000000000001" customHeight="1">
      <c r="A818" s="846"/>
      <c r="B818" s="846"/>
      <c r="C818" s="846"/>
      <c r="D818" s="846"/>
      <c r="E818" s="846"/>
      <c r="F818" s="846"/>
      <c r="G818" s="846"/>
      <c r="H818" s="846"/>
      <c r="I818" s="846"/>
      <c r="J818" s="846"/>
      <c r="K818" s="846"/>
      <c r="L818" s="846"/>
      <c r="M818" s="846"/>
      <c r="N818" s="846"/>
      <c r="O818" s="846"/>
    </row>
    <row r="819" spans="1:15" ht="20.100000000000001" customHeight="1">
      <c r="A819" s="846"/>
      <c r="B819" s="846"/>
      <c r="C819" s="846"/>
      <c r="D819" s="846"/>
      <c r="E819" s="846"/>
      <c r="F819" s="846"/>
      <c r="G819" s="846"/>
      <c r="H819" s="846"/>
      <c r="I819" s="846"/>
      <c r="J819" s="846"/>
      <c r="K819" s="846"/>
      <c r="L819" s="846"/>
      <c r="M819" s="846"/>
      <c r="N819" s="846"/>
      <c r="O819" s="846"/>
    </row>
    <row r="820" spans="1:15" ht="20.100000000000001" customHeight="1">
      <c r="A820" s="846"/>
      <c r="B820" s="846"/>
      <c r="C820" s="846"/>
      <c r="D820" s="846"/>
      <c r="E820" s="846"/>
      <c r="F820" s="846"/>
      <c r="G820" s="846"/>
      <c r="H820" s="846"/>
      <c r="I820" s="846"/>
      <c r="J820" s="846"/>
      <c r="K820" s="846"/>
      <c r="L820" s="846"/>
      <c r="M820" s="846"/>
      <c r="N820" s="846"/>
      <c r="O820" s="846"/>
    </row>
    <row r="821" spans="1:15" ht="20.100000000000001" customHeight="1">
      <c r="A821" s="846"/>
      <c r="B821" s="846"/>
      <c r="C821" s="846"/>
      <c r="D821" s="846"/>
      <c r="E821" s="846"/>
      <c r="F821" s="846"/>
      <c r="G821" s="846"/>
      <c r="H821" s="846"/>
      <c r="I821" s="846"/>
      <c r="J821" s="846"/>
      <c r="K821" s="846"/>
      <c r="L821" s="846"/>
      <c r="M821" s="846"/>
      <c r="N821" s="846"/>
      <c r="O821" s="846"/>
    </row>
    <row r="822" spans="1:15" ht="20.100000000000001" customHeight="1">
      <c r="A822" s="846"/>
      <c r="B822" s="846"/>
      <c r="C822" s="846"/>
      <c r="D822" s="846"/>
      <c r="E822" s="846"/>
      <c r="F822" s="846"/>
      <c r="G822" s="846"/>
      <c r="H822" s="846"/>
      <c r="I822" s="846"/>
      <c r="J822" s="846"/>
      <c r="K822" s="846"/>
      <c r="L822" s="846"/>
      <c r="M822" s="846"/>
      <c r="N822" s="846"/>
      <c r="O822" s="846"/>
    </row>
    <row r="823" spans="1:15" ht="20.100000000000001" customHeight="1">
      <c r="A823" s="846"/>
      <c r="B823" s="846"/>
      <c r="C823" s="846"/>
      <c r="D823" s="846"/>
      <c r="E823" s="846"/>
      <c r="F823" s="846"/>
      <c r="G823" s="846"/>
      <c r="H823" s="846"/>
      <c r="I823" s="846"/>
      <c r="J823" s="846"/>
      <c r="K823" s="846"/>
      <c r="L823" s="846"/>
      <c r="M823" s="846"/>
      <c r="N823" s="846"/>
      <c r="O823" s="846"/>
    </row>
    <row r="824" spans="1:15" ht="20.100000000000001" customHeight="1">
      <c r="A824" s="846"/>
      <c r="B824" s="846"/>
      <c r="C824" s="846"/>
      <c r="D824" s="846"/>
      <c r="E824" s="846"/>
      <c r="F824" s="846"/>
      <c r="G824" s="846"/>
      <c r="H824" s="846"/>
      <c r="I824" s="846"/>
      <c r="J824" s="846"/>
      <c r="K824" s="846"/>
      <c r="L824" s="846"/>
      <c r="M824" s="846"/>
      <c r="N824" s="846"/>
      <c r="O824" s="846"/>
    </row>
    <row r="825" spans="1:15" ht="20.100000000000001" customHeight="1">
      <c r="A825" s="846"/>
      <c r="B825" s="846"/>
      <c r="C825" s="846"/>
      <c r="D825" s="846"/>
      <c r="E825" s="846"/>
      <c r="F825" s="846"/>
      <c r="G825" s="846"/>
      <c r="H825" s="846"/>
      <c r="I825" s="846"/>
      <c r="J825" s="846"/>
      <c r="K825" s="846"/>
      <c r="L825" s="846"/>
      <c r="M825" s="846"/>
      <c r="N825" s="846"/>
      <c r="O825" s="846"/>
    </row>
    <row r="826" spans="1:15" ht="20.100000000000001" customHeight="1">
      <c r="A826" s="846"/>
      <c r="B826" s="846"/>
      <c r="C826" s="846"/>
      <c r="D826" s="846"/>
      <c r="E826" s="846"/>
      <c r="F826" s="846"/>
      <c r="G826" s="846"/>
      <c r="H826" s="846"/>
      <c r="I826" s="846"/>
      <c r="J826" s="846"/>
      <c r="K826" s="846"/>
      <c r="L826" s="846"/>
      <c r="M826" s="846"/>
      <c r="N826" s="846"/>
      <c r="O826" s="846"/>
    </row>
    <row r="827" spans="1:15" ht="20.100000000000001" customHeight="1">
      <c r="A827" s="846"/>
      <c r="B827" s="846"/>
      <c r="C827" s="846"/>
      <c r="D827" s="846"/>
      <c r="E827" s="846"/>
      <c r="F827" s="846"/>
      <c r="G827" s="846"/>
      <c r="H827" s="846"/>
      <c r="I827" s="846"/>
      <c r="J827" s="846"/>
      <c r="K827" s="846"/>
      <c r="L827" s="846"/>
      <c r="M827" s="846"/>
      <c r="N827" s="846"/>
      <c r="O827" s="846"/>
    </row>
    <row r="828" spans="1:15" ht="20.100000000000001" customHeight="1">
      <c r="A828" s="846"/>
      <c r="B828" s="846"/>
      <c r="C828" s="846"/>
      <c r="D828" s="846"/>
      <c r="E828" s="846"/>
      <c r="F828" s="846"/>
      <c r="G828" s="846"/>
      <c r="H828" s="846"/>
      <c r="I828" s="846"/>
      <c r="J828" s="846"/>
      <c r="K828" s="846"/>
      <c r="L828" s="846"/>
      <c r="M828" s="846"/>
      <c r="N828" s="846"/>
      <c r="O828" s="846"/>
    </row>
    <row r="829" spans="1:15" ht="20.100000000000001" customHeight="1">
      <c r="A829" s="846"/>
      <c r="B829" s="846"/>
      <c r="C829" s="846"/>
      <c r="D829" s="846"/>
      <c r="E829" s="846"/>
      <c r="F829" s="846"/>
      <c r="G829" s="846"/>
      <c r="H829" s="846"/>
      <c r="I829" s="846"/>
      <c r="J829" s="846"/>
      <c r="K829" s="846"/>
      <c r="L829" s="846"/>
      <c r="M829" s="846"/>
      <c r="N829" s="846"/>
      <c r="O829" s="846"/>
    </row>
    <row r="830" spans="1:15" ht="20.100000000000001" customHeight="1">
      <c r="A830" s="846"/>
      <c r="B830" s="846"/>
      <c r="C830" s="846"/>
      <c r="D830" s="846"/>
      <c r="E830" s="846"/>
      <c r="F830" s="846"/>
      <c r="G830" s="846"/>
      <c r="H830" s="846"/>
      <c r="I830" s="846"/>
      <c r="J830" s="846"/>
      <c r="K830" s="846"/>
      <c r="L830" s="846"/>
      <c r="M830" s="846"/>
      <c r="N830" s="846"/>
      <c r="O830" s="846"/>
    </row>
    <row r="831" spans="1:15" ht="20.100000000000001" customHeight="1">
      <c r="A831" s="846"/>
      <c r="B831" s="846"/>
      <c r="C831" s="846"/>
      <c r="D831" s="846"/>
      <c r="E831" s="846"/>
      <c r="F831" s="846"/>
      <c r="G831" s="846"/>
      <c r="H831" s="846"/>
      <c r="I831" s="846"/>
      <c r="J831" s="846"/>
      <c r="K831" s="846"/>
      <c r="L831" s="846"/>
      <c r="M831" s="846"/>
      <c r="N831" s="846"/>
      <c r="O831" s="846"/>
    </row>
    <row r="832" spans="1:15" ht="20.100000000000001" customHeight="1">
      <c r="A832" s="846"/>
      <c r="B832" s="846"/>
      <c r="C832" s="846"/>
      <c r="D832" s="846"/>
      <c r="E832" s="846"/>
      <c r="F832" s="846"/>
      <c r="G832" s="846"/>
      <c r="H832" s="846"/>
      <c r="I832" s="846"/>
      <c r="J832" s="846"/>
      <c r="K832" s="846"/>
      <c r="L832" s="846"/>
      <c r="M832" s="846"/>
      <c r="N832" s="846"/>
      <c r="O832" s="846"/>
    </row>
    <row r="833" spans="1:15" ht="20.100000000000001" customHeight="1">
      <c r="A833" s="846"/>
      <c r="B833" s="846"/>
      <c r="C833" s="846"/>
      <c r="D833" s="846"/>
      <c r="E833" s="846"/>
      <c r="F833" s="846"/>
      <c r="G833" s="846"/>
      <c r="H833" s="846"/>
      <c r="I833" s="846"/>
      <c r="J833" s="846"/>
      <c r="K833" s="846"/>
      <c r="L833" s="846"/>
      <c r="M833" s="846"/>
      <c r="N833" s="846"/>
      <c r="O833" s="846"/>
    </row>
    <row r="834" spans="1:15" ht="20.100000000000001" customHeight="1">
      <c r="A834" s="846"/>
      <c r="B834" s="846"/>
      <c r="C834" s="846"/>
      <c r="D834" s="846"/>
      <c r="E834" s="846"/>
      <c r="F834" s="846"/>
      <c r="G834" s="846"/>
      <c r="H834" s="846"/>
      <c r="I834" s="846"/>
      <c r="J834" s="846"/>
      <c r="K834" s="846"/>
      <c r="L834" s="846"/>
      <c r="M834" s="846"/>
      <c r="N834" s="846"/>
      <c r="O834" s="846"/>
    </row>
    <row r="835" spans="1:15" ht="20.100000000000001" customHeight="1">
      <c r="A835" s="846"/>
      <c r="B835" s="846"/>
      <c r="C835" s="846"/>
      <c r="D835" s="846"/>
      <c r="E835" s="846"/>
      <c r="F835" s="846"/>
      <c r="G835" s="846"/>
      <c r="H835" s="846"/>
      <c r="I835" s="846"/>
      <c r="J835" s="846"/>
      <c r="K835" s="846"/>
      <c r="L835" s="846"/>
      <c r="M835" s="846"/>
      <c r="N835" s="846"/>
      <c r="O835" s="846"/>
    </row>
    <row r="836" spans="1:15" ht="20.100000000000001" customHeight="1">
      <c r="A836" s="846"/>
      <c r="B836" s="846"/>
      <c r="C836" s="846"/>
      <c r="D836" s="846"/>
      <c r="E836" s="846"/>
      <c r="F836" s="846"/>
      <c r="G836" s="846"/>
      <c r="H836" s="846"/>
      <c r="I836" s="846"/>
      <c r="J836" s="846"/>
      <c r="K836" s="846"/>
      <c r="L836" s="846"/>
      <c r="M836" s="846"/>
      <c r="N836" s="846"/>
      <c r="O836" s="846"/>
    </row>
    <row r="837" spans="1:15" ht="20.100000000000001" customHeight="1">
      <c r="A837" s="846"/>
      <c r="B837" s="846"/>
      <c r="C837" s="846"/>
      <c r="D837" s="846"/>
      <c r="E837" s="846"/>
      <c r="F837" s="846"/>
      <c r="G837" s="846"/>
      <c r="H837" s="846"/>
      <c r="I837" s="846"/>
      <c r="J837" s="846"/>
      <c r="K837" s="846"/>
      <c r="L837" s="846"/>
      <c r="M837" s="846"/>
      <c r="N837" s="846"/>
      <c r="O837" s="846"/>
    </row>
    <row r="838" spans="1:15" ht="20.100000000000001" customHeight="1">
      <c r="A838" s="846"/>
      <c r="B838" s="846"/>
      <c r="C838" s="846"/>
      <c r="D838" s="846"/>
      <c r="E838" s="846"/>
      <c r="F838" s="846"/>
      <c r="G838" s="846"/>
      <c r="H838" s="846"/>
      <c r="I838" s="846"/>
      <c r="J838" s="846"/>
      <c r="K838" s="846"/>
      <c r="L838" s="846"/>
      <c r="M838" s="846"/>
      <c r="N838" s="846"/>
      <c r="O838" s="846"/>
    </row>
    <row r="839" spans="1:15" ht="20.100000000000001" customHeight="1">
      <c r="A839" s="846"/>
      <c r="B839" s="846"/>
      <c r="C839" s="846"/>
      <c r="D839" s="846"/>
      <c r="E839" s="846"/>
      <c r="F839" s="846"/>
      <c r="G839" s="846"/>
      <c r="H839" s="846"/>
      <c r="I839" s="846"/>
      <c r="J839" s="846"/>
      <c r="K839" s="846"/>
      <c r="L839" s="846"/>
      <c r="M839" s="846"/>
      <c r="N839" s="846"/>
      <c r="O839" s="846"/>
    </row>
    <row r="840" spans="1:15" ht="20.100000000000001" customHeight="1">
      <c r="A840" s="846"/>
      <c r="B840" s="846"/>
      <c r="C840" s="846"/>
      <c r="D840" s="846"/>
      <c r="E840" s="846"/>
      <c r="F840" s="846"/>
      <c r="G840" s="846"/>
      <c r="H840" s="846"/>
      <c r="I840" s="846"/>
      <c r="J840" s="846"/>
      <c r="K840" s="846"/>
      <c r="L840" s="846"/>
      <c r="M840" s="846"/>
      <c r="N840" s="846"/>
      <c r="O840" s="846"/>
    </row>
    <row r="841" spans="1:15" ht="20.100000000000001" customHeight="1">
      <c r="A841" s="846"/>
      <c r="B841" s="846"/>
      <c r="C841" s="846"/>
      <c r="D841" s="846"/>
      <c r="E841" s="846"/>
      <c r="F841" s="846"/>
      <c r="G841" s="846"/>
      <c r="H841" s="846"/>
      <c r="I841" s="846"/>
      <c r="J841" s="846"/>
      <c r="K841" s="846"/>
      <c r="L841" s="846"/>
      <c r="M841" s="846"/>
      <c r="N841" s="846"/>
      <c r="O841" s="846"/>
    </row>
    <row r="842" spans="1:15" ht="20.100000000000001" customHeight="1">
      <c r="A842" s="846"/>
      <c r="B842" s="846"/>
      <c r="C842" s="846"/>
      <c r="D842" s="846"/>
      <c r="E842" s="846"/>
      <c r="F842" s="846"/>
      <c r="G842" s="846"/>
      <c r="H842" s="846"/>
      <c r="I842" s="846"/>
      <c r="J842" s="846"/>
      <c r="K842" s="846"/>
      <c r="L842" s="846"/>
      <c r="M842" s="846"/>
      <c r="N842" s="846"/>
      <c r="O842" s="846"/>
    </row>
    <row r="843" spans="1:15" ht="20.100000000000001" customHeight="1">
      <c r="A843" s="846"/>
      <c r="B843" s="846"/>
      <c r="C843" s="846"/>
      <c r="D843" s="846"/>
      <c r="E843" s="846"/>
      <c r="F843" s="846"/>
      <c r="G843" s="846"/>
      <c r="H843" s="846"/>
      <c r="I843" s="846"/>
      <c r="J843" s="846"/>
      <c r="K843" s="846"/>
      <c r="L843" s="846"/>
      <c r="M843" s="846"/>
      <c r="N843" s="846"/>
      <c r="O843" s="846"/>
    </row>
    <row r="844" spans="1:15" ht="20.100000000000001" customHeight="1">
      <c r="A844" s="846"/>
      <c r="B844" s="846"/>
      <c r="C844" s="846"/>
      <c r="D844" s="846"/>
      <c r="E844" s="846"/>
      <c r="F844" s="846"/>
      <c r="G844" s="846"/>
      <c r="H844" s="846"/>
      <c r="I844" s="846"/>
      <c r="J844" s="846"/>
      <c r="K844" s="846"/>
      <c r="L844" s="846"/>
      <c r="M844" s="846"/>
      <c r="N844" s="846"/>
      <c r="O844" s="846"/>
    </row>
    <row r="845" spans="1:15" ht="20.100000000000001" customHeight="1">
      <c r="A845" s="846"/>
      <c r="B845" s="846"/>
      <c r="C845" s="846"/>
      <c r="D845" s="846"/>
      <c r="E845" s="846"/>
      <c r="F845" s="846"/>
      <c r="G845" s="846"/>
      <c r="H845" s="846"/>
      <c r="I845" s="846"/>
      <c r="J845" s="846"/>
      <c r="K845" s="846"/>
      <c r="L845" s="846"/>
      <c r="M845" s="846"/>
      <c r="N845" s="846"/>
      <c r="O845" s="846"/>
    </row>
    <row r="846" spans="1:15" ht="20.100000000000001" customHeight="1">
      <c r="A846" s="846"/>
      <c r="B846" s="846"/>
      <c r="C846" s="846"/>
      <c r="D846" s="846"/>
      <c r="E846" s="846"/>
      <c r="F846" s="846"/>
      <c r="G846" s="846"/>
      <c r="H846" s="846"/>
      <c r="I846" s="846"/>
      <c r="J846" s="846"/>
      <c r="K846" s="846"/>
      <c r="L846" s="846"/>
      <c r="M846" s="846"/>
      <c r="N846" s="846"/>
      <c r="O846" s="846"/>
    </row>
    <row r="847" spans="1:15" ht="20.100000000000001" customHeight="1">
      <c r="A847" s="846"/>
      <c r="B847" s="846"/>
      <c r="C847" s="846"/>
      <c r="D847" s="846"/>
      <c r="E847" s="846"/>
      <c r="F847" s="846"/>
      <c r="G847" s="846"/>
      <c r="H847" s="846"/>
      <c r="I847" s="846"/>
      <c r="J847" s="846"/>
      <c r="K847" s="846"/>
      <c r="L847" s="846"/>
      <c r="M847" s="846"/>
      <c r="N847" s="846"/>
      <c r="O847" s="846"/>
    </row>
    <row r="848" spans="1:15" ht="20.100000000000001" customHeight="1">
      <c r="A848" s="846"/>
      <c r="B848" s="846"/>
      <c r="C848" s="846"/>
      <c r="D848" s="846"/>
      <c r="E848" s="846"/>
      <c r="F848" s="846"/>
      <c r="G848" s="846"/>
      <c r="H848" s="846"/>
      <c r="I848" s="846"/>
      <c r="J848" s="846"/>
      <c r="K848" s="846"/>
      <c r="L848" s="846"/>
      <c r="M848" s="846"/>
      <c r="N848" s="846"/>
      <c r="O848" s="846"/>
    </row>
    <row r="849" spans="1:15" ht="20.100000000000001" customHeight="1">
      <c r="A849" s="846"/>
      <c r="B849" s="846"/>
      <c r="C849" s="846"/>
      <c r="D849" s="846"/>
      <c r="E849" s="846"/>
      <c r="F849" s="846"/>
      <c r="G849" s="846"/>
      <c r="H849" s="846"/>
      <c r="I849" s="846"/>
      <c r="J849" s="846"/>
      <c r="K849" s="846"/>
      <c r="L849" s="846"/>
      <c r="M849" s="846"/>
      <c r="N849" s="846"/>
      <c r="O849" s="846"/>
    </row>
    <row r="850" spans="1:15" ht="20.100000000000001" customHeight="1">
      <c r="A850" s="846"/>
      <c r="B850" s="846"/>
      <c r="C850" s="846"/>
      <c r="D850" s="846"/>
      <c r="E850" s="846"/>
      <c r="F850" s="846"/>
      <c r="G850" s="846"/>
      <c r="H850" s="846"/>
      <c r="I850" s="846"/>
      <c r="J850" s="846"/>
      <c r="K850" s="846"/>
      <c r="L850" s="846"/>
      <c r="M850" s="846"/>
      <c r="N850" s="846"/>
      <c r="O850" s="846"/>
    </row>
    <row r="851" spans="1:15" ht="20.100000000000001" customHeight="1">
      <c r="A851" s="846"/>
      <c r="B851" s="846"/>
      <c r="C851" s="846"/>
      <c r="D851" s="846"/>
      <c r="E851" s="846"/>
      <c r="F851" s="846"/>
      <c r="G851" s="846"/>
      <c r="H851" s="846"/>
      <c r="I851" s="846"/>
      <c r="J851" s="846"/>
      <c r="K851" s="846"/>
      <c r="L851" s="846"/>
      <c r="M851" s="846"/>
      <c r="N851" s="846"/>
      <c r="O851" s="846"/>
    </row>
    <row r="852" spans="1:15" ht="20.100000000000001" customHeight="1">
      <c r="A852" s="846"/>
      <c r="B852" s="846"/>
      <c r="C852" s="846"/>
      <c r="D852" s="846"/>
      <c r="E852" s="846"/>
      <c r="F852" s="846"/>
      <c r="G852" s="846"/>
      <c r="H852" s="846"/>
      <c r="I852" s="846"/>
      <c r="J852" s="846"/>
      <c r="K852" s="846"/>
      <c r="L852" s="846"/>
      <c r="M852" s="846"/>
      <c r="N852" s="846"/>
      <c r="O852" s="846"/>
    </row>
    <row r="853" spans="1:15" ht="20.100000000000001" customHeight="1">
      <c r="A853" s="846"/>
      <c r="B853" s="846"/>
      <c r="C853" s="846"/>
      <c r="D853" s="846"/>
      <c r="E853" s="846"/>
      <c r="F853" s="846"/>
      <c r="G853" s="846"/>
      <c r="H853" s="846"/>
      <c r="I853" s="846"/>
      <c r="J853" s="846"/>
      <c r="K853" s="846"/>
      <c r="L853" s="846"/>
      <c r="M853" s="846"/>
      <c r="N853" s="846"/>
      <c r="O853" s="846"/>
    </row>
    <row r="854" spans="1:15" ht="20.100000000000001" customHeight="1">
      <c r="A854" s="846"/>
      <c r="B854" s="846"/>
      <c r="C854" s="846"/>
      <c r="D854" s="846"/>
      <c r="E854" s="846"/>
      <c r="F854" s="846"/>
      <c r="G854" s="846"/>
      <c r="H854" s="846"/>
      <c r="I854" s="846"/>
      <c r="J854" s="846"/>
      <c r="K854" s="846"/>
      <c r="L854" s="846"/>
      <c r="M854" s="846"/>
      <c r="N854" s="846"/>
      <c r="O854" s="846"/>
    </row>
    <row r="855" spans="1:15" ht="20.100000000000001" customHeight="1">
      <c r="A855" s="846"/>
      <c r="B855" s="846"/>
      <c r="C855" s="846"/>
      <c r="D855" s="846"/>
      <c r="E855" s="846"/>
      <c r="F855" s="846"/>
      <c r="G855" s="846"/>
      <c r="H855" s="846"/>
      <c r="I855" s="846"/>
      <c r="J855" s="846"/>
      <c r="K855" s="846"/>
      <c r="L855" s="846"/>
      <c r="M855" s="846"/>
      <c r="N855" s="846"/>
      <c r="O855" s="846"/>
    </row>
    <row r="856" spans="1:15" ht="20.100000000000001" customHeight="1">
      <c r="A856" s="846"/>
      <c r="B856" s="846"/>
      <c r="C856" s="846"/>
      <c r="D856" s="846"/>
      <c r="E856" s="846"/>
      <c r="F856" s="846"/>
      <c r="G856" s="846"/>
      <c r="H856" s="846"/>
      <c r="I856" s="846"/>
      <c r="J856" s="846"/>
      <c r="K856" s="846"/>
      <c r="L856" s="846"/>
      <c r="M856" s="846"/>
      <c r="N856" s="846"/>
      <c r="O856" s="846"/>
    </row>
    <row r="857" spans="1:15" ht="20.100000000000001" customHeight="1">
      <c r="A857" s="846"/>
      <c r="B857" s="846"/>
      <c r="C857" s="846"/>
      <c r="D857" s="846"/>
      <c r="E857" s="846"/>
      <c r="F857" s="846"/>
      <c r="G857" s="846"/>
      <c r="H857" s="846"/>
      <c r="I857" s="846"/>
      <c r="J857" s="846"/>
      <c r="K857" s="846"/>
      <c r="L857" s="846"/>
      <c r="M857" s="846"/>
      <c r="N857" s="846"/>
      <c r="O857" s="846"/>
    </row>
    <row r="858" spans="1:15" ht="20.100000000000001" customHeight="1">
      <c r="A858" s="846"/>
      <c r="B858" s="846"/>
      <c r="C858" s="846"/>
      <c r="D858" s="846"/>
      <c r="E858" s="846"/>
      <c r="F858" s="846"/>
      <c r="G858" s="846"/>
      <c r="H858" s="846"/>
      <c r="I858" s="846"/>
      <c r="J858" s="846"/>
      <c r="K858" s="846"/>
      <c r="L858" s="846"/>
      <c r="M858" s="846"/>
      <c r="N858" s="846"/>
      <c r="O858" s="846"/>
    </row>
    <row r="859" spans="1:15" ht="20.100000000000001" customHeight="1">
      <c r="A859" s="846"/>
      <c r="B859" s="846"/>
      <c r="C859" s="846"/>
      <c r="D859" s="846"/>
      <c r="E859" s="846"/>
      <c r="F859" s="846"/>
      <c r="G859" s="846"/>
      <c r="H859" s="846"/>
      <c r="I859" s="846"/>
      <c r="J859" s="846"/>
      <c r="K859" s="846"/>
      <c r="L859" s="846"/>
      <c r="M859" s="846"/>
      <c r="N859" s="846"/>
      <c r="O859" s="846"/>
    </row>
    <row r="860" spans="1:15" ht="20.100000000000001" customHeight="1">
      <c r="A860" s="846"/>
      <c r="B860" s="846"/>
      <c r="C860" s="846"/>
      <c r="D860" s="846"/>
      <c r="E860" s="846"/>
      <c r="F860" s="846"/>
      <c r="G860" s="846"/>
      <c r="H860" s="846"/>
      <c r="I860" s="846"/>
      <c r="J860" s="846"/>
      <c r="K860" s="846"/>
      <c r="L860" s="846"/>
      <c r="M860" s="846"/>
      <c r="N860" s="846"/>
      <c r="O860" s="846"/>
    </row>
    <row r="861" spans="1:15" ht="20.100000000000001" customHeight="1">
      <c r="A861" s="846"/>
      <c r="B861" s="846"/>
      <c r="C861" s="846"/>
      <c r="D861" s="846"/>
      <c r="E861" s="846"/>
      <c r="F861" s="846"/>
      <c r="G861" s="846"/>
      <c r="H861" s="846"/>
      <c r="I861" s="846"/>
      <c r="J861" s="846"/>
      <c r="K861" s="846"/>
      <c r="L861" s="846"/>
      <c r="M861" s="846"/>
      <c r="N861" s="846"/>
      <c r="O861" s="846"/>
    </row>
    <row r="862" spans="1:15" ht="20.100000000000001" customHeight="1">
      <c r="A862" s="846"/>
      <c r="B862" s="846"/>
      <c r="C862" s="846"/>
      <c r="D862" s="846"/>
      <c r="E862" s="846"/>
      <c r="F862" s="846"/>
      <c r="G862" s="846"/>
      <c r="H862" s="846"/>
      <c r="I862" s="846"/>
      <c r="J862" s="846"/>
      <c r="K862" s="846"/>
      <c r="L862" s="846"/>
      <c r="M862" s="846"/>
      <c r="N862" s="846"/>
      <c r="O862" s="846"/>
    </row>
    <row r="863" spans="1:15" ht="20.100000000000001" customHeight="1">
      <c r="A863" s="846"/>
      <c r="B863" s="846"/>
      <c r="C863" s="846"/>
      <c r="D863" s="846"/>
      <c r="E863" s="846"/>
      <c r="F863" s="846"/>
      <c r="G863" s="846"/>
      <c r="H863" s="846"/>
      <c r="I863" s="846"/>
      <c r="J863" s="846"/>
      <c r="K863" s="846"/>
      <c r="L863" s="846"/>
      <c r="M863" s="846"/>
      <c r="N863" s="846"/>
      <c r="O863" s="846"/>
    </row>
    <row r="864" spans="1:15" ht="20.100000000000001" customHeight="1">
      <c r="A864" s="846"/>
      <c r="B864" s="846"/>
      <c r="C864" s="846"/>
      <c r="D864" s="846"/>
      <c r="E864" s="846"/>
      <c r="F864" s="846"/>
      <c r="G864" s="846"/>
      <c r="H864" s="846"/>
      <c r="I864" s="846"/>
      <c r="J864" s="846"/>
      <c r="K864" s="846"/>
      <c r="L864" s="846"/>
      <c r="M864" s="846"/>
      <c r="N864" s="846"/>
      <c r="O864" s="846"/>
    </row>
    <row r="865" spans="1:15" ht="20.100000000000001" customHeight="1">
      <c r="A865" s="846"/>
      <c r="B865" s="846"/>
      <c r="C865" s="846"/>
      <c r="D865" s="846"/>
      <c r="E865" s="846"/>
      <c r="F865" s="846"/>
      <c r="G865" s="846"/>
      <c r="H865" s="846"/>
      <c r="I865" s="846"/>
      <c r="J865" s="846"/>
      <c r="K865" s="846"/>
      <c r="L865" s="846"/>
      <c r="M865" s="846"/>
      <c r="N865" s="846"/>
      <c r="O865" s="846"/>
    </row>
    <row r="866" spans="1:15" ht="20.100000000000001" customHeight="1">
      <c r="A866" s="846"/>
      <c r="B866" s="846"/>
      <c r="C866" s="846"/>
      <c r="D866" s="846"/>
      <c r="E866" s="846"/>
      <c r="F866" s="846"/>
      <c r="G866" s="846"/>
      <c r="H866" s="846"/>
      <c r="I866" s="846"/>
      <c r="J866" s="846"/>
      <c r="K866" s="846"/>
      <c r="L866" s="846"/>
      <c r="M866" s="846"/>
      <c r="N866" s="846"/>
      <c r="O866" s="846"/>
    </row>
    <row r="867" spans="1:15" ht="20.100000000000001" customHeight="1">
      <c r="A867" s="846"/>
      <c r="B867" s="846"/>
      <c r="C867" s="846"/>
      <c r="D867" s="846"/>
      <c r="E867" s="846"/>
      <c r="F867" s="846"/>
      <c r="G867" s="846"/>
      <c r="H867" s="846"/>
      <c r="I867" s="846"/>
      <c r="J867" s="846"/>
      <c r="K867" s="846"/>
      <c r="L867" s="846"/>
      <c r="M867" s="846"/>
      <c r="N867" s="846"/>
      <c r="O867" s="846"/>
    </row>
    <row r="868" spans="1:15" ht="20.100000000000001" customHeight="1">
      <c r="A868" s="846"/>
      <c r="B868" s="846"/>
      <c r="C868" s="846"/>
      <c r="D868" s="846"/>
      <c r="E868" s="846"/>
      <c r="F868" s="846"/>
      <c r="G868" s="846"/>
      <c r="H868" s="846"/>
      <c r="I868" s="846"/>
      <c r="J868" s="846"/>
      <c r="K868" s="846"/>
      <c r="L868" s="846"/>
      <c r="M868" s="846"/>
      <c r="N868" s="846"/>
      <c r="O868" s="846"/>
    </row>
    <row r="869" spans="1:15" ht="20.100000000000001" customHeight="1">
      <c r="A869" s="846"/>
      <c r="B869" s="846"/>
      <c r="C869" s="846"/>
      <c r="D869" s="846"/>
      <c r="E869" s="846"/>
      <c r="F869" s="846"/>
      <c r="G869" s="846"/>
      <c r="H869" s="846"/>
      <c r="I869" s="846"/>
      <c r="J869" s="846"/>
      <c r="K869" s="846"/>
      <c r="L869" s="846"/>
      <c r="M869" s="846"/>
      <c r="N869" s="846"/>
      <c r="O869" s="846"/>
    </row>
    <row r="870" spans="1:15" ht="20.100000000000001" customHeight="1">
      <c r="A870" s="846"/>
      <c r="B870" s="846"/>
      <c r="C870" s="846"/>
      <c r="D870" s="846"/>
      <c r="E870" s="846"/>
      <c r="F870" s="846"/>
      <c r="G870" s="846"/>
      <c r="H870" s="846"/>
      <c r="I870" s="846"/>
      <c r="J870" s="846"/>
      <c r="K870" s="846"/>
      <c r="L870" s="846"/>
      <c r="M870" s="846"/>
      <c r="N870" s="846"/>
      <c r="O870" s="846"/>
    </row>
    <row r="871" spans="1:15" ht="20.100000000000001" customHeight="1">
      <c r="A871" s="846"/>
      <c r="B871" s="846"/>
      <c r="C871" s="846"/>
      <c r="D871" s="846"/>
      <c r="E871" s="846"/>
      <c r="F871" s="846"/>
      <c r="G871" s="846"/>
      <c r="H871" s="846"/>
      <c r="I871" s="846"/>
      <c r="J871" s="846"/>
      <c r="K871" s="846"/>
      <c r="L871" s="846"/>
      <c r="M871" s="846"/>
      <c r="N871" s="846"/>
      <c r="O871" s="846"/>
    </row>
    <row r="872" spans="1:15" ht="20.100000000000001" customHeight="1">
      <c r="A872" s="846"/>
      <c r="B872" s="846"/>
      <c r="C872" s="846"/>
      <c r="D872" s="846"/>
      <c r="E872" s="846"/>
      <c r="F872" s="846"/>
      <c r="G872" s="846"/>
      <c r="H872" s="846"/>
      <c r="I872" s="846"/>
      <c r="J872" s="846"/>
      <c r="K872" s="846"/>
      <c r="L872" s="846"/>
      <c r="M872" s="846"/>
      <c r="N872" s="846"/>
      <c r="O872" s="846"/>
    </row>
    <row r="873" spans="1:15" ht="20.100000000000001" customHeight="1">
      <c r="A873" s="846"/>
      <c r="B873" s="846"/>
      <c r="C873" s="846"/>
      <c r="D873" s="846"/>
      <c r="E873" s="846"/>
      <c r="F873" s="846"/>
      <c r="G873" s="846"/>
      <c r="H873" s="846"/>
      <c r="I873" s="846"/>
      <c r="J873" s="846"/>
      <c r="K873" s="846"/>
      <c r="L873" s="846"/>
      <c r="M873" s="846"/>
      <c r="N873" s="846"/>
      <c r="O873" s="846"/>
    </row>
    <row r="874" spans="1:15" ht="20.100000000000001" customHeight="1">
      <c r="A874" s="846"/>
      <c r="B874" s="846"/>
      <c r="C874" s="846"/>
      <c r="D874" s="846"/>
      <c r="E874" s="846"/>
      <c r="F874" s="846"/>
      <c r="G874" s="846"/>
      <c r="H874" s="846"/>
      <c r="I874" s="846"/>
      <c r="J874" s="846"/>
      <c r="K874" s="846"/>
      <c r="L874" s="846"/>
      <c r="M874" s="846"/>
      <c r="N874" s="846"/>
      <c r="O874" s="846"/>
    </row>
    <row r="875" spans="1:15" ht="20.100000000000001" customHeight="1">
      <c r="A875" s="846"/>
      <c r="B875" s="846"/>
      <c r="C875" s="846"/>
      <c r="D875" s="846"/>
      <c r="E875" s="846"/>
      <c r="F875" s="846"/>
      <c r="G875" s="846"/>
      <c r="H875" s="846"/>
      <c r="I875" s="846"/>
      <c r="J875" s="846"/>
      <c r="K875" s="846"/>
      <c r="L875" s="846"/>
      <c r="M875" s="846"/>
      <c r="N875" s="846"/>
      <c r="O875" s="846"/>
    </row>
    <row r="876" spans="1:15" ht="20.100000000000001" customHeight="1">
      <c r="A876" s="846"/>
      <c r="B876" s="846"/>
      <c r="C876" s="846"/>
      <c r="D876" s="846"/>
      <c r="E876" s="846"/>
      <c r="F876" s="846"/>
      <c r="G876" s="846"/>
      <c r="H876" s="846"/>
      <c r="I876" s="846"/>
      <c r="J876" s="846"/>
      <c r="K876" s="846"/>
      <c r="L876" s="846"/>
      <c r="M876" s="846"/>
      <c r="N876" s="846"/>
      <c r="O876" s="846"/>
    </row>
    <row r="877" spans="1:15" ht="20.100000000000001" customHeight="1">
      <c r="A877" s="846"/>
      <c r="B877" s="846"/>
      <c r="C877" s="846"/>
      <c r="D877" s="846"/>
      <c r="E877" s="846"/>
      <c r="F877" s="846"/>
      <c r="G877" s="846"/>
      <c r="H877" s="846"/>
      <c r="I877" s="846"/>
      <c r="J877" s="846"/>
      <c r="K877" s="846"/>
      <c r="L877" s="846"/>
      <c r="M877" s="846"/>
      <c r="N877" s="846"/>
      <c r="O877" s="846"/>
    </row>
    <row r="878" spans="1:15" ht="20.100000000000001" customHeight="1">
      <c r="A878" s="846"/>
      <c r="B878" s="846"/>
      <c r="C878" s="846"/>
      <c r="D878" s="846"/>
      <c r="E878" s="846"/>
      <c r="F878" s="846"/>
      <c r="G878" s="846"/>
      <c r="H878" s="846"/>
      <c r="I878" s="846"/>
      <c r="J878" s="846"/>
      <c r="K878" s="846"/>
      <c r="L878" s="846"/>
      <c r="M878" s="846"/>
      <c r="N878" s="846"/>
      <c r="O878" s="846"/>
    </row>
    <row r="879" spans="1:15" ht="20.100000000000001" customHeight="1">
      <c r="A879" s="846"/>
      <c r="B879" s="846"/>
      <c r="C879" s="846"/>
      <c r="D879" s="846"/>
      <c r="E879" s="846"/>
      <c r="F879" s="846"/>
      <c r="G879" s="846"/>
      <c r="H879" s="846"/>
      <c r="I879" s="846"/>
      <c r="J879" s="846"/>
      <c r="K879" s="846"/>
      <c r="L879" s="846"/>
      <c r="M879" s="846"/>
      <c r="N879" s="846"/>
      <c r="O879" s="846"/>
    </row>
    <row r="880" spans="1:15" ht="20.100000000000001" customHeight="1">
      <c r="A880" s="846"/>
      <c r="B880" s="846"/>
      <c r="C880" s="846"/>
      <c r="D880" s="846"/>
      <c r="E880" s="846"/>
      <c r="F880" s="846"/>
      <c r="G880" s="846"/>
      <c r="H880" s="846"/>
      <c r="I880" s="846"/>
      <c r="J880" s="846"/>
      <c r="K880" s="846"/>
      <c r="L880" s="846"/>
      <c r="M880" s="846"/>
      <c r="N880" s="846"/>
      <c r="O880" s="846"/>
    </row>
    <row r="881" spans="1:15" ht="20.100000000000001" customHeight="1">
      <c r="A881" s="846"/>
      <c r="B881" s="846"/>
      <c r="C881" s="846"/>
      <c r="D881" s="846"/>
      <c r="E881" s="846"/>
      <c r="F881" s="846"/>
      <c r="G881" s="846"/>
      <c r="H881" s="846"/>
      <c r="I881" s="846"/>
      <c r="J881" s="846"/>
      <c r="K881" s="846"/>
      <c r="L881" s="846"/>
      <c r="M881" s="846"/>
      <c r="N881" s="846"/>
      <c r="O881" s="846"/>
    </row>
    <row r="882" spans="1:15" ht="20.100000000000001" customHeight="1">
      <c r="A882" s="846"/>
      <c r="B882" s="846"/>
      <c r="C882" s="846"/>
      <c r="D882" s="846"/>
      <c r="E882" s="846"/>
      <c r="F882" s="846"/>
      <c r="G882" s="846"/>
      <c r="H882" s="846"/>
      <c r="I882" s="846"/>
      <c r="J882" s="846"/>
      <c r="K882" s="846"/>
      <c r="L882" s="846"/>
      <c r="M882" s="846"/>
      <c r="N882" s="846"/>
      <c r="O882" s="846"/>
    </row>
    <row r="883" spans="1:15" ht="20.100000000000001" customHeight="1">
      <c r="A883" s="846"/>
      <c r="B883" s="846"/>
      <c r="C883" s="846"/>
      <c r="D883" s="846"/>
      <c r="E883" s="846"/>
      <c r="F883" s="846"/>
      <c r="G883" s="846"/>
      <c r="H883" s="846"/>
      <c r="I883" s="846"/>
      <c r="J883" s="846"/>
      <c r="K883" s="846"/>
      <c r="L883" s="846"/>
      <c r="M883" s="846"/>
      <c r="N883" s="846"/>
      <c r="O883" s="846"/>
    </row>
    <row r="884" spans="1:15" ht="20.100000000000001" customHeight="1">
      <c r="A884" s="846"/>
      <c r="B884" s="846"/>
      <c r="C884" s="846"/>
      <c r="D884" s="846"/>
      <c r="E884" s="846"/>
      <c r="F884" s="846"/>
      <c r="G884" s="846"/>
      <c r="H884" s="846"/>
      <c r="I884" s="846"/>
      <c r="J884" s="846"/>
      <c r="K884" s="846"/>
      <c r="L884" s="846"/>
      <c r="M884" s="846"/>
      <c r="N884" s="846"/>
      <c r="O884" s="846"/>
    </row>
    <row r="885" spans="1:15" ht="20.100000000000001" customHeight="1">
      <c r="A885" s="846"/>
      <c r="B885" s="846"/>
      <c r="C885" s="846"/>
      <c r="D885" s="846"/>
      <c r="E885" s="846"/>
      <c r="F885" s="846"/>
      <c r="G885" s="846"/>
      <c r="H885" s="846"/>
      <c r="I885" s="846"/>
      <c r="J885" s="846"/>
      <c r="K885" s="846"/>
      <c r="L885" s="846"/>
      <c r="M885" s="846"/>
      <c r="N885" s="846"/>
      <c r="O885" s="846"/>
    </row>
    <row r="886" spans="1:15" ht="20.100000000000001" customHeight="1">
      <c r="A886" s="846"/>
      <c r="B886" s="846"/>
      <c r="C886" s="846"/>
      <c r="D886" s="846"/>
      <c r="E886" s="846"/>
      <c r="F886" s="846"/>
      <c r="G886" s="846"/>
      <c r="H886" s="846"/>
      <c r="I886" s="846"/>
      <c r="J886" s="846"/>
      <c r="K886" s="846"/>
      <c r="L886" s="846"/>
      <c r="M886" s="846"/>
      <c r="N886" s="846"/>
      <c r="O886" s="846"/>
    </row>
    <row r="887" spans="1:15" ht="20.100000000000001" customHeight="1">
      <c r="A887" s="846"/>
      <c r="B887" s="846"/>
      <c r="C887" s="846"/>
      <c r="D887" s="846"/>
      <c r="E887" s="846"/>
      <c r="F887" s="846"/>
      <c r="G887" s="846"/>
      <c r="H887" s="846"/>
      <c r="I887" s="846"/>
      <c r="J887" s="846"/>
      <c r="K887" s="846"/>
      <c r="L887" s="846"/>
      <c r="M887" s="846"/>
      <c r="N887" s="846"/>
      <c r="O887" s="846"/>
    </row>
    <row r="888" spans="1:15" ht="20.100000000000001" customHeight="1">
      <c r="A888" s="846"/>
      <c r="B888" s="846"/>
      <c r="C888" s="846"/>
      <c r="D888" s="846"/>
      <c r="E888" s="846"/>
      <c r="F888" s="846"/>
      <c r="G888" s="846"/>
      <c r="H888" s="846"/>
      <c r="I888" s="846"/>
      <c r="J888" s="846"/>
      <c r="K888" s="846"/>
      <c r="L888" s="846"/>
      <c r="M888" s="846"/>
      <c r="N888" s="846"/>
      <c r="O888" s="846"/>
    </row>
    <row r="889" spans="1:15" ht="20.100000000000001" customHeight="1">
      <c r="A889" s="846"/>
      <c r="B889" s="846"/>
      <c r="C889" s="846"/>
      <c r="D889" s="846"/>
      <c r="E889" s="846"/>
      <c r="F889" s="846"/>
      <c r="G889" s="846"/>
      <c r="H889" s="846"/>
      <c r="I889" s="846"/>
      <c r="J889" s="846"/>
      <c r="K889" s="846"/>
      <c r="L889" s="846"/>
      <c r="M889" s="846"/>
      <c r="N889" s="846"/>
      <c r="O889" s="846"/>
    </row>
    <row r="890" spans="1:15" ht="20.100000000000001" customHeight="1">
      <c r="A890" s="846"/>
      <c r="B890" s="846"/>
      <c r="C890" s="846"/>
      <c r="D890" s="846"/>
      <c r="E890" s="846"/>
      <c r="F890" s="846"/>
      <c r="G890" s="846"/>
      <c r="H890" s="846"/>
      <c r="I890" s="846"/>
      <c r="J890" s="846"/>
      <c r="K890" s="846"/>
      <c r="L890" s="846"/>
      <c r="M890" s="846"/>
      <c r="N890" s="846"/>
      <c r="O890" s="846"/>
    </row>
    <row r="891" spans="1:15" ht="20.100000000000001" customHeight="1">
      <c r="A891" s="846"/>
      <c r="B891" s="846"/>
      <c r="C891" s="846"/>
      <c r="D891" s="846"/>
      <c r="E891" s="846"/>
      <c r="F891" s="846"/>
      <c r="G891" s="846"/>
      <c r="H891" s="846"/>
      <c r="I891" s="846"/>
      <c r="J891" s="846"/>
      <c r="K891" s="846"/>
      <c r="L891" s="846"/>
      <c r="M891" s="846"/>
      <c r="N891" s="846"/>
      <c r="O891" s="846"/>
    </row>
    <row r="892" spans="1:15" ht="20.100000000000001" customHeight="1">
      <c r="A892" s="846"/>
      <c r="B892" s="846"/>
      <c r="C892" s="846"/>
      <c r="D892" s="846"/>
      <c r="E892" s="846"/>
      <c r="F892" s="846"/>
      <c r="G892" s="846"/>
      <c r="H892" s="846"/>
      <c r="I892" s="846"/>
      <c r="J892" s="846"/>
      <c r="K892" s="846"/>
      <c r="L892" s="846"/>
      <c r="M892" s="846"/>
      <c r="N892" s="846"/>
      <c r="O892" s="846"/>
    </row>
    <row r="893" spans="1:15" ht="20.100000000000001" customHeight="1">
      <c r="A893" s="846"/>
      <c r="B893" s="846"/>
      <c r="C893" s="846"/>
      <c r="D893" s="846"/>
      <c r="E893" s="846"/>
      <c r="F893" s="846"/>
      <c r="G893" s="846"/>
      <c r="H893" s="846"/>
      <c r="I893" s="846"/>
      <c r="J893" s="846"/>
      <c r="K893" s="846"/>
      <c r="L893" s="846"/>
      <c r="M893" s="846"/>
      <c r="N893" s="846"/>
      <c r="O893" s="846"/>
    </row>
    <row r="894" spans="1:15" ht="20.100000000000001" customHeight="1">
      <c r="A894" s="846"/>
      <c r="B894" s="846"/>
      <c r="C894" s="846"/>
      <c r="D894" s="846"/>
      <c r="E894" s="846"/>
      <c r="F894" s="846"/>
      <c r="G894" s="846"/>
      <c r="H894" s="846"/>
      <c r="I894" s="846"/>
      <c r="J894" s="846"/>
      <c r="K894" s="846"/>
      <c r="L894" s="846"/>
      <c r="M894" s="846"/>
      <c r="N894" s="846"/>
      <c r="O894" s="846"/>
    </row>
    <row r="895" spans="1:15" ht="20.100000000000001" customHeight="1">
      <c r="A895" s="846"/>
      <c r="B895" s="846"/>
      <c r="C895" s="846"/>
      <c r="D895" s="846"/>
      <c r="E895" s="846"/>
      <c r="F895" s="846"/>
      <c r="G895" s="846"/>
      <c r="H895" s="846"/>
      <c r="I895" s="846"/>
      <c r="J895" s="846"/>
      <c r="K895" s="846"/>
      <c r="L895" s="846"/>
      <c r="M895" s="846"/>
      <c r="N895" s="846"/>
      <c r="O895" s="846"/>
    </row>
    <row r="896" spans="1:15" ht="20.100000000000001" customHeight="1">
      <c r="A896" s="846"/>
      <c r="B896" s="846"/>
      <c r="C896" s="846"/>
      <c r="D896" s="846"/>
      <c r="E896" s="846"/>
      <c r="F896" s="846"/>
      <c r="G896" s="846"/>
      <c r="H896" s="846"/>
      <c r="I896" s="846"/>
      <c r="J896" s="846"/>
      <c r="K896" s="846"/>
      <c r="L896" s="846"/>
      <c r="M896" s="846"/>
      <c r="N896" s="846"/>
      <c r="O896" s="846"/>
    </row>
    <row r="897" spans="1:15" ht="20.100000000000001" customHeight="1">
      <c r="A897" s="846"/>
      <c r="B897" s="846"/>
      <c r="C897" s="846"/>
      <c r="D897" s="846"/>
      <c r="E897" s="846"/>
      <c r="F897" s="846"/>
      <c r="G897" s="846"/>
      <c r="H897" s="846"/>
      <c r="I897" s="846"/>
      <c r="J897" s="846"/>
      <c r="K897" s="846"/>
      <c r="L897" s="846"/>
      <c r="M897" s="846"/>
      <c r="N897" s="846"/>
      <c r="O897" s="846"/>
    </row>
    <row r="898" spans="1:15" ht="20.100000000000001" customHeight="1">
      <c r="A898" s="846"/>
      <c r="B898" s="846"/>
      <c r="C898" s="846"/>
      <c r="D898" s="846"/>
      <c r="E898" s="846"/>
      <c r="F898" s="846"/>
      <c r="G898" s="846"/>
      <c r="H898" s="846"/>
      <c r="I898" s="846"/>
      <c r="J898" s="846"/>
      <c r="K898" s="846"/>
      <c r="L898" s="846"/>
      <c r="M898" s="846"/>
      <c r="N898" s="846"/>
      <c r="O898" s="846"/>
    </row>
    <row r="899" spans="1:15" ht="20.100000000000001" customHeight="1">
      <c r="A899" s="846"/>
      <c r="B899" s="846"/>
      <c r="C899" s="846"/>
      <c r="D899" s="846"/>
      <c r="E899" s="846"/>
      <c r="F899" s="846"/>
      <c r="G899" s="846"/>
      <c r="H899" s="846"/>
      <c r="I899" s="846"/>
      <c r="J899" s="846"/>
      <c r="K899" s="846"/>
      <c r="L899" s="846"/>
      <c r="M899" s="846"/>
      <c r="N899" s="846"/>
      <c r="O899" s="846"/>
    </row>
    <row r="900" spans="1:15" ht="20.100000000000001" customHeight="1">
      <c r="A900" s="846"/>
      <c r="B900" s="846"/>
      <c r="C900" s="846"/>
      <c r="D900" s="846"/>
      <c r="E900" s="846"/>
      <c r="F900" s="846"/>
      <c r="G900" s="846"/>
      <c r="H900" s="846"/>
      <c r="I900" s="846"/>
      <c r="J900" s="846"/>
      <c r="K900" s="846"/>
      <c r="L900" s="846"/>
      <c r="M900" s="846"/>
      <c r="N900" s="846"/>
      <c r="O900" s="846"/>
    </row>
    <row r="901" spans="1:15" ht="20.100000000000001" customHeight="1">
      <c r="A901" s="846"/>
      <c r="B901" s="846"/>
      <c r="C901" s="846"/>
      <c r="D901" s="846"/>
      <c r="E901" s="846"/>
      <c r="F901" s="846"/>
      <c r="G901" s="846"/>
      <c r="H901" s="846"/>
      <c r="I901" s="846"/>
      <c r="J901" s="846"/>
      <c r="K901" s="846"/>
      <c r="L901" s="846"/>
      <c r="M901" s="846"/>
      <c r="N901" s="846"/>
      <c r="O901" s="846"/>
    </row>
    <row r="902" spans="1:15" ht="20.100000000000001" customHeight="1">
      <c r="A902" s="846"/>
      <c r="B902" s="846"/>
      <c r="C902" s="846"/>
      <c r="D902" s="846"/>
      <c r="E902" s="846"/>
      <c r="F902" s="846"/>
      <c r="G902" s="846"/>
      <c r="H902" s="846"/>
      <c r="I902" s="846"/>
      <c r="J902" s="846"/>
      <c r="K902" s="846"/>
      <c r="L902" s="846"/>
      <c r="M902" s="846"/>
      <c r="N902" s="846"/>
      <c r="O902" s="846"/>
    </row>
    <row r="903" spans="1:15" ht="20.100000000000001" customHeight="1">
      <c r="A903" s="846"/>
      <c r="B903" s="846"/>
      <c r="C903" s="846"/>
      <c r="D903" s="846"/>
      <c r="E903" s="846"/>
      <c r="F903" s="846"/>
      <c r="G903" s="846"/>
      <c r="H903" s="846"/>
      <c r="I903" s="846"/>
      <c r="J903" s="846"/>
      <c r="K903" s="846"/>
      <c r="L903" s="846"/>
      <c r="M903" s="846"/>
      <c r="N903" s="846"/>
      <c r="O903" s="846"/>
    </row>
    <row r="904" spans="1:15" ht="20.100000000000001" customHeight="1">
      <c r="A904" s="846"/>
      <c r="B904" s="846"/>
      <c r="C904" s="846"/>
      <c r="D904" s="846"/>
      <c r="E904" s="846"/>
      <c r="F904" s="846"/>
      <c r="G904" s="846"/>
      <c r="H904" s="846"/>
      <c r="I904" s="846"/>
      <c r="J904" s="846"/>
      <c r="K904" s="846"/>
      <c r="L904" s="846"/>
      <c r="M904" s="846"/>
      <c r="N904" s="846"/>
      <c r="O904" s="846"/>
    </row>
    <row r="905" spans="1:15" ht="20.100000000000001" customHeight="1">
      <c r="A905" s="846"/>
      <c r="B905" s="846"/>
      <c r="C905" s="846"/>
      <c r="D905" s="846"/>
      <c r="E905" s="846"/>
      <c r="F905" s="846"/>
      <c r="G905" s="846"/>
      <c r="H905" s="846"/>
      <c r="I905" s="846"/>
      <c r="J905" s="846"/>
      <c r="K905" s="846"/>
      <c r="L905" s="846"/>
      <c r="M905" s="846"/>
      <c r="N905" s="846"/>
      <c r="O905" s="846"/>
    </row>
    <row r="906" spans="1:15" ht="20.100000000000001" customHeight="1">
      <c r="A906" s="846"/>
      <c r="B906" s="846"/>
      <c r="C906" s="846"/>
      <c r="D906" s="846"/>
      <c r="E906" s="846"/>
      <c r="F906" s="846"/>
      <c r="G906" s="846"/>
      <c r="H906" s="846"/>
      <c r="I906" s="846"/>
      <c r="J906" s="846"/>
      <c r="K906" s="846"/>
      <c r="L906" s="846"/>
      <c r="M906" s="846"/>
      <c r="N906" s="846"/>
      <c r="O906" s="846"/>
    </row>
    <row r="907" spans="1:15" ht="20.100000000000001" customHeight="1">
      <c r="A907" s="846"/>
      <c r="B907" s="846"/>
      <c r="C907" s="846"/>
      <c r="D907" s="846"/>
      <c r="E907" s="846"/>
      <c r="F907" s="846"/>
      <c r="G907" s="846"/>
      <c r="H907" s="846"/>
      <c r="I907" s="846"/>
      <c r="J907" s="846"/>
      <c r="K907" s="846"/>
      <c r="L907" s="846"/>
      <c r="M907" s="846"/>
      <c r="N907" s="846"/>
      <c r="O907" s="846"/>
    </row>
    <row r="908" spans="1:15" ht="20.100000000000001" customHeight="1">
      <c r="A908" s="846"/>
      <c r="B908" s="846"/>
      <c r="C908" s="846"/>
      <c r="D908" s="846"/>
      <c r="E908" s="846"/>
      <c r="F908" s="846"/>
      <c r="G908" s="846"/>
      <c r="H908" s="846"/>
      <c r="I908" s="846"/>
      <c r="J908" s="846"/>
      <c r="K908" s="846"/>
      <c r="L908" s="846"/>
      <c r="M908" s="846"/>
      <c r="N908" s="846"/>
      <c r="O908" s="846"/>
    </row>
    <row r="909" spans="1:15" ht="20.100000000000001" customHeight="1">
      <c r="A909" s="846"/>
      <c r="B909" s="846"/>
      <c r="C909" s="846"/>
      <c r="D909" s="846"/>
      <c r="E909" s="846"/>
      <c r="F909" s="846"/>
      <c r="G909" s="846"/>
      <c r="H909" s="846"/>
      <c r="I909" s="846"/>
      <c r="J909" s="846"/>
      <c r="K909" s="846"/>
      <c r="L909" s="846"/>
      <c r="M909" s="846"/>
      <c r="N909" s="846"/>
      <c r="O909" s="846"/>
    </row>
    <row r="910" spans="1:15" ht="20.100000000000001" customHeight="1">
      <c r="A910" s="846"/>
      <c r="B910" s="846"/>
      <c r="C910" s="846"/>
      <c r="D910" s="846"/>
      <c r="E910" s="846"/>
      <c r="F910" s="846"/>
      <c r="G910" s="846"/>
      <c r="H910" s="846"/>
      <c r="I910" s="846"/>
      <c r="J910" s="846"/>
      <c r="K910" s="846"/>
      <c r="L910" s="846"/>
      <c r="M910" s="846"/>
      <c r="N910" s="846"/>
      <c r="O910" s="846"/>
    </row>
    <row r="911" spans="1:15" ht="20.100000000000001" customHeight="1">
      <c r="A911" s="846"/>
      <c r="B911" s="846"/>
      <c r="C911" s="846"/>
      <c r="D911" s="846"/>
      <c r="E911" s="846"/>
      <c r="F911" s="846"/>
      <c r="G911" s="846"/>
      <c r="H911" s="846"/>
      <c r="I911" s="846"/>
      <c r="J911" s="846"/>
      <c r="K911" s="846"/>
      <c r="L911" s="846"/>
      <c r="M911" s="846"/>
      <c r="N911" s="846"/>
      <c r="O911" s="846"/>
    </row>
    <row r="912" spans="1:15" ht="20.100000000000001" customHeight="1">
      <c r="A912" s="846"/>
      <c r="B912" s="846"/>
      <c r="C912" s="846"/>
      <c r="D912" s="846"/>
      <c r="E912" s="846"/>
      <c r="F912" s="846"/>
      <c r="G912" s="846"/>
      <c r="H912" s="846"/>
      <c r="I912" s="846"/>
      <c r="J912" s="846"/>
      <c r="K912" s="846"/>
      <c r="L912" s="846"/>
      <c r="M912" s="846"/>
      <c r="N912" s="846"/>
      <c r="O912" s="846"/>
    </row>
    <row r="913" spans="1:15" ht="20.100000000000001" customHeight="1">
      <c r="A913" s="846"/>
      <c r="B913" s="846"/>
      <c r="C913" s="846"/>
      <c r="D913" s="846"/>
      <c r="E913" s="846"/>
      <c r="F913" s="846"/>
      <c r="G913" s="846"/>
      <c r="H913" s="846"/>
      <c r="I913" s="846"/>
      <c r="J913" s="846"/>
      <c r="K913" s="846"/>
      <c r="L913" s="846"/>
      <c r="M913" s="846"/>
      <c r="N913" s="846"/>
      <c r="O913" s="846"/>
    </row>
    <row r="914" spans="1:15" ht="20.100000000000001" customHeight="1">
      <c r="A914" s="846"/>
      <c r="B914" s="846"/>
      <c r="C914" s="846"/>
      <c r="D914" s="846"/>
      <c r="E914" s="846"/>
      <c r="F914" s="846"/>
      <c r="G914" s="846"/>
      <c r="H914" s="846"/>
      <c r="I914" s="846"/>
      <c r="J914" s="846"/>
      <c r="K914" s="846"/>
      <c r="L914" s="846"/>
      <c r="M914" s="846"/>
      <c r="N914" s="846"/>
      <c r="O914" s="846"/>
    </row>
    <row r="915" spans="1:15" ht="20.100000000000001" customHeight="1">
      <c r="A915" s="846"/>
      <c r="B915" s="846"/>
      <c r="C915" s="846"/>
      <c r="D915" s="846"/>
      <c r="E915" s="846"/>
      <c r="F915" s="846"/>
      <c r="G915" s="846"/>
      <c r="H915" s="846"/>
      <c r="I915" s="846"/>
      <c r="J915" s="846"/>
      <c r="K915" s="846"/>
      <c r="L915" s="846"/>
      <c r="M915" s="846"/>
      <c r="N915" s="846"/>
      <c r="O915" s="846"/>
    </row>
    <row r="916" spans="1:15" ht="20.100000000000001" customHeight="1">
      <c r="A916" s="846"/>
      <c r="B916" s="846"/>
      <c r="C916" s="846"/>
      <c r="D916" s="846"/>
      <c r="E916" s="846"/>
      <c r="F916" s="846"/>
      <c r="G916" s="846"/>
      <c r="H916" s="846"/>
      <c r="I916" s="846"/>
      <c r="J916" s="846"/>
      <c r="K916" s="846"/>
      <c r="L916" s="846"/>
      <c r="M916" s="846"/>
      <c r="N916" s="846"/>
      <c r="O916" s="846"/>
    </row>
    <row r="917" spans="1:15" ht="20.100000000000001" customHeight="1">
      <c r="A917" s="846"/>
      <c r="B917" s="846"/>
      <c r="C917" s="846"/>
      <c r="D917" s="846"/>
      <c r="E917" s="846"/>
      <c r="F917" s="846"/>
      <c r="G917" s="846"/>
      <c r="H917" s="846"/>
      <c r="I917" s="846"/>
      <c r="J917" s="846"/>
      <c r="K917" s="846"/>
      <c r="L917" s="846"/>
      <c r="M917" s="846"/>
      <c r="N917" s="846"/>
      <c r="O917" s="846"/>
    </row>
    <row r="918" spans="1:15" ht="20.100000000000001" customHeight="1">
      <c r="A918" s="846"/>
      <c r="B918" s="846"/>
      <c r="C918" s="846"/>
      <c r="D918" s="846"/>
      <c r="E918" s="846"/>
      <c r="F918" s="846"/>
      <c r="G918" s="846"/>
      <c r="H918" s="846"/>
      <c r="I918" s="846"/>
      <c r="J918" s="846"/>
      <c r="K918" s="846"/>
      <c r="L918" s="846"/>
      <c r="M918" s="846"/>
      <c r="N918" s="846"/>
      <c r="O918" s="846"/>
    </row>
    <row r="919" spans="1:15" ht="20.100000000000001" customHeight="1">
      <c r="A919" s="846"/>
      <c r="B919" s="846"/>
      <c r="C919" s="846"/>
      <c r="D919" s="846"/>
      <c r="E919" s="846"/>
      <c r="F919" s="846"/>
      <c r="G919" s="846"/>
      <c r="H919" s="846"/>
      <c r="I919" s="846"/>
      <c r="J919" s="846"/>
      <c r="K919" s="846"/>
      <c r="L919" s="846"/>
      <c r="M919" s="846"/>
      <c r="N919" s="846"/>
      <c r="O919" s="846"/>
    </row>
    <row r="920" spans="1:15" ht="20.100000000000001" customHeight="1">
      <c r="A920" s="846"/>
      <c r="B920" s="846"/>
      <c r="C920" s="846"/>
      <c r="D920" s="846"/>
      <c r="E920" s="846"/>
      <c r="F920" s="846"/>
      <c r="G920" s="846"/>
      <c r="H920" s="846"/>
      <c r="I920" s="846"/>
      <c r="J920" s="846"/>
      <c r="K920" s="846"/>
      <c r="L920" s="846"/>
      <c r="M920" s="846"/>
      <c r="N920" s="846"/>
      <c r="O920" s="846"/>
    </row>
    <row r="921" spans="1:15" ht="20.100000000000001" customHeight="1">
      <c r="A921" s="846"/>
      <c r="B921" s="846"/>
      <c r="C921" s="846"/>
      <c r="D921" s="846"/>
      <c r="E921" s="846"/>
      <c r="F921" s="846"/>
      <c r="G921" s="846"/>
      <c r="H921" s="846"/>
      <c r="I921" s="846"/>
      <c r="J921" s="846"/>
      <c r="K921" s="846"/>
      <c r="L921" s="846"/>
      <c r="M921" s="846"/>
      <c r="N921" s="846"/>
      <c r="O921" s="846"/>
    </row>
    <row r="922" spans="1:15" ht="20.100000000000001" customHeight="1">
      <c r="A922" s="846"/>
      <c r="B922" s="846"/>
      <c r="C922" s="846"/>
      <c r="D922" s="846"/>
      <c r="E922" s="846"/>
      <c r="F922" s="846"/>
      <c r="G922" s="846"/>
      <c r="H922" s="846"/>
      <c r="I922" s="846"/>
      <c r="J922" s="846"/>
      <c r="K922" s="846"/>
      <c r="L922" s="846"/>
      <c r="M922" s="846"/>
      <c r="N922" s="846"/>
      <c r="O922" s="846"/>
    </row>
    <row r="923" spans="1:15" ht="20.100000000000001" customHeight="1">
      <c r="A923" s="846"/>
      <c r="B923" s="846"/>
      <c r="C923" s="846"/>
      <c r="D923" s="846"/>
      <c r="E923" s="846"/>
      <c r="F923" s="846"/>
      <c r="G923" s="846"/>
      <c r="H923" s="846"/>
      <c r="I923" s="846"/>
      <c r="J923" s="846"/>
      <c r="K923" s="846"/>
      <c r="L923" s="846"/>
      <c r="M923" s="846"/>
      <c r="N923" s="846"/>
      <c r="O923" s="846"/>
    </row>
    <row r="924" spans="1:15" ht="20.100000000000001" customHeight="1">
      <c r="A924" s="846"/>
      <c r="B924" s="846"/>
      <c r="C924" s="846"/>
      <c r="D924" s="846"/>
      <c r="E924" s="846"/>
      <c r="F924" s="846"/>
      <c r="G924" s="846"/>
      <c r="H924" s="846"/>
      <c r="I924" s="846"/>
      <c r="J924" s="846"/>
      <c r="K924" s="846"/>
      <c r="L924" s="846"/>
      <c r="M924" s="846"/>
      <c r="N924" s="846"/>
      <c r="O924" s="846"/>
    </row>
    <row r="925" spans="1:15" ht="20.100000000000001" customHeight="1">
      <c r="A925" s="846"/>
      <c r="B925" s="846"/>
      <c r="C925" s="846"/>
      <c r="D925" s="846"/>
      <c r="E925" s="846"/>
      <c r="F925" s="846"/>
      <c r="G925" s="846"/>
      <c r="H925" s="846"/>
      <c r="I925" s="846"/>
      <c r="J925" s="846"/>
      <c r="K925" s="846"/>
      <c r="L925" s="846"/>
      <c r="M925" s="846"/>
      <c r="N925" s="846"/>
      <c r="O925" s="846"/>
    </row>
    <row r="926" spans="1:15" ht="20.100000000000001" customHeight="1">
      <c r="A926" s="846"/>
      <c r="B926" s="846"/>
      <c r="C926" s="846"/>
      <c r="D926" s="846"/>
      <c r="E926" s="846"/>
      <c r="F926" s="846"/>
      <c r="G926" s="846"/>
      <c r="H926" s="846"/>
      <c r="I926" s="846"/>
      <c r="J926" s="846"/>
      <c r="K926" s="846"/>
      <c r="L926" s="846"/>
      <c r="M926" s="846"/>
      <c r="N926" s="846"/>
      <c r="O926" s="846"/>
    </row>
    <row r="927" spans="1:15" ht="20.100000000000001" customHeight="1">
      <c r="A927" s="846"/>
      <c r="B927" s="846"/>
      <c r="C927" s="846"/>
      <c r="D927" s="846"/>
      <c r="E927" s="846"/>
      <c r="F927" s="846"/>
      <c r="G927" s="846"/>
      <c r="H927" s="846"/>
      <c r="I927" s="846"/>
      <c r="J927" s="846"/>
      <c r="K927" s="846"/>
      <c r="L927" s="846"/>
      <c r="M927" s="846"/>
      <c r="N927" s="846"/>
      <c r="O927" s="846"/>
    </row>
    <row r="928" spans="1:15" ht="20.100000000000001" customHeight="1">
      <c r="A928" s="846"/>
      <c r="B928" s="846"/>
      <c r="C928" s="846"/>
      <c r="D928" s="846"/>
      <c r="E928" s="846"/>
      <c r="F928" s="846"/>
      <c r="G928" s="846"/>
      <c r="H928" s="846"/>
      <c r="I928" s="846"/>
      <c r="J928" s="846"/>
      <c r="K928" s="846"/>
      <c r="L928" s="846"/>
      <c r="M928" s="846"/>
      <c r="N928" s="846"/>
      <c r="O928" s="846"/>
    </row>
    <row r="929" spans="1:15" ht="20.100000000000001" customHeight="1">
      <c r="A929" s="846"/>
      <c r="B929" s="846"/>
      <c r="C929" s="846"/>
      <c r="D929" s="846"/>
      <c r="E929" s="846"/>
      <c r="F929" s="846"/>
      <c r="G929" s="846"/>
      <c r="H929" s="846"/>
      <c r="I929" s="846"/>
      <c r="J929" s="846"/>
      <c r="K929" s="846"/>
      <c r="L929" s="846"/>
      <c r="M929" s="846"/>
      <c r="N929" s="846"/>
      <c r="O929" s="846"/>
    </row>
    <row r="930" spans="1:15" ht="20.100000000000001" customHeight="1">
      <c r="A930" s="846"/>
      <c r="B930" s="846"/>
      <c r="C930" s="846"/>
      <c r="D930" s="846"/>
      <c r="E930" s="846"/>
      <c r="F930" s="846"/>
      <c r="G930" s="846"/>
      <c r="H930" s="846"/>
      <c r="I930" s="846"/>
      <c r="J930" s="846"/>
      <c r="K930" s="846"/>
      <c r="L930" s="846"/>
      <c r="M930" s="846"/>
      <c r="N930" s="846"/>
      <c r="O930" s="846"/>
    </row>
    <row r="931" spans="1:15" ht="20.100000000000001" customHeight="1">
      <c r="A931" s="846"/>
      <c r="B931" s="846"/>
      <c r="C931" s="846"/>
      <c r="D931" s="846"/>
      <c r="E931" s="846"/>
      <c r="F931" s="846"/>
      <c r="G931" s="846"/>
      <c r="H931" s="846"/>
      <c r="I931" s="846"/>
      <c r="J931" s="846"/>
      <c r="K931" s="846"/>
      <c r="L931" s="846"/>
      <c r="M931" s="846"/>
      <c r="N931" s="846"/>
      <c r="O931" s="846"/>
    </row>
    <row r="932" spans="1:15" ht="20.100000000000001" customHeight="1">
      <c r="A932" s="846"/>
      <c r="B932" s="846"/>
      <c r="C932" s="846"/>
      <c r="D932" s="846"/>
      <c r="E932" s="846"/>
      <c r="F932" s="846"/>
      <c r="G932" s="846"/>
      <c r="H932" s="846"/>
      <c r="I932" s="846"/>
      <c r="J932" s="846"/>
      <c r="K932" s="846"/>
      <c r="L932" s="846"/>
      <c r="M932" s="846"/>
      <c r="N932" s="846"/>
      <c r="O932" s="846"/>
    </row>
    <row r="933" spans="1:15" ht="20.100000000000001" customHeight="1">
      <c r="A933" s="846"/>
      <c r="B933" s="846"/>
      <c r="C933" s="846"/>
      <c r="D933" s="846"/>
      <c r="E933" s="846"/>
      <c r="F933" s="846"/>
      <c r="G933" s="846"/>
      <c r="H933" s="846"/>
      <c r="I933" s="846"/>
      <c r="J933" s="846"/>
      <c r="K933" s="846"/>
      <c r="L933" s="846"/>
      <c r="M933" s="846"/>
      <c r="N933" s="846"/>
      <c r="O933" s="846"/>
    </row>
    <row r="934" spans="1:15" ht="20.100000000000001" customHeight="1">
      <c r="A934" s="846"/>
      <c r="B934" s="846"/>
      <c r="C934" s="846"/>
      <c r="D934" s="846"/>
      <c r="E934" s="846"/>
      <c r="F934" s="846"/>
      <c r="G934" s="846"/>
      <c r="H934" s="846"/>
      <c r="I934" s="846"/>
      <c r="J934" s="846"/>
      <c r="K934" s="846"/>
      <c r="L934" s="846"/>
      <c r="M934" s="846"/>
      <c r="N934" s="846"/>
      <c r="O934" s="846"/>
    </row>
    <row r="935" spans="1:15" ht="20.100000000000001" customHeight="1">
      <c r="A935" s="846"/>
      <c r="B935" s="846"/>
      <c r="C935" s="846"/>
      <c r="D935" s="846"/>
      <c r="E935" s="846"/>
      <c r="F935" s="846"/>
      <c r="G935" s="846"/>
      <c r="H935" s="846"/>
      <c r="I935" s="846"/>
      <c r="J935" s="846"/>
      <c r="K935" s="846"/>
      <c r="L935" s="846"/>
      <c r="M935" s="846"/>
      <c r="N935" s="846"/>
      <c r="O935" s="846"/>
    </row>
    <row r="936" spans="1:15" ht="20.100000000000001" customHeight="1">
      <c r="A936" s="846"/>
      <c r="B936" s="846"/>
      <c r="C936" s="846"/>
      <c r="D936" s="846"/>
      <c r="E936" s="846"/>
      <c r="F936" s="846"/>
      <c r="G936" s="846"/>
      <c r="H936" s="846"/>
      <c r="I936" s="846"/>
      <c r="J936" s="846"/>
      <c r="K936" s="846"/>
      <c r="L936" s="846"/>
      <c r="M936" s="846"/>
      <c r="N936" s="846"/>
      <c r="O936" s="846"/>
    </row>
    <row r="937" spans="1:15" ht="20.100000000000001" customHeight="1">
      <c r="A937" s="846"/>
      <c r="B937" s="846"/>
      <c r="C937" s="846"/>
      <c r="D937" s="846"/>
      <c r="E937" s="846"/>
      <c r="F937" s="846"/>
      <c r="G937" s="846"/>
      <c r="H937" s="846"/>
      <c r="I937" s="846"/>
      <c r="J937" s="846"/>
      <c r="K937" s="846"/>
      <c r="L937" s="846"/>
      <c r="M937" s="846"/>
      <c r="N937" s="846"/>
      <c r="O937" s="846"/>
    </row>
    <row r="938" spans="1:15" ht="20.100000000000001" customHeight="1">
      <c r="A938" s="846"/>
      <c r="B938" s="846"/>
      <c r="C938" s="846"/>
      <c r="D938" s="846"/>
      <c r="E938" s="846"/>
      <c r="F938" s="846"/>
      <c r="G938" s="846"/>
      <c r="H938" s="846"/>
      <c r="I938" s="846"/>
      <c r="J938" s="846"/>
      <c r="K938" s="846"/>
      <c r="L938" s="846"/>
      <c r="M938" s="846"/>
      <c r="N938" s="846"/>
      <c r="O938" s="846"/>
    </row>
    <row r="939" spans="1:15" ht="20.100000000000001" customHeight="1">
      <c r="A939" s="846"/>
      <c r="B939" s="846"/>
      <c r="C939" s="846"/>
      <c r="D939" s="846"/>
      <c r="E939" s="846"/>
      <c r="F939" s="846"/>
      <c r="G939" s="846"/>
      <c r="H939" s="846"/>
      <c r="I939" s="846"/>
      <c r="J939" s="846"/>
      <c r="K939" s="846"/>
      <c r="L939" s="846"/>
      <c r="M939" s="846"/>
      <c r="N939" s="846"/>
      <c r="O939" s="846"/>
    </row>
    <row r="940" spans="1:15" ht="20.100000000000001" customHeight="1">
      <c r="A940" s="846"/>
      <c r="B940" s="846"/>
      <c r="C940" s="846"/>
      <c r="D940" s="846"/>
      <c r="E940" s="846"/>
      <c r="F940" s="846"/>
      <c r="G940" s="846"/>
      <c r="H940" s="846"/>
      <c r="I940" s="846"/>
      <c r="J940" s="846"/>
      <c r="K940" s="846"/>
      <c r="L940" s="846"/>
      <c r="M940" s="846"/>
      <c r="N940" s="846"/>
      <c r="O940" s="846"/>
    </row>
    <row r="941" spans="1:15" ht="20.100000000000001" customHeight="1">
      <c r="A941" s="846"/>
      <c r="B941" s="846"/>
      <c r="C941" s="846"/>
      <c r="D941" s="846"/>
      <c r="E941" s="846"/>
      <c r="F941" s="846"/>
      <c r="G941" s="846"/>
      <c r="H941" s="846"/>
      <c r="I941" s="846"/>
      <c r="J941" s="846"/>
      <c r="K941" s="846"/>
      <c r="L941" s="846"/>
      <c r="M941" s="846"/>
      <c r="N941" s="846"/>
      <c r="O941" s="846"/>
    </row>
    <row r="942" spans="1:15" ht="20.100000000000001" customHeight="1">
      <c r="A942" s="846"/>
      <c r="B942" s="846"/>
      <c r="C942" s="846"/>
      <c r="D942" s="846"/>
      <c r="E942" s="846"/>
      <c r="F942" s="846"/>
      <c r="G942" s="846"/>
      <c r="H942" s="846"/>
      <c r="I942" s="846"/>
      <c r="J942" s="846"/>
      <c r="K942" s="846"/>
      <c r="L942" s="846"/>
      <c r="M942" s="846"/>
      <c r="N942" s="846"/>
      <c r="O942" s="846"/>
    </row>
    <row r="943" spans="1:15" ht="20.100000000000001" customHeight="1">
      <c r="A943" s="846"/>
      <c r="B943" s="846"/>
      <c r="C943" s="846"/>
      <c r="D943" s="846"/>
      <c r="E943" s="846"/>
      <c r="F943" s="846"/>
      <c r="G943" s="846"/>
      <c r="H943" s="846"/>
      <c r="I943" s="846"/>
      <c r="J943" s="846"/>
      <c r="K943" s="846"/>
      <c r="L943" s="846"/>
      <c r="M943" s="846"/>
      <c r="N943" s="846"/>
      <c r="O943" s="846"/>
    </row>
    <row r="944" spans="1:15" ht="20.100000000000001" customHeight="1">
      <c r="A944" s="846"/>
      <c r="B944" s="846"/>
      <c r="C944" s="846"/>
      <c r="D944" s="846"/>
      <c r="E944" s="846"/>
      <c r="F944" s="846"/>
      <c r="G944" s="846"/>
      <c r="H944" s="846"/>
      <c r="I944" s="846"/>
      <c r="J944" s="846"/>
      <c r="K944" s="846"/>
      <c r="L944" s="846"/>
      <c r="M944" s="846"/>
      <c r="N944" s="846"/>
      <c r="O944" s="846"/>
    </row>
    <row r="945" spans="1:15" ht="20.100000000000001" customHeight="1">
      <c r="A945" s="846"/>
      <c r="B945" s="846"/>
      <c r="C945" s="846"/>
      <c r="D945" s="846"/>
      <c r="E945" s="846"/>
      <c r="F945" s="846"/>
      <c r="G945" s="846"/>
      <c r="H945" s="846"/>
      <c r="I945" s="846"/>
      <c r="J945" s="846"/>
      <c r="K945" s="846"/>
      <c r="L945" s="846"/>
      <c r="M945" s="846"/>
      <c r="N945" s="846"/>
      <c r="O945" s="846"/>
    </row>
    <row r="946" spans="1:15" ht="20.100000000000001" customHeight="1">
      <c r="A946" s="846"/>
      <c r="B946" s="846"/>
      <c r="C946" s="846"/>
      <c r="D946" s="846"/>
      <c r="E946" s="846"/>
      <c r="F946" s="846"/>
      <c r="G946" s="846"/>
      <c r="H946" s="846"/>
      <c r="I946" s="846"/>
      <c r="J946" s="846"/>
      <c r="K946" s="846"/>
      <c r="L946" s="846"/>
      <c r="M946" s="846"/>
      <c r="N946" s="846"/>
      <c r="O946" s="846"/>
    </row>
    <row r="947" spans="1:15" ht="20.100000000000001" customHeight="1">
      <c r="A947" s="846"/>
      <c r="B947" s="846"/>
      <c r="C947" s="846"/>
      <c r="D947" s="846"/>
      <c r="E947" s="846"/>
      <c r="F947" s="846"/>
      <c r="G947" s="846"/>
      <c r="H947" s="846"/>
      <c r="I947" s="846"/>
      <c r="J947" s="846"/>
      <c r="K947" s="846"/>
      <c r="L947" s="846"/>
      <c r="M947" s="846"/>
      <c r="N947" s="846"/>
      <c r="O947" s="846"/>
    </row>
    <row r="948" spans="1:15" ht="20.100000000000001" customHeight="1">
      <c r="A948" s="846"/>
      <c r="B948" s="846"/>
      <c r="C948" s="846"/>
      <c r="D948" s="846"/>
      <c r="E948" s="846"/>
      <c r="F948" s="846"/>
      <c r="G948" s="846"/>
      <c r="H948" s="846"/>
      <c r="I948" s="846"/>
      <c r="J948" s="846"/>
      <c r="K948" s="846"/>
      <c r="L948" s="846"/>
      <c r="M948" s="846"/>
      <c r="N948" s="846"/>
      <c r="O948" s="846"/>
    </row>
    <row r="949" spans="1:15" ht="20.100000000000001" customHeight="1">
      <c r="A949" s="846"/>
      <c r="B949" s="846"/>
      <c r="C949" s="846"/>
      <c r="D949" s="846"/>
      <c r="E949" s="846"/>
      <c r="F949" s="846"/>
      <c r="G949" s="846"/>
      <c r="H949" s="846"/>
      <c r="I949" s="846"/>
      <c r="J949" s="846"/>
      <c r="K949" s="846"/>
      <c r="L949" s="846"/>
      <c r="M949" s="846"/>
      <c r="N949" s="846"/>
      <c r="O949" s="846"/>
    </row>
    <row r="950" spans="1:15" ht="20.100000000000001" customHeight="1">
      <c r="A950" s="846"/>
      <c r="B950" s="846"/>
      <c r="C950" s="846"/>
      <c r="D950" s="846"/>
      <c r="E950" s="846"/>
      <c r="F950" s="846"/>
      <c r="G950" s="846"/>
      <c r="H950" s="846"/>
      <c r="I950" s="846"/>
      <c r="J950" s="846"/>
      <c r="K950" s="846"/>
      <c r="L950" s="846"/>
      <c r="M950" s="846"/>
      <c r="N950" s="846"/>
      <c r="O950" s="846"/>
    </row>
    <row r="951" spans="1:15" ht="20.100000000000001" customHeight="1">
      <c r="A951" s="846"/>
      <c r="B951" s="846"/>
      <c r="C951" s="846"/>
      <c r="D951" s="846"/>
      <c r="E951" s="846"/>
      <c r="F951" s="846"/>
      <c r="G951" s="846"/>
      <c r="H951" s="846"/>
      <c r="I951" s="846"/>
      <c r="J951" s="846"/>
      <c r="K951" s="846"/>
      <c r="L951" s="846"/>
      <c r="M951" s="846"/>
      <c r="N951" s="846"/>
      <c r="O951" s="846"/>
    </row>
    <row r="952" spans="1:15" ht="20.100000000000001" customHeight="1">
      <c r="A952" s="846"/>
      <c r="B952" s="846"/>
      <c r="C952" s="846"/>
      <c r="D952" s="846"/>
      <c r="E952" s="846"/>
      <c r="F952" s="846"/>
      <c r="G952" s="846"/>
      <c r="H952" s="846"/>
      <c r="I952" s="846"/>
      <c r="J952" s="846"/>
      <c r="K952" s="846"/>
      <c r="L952" s="846"/>
      <c r="M952" s="846"/>
      <c r="N952" s="846"/>
      <c r="O952" s="846"/>
    </row>
    <row r="953" spans="1:15" ht="20.100000000000001" customHeight="1">
      <c r="A953" s="846"/>
      <c r="B953" s="846"/>
      <c r="C953" s="846"/>
      <c r="D953" s="846"/>
      <c r="E953" s="846"/>
      <c r="F953" s="846"/>
      <c r="G953" s="846"/>
      <c r="H953" s="846"/>
      <c r="I953" s="846"/>
      <c r="J953" s="846"/>
      <c r="K953" s="846"/>
      <c r="L953" s="846"/>
      <c r="M953" s="846"/>
      <c r="N953" s="846"/>
      <c r="O953" s="846"/>
    </row>
    <row r="954" spans="1:15" ht="20.100000000000001" customHeight="1">
      <c r="A954" s="846"/>
      <c r="B954" s="846"/>
      <c r="C954" s="846"/>
      <c r="D954" s="846"/>
      <c r="E954" s="846"/>
      <c r="F954" s="846"/>
      <c r="G954" s="846"/>
      <c r="H954" s="846"/>
      <c r="I954" s="846"/>
      <c r="J954" s="846"/>
      <c r="K954" s="846"/>
      <c r="L954" s="846"/>
      <c r="M954" s="846"/>
      <c r="N954" s="846"/>
      <c r="O954" s="846"/>
    </row>
    <row r="955" spans="1:15" ht="20.100000000000001" customHeight="1">
      <c r="A955" s="846"/>
      <c r="B955" s="846"/>
      <c r="C955" s="846"/>
      <c r="D955" s="846"/>
      <c r="E955" s="846"/>
      <c r="F955" s="846"/>
      <c r="G955" s="846"/>
      <c r="H955" s="846"/>
      <c r="I955" s="846"/>
      <c r="J955" s="846"/>
      <c r="K955" s="846"/>
      <c r="L955" s="846"/>
      <c r="M955" s="846"/>
      <c r="N955" s="846"/>
      <c r="O955" s="846"/>
    </row>
    <row r="956" spans="1:15" ht="20.100000000000001" customHeight="1">
      <c r="A956" s="846"/>
      <c r="B956" s="846"/>
      <c r="C956" s="846"/>
      <c r="D956" s="846"/>
      <c r="E956" s="846"/>
      <c r="F956" s="846"/>
      <c r="G956" s="846"/>
      <c r="H956" s="846"/>
      <c r="I956" s="846"/>
      <c r="J956" s="846"/>
      <c r="K956" s="846"/>
      <c r="L956" s="846"/>
      <c r="M956" s="846"/>
      <c r="N956" s="846"/>
      <c r="O956" s="846"/>
    </row>
    <row r="957" spans="1:15" ht="20.100000000000001" customHeight="1">
      <c r="A957" s="846"/>
      <c r="B957" s="846"/>
      <c r="C957" s="846"/>
      <c r="D957" s="846"/>
      <c r="E957" s="846"/>
      <c r="F957" s="846"/>
      <c r="G957" s="846"/>
      <c r="H957" s="846"/>
      <c r="I957" s="846"/>
      <c r="J957" s="846"/>
      <c r="K957" s="846"/>
      <c r="L957" s="846"/>
      <c r="M957" s="846"/>
      <c r="N957" s="846"/>
      <c r="O957" s="846"/>
    </row>
    <row r="958" spans="1:15" ht="20.100000000000001" customHeight="1">
      <c r="A958" s="846"/>
      <c r="B958" s="846"/>
      <c r="C958" s="846"/>
      <c r="D958" s="846"/>
      <c r="E958" s="846"/>
      <c r="F958" s="846"/>
      <c r="G958" s="846"/>
      <c r="H958" s="846"/>
      <c r="I958" s="846"/>
      <c r="J958" s="846"/>
      <c r="K958" s="846"/>
      <c r="L958" s="846"/>
      <c r="M958" s="846"/>
      <c r="N958" s="846"/>
      <c r="O958" s="846"/>
    </row>
    <row r="959" spans="1:15" ht="20.100000000000001" customHeight="1">
      <c r="A959" s="846"/>
      <c r="B959" s="846"/>
      <c r="C959" s="846"/>
      <c r="D959" s="846"/>
      <c r="E959" s="846"/>
      <c r="F959" s="846"/>
      <c r="G959" s="846"/>
      <c r="H959" s="846"/>
      <c r="I959" s="846"/>
      <c r="J959" s="846"/>
      <c r="K959" s="846"/>
      <c r="L959" s="846"/>
      <c r="M959" s="846"/>
      <c r="N959" s="846"/>
      <c r="O959" s="846"/>
    </row>
    <row r="960" spans="1:15" ht="20.100000000000001" customHeight="1">
      <c r="A960" s="846"/>
      <c r="B960" s="846"/>
      <c r="C960" s="846"/>
      <c r="D960" s="846"/>
      <c r="E960" s="846"/>
      <c r="F960" s="846"/>
      <c r="G960" s="846"/>
      <c r="H960" s="846"/>
      <c r="I960" s="846"/>
      <c r="J960" s="846"/>
      <c r="K960" s="846"/>
      <c r="L960" s="846"/>
      <c r="M960" s="846"/>
      <c r="N960" s="846"/>
      <c r="O960" s="846"/>
    </row>
    <row r="961" spans="1:15" ht="20.100000000000001" customHeight="1">
      <c r="A961" s="846"/>
      <c r="B961" s="846"/>
      <c r="C961" s="846"/>
      <c r="D961" s="846"/>
      <c r="E961" s="846"/>
      <c r="F961" s="846"/>
      <c r="G961" s="846"/>
      <c r="H961" s="846"/>
      <c r="I961" s="846"/>
      <c r="J961" s="846"/>
      <c r="K961" s="846"/>
      <c r="L961" s="846"/>
      <c r="M961" s="846"/>
      <c r="N961" s="846"/>
      <c r="O961" s="846"/>
    </row>
    <row r="962" spans="1:15" ht="20.100000000000001" customHeight="1">
      <c r="A962" s="846"/>
      <c r="B962" s="846"/>
      <c r="C962" s="846"/>
      <c r="D962" s="846"/>
      <c r="E962" s="846"/>
      <c r="F962" s="846"/>
      <c r="G962" s="846"/>
      <c r="H962" s="846"/>
      <c r="I962" s="846"/>
      <c r="J962" s="846"/>
      <c r="K962" s="846"/>
      <c r="L962" s="846"/>
      <c r="M962" s="846"/>
      <c r="N962" s="846"/>
      <c r="O962" s="846"/>
    </row>
    <row r="963" spans="1:15" ht="20.100000000000001" customHeight="1">
      <c r="A963" s="846"/>
      <c r="B963" s="846"/>
      <c r="C963" s="846"/>
      <c r="D963" s="846"/>
      <c r="E963" s="846"/>
      <c r="F963" s="846"/>
      <c r="G963" s="846"/>
      <c r="H963" s="846"/>
      <c r="I963" s="846"/>
      <c r="J963" s="846"/>
      <c r="K963" s="846"/>
      <c r="L963" s="846"/>
      <c r="M963" s="846"/>
      <c r="N963" s="846"/>
      <c r="O963" s="846"/>
    </row>
    <row r="964" spans="1:15" ht="20.100000000000001" customHeight="1">
      <c r="A964" s="846"/>
      <c r="B964" s="846"/>
      <c r="C964" s="846"/>
      <c r="D964" s="846"/>
      <c r="E964" s="846"/>
      <c r="F964" s="846"/>
      <c r="G964" s="846"/>
      <c r="H964" s="846"/>
      <c r="I964" s="846"/>
      <c r="J964" s="846"/>
      <c r="K964" s="846"/>
      <c r="L964" s="846"/>
      <c r="M964" s="846"/>
      <c r="N964" s="846"/>
      <c r="O964" s="846"/>
    </row>
    <row r="965" spans="1:15" ht="20.100000000000001" customHeight="1">
      <c r="A965" s="846"/>
      <c r="B965" s="846"/>
      <c r="C965" s="846"/>
      <c r="D965" s="846"/>
      <c r="E965" s="846"/>
      <c r="F965" s="846"/>
      <c r="G965" s="846"/>
      <c r="H965" s="846"/>
      <c r="I965" s="846"/>
      <c r="J965" s="846"/>
      <c r="K965" s="846"/>
      <c r="L965" s="846"/>
      <c r="M965" s="846"/>
      <c r="N965" s="846"/>
      <c r="O965" s="846"/>
    </row>
    <row r="966" spans="1:15" ht="20.100000000000001" customHeight="1">
      <c r="A966" s="846"/>
      <c r="B966" s="846"/>
      <c r="C966" s="846"/>
      <c r="D966" s="846"/>
      <c r="E966" s="846"/>
      <c r="F966" s="846"/>
      <c r="G966" s="846"/>
      <c r="H966" s="846"/>
      <c r="I966" s="846"/>
      <c r="J966" s="846"/>
      <c r="K966" s="846"/>
      <c r="L966" s="846"/>
      <c r="M966" s="846"/>
      <c r="N966" s="846"/>
      <c r="O966" s="846"/>
    </row>
    <row r="967" spans="1:15" ht="20.100000000000001" customHeight="1">
      <c r="A967" s="846"/>
      <c r="B967" s="846"/>
      <c r="C967" s="846"/>
      <c r="D967" s="846"/>
      <c r="E967" s="846"/>
      <c r="F967" s="846"/>
      <c r="G967" s="846"/>
      <c r="H967" s="846"/>
      <c r="I967" s="846"/>
      <c r="J967" s="846"/>
      <c r="K967" s="846"/>
      <c r="L967" s="846"/>
      <c r="M967" s="846"/>
      <c r="N967" s="846"/>
      <c r="O967" s="846"/>
    </row>
    <row r="968" spans="1:15" ht="20.100000000000001" customHeight="1">
      <c r="A968" s="846"/>
      <c r="B968" s="846"/>
      <c r="C968" s="846"/>
      <c r="D968" s="846"/>
      <c r="E968" s="846"/>
      <c r="F968" s="846"/>
      <c r="G968" s="846"/>
      <c r="H968" s="846"/>
      <c r="I968" s="846"/>
      <c r="J968" s="846"/>
      <c r="K968" s="846"/>
      <c r="L968" s="846"/>
      <c r="M968" s="846"/>
      <c r="N968" s="846"/>
      <c r="O968" s="846"/>
    </row>
    <row r="969" spans="1:15" ht="20.100000000000001" customHeight="1">
      <c r="A969" s="846"/>
      <c r="B969" s="846"/>
      <c r="C969" s="846"/>
      <c r="D969" s="846"/>
      <c r="E969" s="846"/>
      <c r="F969" s="846"/>
      <c r="G969" s="846"/>
      <c r="H969" s="846"/>
      <c r="I969" s="846"/>
      <c r="J969" s="846"/>
      <c r="K969" s="846"/>
      <c r="L969" s="846"/>
      <c r="M969" s="846"/>
      <c r="N969" s="846"/>
      <c r="O969" s="846"/>
    </row>
    <row r="970" spans="1:15" ht="20.100000000000001" customHeight="1">
      <c r="A970" s="846"/>
      <c r="B970" s="846"/>
      <c r="C970" s="846"/>
      <c r="D970" s="846"/>
      <c r="E970" s="846"/>
      <c r="F970" s="846"/>
      <c r="G970" s="846"/>
      <c r="H970" s="846"/>
      <c r="I970" s="846"/>
      <c r="J970" s="846"/>
      <c r="K970" s="846"/>
      <c r="L970" s="846"/>
      <c r="M970" s="846"/>
      <c r="N970" s="846"/>
      <c r="O970" s="846"/>
    </row>
    <row r="971" spans="1:15" ht="20.100000000000001" customHeight="1">
      <c r="A971" s="846"/>
      <c r="B971" s="846"/>
      <c r="C971" s="846"/>
      <c r="D971" s="846"/>
      <c r="E971" s="846"/>
      <c r="F971" s="846"/>
      <c r="G971" s="846"/>
      <c r="H971" s="846"/>
      <c r="I971" s="846"/>
      <c r="J971" s="846"/>
      <c r="K971" s="846"/>
      <c r="L971" s="846"/>
      <c r="M971" s="846"/>
      <c r="N971" s="846"/>
      <c r="O971" s="846"/>
    </row>
    <row r="972" spans="1:15" ht="20.100000000000001" customHeight="1">
      <c r="A972" s="846"/>
      <c r="B972" s="846"/>
      <c r="C972" s="846"/>
      <c r="D972" s="846"/>
      <c r="E972" s="846"/>
      <c r="F972" s="846"/>
      <c r="G972" s="846"/>
      <c r="H972" s="846"/>
      <c r="I972" s="846"/>
      <c r="J972" s="846"/>
      <c r="K972" s="846"/>
      <c r="L972" s="846"/>
      <c r="M972" s="846"/>
      <c r="N972" s="846"/>
      <c r="O972" s="846"/>
    </row>
    <row r="973" spans="1:15" ht="20.100000000000001" customHeight="1">
      <c r="A973" s="846"/>
      <c r="B973" s="846"/>
      <c r="C973" s="846"/>
      <c r="D973" s="846"/>
      <c r="E973" s="846"/>
      <c r="F973" s="846"/>
      <c r="G973" s="846"/>
      <c r="H973" s="846"/>
      <c r="I973" s="846"/>
      <c r="J973" s="846"/>
      <c r="K973" s="846"/>
      <c r="L973" s="846"/>
      <c r="M973" s="846"/>
      <c r="N973" s="846"/>
      <c r="O973" s="846"/>
    </row>
    <row r="974" spans="1:15" ht="20.100000000000001" customHeight="1">
      <c r="A974" s="846"/>
      <c r="B974" s="846"/>
      <c r="C974" s="846"/>
      <c r="D974" s="846"/>
      <c r="E974" s="846"/>
      <c r="F974" s="846"/>
      <c r="G974" s="846"/>
      <c r="H974" s="846"/>
      <c r="I974" s="846"/>
      <c r="J974" s="846"/>
      <c r="K974" s="846"/>
      <c r="L974" s="846"/>
      <c r="M974" s="846"/>
      <c r="N974" s="846"/>
      <c r="O974" s="846"/>
    </row>
    <row r="975" spans="1:15" ht="20.100000000000001" customHeight="1">
      <c r="A975" s="846"/>
      <c r="B975" s="846"/>
      <c r="C975" s="846"/>
      <c r="D975" s="846"/>
      <c r="E975" s="846"/>
      <c r="F975" s="846"/>
      <c r="G975" s="846"/>
      <c r="H975" s="846"/>
      <c r="I975" s="846"/>
      <c r="J975" s="846"/>
      <c r="K975" s="846"/>
      <c r="L975" s="846"/>
      <c r="M975" s="846"/>
      <c r="N975" s="846"/>
      <c r="O975" s="846"/>
    </row>
    <row r="976" spans="1:15" ht="20.100000000000001" customHeight="1">
      <c r="A976" s="846"/>
      <c r="B976" s="846"/>
      <c r="C976" s="846"/>
      <c r="D976" s="846"/>
      <c r="E976" s="846"/>
      <c r="F976" s="846"/>
      <c r="G976" s="846"/>
      <c r="H976" s="846"/>
      <c r="I976" s="846"/>
      <c r="J976" s="846"/>
      <c r="K976" s="846"/>
      <c r="L976" s="846"/>
      <c r="M976" s="846"/>
      <c r="N976" s="846"/>
      <c r="O976" s="846"/>
    </row>
    <row r="977" spans="1:15" ht="20.100000000000001" customHeight="1">
      <c r="A977" s="846"/>
      <c r="B977" s="846"/>
      <c r="C977" s="846"/>
      <c r="D977" s="846"/>
      <c r="E977" s="846"/>
      <c r="F977" s="846"/>
      <c r="G977" s="846"/>
      <c r="H977" s="846"/>
      <c r="I977" s="846"/>
      <c r="J977" s="846"/>
      <c r="K977" s="846"/>
      <c r="L977" s="846"/>
      <c r="M977" s="846"/>
      <c r="N977" s="846"/>
      <c r="O977" s="846"/>
    </row>
    <row r="978" spans="1:15" ht="20.100000000000001" customHeight="1">
      <c r="A978" s="846"/>
      <c r="B978" s="846"/>
      <c r="C978" s="846"/>
      <c r="D978" s="846"/>
      <c r="E978" s="846"/>
      <c r="F978" s="846"/>
      <c r="G978" s="846"/>
      <c r="H978" s="846"/>
      <c r="I978" s="846"/>
      <c r="J978" s="846"/>
      <c r="K978" s="846"/>
      <c r="L978" s="846"/>
      <c r="M978" s="846"/>
      <c r="N978" s="846"/>
      <c r="O978" s="846"/>
    </row>
    <row r="979" spans="1:15" ht="20.100000000000001" customHeight="1">
      <c r="A979" s="846"/>
      <c r="B979" s="846"/>
      <c r="C979" s="846"/>
      <c r="D979" s="846"/>
      <c r="E979" s="846"/>
      <c r="F979" s="846"/>
      <c r="G979" s="846"/>
      <c r="H979" s="846"/>
      <c r="I979" s="846"/>
      <c r="J979" s="846"/>
      <c r="K979" s="846"/>
      <c r="L979" s="846"/>
      <c r="M979" s="846"/>
      <c r="N979" s="846"/>
      <c r="O979" s="846"/>
    </row>
    <row r="980" spans="1:15" ht="20.100000000000001" customHeight="1">
      <c r="A980" s="846"/>
      <c r="B980" s="846"/>
      <c r="C980" s="846"/>
      <c r="D980" s="846"/>
      <c r="E980" s="846"/>
      <c r="F980" s="846"/>
      <c r="G980" s="846"/>
      <c r="H980" s="846"/>
      <c r="I980" s="846"/>
      <c r="J980" s="846"/>
      <c r="K980" s="846"/>
      <c r="L980" s="846"/>
      <c r="M980" s="846"/>
      <c r="N980" s="846"/>
      <c r="O980" s="846"/>
    </row>
    <row r="981" spans="1:15" ht="20.100000000000001" customHeight="1">
      <c r="A981" s="846"/>
      <c r="B981" s="846"/>
      <c r="C981" s="846"/>
      <c r="D981" s="846"/>
      <c r="E981" s="846"/>
      <c r="F981" s="846"/>
      <c r="G981" s="846"/>
      <c r="H981" s="846"/>
      <c r="I981" s="846"/>
      <c r="J981" s="846"/>
      <c r="K981" s="846"/>
      <c r="L981" s="846"/>
      <c r="M981" s="846"/>
      <c r="N981" s="846"/>
      <c r="O981" s="846"/>
    </row>
    <row r="982" spans="1:15" ht="20.100000000000001" customHeight="1">
      <c r="A982" s="846"/>
      <c r="B982" s="846"/>
      <c r="C982" s="846"/>
      <c r="D982" s="846"/>
      <c r="E982" s="846"/>
      <c r="F982" s="846"/>
      <c r="G982" s="846"/>
      <c r="H982" s="846"/>
      <c r="I982" s="846"/>
      <c r="J982" s="846"/>
      <c r="K982" s="846"/>
      <c r="L982" s="846"/>
      <c r="M982" s="846"/>
      <c r="N982" s="846"/>
      <c r="O982" s="846"/>
    </row>
    <row r="983" spans="1:15" ht="20.100000000000001" customHeight="1">
      <c r="A983" s="846"/>
      <c r="B983" s="846"/>
      <c r="C983" s="846"/>
      <c r="D983" s="846"/>
      <c r="E983" s="846"/>
      <c r="F983" s="846"/>
      <c r="G983" s="846"/>
      <c r="H983" s="846"/>
      <c r="I983" s="846"/>
      <c r="J983" s="846"/>
      <c r="K983" s="846"/>
      <c r="L983" s="846"/>
      <c r="M983" s="846"/>
      <c r="N983" s="846"/>
      <c r="O983" s="846"/>
    </row>
    <row r="984" spans="1:15" ht="20.100000000000001" customHeight="1">
      <c r="A984" s="846"/>
      <c r="B984" s="846"/>
      <c r="C984" s="846"/>
      <c r="D984" s="846"/>
      <c r="E984" s="846"/>
      <c r="F984" s="846"/>
      <c r="G984" s="846"/>
      <c r="H984" s="846"/>
      <c r="I984" s="846"/>
      <c r="J984" s="846"/>
      <c r="K984" s="846"/>
      <c r="L984" s="846"/>
      <c r="M984" s="846"/>
      <c r="N984" s="846"/>
      <c r="O984" s="846"/>
    </row>
    <row r="985" spans="1:15" ht="20.100000000000001" customHeight="1">
      <c r="A985" s="846"/>
      <c r="B985" s="846"/>
      <c r="C985" s="846"/>
      <c r="D985" s="846"/>
      <c r="E985" s="846"/>
      <c r="F985" s="846"/>
      <c r="G985" s="846"/>
      <c r="H985" s="846"/>
      <c r="I985" s="846"/>
      <c r="J985" s="846"/>
      <c r="K985" s="846"/>
      <c r="L985" s="846"/>
      <c r="M985" s="846"/>
      <c r="N985" s="846"/>
      <c r="O985" s="846"/>
    </row>
    <row r="986" spans="1:15" ht="20.100000000000001" customHeight="1">
      <c r="A986" s="846"/>
      <c r="B986" s="846"/>
      <c r="C986" s="846"/>
      <c r="D986" s="846"/>
      <c r="E986" s="846"/>
      <c r="F986" s="846"/>
      <c r="G986" s="846"/>
      <c r="H986" s="846"/>
      <c r="I986" s="846"/>
      <c r="J986" s="846"/>
      <c r="K986" s="846"/>
      <c r="L986" s="846"/>
      <c r="M986" s="846"/>
      <c r="N986" s="846"/>
      <c r="O986" s="846"/>
    </row>
    <row r="987" spans="1:15" ht="20.100000000000001" customHeight="1">
      <c r="A987" s="846"/>
      <c r="B987" s="846"/>
      <c r="C987" s="846"/>
      <c r="D987" s="846"/>
      <c r="E987" s="846"/>
      <c r="F987" s="846"/>
      <c r="G987" s="846"/>
      <c r="H987" s="846"/>
      <c r="I987" s="846"/>
      <c r="J987" s="846"/>
      <c r="K987" s="846"/>
      <c r="L987" s="846"/>
      <c r="M987" s="846"/>
      <c r="N987" s="846"/>
      <c r="O987" s="846"/>
    </row>
    <row r="988" spans="1:15" ht="20.100000000000001" customHeight="1">
      <c r="A988" s="846"/>
      <c r="B988" s="846"/>
      <c r="C988" s="846"/>
      <c r="D988" s="846"/>
      <c r="E988" s="846"/>
      <c r="F988" s="846"/>
      <c r="G988" s="846"/>
      <c r="H988" s="846"/>
      <c r="I988" s="846"/>
      <c r="J988" s="846"/>
      <c r="K988" s="846"/>
      <c r="L988" s="846"/>
      <c r="M988" s="846"/>
      <c r="N988" s="846"/>
      <c r="O988" s="846"/>
    </row>
    <row r="989" spans="1:15" ht="20.100000000000001" customHeight="1">
      <c r="A989" s="846"/>
      <c r="B989" s="846"/>
      <c r="C989" s="846"/>
      <c r="D989" s="846"/>
      <c r="E989" s="846"/>
      <c r="F989" s="846"/>
      <c r="G989" s="846"/>
      <c r="H989" s="846"/>
      <c r="I989" s="846"/>
      <c r="J989" s="846"/>
      <c r="K989" s="846"/>
      <c r="L989" s="846"/>
      <c r="M989" s="846"/>
      <c r="N989" s="846"/>
      <c r="O989" s="846"/>
    </row>
    <row r="990" spans="1:15" ht="20.100000000000001" customHeight="1">
      <c r="A990" s="846"/>
      <c r="B990" s="846"/>
      <c r="C990" s="846"/>
      <c r="D990" s="846"/>
      <c r="E990" s="846"/>
      <c r="F990" s="846"/>
      <c r="G990" s="846"/>
      <c r="H990" s="846"/>
      <c r="I990" s="846"/>
      <c r="J990" s="846"/>
      <c r="K990" s="846"/>
      <c r="L990" s="846"/>
      <c r="M990" s="846"/>
      <c r="N990" s="846"/>
      <c r="O990" s="846"/>
    </row>
    <row r="991" spans="1:15" ht="20.100000000000001" customHeight="1">
      <c r="A991" s="846"/>
      <c r="B991" s="846"/>
      <c r="C991" s="846"/>
      <c r="D991" s="846"/>
      <c r="E991" s="846"/>
      <c r="F991" s="846"/>
      <c r="G991" s="846"/>
      <c r="H991" s="846"/>
      <c r="I991" s="846"/>
      <c r="J991" s="846"/>
      <c r="K991" s="846"/>
      <c r="L991" s="846"/>
      <c r="M991" s="846"/>
      <c r="N991" s="846"/>
      <c r="O991" s="846"/>
    </row>
    <row r="992" spans="1:15" ht="20.100000000000001" customHeight="1">
      <c r="A992" s="846"/>
      <c r="B992" s="846"/>
      <c r="C992" s="846"/>
      <c r="D992" s="846"/>
      <c r="E992" s="846"/>
      <c r="F992" s="846"/>
      <c r="G992" s="846"/>
      <c r="H992" s="846"/>
      <c r="I992" s="846"/>
      <c r="J992" s="846"/>
      <c r="K992" s="846"/>
      <c r="L992" s="846"/>
      <c r="M992" s="846"/>
      <c r="N992" s="846"/>
      <c r="O992" s="846"/>
    </row>
    <row r="993" spans="1:15" ht="20.100000000000001" customHeight="1">
      <c r="A993" s="846"/>
      <c r="B993" s="846"/>
      <c r="C993" s="846"/>
      <c r="D993" s="846"/>
      <c r="E993" s="846"/>
      <c r="F993" s="846"/>
      <c r="G993" s="846"/>
      <c r="H993" s="846"/>
      <c r="I993" s="846"/>
      <c r="J993" s="846"/>
      <c r="K993" s="846"/>
      <c r="L993" s="846"/>
      <c r="M993" s="846"/>
      <c r="N993" s="846"/>
      <c r="O993" s="846"/>
    </row>
    <row r="994" spans="1:15" ht="20.100000000000001" customHeight="1">
      <c r="A994" s="846"/>
      <c r="B994" s="846"/>
      <c r="C994" s="846"/>
      <c r="D994" s="846"/>
      <c r="E994" s="846"/>
      <c r="F994" s="846"/>
      <c r="G994" s="846"/>
      <c r="H994" s="846"/>
      <c r="I994" s="846"/>
      <c r="J994" s="846"/>
      <c r="K994" s="846"/>
      <c r="L994" s="846"/>
      <c r="M994" s="846"/>
      <c r="N994" s="846"/>
      <c r="O994" s="846"/>
    </row>
    <row r="995" spans="1:15" ht="20.100000000000001" customHeight="1">
      <c r="A995" s="846"/>
      <c r="B995" s="846"/>
      <c r="C995" s="846"/>
      <c r="D995" s="846"/>
      <c r="E995" s="846"/>
      <c r="F995" s="846"/>
      <c r="G995" s="846"/>
      <c r="H995" s="846"/>
      <c r="I995" s="846"/>
      <c r="J995" s="846"/>
      <c r="K995" s="846"/>
      <c r="L995" s="846"/>
      <c r="M995" s="846"/>
      <c r="N995" s="846"/>
      <c r="O995" s="846"/>
    </row>
    <row r="996" spans="1:15" ht="20.100000000000001" customHeight="1">
      <c r="A996" s="846"/>
      <c r="B996" s="846"/>
      <c r="C996" s="846"/>
      <c r="D996" s="846"/>
      <c r="E996" s="846"/>
      <c r="F996" s="846"/>
      <c r="G996" s="846"/>
      <c r="H996" s="846"/>
      <c r="I996" s="846"/>
      <c r="J996" s="846"/>
      <c r="K996" s="846"/>
      <c r="L996" s="846"/>
      <c r="M996" s="846"/>
      <c r="N996" s="846"/>
      <c r="O996" s="846"/>
    </row>
    <row r="997" spans="1:15" ht="20.100000000000001" customHeight="1">
      <c r="A997" s="846"/>
      <c r="B997" s="846"/>
      <c r="C997" s="846"/>
      <c r="D997" s="846"/>
      <c r="E997" s="846"/>
      <c r="F997" s="846"/>
      <c r="G997" s="846"/>
      <c r="H997" s="846"/>
      <c r="I997" s="846"/>
      <c r="J997" s="846"/>
      <c r="K997" s="846"/>
      <c r="L997" s="846"/>
      <c r="M997" s="846"/>
      <c r="N997" s="846"/>
      <c r="O997" s="846"/>
    </row>
    <row r="998" spans="1:15" ht="20.100000000000001" customHeight="1">
      <c r="A998" s="846"/>
      <c r="B998" s="846"/>
      <c r="C998" s="846"/>
      <c r="D998" s="846"/>
      <c r="E998" s="846"/>
      <c r="F998" s="846"/>
      <c r="G998" s="846"/>
      <c r="H998" s="846"/>
      <c r="I998" s="846"/>
      <c r="J998" s="846"/>
      <c r="K998" s="846"/>
      <c r="L998" s="846"/>
      <c r="M998" s="846"/>
      <c r="N998" s="846"/>
      <c r="O998" s="846"/>
    </row>
    <row r="999" spans="1:15" ht="20.100000000000001" customHeight="1">
      <c r="A999" s="846"/>
      <c r="B999" s="846"/>
      <c r="C999" s="846"/>
      <c r="D999" s="846"/>
      <c r="E999" s="846"/>
      <c r="F999" s="846"/>
      <c r="G999" s="846"/>
      <c r="H999" s="846"/>
      <c r="I999" s="846"/>
      <c r="J999" s="846"/>
      <c r="K999" s="846"/>
      <c r="L999" s="846"/>
      <c r="M999" s="846"/>
      <c r="N999" s="846"/>
      <c r="O999" s="846"/>
    </row>
    <row r="1000" spans="1:15" ht="20.100000000000001" customHeight="1">
      <c r="A1000" s="846"/>
      <c r="B1000" s="846"/>
      <c r="C1000" s="846"/>
      <c r="D1000" s="846"/>
      <c r="E1000" s="846"/>
      <c r="F1000" s="846"/>
      <c r="G1000" s="846"/>
      <c r="H1000" s="846"/>
      <c r="I1000" s="846"/>
      <c r="J1000" s="846"/>
      <c r="K1000" s="846"/>
      <c r="L1000" s="846"/>
      <c r="M1000" s="846"/>
      <c r="N1000" s="846"/>
      <c r="O1000" s="846"/>
    </row>
    <row r="1001" spans="1:15" ht="20.100000000000001" customHeight="1">
      <c r="A1001" s="846"/>
      <c r="B1001" s="846"/>
      <c r="C1001" s="846"/>
      <c r="D1001" s="846"/>
      <c r="E1001" s="846"/>
      <c r="F1001" s="846"/>
      <c r="G1001" s="846"/>
      <c r="H1001" s="846"/>
      <c r="I1001" s="846"/>
      <c r="J1001" s="846"/>
      <c r="K1001" s="846"/>
      <c r="L1001" s="846"/>
      <c r="M1001" s="846"/>
      <c r="N1001" s="846"/>
      <c r="O1001" s="846"/>
    </row>
    <row r="1002" spans="1:15" ht="20.100000000000001" customHeight="1">
      <c r="A1002" s="846"/>
      <c r="B1002" s="846"/>
      <c r="C1002" s="846"/>
      <c r="D1002" s="846"/>
      <c r="E1002" s="846"/>
      <c r="F1002" s="846"/>
      <c r="G1002" s="846"/>
      <c r="H1002" s="846"/>
      <c r="I1002" s="846"/>
      <c r="J1002" s="846"/>
      <c r="K1002" s="846"/>
      <c r="L1002" s="846"/>
      <c r="M1002" s="846"/>
      <c r="N1002" s="846"/>
      <c r="O1002" s="846"/>
    </row>
    <row r="1003" spans="1:15" ht="20.100000000000001" customHeight="1">
      <c r="A1003" s="846"/>
      <c r="B1003" s="846"/>
      <c r="C1003" s="846"/>
      <c r="D1003" s="846"/>
      <c r="E1003" s="846"/>
      <c r="F1003" s="846"/>
      <c r="G1003" s="846"/>
      <c r="H1003" s="846"/>
      <c r="I1003" s="846"/>
      <c r="J1003" s="846"/>
      <c r="K1003" s="846"/>
      <c r="L1003" s="846"/>
      <c r="M1003" s="846"/>
      <c r="N1003" s="846"/>
      <c r="O1003" s="846"/>
    </row>
    <row r="1004" spans="1:15" ht="20.100000000000001" customHeight="1">
      <c r="A1004" s="846"/>
      <c r="B1004" s="846"/>
      <c r="C1004" s="846"/>
      <c r="D1004" s="846"/>
      <c r="E1004" s="846"/>
      <c r="F1004" s="846"/>
      <c r="G1004" s="846"/>
      <c r="H1004" s="846"/>
      <c r="I1004" s="846"/>
      <c r="J1004" s="846"/>
      <c r="K1004" s="846"/>
      <c r="L1004" s="846"/>
      <c r="M1004" s="846"/>
      <c r="N1004" s="846"/>
      <c r="O1004" s="846"/>
    </row>
    <row r="1005" spans="1:15" ht="20.100000000000001" customHeight="1">
      <c r="A1005" s="846"/>
      <c r="B1005" s="846"/>
      <c r="C1005" s="846"/>
      <c r="D1005" s="846"/>
      <c r="E1005" s="846"/>
      <c r="F1005" s="846"/>
      <c r="G1005" s="846"/>
      <c r="H1005" s="846"/>
      <c r="I1005" s="846"/>
      <c r="J1005" s="846"/>
      <c r="K1005" s="846"/>
      <c r="L1005" s="846"/>
      <c r="M1005" s="846"/>
      <c r="N1005" s="846"/>
      <c r="O1005" s="846"/>
    </row>
    <row r="1006" spans="1:15" ht="20.100000000000001" customHeight="1">
      <c r="A1006" s="846"/>
      <c r="B1006" s="846"/>
      <c r="C1006" s="846"/>
      <c r="D1006" s="846"/>
      <c r="E1006" s="846"/>
      <c r="F1006" s="846"/>
      <c r="G1006" s="846"/>
      <c r="H1006" s="846"/>
      <c r="I1006" s="846"/>
      <c r="J1006" s="846"/>
      <c r="K1006" s="846"/>
      <c r="L1006" s="846"/>
      <c r="M1006" s="846"/>
      <c r="N1006" s="846"/>
      <c r="O1006" s="846"/>
    </row>
    <row r="1007" spans="1:15" ht="20.100000000000001" customHeight="1">
      <c r="A1007" s="846"/>
      <c r="B1007" s="846"/>
      <c r="C1007" s="846"/>
      <c r="D1007" s="846"/>
      <c r="E1007" s="846"/>
      <c r="F1007" s="846"/>
      <c r="G1007" s="846"/>
      <c r="H1007" s="846"/>
      <c r="I1007" s="846"/>
      <c r="J1007" s="846"/>
      <c r="K1007" s="846"/>
      <c r="L1007" s="846"/>
      <c r="M1007" s="846"/>
      <c r="N1007" s="846"/>
      <c r="O1007" s="846"/>
    </row>
    <row r="1008" spans="1:15" ht="20.100000000000001" customHeight="1">
      <c r="A1008" s="846"/>
      <c r="B1008" s="846"/>
      <c r="C1008" s="846"/>
      <c r="D1008" s="846"/>
      <c r="E1008" s="846"/>
      <c r="F1008" s="846"/>
      <c r="G1008" s="846"/>
      <c r="H1008" s="846"/>
      <c r="I1008" s="846"/>
      <c r="J1008" s="846"/>
      <c r="K1008" s="846"/>
      <c r="L1008" s="846"/>
      <c r="M1008" s="846"/>
      <c r="N1008" s="846"/>
      <c r="O1008" s="846"/>
    </row>
    <row r="1009" spans="1:15" ht="20.100000000000001" customHeight="1">
      <c r="A1009" s="846"/>
      <c r="B1009" s="846"/>
      <c r="C1009" s="846"/>
      <c r="D1009" s="846"/>
      <c r="E1009" s="846"/>
      <c r="F1009" s="846"/>
      <c r="G1009" s="846"/>
      <c r="H1009" s="846"/>
      <c r="I1009" s="846"/>
      <c r="J1009" s="846"/>
      <c r="K1009" s="846"/>
      <c r="L1009" s="846"/>
      <c r="M1009" s="846"/>
      <c r="N1009" s="846"/>
      <c r="O1009" s="846"/>
    </row>
    <row r="1010" spans="1:15" ht="20.100000000000001" customHeight="1">
      <c r="A1010" s="846"/>
      <c r="B1010" s="846"/>
      <c r="C1010" s="846"/>
      <c r="D1010" s="846"/>
      <c r="E1010" s="846"/>
      <c r="F1010" s="846"/>
      <c r="G1010" s="846"/>
      <c r="H1010" s="846"/>
      <c r="I1010" s="846"/>
      <c r="J1010" s="846"/>
      <c r="K1010" s="846"/>
      <c r="L1010" s="846"/>
      <c r="M1010" s="846"/>
      <c r="N1010" s="846"/>
      <c r="O1010" s="846"/>
    </row>
    <row r="1011" spans="1:15" ht="20.100000000000001" customHeight="1">
      <c r="A1011" s="846"/>
      <c r="B1011" s="846"/>
      <c r="C1011" s="846"/>
      <c r="D1011" s="846"/>
      <c r="E1011" s="846"/>
      <c r="F1011" s="846"/>
      <c r="G1011" s="846"/>
      <c r="H1011" s="846"/>
      <c r="I1011" s="846"/>
      <c r="J1011" s="846"/>
      <c r="K1011" s="846"/>
      <c r="L1011" s="846"/>
      <c r="M1011" s="846"/>
      <c r="N1011" s="846"/>
      <c r="O1011" s="846"/>
    </row>
    <row r="1012" spans="1:15" ht="20.100000000000001" customHeight="1">
      <c r="A1012" s="846"/>
      <c r="B1012" s="846"/>
      <c r="C1012" s="846"/>
      <c r="D1012" s="846"/>
      <c r="E1012" s="846"/>
      <c r="F1012" s="846"/>
      <c r="G1012" s="846"/>
      <c r="H1012" s="846"/>
      <c r="I1012" s="846"/>
      <c r="J1012" s="846"/>
      <c r="K1012" s="846"/>
      <c r="L1012" s="846"/>
      <c r="M1012" s="846"/>
      <c r="N1012" s="846"/>
      <c r="O1012" s="846"/>
    </row>
    <row r="1013" spans="1:15" ht="20.100000000000001" customHeight="1">
      <c r="A1013" s="846"/>
      <c r="B1013" s="846"/>
      <c r="C1013" s="846"/>
      <c r="D1013" s="846"/>
      <c r="E1013" s="846"/>
      <c r="F1013" s="846"/>
      <c r="G1013" s="846"/>
      <c r="H1013" s="846"/>
      <c r="I1013" s="846"/>
      <c r="J1013" s="846"/>
      <c r="K1013" s="846"/>
      <c r="L1013" s="846"/>
      <c r="M1013" s="846"/>
      <c r="N1013" s="846"/>
      <c r="O1013" s="846"/>
    </row>
    <row r="1014" spans="1:15" ht="20.100000000000001" customHeight="1">
      <c r="A1014" s="846"/>
      <c r="B1014" s="846"/>
      <c r="C1014" s="846"/>
      <c r="D1014" s="846"/>
      <c r="E1014" s="846"/>
      <c r="F1014" s="846"/>
      <c r="G1014" s="846"/>
      <c r="H1014" s="846"/>
      <c r="I1014" s="846"/>
      <c r="J1014" s="846"/>
      <c r="K1014" s="846"/>
      <c r="L1014" s="846"/>
      <c r="M1014" s="846"/>
      <c r="N1014" s="846"/>
      <c r="O1014" s="846"/>
    </row>
    <row r="1015" spans="1:15" ht="20.100000000000001" customHeight="1">
      <c r="A1015" s="846"/>
      <c r="B1015" s="846"/>
      <c r="C1015" s="846"/>
      <c r="D1015" s="846"/>
      <c r="E1015" s="846"/>
      <c r="F1015" s="846"/>
      <c r="G1015" s="846"/>
      <c r="H1015" s="846"/>
      <c r="I1015" s="846"/>
      <c r="J1015" s="846"/>
      <c r="K1015" s="846"/>
      <c r="L1015" s="846"/>
      <c r="M1015" s="846"/>
      <c r="N1015" s="846"/>
      <c r="O1015" s="846"/>
    </row>
    <row r="1016" spans="1:15" ht="20.100000000000001" customHeight="1">
      <c r="A1016" s="846"/>
      <c r="B1016" s="846"/>
      <c r="C1016" s="846"/>
      <c r="D1016" s="846"/>
      <c r="E1016" s="846"/>
      <c r="F1016" s="846"/>
      <c r="G1016" s="846"/>
      <c r="H1016" s="846"/>
      <c r="I1016" s="846"/>
      <c r="J1016" s="846"/>
      <c r="K1016" s="846"/>
      <c r="L1016" s="846"/>
      <c r="M1016" s="846"/>
      <c r="N1016" s="846"/>
      <c r="O1016" s="846"/>
    </row>
    <row r="1017" spans="1:15" ht="20.100000000000001" customHeight="1">
      <c r="A1017" s="846"/>
      <c r="B1017" s="846"/>
      <c r="C1017" s="846"/>
      <c r="D1017" s="846"/>
      <c r="E1017" s="846"/>
      <c r="F1017" s="846"/>
      <c r="G1017" s="846"/>
      <c r="H1017" s="846"/>
      <c r="I1017" s="846"/>
      <c r="J1017" s="846"/>
      <c r="K1017" s="846"/>
      <c r="L1017" s="846"/>
      <c r="M1017" s="846"/>
      <c r="N1017" s="846"/>
      <c r="O1017" s="846"/>
    </row>
    <row r="1018" spans="1:15" ht="20.100000000000001" customHeight="1">
      <c r="A1018" s="846"/>
      <c r="B1018" s="846"/>
      <c r="C1018" s="846"/>
      <c r="D1018" s="846"/>
      <c r="E1018" s="846"/>
      <c r="F1018" s="846"/>
      <c r="G1018" s="846"/>
      <c r="H1018" s="846"/>
      <c r="I1018" s="846"/>
      <c r="J1018" s="846"/>
      <c r="K1018" s="846"/>
      <c r="L1018" s="846"/>
      <c r="M1018" s="846"/>
      <c r="N1018" s="846"/>
      <c r="O1018" s="846"/>
    </row>
    <row r="1019" spans="1:15" ht="20.100000000000001" customHeight="1">
      <c r="A1019" s="846"/>
      <c r="B1019" s="846"/>
      <c r="C1019" s="846"/>
      <c r="D1019" s="846"/>
      <c r="E1019" s="846"/>
      <c r="F1019" s="846"/>
      <c r="G1019" s="846"/>
      <c r="H1019" s="846"/>
      <c r="I1019" s="846"/>
      <c r="J1019" s="846"/>
      <c r="K1019" s="846"/>
      <c r="L1019" s="846"/>
      <c r="M1019" s="846"/>
      <c r="N1019" s="846"/>
      <c r="O1019" s="846"/>
    </row>
    <row r="1020" spans="1:15" ht="20.100000000000001" customHeight="1">
      <c r="A1020" s="846"/>
      <c r="B1020" s="846"/>
      <c r="C1020" s="846"/>
      <c r="D1020" s="846"/>
      <c r="E1020" s="846"/>
      <c r="F1020" s="846"/>
      <c r="G1020" s="846"/>
      <c r="H1020" s="846"/>
      <c r="I1020" s="846"/>
      <c r="J1020" s="846"/>
      <c r="K1020" s="846"/>
      <c r="L1020" s="846"/>
      <c r="M1020" s="846"/>
      <c r="N1020" s="846"/>
      <c r="O1020" s="846"/>
    </row>
    <row r="1021" spans="1:15" ht="20.100000000000001" customHeight="1">
      <c r="A1021" s="846"/>
      <c r="B1021" s="846"/>
      <c r="C1021" s="846"/>
      <c r="D1021" s="846"/>
      <c r="E1021" s="846"/>
      <c r="F1021" s="846"/>
      <c r="G1021" s="846"/>
      <c r="H1021" s="846"/>
      <c r="I1021" s="846"/>
      <c r="J1021" s="846"/>
      <c r="K1021" s="846"/>
      <c r="L1021" s="846"/>
      <c r="M1021" s="846"/>
      <c r="N1021" s="846"/>
      <c r="O1021" s="846"/>
    </row>
    <row r="1022" spans="1:15" ht="20.100000000000001" customHeight="1">
      <c r="A1022" s="846"/>
      <c r="B1022" s="846"/>
      <c r="C1022" s="846"/>
      <c r="D1022" s="846"/>
      <c r="E1022" s="846"/>
      <c r="F1022" s="846"/>
      <c r="G1022" s="846"/>
      <c r="H1022" s="846"/>
      <c r="I1022" s="846"/>
      <c r="J1022" s="846"/>
      <c r="K1022" s="846"/>
      <c r="L1022" s="846"/>
      <c r="M1022" s="846"/>
      <c r="N1022" s="846"/>
      <c r="O1022" s="846"/>
    </row>
    <row r="1023" spans="1:15" ht="20.100000000000001" customHeight="1">
      <c r="A1023" s="846"/>
      <c r="B1023" s="846"/>
      <c r="C1023" s="846"/>
      <c r="D1023" s="846"/>
      <c r="E1023" s="846"/>
      <c r="F1023" s="846"/>
      <c r="G1023" s="846"/>
      <c r="H1023" s="846"/>
      <c r="I1023" s="846"/>
      <c r="J1023" s="846"/>
      <c r="K1023" s="846"/>
      <c r="L1023" s="846"/>
      <c r="M1023" s="846"/>
      <c r="N1023" s="846"/>
      <c r="O1023" s="846"/>
    </row>
    <row r="1024" spans="1:15" ht="20.100000000000001" customHeight="1">
      <c r="A1024" s="846"/>
      <c r="B1024" s="846"/>
      <c r="C1024" s="846"/>
      <c r="D1024" s="846"/>
      <c r="E1024" s="846"/>
      <c r="F1024" s="846"/>
      <c r="G1024" s="846"/>
      <c r="H1024" s="846"/>
      <c r="I1024" s="846"/>
      <c r="J1024" s="846"/>
      <c r="K1024" s="846"/>
      <c r="L1024" s="846"/>
      <c r="M1024" s="846"/>
      <c r="N1024" s="846"/>
      <c r="O1024" s="846"/>
    </row>
    <row r="1025" spans="1:15" ht="20.100000000000001" customHeight="1">
      <c r="A1025" s="846"/>
      <c r="B1025" s="846"/>
      <c r="C1025" s="846"/>
      <c r="D1025" s="846"/>
      <c r="E1025" s="846"/>
      <c r="F1025" s="846"/>
      <c r="G1025" s="846"/>
      <c r="H1025" s="846"/>
      <c r="I1025" s="846"/>
      <c r="J1025" s="846"/>
      <c r="K1025" s="846"/>
      <c r="L1025" s="846"/>
      <c r="M1025" s="846"/>
      <c r="N1025" s="846"/>
      <c r="O1025" s="846"/>
    </row>
    <row r="1026" spans="1:15" ht="20.100000000000001" customHeight="1">
      <c r="A1026" s="846"/>
      <c r="B1026" s="846"/>
      <c r="C1026" s="846"/>
      <c r="D1026" s="846"/>
      <c r="E1026" s="846"/>
      <c r="F1026" s="846"/>
      <c r="G1026" s="846"/>
      <c r="H1026" s="846"/>
      <c r="I1026" s="846"/>
      <c r="J1026" s="846"/>
      <c r="K1026" s="846"/>
      <c r="L1026" s="846"/>
      <c r="M1026" s="846"/>
      <c r="N1026" s="846"/>
      <c r="O1026" s="846"/>
    </row>
    <row r="1027" spans="1:15" ht="20.100000000000001" customHeight="1">
      <c r="A1027" s="846"/>
      <c r="B1027" s="846"/>
      <c r="C1027" s="846"/>
      <c r="D1027" s="846"/>
      <c r="E1027" s="846"/>
      <c r="F1027" s="846"/>
      <c r="G1027" s="846"/>
      <c r="H1027" s="846"/>
      <c r="I1027" s="846"/>
      <c r="J1027" s="846"/>
      <c r="K1027" s="846"/>
      <c r="L1027" s="846"/>
      <c r="M1027" s="846"/>
      <c r="N1027" s="846"/>
      <c r="O1027" s="846"/>
    </row>
    <row r="1028" spans="1:15" ht="20.100000000000001" customHeight="1">
      <c r="A1028" s="846"/>
      <c r="B1028" s="846"/>
      <c r="C1028" s="846"/>
      <c r="D1028" s="846"/>
      <c r="E1028" s="846"/>
      <c r="F1028" s="846"/>
      <c r="G1028" s="846"/>
      <c r="H1028" s="846"/>
      <c r="I1028" s="846"/>
      <c r="J1028" s="846"/>
      <c r="K1028" s="846"/>
      <c r="L1028" s="846"/>
      <c r="M1028" s="846"/>
      <c r="N1028" s="846"/>
      <c r="O1028" s="846"/>
    </row>
    <row r="1029" spans="1:15" ht="20.100000000000001" customHeight="1">
      <c r="A1029" s="846"/>
      <c r="B1029" s="846"/>
      <c r="C1029" s="846"/>
      <c r="D1029" s="846"/>
      <c r="E1029" s="846"/>
      <c r="F1029" s="846"/>
      <c r="G1029" s="846"/>
      <c r="H1029" s="846"/>
      <c r="I1029" s="846"/>
      <c r="J1029" s="846"/>
      <c r="K1029" s="846"/>
      <c r="L1029" s="846"/>
      <c r="M1029" s="846"/>
      <c r="N1029" s="846"/>
      <c r="O1029" s="846"/>
    </row>
    <row r="1030" spans="1:15" ht="20.100000000000001" customHeight="1">
      <c r="A1030" s="846"/>
      <c r="B1030" s="846"/>
      <c r="C1030" s="846"/>
      <c r="D1030" s="846"/>
      <c r="E1030" s="846"/>
      <c r="F1030" s="846"/>
      <c r="G1030" s="846"/>
      <c r="H1030" s="846"/>
      <c r="I1030" s="846"/>
      <c r="J1030" s="846"/>
      <c r="K1030" s="846"/>
      <c r="L1030" s="846"/>
      <c r="M1030" s="846"/>
      <c r="N1030" s="846"/>
      <c r="O1030" s="846"/>
    </row>
    <row r="1031" spans="1:15" ht="20.100000000000001" customHeight="1">
      <c r="A1031" s="846"/>
      <c r="B1031" s="846"/>
      <c r="C1031" s="846"/>
      <c r="D1031" s="846"/>
      <c r="E1031" s="846"/>
      <c r="F1031" s="846"/>
      <c r="G1031" s="846"/>
      <c r="H1031" s="846"/>
      <c r="I1031" s="846"/>
      <c r="J1031" s="846"/>
      <c r="K1031" s="846"/>
      <c r="L1031" s="846"/>
      <c r="M1031" s="846"/>
      <c r="N1031" s="846"/>
      <c r="O1031" s="846"/>
    </row>
    <row r="1032" spans="1:15" ht="20.100000000000001" customHeight="1">
      <c r="A1032" s="846"/>
      <c r="B1032" s="846"/>
      <c r="C1032" s="846"/>
      <c r="D1032" s="846"/>
      <c r="E1032" s="846"/>
      <c r="F1032" s="846"/>
      <c r="G1032" s="846"/>
      <c r="H1032" s="846"/>
      <c r="I1032" s="846"/>
      <c r="J1032" s="846"/>
      <c r="K1032" s="846"/>
      <c r="L1032" s="846"/>
      <c r="M1032" s="846"/>
      <c r="N1032" s="846"/>
      <c r="O1032" s="846"/>
    </row>
    <row r="1033" spans="1:15" ht="20.100000000000001" customHeight="1">
      <c r="A1033" s="846"/>
      <c r="B1033" s="846"/>
      <c r="C1033" s="846"/>
      <c r="D1033" s="846"/>
      <c r="E1033" s="846"/>
      <c r="F1033" s="846"/>
      <c r="G1033" s="846"/>
      <c r="H1033" s="846"/>
      <c r="I1033" s="846"/>
      <c r="J1033" s="846"/>
      <c r="K1033" s="846"/>
      <c r="L1033" s="846"/>
      <c r="M1033" s="846"/>
      <c r="N1033" s="846"/>
      <c r="O1033" s="846"/>
    </row>
    <row r="1034" spans="1:15" ht="20.100000000000001" customHeight="1">
      <c r="A1034" s="846"/>
      <c r="B1034" s="846"/>
      <c r="C1034" s="846"/>
      <c r="D1034" s="846"/>
      <c r="E1034" s="846"/>
      <c r="F1034" s="846"/>
      <c r="G1034" s="846"/>
      <c r="H1034" s="846"/>
      <c r="I1034" s="846"/>
      <c r="J1034" s="846"/>
      <c r="K1034" s="846"/>
      <c r="L1034" s="846"/>
      <c r="M1034" s="846"/>
      <c r="N1034" s="846"/>
      <c r="O1034" s="846"/>
    </row>
    <row r="1035" spans="1:15" ht="20.100000000000001" customHeight="1">
      <c r="A1035" s="846"/>
      <c r="B1035" s="846"/>
      <c r="C1035" s="846"/>
      <c r="D1035" s="846"/>
      <c r="E1035" s="846"/>
      <c r="F1035" s="846"/>
      <c r="G1035" s="846"/>
      <c r="H1035" s="846"/>
      <c r="I1035" s="846"/>
      <c r="J1035" s="846"/>
      <c r="K1035" s="846"/>
      <c r="L1035" s="846"/>
      <c r="M1035" s="846"/>
      <c r="N1035" s="846"/>
      <c r="O1035" s="846"/>
    </row>
    <row r="1036" spans="1:15" ht="20.100000000000001" customHeight="1">
      <c r="A1036" s="846"/>
      <c r="B1036" s="846"/>
      <c r="C1036" s="846"/>
      <c r="D1036" s="846"/>
      <c r="E1036" s="846"/>
      <c r="F1036" s="846"/>
      <c r="G1036" s="846"/>
      <c r="H1036" s="846"/>
      <c r="I1036" s="846"/>
      <c r="J1036" s="846"/>
      <c r="K1036" s="846"/>
      <c r="L1036" s="846"/>
      <c r="M1036" s="846"/>
      <c r="N1036" s="846"/>
      <c r="O1036" s="846"/>
    </row>
    <row r="1037" spans="1:15" ht="20.100000000000001" customHeight="1">
      <c r="A1037" s="846"/>
      <c r="B1037" s="846"/>
      <c r="C1037" s="846"/>
      <c r="D1037" s="846"/>
      <c r="E1037" s="846"/>
      <c r="F1037" s="846"/>
      <c r="G1037" s="846"/>
      <c r="H1037" s="846"/>
      <c r="I1037" s="846"/>
      <c r="J1037" s="846"/>
      <c r="K1037" s="846"/>
      <c r="L1037" s="846"/>
      <c r="M1037" s="846"/>
      <c r="N1037" s="846"/>
      <c r="O1037" s="846"/>
    </row>
    <row r="1038" spans="1:15" ht="20.100000000000001" customHeight="1">
      <c r="A1038" s="846"/>
      <c r="B1038" s="846"/>
      <c r="C1038" s="846"/>
      <c r="D1038" s="846"/>
      <c r="E1038" s="846"/>
      <c r="F1038" s="846"/>
      <c r="G1038" s="846"/>
      <c r="H1038" s="846"/>
      <c r="I1038" s="846"/>
      <c r="J1038" s="846"/>
      <c r="K1038" s="846"/>
      <c r="L1038" s="846"/>
      <c r="M1038" s="846"/>
      <c r="N1038" s="846"/>
      <c r="O1038" s="846"/>
    </row>
    <row r="1039" spans="1:15" ht="20.100000000000001" customHeight="1">
      <c r="A1039" s="846"/>
      <c r="B1039" s="846"/>
      <c r="C1039" s="846"/>
      <c r="D1039" s="846"/>
      <c r="E1039" s="846"/>
      <c r="F1039" s="846"/>
      <c r="G1039" s="846"/>
      <c r="H1039" s="846"/>
      <c r="I1039" s="846"/>
      <c r="J1039" s="846"/>
      <c r="K1039" s="846"/>
      <c r="L1039" s="846"/>
      <c r="M1039" s="846"/>
      <c r="N1039" s="846"/>
      <c r="O1039" s="846"/>
    </row>
    <row r="1040" spans="1:15" ht="20.100000000000001" customHeight="1">
      <c r="A1040" s="846"/>
      <c r="B1040" s="846"/>
      <c r="C1040" s="846"/>
      <c r="D1040" s="846"/>
      <c r="E1040" s="846"/>
      <c r="F1040" s="846"/>
      <c r="G1040" s="846"/>
      <c r="H1040" s="846"/>
      <c r="I1040" s="846"/>
      <c r="J1040" s="846"/>
      <c r="K1040" s="846"/>
      <c r="L1040" s="846"/>
      <c r="M1040" s="846"/>
      <c r="N1040" s="846"/>
      <c r="O1040" s="846"/>
    </row>
    <row r="1041" spans="1:15" ht="20.100000000000001" customHeight="1">
      <c r="A1041" s="846"/>
      <c r="B1041" s="846"/>
      <c r="C1041" s="846"/>
      <c r="D1041" s="846"/>
      <c r="E1041" s="846"/>
      <c r="F1041" s="846"/>
      <c r="G1041" s="846"/>
      <c r="H1041" s="846"/>
      <c r="I1041" s="846"/>
      <c r="J1041" s="846"/>
      <c r="K1041" s="846"/>
      <c r="L1041" s="846"/>
      <c r="M1041" s="846"/>
      <c r="N1041" s="846"/>
      <c r="O1041" s="846"/>
    </row>
    <row r="1042" spans="1:15" ht="20.100000000000001" customHeight="1">
      <c r="A1042" s="846"/>
      <c r="B1042" s="846"/>
      <c r="C1042" s="846"/>
      <c r="D1042" s="846"/>
      <c r="E1042" s="846"/>
      <c r="F1042" s="846"/>
      <c r="G1042" s="846"/>
      <c r="H1042" s="846"/>
      <c r="I1042" s="846"/>
      <c r="J1042" s="846"/>
      <c r="K1042" s="846"/>
      <c r="L1042" s="846"/>
      <c r="M1042" s="846"/>
      <c r="N1042" s="846"/>
      <c r="O1042" s="846"/>
    </row>
    <row r="1043" spans="1:15" ht="20.100000000000001" customHeight="1">
      <c r="A1043" s="846"/>
      <c r="B1043" s="846"/>
      <c r="C1043" s="846"/>
      <c r="D1043" s="846"/>
      <c r="E1043" s="846"/>
      <c r="F1043" s="846"/>
      <c r="G1043" s="846"/>
      <c r="H1043" s="846"/>
      <c r="I1043" s="846"/>
      <c r="J1043" s="846"/>
      <c r="K1043" s="846"/>
      <c r="L1043" s="846"/>
      <c r="M1043" s="846"/>
      <c r="N1043" s="846"/>
      <c r="O1043" s="846"/>
    </row>
    <row r="1044" spans="1:15" ht="20.100000000000001" customHeight="1">
      <c r="A1044" s="846"/>
      <c r="B1044" s="846"/>
      <c r="C1044" s="846"/>
      <c r="D1044" s="846"/>
      <c r="E1044" s="846"/>
      <c r="F1044" s="846"/>
      <c r="G1044" s="846"/>
      <c r="H1044" s="846"/>
      <c r="I1044" s="846"/>
      <c r="J1044" s="846"/>
      <c r="K1044" s="846"/>
      <c r="L1044" s="846"/>
      <c r="M1044" s="846"/>
      <c r="N1044" s="846"/>
      <c r="O1044" s="846"/>
    </row>
    <row r="1045" spans="1:15" ht="20.100000000000001" customHeight="1">
      <c r="A1045" s="846"/>
      <c r="B1045" s="846"/>
      <c r="C1045" s="846"/>
      <c r="D1045" s="846"/>
      <c r="E1045" s="846"/>
      <c r="F1045" s="846"/>
      <c r="G1045" s="846"/>
      <c r="H1045" s="846"/>
      <c r="I1045" s="846"/>
      <c r="J1045" s="846"/>
      <c r="K1045" s="846"/>
      <c r="L1045" s="846"/>
      <c r="M1045" s="846"/>
      <c r="N1045" s="846"/>
      <c r="O1045" s="846"/>
    </row>
    <row r="1046" spans="1:15" ht="20.100000000000001" customHeight="1">
      <c r="A1046" s="846"/>
      <c r="B1046" s="846"/>
      <c r="C1046" s="846"/>
      <c r="D1046" s="846"/>
      <c r="E1046" s="846"/>
      <c r="F1046" s="846"/>
      <c r="G1046" s="846"/>
      <c r="H1046" s="846"/>
      <c r="I1046" s="846"/>
      <c r="J1046" s="846"/>
      <c r="K1046" s="846"/>
      <c r="L1046" s="846"/>
      <c r="M1046" s="846"/>
      <c r="N1046" s="846"/>
      <c r="O1046" s="846"/>
    </row>
    <row r="1047" spans="1:15" ht="20.100000000000001" customHeight="1">
      <c r="A1047" s="846"/>
      <c r="B1047" s="846"/>
      <c r="C1047" s="846"/>
      <c r="D1047" s="846"/>
      <c r="E1047" s="846"/>
      <c r="F1047" s="846"/>
      <c r="G1047" s="846"/>
      <c r="H1047" s="846"/>
      <c r="I1047" s="846"/>
      <c r="J1047" s="846"/>
      <c r="K1047" s="846"/>
      <c r="L1047" s="846"/>
      <c r="M1047" s="846"/>
      <c r="N1047" s="846"/>
      <c r="O1047" s="846"/>
    </row>
    <row r="1048" spans="1:15" ht="20.100000000000001" customHeight="1">
      <c r="A1048" s="846"/>
      <c r="B1048" s="846"/>
      <c r="C1048" s="846"/>
      <c r="D1048" s="846"/>
      <c r="E1048" s="846"/>
      <c r="F1048" s="846"/>
      <c r="G1048" s="846"/>
      <c r="H1048" s="846"/>
      <c r="I1048" s="846"/>
      <c r="J1048" s="846"/>
      <c r="K1048" s="846"/>
      <c r="L1048" s="846"/>
      <c r="M1048" s="846"/>
      <c r="N1048" s="846"/>
      <c r="O1048" s="846"/>
    </row>
    <row r="1049" spans="1:15" ht="20.100000000000001" customHeight="1">
      <c r="A1049" s="846"/>
      <c r="B1049" s="846"/>
      <c r="C1049" s="846"/>
      <c r="D1049" s="846"/>
      <c r="E1049" s="846"/>
      <c r="F1049" s="846"/>
      <c r="G1049" s="846"/>
      <c r="H1049" s="846"/>
      <c r="I1049" s="846"/>
      <c r="J1049" s="846"/>
      <c r="K1049" s="846"/>
      <c r="L1049" s="846"/>
      <c r="M1049" s="846"/>
      <c r="N1049" s="846"/>
      <c r="O1049" s="846"/>
    </row>
    <row r="1050" spans="1:15" ht="20.100000000000001" customHeight="1">
      <c r="A1050" s="846"/>
      <c r="B1050" s="846"/>
      <c r="C1050" s="846"/>
      <c r="D1050" s="846"/>
      <c r="E1050" s="846"/>
      <c r="F1050" s="846"/>
      <c r="G1050" s="846"/>
      <c r="H1050" s="846"/>
      <c r="I1050" s="846"/>
      <c r="J1050" s="846"/>
      <c r="K1050" s="846"/>
      <c r="L1050" s="846"/>
      <c r="M1050" s="846"/>
      <c r="N1050" s="846"/>
      <c r="O1050" s="846"/>
    </row>
    <row r="1051" spans="1:15" ht="20.100000000000001" customHeight="1">
      <c r="A1051" s="846"/>
      <c r="B1051" s="846"/>
      <c r="C1051" s="846"/>
      <c r="D1051" s="846"/>
      <c r="E1051" s="846"/>
      <c r="F1051" s="846"/>
      <c r="G1051" s="846"/>
      <c r="H1051" s="846"/>
      <c r="I1051" s="846"/>
      <c r="J1051" s="846"/>
      <c r="K1051" s="846"/>
      <c r="L1051" s="846"/>
      <c r="M1051" s="846"/>
      <c r="N1051" s="846"/>
      <c r="O1051" s="846"/>
    </row>
    <row r="1052" spans="1:15" ht="20.100000000000001" customHeight="1">
      <c r="A1052" s="846"/>
      <c r="B1052" s="846"/>
      <c r="C1052" s="846"/>
      <c r="D1052" s="846"/>
      <c r="E1052" s="846"/>
      <c r="F1052" s="846"/>
      <c r="G1052" s="846"/>
      <c r="H1052" s="846"/>
      <c r="I1052" s="846"/>
      <c r="J1052" s="846"/>
      <c r="K1052" s="846"/>
      <c r="L1052" s="846"/>
      <c r="M1052" s="846"/>
      <c r="N1052" s="846"/>
      <c r="O1052" s="846"/>
    </row>
    <row r="1053" spans="1:15" ht="20.100000000000001" customHeight="1">
      <c r="A1053" s="846"/>
      <c r="B1053" s="846"/>
      <c r="C1053" s="846"/>
      <c r="D1053" s="846"/>
      <c r="E1053" s="846"/>
      <c r="F1053" s="846"/>
      <c r="G1053" s="846"/>
      <c r="H1053" s="846"/>
      <c r="I1053" s="846"/>
      <c r="J1053" s="846"/>
      <c r="K1053" s="846"/>
      <c r="L1053" s="846"/>
      <c r="M1053" s="846"/>
      <c r="N1053" s="846"/>
      <c r="O1053" s="846"/>
    </row>
    <row r="1054" spans="1:15" ht="20.100000000000001" customHeight="1">
      <c r="A1054" s="846"/>
      <c r="B1054" s="846"/>
      <c r="C1054" s="846"/>
      <c r="D1054" s="846"/>
      <c r="E1054" s="846"/>
      <c r="F1054" s="846"/>
      <c r="G1054" s="846"/>
      <c r="H1054" s="846"/>
      <c r="I1054" s="846"/>
      <c r="J1054" s="846"/>
      <c r="K1054" s="846"/>
      <c r="L1054" s="846"/>
      <c r="M1054" s="846"/>
      <c r="N1054" s="846"/>
      <c r="O1054" s="846"/>
    </row>
    <row r="1055" spans="1:15" ht="20.100000000000001" customHeight="1">
      <c r="A1055" s="846"/>
      <c r="B1055" s="846"/>
      <c r="C1055" s="846"/>
      <c r="D1055" s="846"/>
      <c r="E1055" s="846"/>
      <c r="F1055" s="846"/>
      <c r="G1055" s="846"/>
      <c r="H1055" s="846"/>
      <c r="I1055" s="846"/>
      <c r="J1055" s="846"/>
      <c r="K1055" s="846"/>
      <c r="L1055" s="846"/>
      <c r="M1055" s="846"/>
      <c r="N1055" s="846"/>
      <c r="O1055" s="846"/>
    </row>
    <row r="1056" spans="1:15" ht="20.100000000000001" customHeight="1">
      <c r="A1056" s="846"/>
      <c r="B1056" s="846"/>
      <c r="C1056" s="846"/>
      <c r="D1056" s="846"/>
      <c r="E1056" s="846"/>
      <c r="F1056" s="846"/>
      <c r="G1056" s="846"/>
      <c r="H1056" s="846"/>
      <c r="I1056" s="846"/>
      <c r="J1056" s="846"/>
      <c r="K1056" s="846"/>
      <c r="L1056" s="846"/>
      <c r="M1056" s="846"/>
      <c r="N1056" s="846"/>
      <c r="O1056" s="846"/>
    </row>
    <row r="1057" spans="1:15" ht="20.100000000000001" customHeight="1">
      <c r="A1057" s="846"/>
      <c r="B1057" s="846"/>
      <c r="C1057" s="846"/>
      <c r="D1057" s="846"/>
      <c r="E1057" s="846"/>
      <c r="F1057" s="846"/>
      <c r="G1057" s="846"/>
      <c r="H1057" s="846"/>
      <c r="I1057" s="846"/>
      <c r="J1057" s="846"/>
      <c r="K1057" s="846"/>
      <c r="L1057" s="846"/>
      <c r="M1057" s="846"/>
      <c r="N1057" s="846"/>
      <c r="O1057" s="846"/>
    </row>
    <row r="1058" spans="1:15" ht="20.100000000000001" customHeight="1">
      <c r="A1058" s="846"/>
      <c r="B1058" s="846"/>
      <c r="C1058" s="846"/>
      <c r="D1058" s="846"/>
      <c r="E1058" s="846"/>
      <c r="F1058" s="846"/>
      <c r="G1058" s="846"/>
      <c r="H1058" s="846"/>
      <c r="I1058" s="846"/>
      <c r="J1058" s="846"/>
      <c r="K1058" s="846"/>
      <c r="L1058" s="846"/>
      <c r="M1058" s="846"/>
      <c r="N1058" s="846"/>
      <c r="O1058" s="846"/>
    </row>
    <row r="1059" spans="1:15" ht="20.100000000000001" customHeight="1">
      <c r="A1059" s="846"/>
      <c r="B1059" s="846"/>
      <c r="C1059" s="846"/>
      <c r="D1059" s="846"/>
      <c r="E1059" s="846"/>
      <c r="F1059" s="846"/>
      <c r="G1059" s="846"/>
      <c r="H1059" s="846"/>
      <c r="I1059" s="846"/>
      <c r="J1059" s="846"/>
      <c r="K1059" s="846"/>
      <c r="L1059" s="846"/>
      <c r="M1059" s="846"/>
      <c r="N1059" s="846"/>
      <c r="O1059" s="846"/>
    </row>
    <row r="1060" spans="1:15" ht="20.100000000000001" customHeight="1">
      <c r="A1060" s="846"/>
      <c r="B1060" s="846"/>
      <c r="C1060" s="846"/>
      <c r="D1060" s="846"/>
      <c r="E1060" s="846"/>
      <c r="F1060" s="846"/>
      <c r="G1060" s="846"/>
      <c r="H1060" s="846"/>
      <c r="I1060" s="846"/>
      <c r="J1060" s="846"/>
      <c r="K1060" s="846"/>
      <c r="L1060" s="846"/>
      <c r="M1060" s="846"/>
      <c r="N1060" s="846"/>
      <c r="O1060" s="846"/>
    </row>
    <row r="1061" spans="1:15" ht="20.100000000000001" customHeight="1">
      <c r="A1061" s="846"/>
      <c r="B1061" s="846"/>
      <c r="C1061" s="846"/>
      <c r="D1061" s="846"/>
      <c r="E1061" s="846"/>
      <c r="F1061" s="846"/>
      <c r="G1061" s="846"/>
      <c r="H1061" s="846"/>
      <c r="I1061" s="846"/>
      <c r="J1061" s="846"/>
      <c r="K1061" s="846"/>
      <c r="L1061" s="846"/>
      <c r="M1061" s="846"/>
      <c r="N1061" s="846"/>
      <c r="O1061" s="846"/>
    </row>
    <row r="1062" spans="1:15" ht="20.100000000000001" customHeight="1">
      <c r="A1062" s="846"/>
      <c r="B1062" s="846"/>
      <c r="C1062" s="846"/>
      <c r="D1062" s="846"/>
      <c r="E1062" s="846"/>
      <c r="F1062" s="846"/>
      <c r="G1062" s="846"/>
      <c r="H1062" s="846"/>
      <c r="I1062" s="846"/>
      <c r="J1062" s="846"/>
      <c r="K1062" s="846"/>
      <c r="L1062" s="846"/>
      <c r="M1062" s="846"/>
      <c r="N1062" s="846"/>
      <c r="O1062" s="846"/>
    </row>
    <row r="1063" spans="1:15" ht="20.100000000000001" customHeight="1">
      <c r="A1063" s="846"/>
      <c r="B1063" s="846"/>
      <c r="C1063" s="846"/>
      <c r="D1063" s="846"/>
      <c r="E1063" s="846"/>
      <c r="F1063" s="846"/>
      <c r="G1063" s="846"/>
      <c r="H1063" s="846"/>
      <c r="I1063" s="846"/>
      <c r="J1063" s="846"/>
      <c r="K1063" s="846"/>
      <c r="L1063" s="846"/>
      <c r="M1063" s="846"/>
      <c r="N1063" s="846"/>
      <c r="O1063" s="846"/>
    </row>
    <row r="1064" spans="1:15" ht="20.100000000000001" customHeight="1">
      <c r="A1064" s="846"/>
      <c r="B1064" s="846"/>
      <c r="C1064" s="846"/>
      <c r="D1064" s="846"/>
      <c r="E1064" s="846"/>
      <c r="F1064" s="846"/>
      <c r="G1064" s="846"/>
      <c r="H1064" s="846"/>
      <c r="I1064" s="846"/>
      <c r="J1064" s="846"/>
      <c r="K1064" s="846"/>
      <c r="L1064" s="846"/>
      <c r="M1064" s="846"/>
      <c r="N1064" s="846"/>
      <c r="O1064" s="846"/>
    </row>
    <row r="1065" spans="1:15" ht="20.100000000000001" customHeight="1">
      <c r="A1065" s="846"/>
      <c r="B1065" s="846"/>
      <c r="C1065" s="846"/>
      <c r="D1065" s="846"/>
      <c r="E1065" s="846"/>
      <c r="F1065" s="846"/>
      <c r="G1065" s="846"/>
      <c r="H1065" s="846"/>
      <c r="I1065" s="846"/>
      <c r="J1065" s="846"/>
      <c r="K1065" s="846"/>
      <c r="L1065" s="846"/>
      <c r="M1065" s="846"/>
      <c r="N1065" s="846"/>
      <c r="O1065" s="846"/>
    </row>
    <row r="1066" spans="1:15" ht="20.100000000000001" customHeight="1">
      <c r="A1066" s="846"/>
      <c r="B1066" s="846"/>
      <c r="C1066" s="846"/>
      <c r="D1066" s="846"/>
      <c r="E1066" s="846"/>
      <c r="F1066" s="846"/>
      <c r="G1066" s="846"/>
      <c r="H1066" s="846"/>
      <c r="I1066" s="846"/>
      <c r="J1066" s="846"/>
      <c r="K1066" s="846"/>
      <c r="L1066" s="846"/>
      <c r="M1066" s="846"/>
      <c r="N1066" s="846"/>
      <c r="O1066" s="846"/>
    </row>
    <row r="1067" spans="1:15" ht="20.100000000000001" customHeight="1">
      <c r="A1067" s="846"/>
      <c r="B1067" s="846"/>
      <c r="C1067" s="846"/>
      <c r="D1067" s="846"/>
      <c r="E1067" s="846"/>
      <c r="F1067" s="846"/>
      <c r="G1067" s="846"/>
      <c r="H1067" s="846"/>
      <c r="I1067" s="846"/>
      <c r="J1067" s="846"/>
      <c r="K1067" s="846"/>
      <c r="L1067" s="846"/>
      <c r="M1067" s="846"/>
      <c r="N1067" s="846"/>
      <c r="O1067" s="846"/>
    </row>
    <row r="1068" spans="1:15" ht="20.100000000000001" customHeight="1">
      <c r="A1068" s="846"/>
      <c r="B1068" s="846"/>
      <c r="C1068" s="846"/>
      <c r="D1068" s="846"/>
      <c r="E1068" s="846"/>
      <c r="F1068" s="846"/>
      <c r="G1068" s="846"/>
      <c r="H1068" s="846"/>
      <c r="I1068" s="846"/>
      <c r="J1068" s="846"/>
      <c r="K1068" s="846"/>
      <c r="L1068" s="846"/>
      <c r="M1068" s="846"/>
      <c r="N1068" s="846"/>
      <c r="O1068" s="846"/>
    </row>
    <row r="1069" spans="1:15" ht="20.100000000000001" customHeight="1">
      <c r="A1069" s="846"/>
      <c r="B1069" s="846"/>
      <c r="C1069" s="846"/>
      <c r="D1069" s="846"/>
      <c r="E1069" s="846"/>
      <c r="F1069" s="846"/>
      <c r="G1069" s="846"/>
      <c r="H1069" s="846"/>
      <c r="I1069" s="846"/>
      <c r="J1069" s="846"/>
      <c r="K1069" s="846"/>
      <c r="L1069" s="846"/>
      <c r="M1069" s="846"/>
      <c r="N1069" s="846"/>
      <c r="O1069" s="846"/>
    </row>
    <row r="1070" spans="1:15" ht="20.100000000000001" customHeight="1">
      <c r="A1070" s="846"/>
      <c r="B1070" s="846"/>
      <c r="C1070" s="846"/>
      <c r="D1070" s="846"/>
      <c r="E1070" s="846"/>
      <c r="F1070" s="846"/>
      <c r="G1070" s="846"/>
      <c r="H1070" s="846"/>
      <c r="I1070" s="846"/>
      <c r="J1070" s="846"/>
      <c r="K1070" s="846"/>
      <c r="L1070" s="846"/>
      <c r="M1070" s="846"/>
      <c r="N1070" s="846"/>
      <c r="O1070" s="846"/>
    </row>
    <row r="1071" spans="1:15" ht="20.100000000000001" customHeight="1">
      <c r="A1071" s="846"/>
      <c r="B1071" s="846"/>
      <c r="C1071" s="846"/>
      <c r="D1071" s="846"/>
      <c r="E1071" s="846"/>
      <c r="F1071" s="846"/>
      <c r="G1071" s="846"/>
      <c r="H1071" s="846"/>
      <c r="I1071" s="846"/>
      <c r="J1071" s="846"/>
      <c r="K1071" s="846"/>
      <c r="L1071" s="846"/>
      <c r="M1071" s="846"/>
      <c r="N1071" s="846"/>
      <c r="O1071" s="846"/>
    </row>
    <row r="1072" spans="1:15" ht="20.100000000000001" customHeight="1">
      <c r="A1072" s="846"/>
      <c r="B1072" s="846"/>
      <c r="C1072" s="846"/>
      <c r="D1072" s="846"/>
      <c r="E1072" s="846"/>
      <c r="F1072" s="846"/>
      <c r="G1072" s="846"/>
      <c r="H1072" s="846"/>
      <c r="I1072" s="846"/>
      <c r="J1072" s="846"/>
      <c r="K1072" s="846"/>
      <c r="L1072" s="846"/>
      <c r="M1072" s="846"/>
      <c r="N1072" s="846"/>
      <c r="O1072" s="846"/>
    </row>
    <row r="1073" spans="1:15" ht="20.100000000000001" customHeight="1">
      <c r="A1073" s="846"/>
      <c r="B1073" s="846"/>
      <c r="C1073" s="846"/>
      <c r="D1073" s="846"/>
      <c r="E1073" s="846"/>
      <c r="F1073" s="846"/>
      <c r="G1073" s="846"/>
      <c r="H1073" s="846"/>
      <c r="I1073" s="846"/>
      <c r="J1073" s="846"/>
      <c r="K1073" s="846"/>
      <c r="L1073" s="846"/>
      <c r="M1073" s="846"/>
      <c r="N1073" s="846"/>
      <c r="O1073" s="846"/>
    </row>
    <row r="1074" spans="1:15" ht="20.100000000000001" customHeight="1">
      <c r="A1074" s="846"/>
      <c r="B1074" s="846"/>
      <c r="C1074" s="846"/>
      <c r="D1074" s="846"/>
      <c r="E1074" s="846"/>
      <c r="F1074" s="846"/>
      <c r="G1074" s="846"/>
      <c r="H1074" s="846"/>
      <c r="I1074" s="846"/>
      <c r="J1074" s="846"/>
      <c r="K1074" s="846"/>
      <c r="L1074" s="846"/>
      <c r="M1074" s="846"/>
      <c r="N1074" s="846"/>
      <c r="O1074" s="846"/>
    </row>
    <row r="1075" spans="1:15" ht="20.100000000000001" customHeight="1">
      <c r="A1075" s="846"/>
      <c r="B1075" s="846"/>
      <c r="C1075" s="846"/>
      <c r="D1075" s="846"/>
      <c r="E1075" s="846"/>
      <c r="F1075" s="846"/>
      <c r="G1075" s="846"/>
      <c r="H1075" s="846"/>
      <c r="I1075" s="846"/>
      <c r="J1075" s="846"/>
      <c r="K1075" s="846"/>
      <c r="L1075" s="846"/>
      <c r="M1075" s="846"/>
      <c r="N1075" s="846"/>
      <c r="O1075" s="846"/>
    </row>
    <row r="1076" spans="1:15" ht="20.100000000000001" customHeight="1">
      <c r="A1076" s="846"/>
      <c r="B1076" s="846"/>
      <c r="C1076" s="846"/>
      <c r="D1076" s="846"/>
      <c r="E1076" s="846"/>
      <c r="F1076" s="846"/>
      <c r="G1076" s="846"/>
      <c r="H1076" s="846"/>
      <c r="I1076" s="846"/>
      <c r="J1076" s="846"/>
      <c r="K1076" s="846"/>
      <c r="L1076" s="846"/>
      <c r="M1076" s="846"/>
      <c r="N1076" s="846"/>
      <c r="O1076" s="846"/>
    </row>
    <row r="1077" spans="1:15" ht="20.100000000000001" customHeight="1">
      <c r="A1077" s="846"/>
      <c r="B1077" s="846"/>
      <c r="C1077" s="846"/>
      <c r="D1077" s="846"/>
      <c r="E1077" s="846"/>
      <c r="F1077" s="846"/>
      <c r="G1077" s="846"/>
      <c r="H1077" s="846"/>
      <c r="I1077" s="846"/>
      <c r="J1077" s="846"/>
      <c r="K1077" s="846"/>
      <c r="L1077" s="846"/>
      <c r="M1077" s="846"/>
      <c r="N1077" s="846"/>
      <c r="O1077" s="846"/>
    </row>
    <row r="1078" spans="1:15" ht="20.100000000000001" customHeight="1">
      <c r="A1078" s="846"/>
      <c r="B1078" s="846"/>
      <c r="C1078" s="846"/>
      <c r="D1078" s="846"/>
      <c r="E1078" s="846"/>
      <c r="F1078" s="846"/>
      <c r="G1078" s="846"/>
      <c r="H1078" s="846"/>
      <c r="I1078" s="846"/>
      <c r="J1078" s="846"/>
      <c r="K1078" s="846"/>
      <c r="L1078" s="846"/>
      <c r="M1078" s="846"/>
      <c r="N1078" s="846"/>
      <c r="O1078" s="846"/>
    </row>
    <row r="1079" spans="1:15" ht="20.100000000000001" customHeight="1">
      <c r="A1079" s="846"/>
      <c r="B1079" s="846"/>
      <c r="C1079" s="846"/>
      <c r="D1079" s="846"/>
      <c r="E1079" s="846"/>
      <c r="F1079" s="846"/>
      <c r="G1079" s="846"/>
      <c r="H1079" s="846"/>
      <c r="I1079" s="846"/>
      <c r="J1079" s="846"/>
      <c r="K1079" s="846"/>
      <c r="L1079" s="846"/>
      <c r="M1079" s="846"/>
      <c r="N1079" s="846"/>
      <c r="O1079" s="846"/>
    </row>
    <row r="1080" spans="1:15" ht="20.100000000000001" customHeight="1">
      <c r="A1080" s="846"/>
      <c r="B1080" s="846"/>
      <c r="C1080" s="846"/>
      <c r="D1080" s="846"/>
      <c r="E1080" s="846"/>
      <c r="F1080" s="846"/>
      <c r="G1080" s="846"/>
      <c r="H1080" s="846"/>
      <c r="I1080" s="846"/>
      <c r="J1080" s="846"/>
      <c r="K1080" s="846"/>
      <c r="L1080" s="846"/>
      <c r="M1080" s="846"/>
      <c r="N1080" s="846"/>
      <c r="O1080" s="846"/>
    </row>
    <row r="1081" spans="1:15" ht="20.100000000000001" customHeight="1">
      <c r="A1081" s="846"/>
      <c r="B1081" s="846"/>
      <c r="C1081" s="846"/>
      <c r="D1081" s="846"/>
      <c r="E1081" s="846"/>
      <c r="F1081" s="846"/>
      <c r="G1081" s="846"/>
      <c r="H1081" s="846"/>
      <c r="I1081" s="846"/>
      <c r="J1081" s="846"/>
      <c r="K1081" s="846"/>
      <c r="L1081" s="846"/>
      <c r="M1081" s="846"/>
      <c r="N1081" s="846"/>
      <c r="O1081" s="846"/>
    </row>
    <row r="1082" spans="1:15" ht="20.100000000000001" customHeight="1">
      <c r="A1082" s="846"/>
      <c r="B1082" s="846"/>
      <c r="C1082" s="846"/>
      <c r="D1082" s="846"/>
      <c r="E1082" s="846"/>
      <c r="F1082" s="846"/>
      <c r="G1082" s="846"/>
      <c r="H1082" s="846"/>
      <c r="I1082" s="846"/>
      <c r="J1082" s="846"/>
      <c r="K1082" s="846"/>
      <c r="L1082" s="846"/>
      <c r="M1082" s="846"/>
      <c r="N1082" s="846"/>
      <c r="O1082" s="846"/>
    </row>
    <row r="1083" spans="1:15" ht="20.100000000000001" customHeight="1">
      <c r="A1083" s="846"/>
      <c r="B1083" s="846"/>
      <c r="C1083" s="846"/>
      <c r="D1083" s="846"/>
      <c r="E1083" s="846"/>
      <c r="F1083" s="846"/>
      <c r="G1083" s="846"/>
      <c r="H1083" s="846"/>
      <c r="I1083" s="846"/>
      <c r="J1083" s="846"/>
      <c r="K1083" s="846"/>
      <c r="L1083" s="846"/>
      <c r="M1083" s="846"/>
      <c r="N1083" s="846"/>
      <c r="O1083" s="846"/>
    </row>
    <row r="1084" spans="1:15" ht="20.100000000000001" customHeight="1">
      <c r="A1084" s="846"/>
      <c r="B1084" s="846"/>
      <c r="C1084" s="846"/>
      <c r="D1084" s="846"/>
      <c r="E1084" s="846"/>
      <c r="F1084" s="846"/>
      <c r="G1084" s="846"/>
      <c r="H1084" s="846"/>
      <c r="I1084" s="846"/>
      <c r="J1084" s="846"/>
      <c r="K1084" s="846"/>
      <c r="L1084" s="846"/>
      <c r="M1084" s="846"/>
      <c r="N1084" s="846"/>
      <c r="O1084" s="846"/>
    </row>
    <row r="1085" spans="1:15" ht="20.100000000000001" customHeight="1">
      <c r="A1085" s="846"/>
      <c r="B1085" s="846"/>
      <c r="C1085" s="846"/>
      <c r="D1085" s="846"/>
      <c r="E1085" s="846"/>
      <c r="F1085" s="846"/>
      <c r="G1085" s="846"/>
      <c r="H1085" s="846"/>
      <c r="I1085" s="846"/>
      <c r="J1085" s="846"/>
      <c r="K1085" s="846"/>
      <c r="L1085" s="846"/>
      <c r="M1085" s="846"/>
      <c r="N1085" s="846"/>
      <c r="O1085" s="846"/>
    </row>
    <row r="1086" spans="1:15" ht="20.100000000000001" customHeight="1">
      <c r="A1086" s="846"/>
      <c r="B1086" s="846"/>
      <c r="C1086" s="846"/>
      <c r="D1086" s="846"/>
      <c r="E1086" s="846"/>
      <c r="F1086" s="846"/>
      <c r="G1086" s="846"/>
      <c r="H1086" s="846"/>
      <c r="I1086" s="846"/>
      <c r="J1086" s="846"/>
      <c r="K1086" s="846"/>
      <c r="L1086" s="846"/>
      <c r="M1086" s="846"/>
      <c r="N1086" s="846"/>
      <c r="O1086" s="846"/>
    </row>
    <row r="1087" spans="1:15" ht="20.100000000000001" customHeight="1">
      <c r="A1087" s="846"/>
      <c r="B1087" s="846"/>
      <c r="C1087" s="846"/>
      <c r="D1087" s="846"/>
      <c r="E1087" s="846"/>
      <c r="F1087" s="846"/>
      <c r="G1087" s="846"/>
      <c r="H1087" s="846"/>
      <c r="I1087" s="846"/>
      <c r="J1087" s="846"/>
      <c r="K1087" s="846"/>
      <c r="L1087" s="846"/>
      <c r="M1087" s="846"/>
      <c r="N1087" s="846"/>
      <c r="O1087" s="846"/>
    </row>
    <row r="1088" spans="1:15" ht="20.100000000000001" customHeight="1">
      <c r="A1088" s="846"/>
      <c r="B1088" s="846"/>
      <c r="C1088" s="846"/>
      <c r="D1088" s="846"/>
      <c r="E1088" s="846"/>
      <c r="F1088" s="846"/>
      <c r="G1088" s="846"/>
      <c r="H1088" s="846"/>
      <c r="I1088" s="846"/>
      <c r="J1088" s="846"/>
      <c r="K1088" s="846"/>
      <c r="L1088" s="846"/>
      <c r="M1088" s="846"/>
      <c r="N1088" s="846"/>
      <c r="O1088" s="846"/>
    </row>
    <row r="1089" spans="1:15" ht="20.100000000000001" customHeight="1">
      <c r="A1089" s="846"/>
      <c r="B1089" s="846"/>
      <c r="C1089" s="846"/>
      <c r="D1089" s="846"/>
      <c r="E1089" s="846"/>
      <c r="F1089" s="846"/>
      <c r="G1089" s="846"/>
      <c r="H1089" s="846"/>
      <c r="I1089" s="846"/>
      <c r="J1089" s="846"/>
      <c r="K1089" s="846"/>
      <c r="L1089" s="846"/>
      <c r="M1089" s="846"/>
      <c r="N1089" s="846"/>
      <c r="O1089" s="846"/>
    </row>
    <row r="1090" spans="1:15" ht="20.100000000000001" customHeight="1">
      <c r="A1090" s="846"/>
      <c r="B1090" s="846"/>
      <c r="C1090" s="846"/>
      <c r="D1090" s="846"/>
      <c r="E1090" s="846"/>
      <c r="F1090" s="846"/>
      <c r="G1090" s="846"/>
      <c r="H1090" s="846"/>
      <c r="I1090" s="846"/>
      <c r="J1090" s="846"/>
      <c r="K1090" s="846"/>
      <c r="L1090" s="846"/>
      <c r="M1090" s="846"/>
      <c r="N1090" s="846"/>
      <c r="O1090" s="846"/>
    </row>
    <row r="1091" spans="1:15" ht="20.100000000000001" customHeight="1">
      <c r="A1091" s="846"/>
      <c r="B1091" s="846"/>
      <c r="C1091" s="846"/>
      <c r="D1091" s="846"/>
      <c r="E1091" s="846"/>
      <c r="F1091" s="846"/>
      <c r="G1091" s="846"/>
      <c r="H1091" s="846"/>
      <c r="I1091" s="846"/>
      <c r="J1091" s="846"/>
      <c r="K1091" s="846"/>
      <c r="L1091" s="846"/>
      <c r="M1091" s="846"/>
      <c r="N1091" s="846"/>
      <c r="O1091" s="846"/>
    </row>
    <row r="1092" spans="1:15" ht="20.100000000000001" customHeight="1">
      <c r="A1092" s="846"/>
      <c r="B1092" s="846"/>
      <c r="C1092" s="846"/>
      <c r="D1092" s="846"/>
      <c r="E1092" s="846"/>
      <c r="F1092" s="846"/>
      <c r="G1092" s="846"/>
      <c r="H1092" s="846"/>
      <c r="I1092" s="846"/>
      <c r="J1092" s="846"/>
      <c r="K1092" s="846"/>
      <c r="L1092" s="846"/>
      <c r="M1092" s="846"/>
      <c r="N1092" s="846"/>
      <c r="O1092" s="846"/>
    </row>
    <row r="1093" spans="1:15" ht="20.100000000000001" customHeight="1">
      <c r="A1093" s="846"/>
      <c r="B1093" s="846"/>
      <c r="C1093" s="846"/>
      <c r="D1093" s="846"/>
      <c r="E1093" s="846"/>
      <c r="F1093" s="846"/>
      <c r="G1093" s="846"/>
      <c r="H1093" s="846"/>
      <c r="I1093" s="846"/>
      <c r="J1093" s="846"/>
      <c r="K1093" s="846"/>
      <c r="L1093" s="846"/>
      <c r="M1093" s="846"/>
      <c r="N1093" s="846"/>
      <c r="O1093" s="846"/>
    </row>
    <row r="1094" spans="1:15" ht="20.100000000000001" customHeight="1">
      <c r="A1094" s="846"/>
      <c r="B1094" s="846"/>
      <c r="C1094" s="846"/>
      <c r="D1094" s="846"/>
      <c r="E1094" s="846"/>
      <c r="F1094" s="846"/>
      <c r="G1094" s="846"/>
      <c r="H1094" s="846"/>
      <c r="I1094" s="846"/>
      <c r="J1094" s="846"/>
      <c r="K1094" s="846"/>
      <c r="L1094" s="846"/>
      <c r="M1094" s="846"/>
      <c r="N1094" s="846"/>
      <c r="O1094" s="846"/>
    </row>
    <row r="1095" spans="1:15" ht="20.100000000000001" customHeight="1">
      <c r="A1095" s="846"/>
      <c r="B1095" s="846"/>
      <c r="C1095" s="846"/>
      <c r="D1095" s="846"/>
      <c r="E1095" s="846"/>
      <c r="F1095" s="846"/>
      <c r="G1095" s="846"/>
      <c r="H1095" s="846"/>
      <c r="I1095" s="846"/>
      <c r="J1095" s="846"/>
      <c r="K1095" s="846"/>
      <c r="L1095" s="846"/>
      <c r="M1095" s="846"/>
      <c r="N1095" s="846"/>
      <c r="O1095" s="846"/>
    </row>
    <row r="1096" spans="1:15" ht="20.100000000000001" customHeight="1">
      <c r="A1096" s="846"/>
      <c r="B1096" s="846"/>
      <c r="C1096" s="846"/>
      <c r="D1096" s="846"/>
      <c r="E1096" s="846"/>
      <c r="F1096" s="846"/>
      <c r="G1096" s="846"/>
      <c r="H1096" s="846"/>
      <c r="I1096" s="846"/>
      <c r="J1096" s="846"/>
      <c r="K1096" s="846"/>
      <c r="L1096" s="846"/>
      <c r="M1096" s="846"/>
      <c r="N1096" s="846"/>
      <c r="O1096" s="846"/>
    </row>
    <row r="1097" spans="1:15" ht="20.100000000000001" customHeight="1">
      <c r="A1097" s="846"/>
      <c r="B1097" s="846"/>
      <c r="C1097" s="846"/>
      <c r="D1097" s="846"/>
      <c r="E1097" s="846"/>
      <c r="F1097" s="846"/>
      <c r="G1097" s="846"/>
      <c r="H1097" s="846"/>
      <c r="I1097" s="846"/>
      <c r="J1097" s="846"/>
      <c r="K1097" s="846"/>
      <c r="L1097" s="846"/>
      <c r="M1097" s="846"/>
      <c r="N1097" s="846"/>
      <c r="O1097" s="846"/>
    </row>
    <row r="1098" spans="1:15" ht="20.100000000000001" customHeight="1">
      <c r="A1098" s="846"/>
      <c r="B1098" s="846"/>
      <c r="C1098" s="846"/>
      <c r="D1098" s="846"/>
      <c r="E1098" s="846"/>
      <c r="F1098" s="846"/>
      <c r="G1098" s="846"/>
      <c r="H1098" s="846"/>
      <c r="I1098" s="846"/>
      <c r="J1098" s="846"/>
      <c r="K1098" s="846"/>
      <c r="L1098" s="846"/>
      <c r="M1098" s="846"/>
      <c r="N1098" s="846"/>
      <c r="O1098" s="846"/>
    </row>
    <row r="1099" spans="1:15" ht="20.100000000000001" customHeight="1">
      <c r="A1099" s="846"/>
      <c r="B1099" s="846"/>
      <c r="C1099" s="846"/>
      <c r="D1099" s="846"/>
      <c r="E1099" s="846"/>
      <c r="F1099" s="846"/>
      <c r="G1099" s="846"/>
      <c r="H1099" s="846"/>
      <c r="I1099" s="846"/>
      <c r="J1099" s="846"/>
      <c r="K1099" s="846"/>
      <c r="L1099" s="846"/>
      <c r="M1099" s="846"/>
      <c r="N1099" s="846"/>
      <c r="O1099" s="846"/>
    </row>
    <row r="1100" spans="1:15" ht="20.100000000000001" customHeight="1">
      <c r="A1100" s="846"/>
      <c r="B1100" s="846"/>
      <c r="C1100" s="846"/>
      <c r="D1100" s="846"/>
      <c r="E1100" s="846"/>
      <c r="F1100" s="846"/>
      <c r="G1100" s="846"/>
      <c r="H1100" s="846"/>
      <c r="I1100" s="846"/>
      <c r="J1100" s="846"/>
      <c r="K1100" s="846"/>
      <c r="L1100" s="846"/>
      <c r="M1100" s="846"/>
      <c r="N1100" s="846"/>
      <c r="O1100" s="846"/>
    </row>
    <row r="1101" spans="1:15" ht="20.100000000000001" customHeight="1">
      <c r="A1101" s="846"/>
      <c r="B1101" s="846"/>
      <c r="C1101" s="846"/>
      <c r="D1101" s="846"/>
      <c r="E1101" s="846"/>
      <c r="F1101" s="846"/>
      <c r="G1101" s="846"/>
      <c r="H1101" s="846"/>
      <c r="I1101" s="846"/>
      <c r="J1101" s="846"/>
      <c r="K1101" s="846"/>
      <c r="L1101" s="846"/>
      <c r="M1101" s="846"/>
      <c r="N1101" s="846"/>
      <c r="O1101" s="846"/>
    </row>
    <row r="1102" spans="1:15" ht="20.100000000000001" customHeight="1">
      <c r="A1102" s="846"/>
      <c r="B1102" s="846"/>
      <c r="C1102" s="846"/>
      <c r="D1102" s="846"/>
      <c r="E1102" s="846"/>
      <c r="F1102" s="846"/>
      <c r="G1102" s="846"/>
      <c r="H1102" s="846"/>
      <c r="I1102" s="846"/>
      <c r="J1102" s="846"/>
      <c r="K1102" s="846"/>
      <c r="L1102" s="846"/>
      <c r="M1102" s="846"/>
      <c r="N1102" s="846"/>
      <c r="O1102" s="846"/>
    </row>
    <row r="1103" spans="1:15" ht="20.100000000000001" customHeight="1">
      <c r="A1103" s="846"/>
      <c r="B1103" s="846"/>
      <c r="C1103" s="846"/>
      <c r="D1103" s="846"/>
      <c r="E1103" s="846"/>
      <c r="F1103" s="846"/>
      <c r="G1103" s="846"/>
      <c r="H1103" s="846"/>
      <c r="I1103" s="846"/>
      <c r="J1103" s="846"/>
      <c r="K1103" s="846"/>
      <c r="L1103" s="846"/>
      <c r="M1103" s="846"/>
      <c r="N1103" s="846"/>
      <c r="O1103" s="846"/>
    </row>
    <row r="1104" spans="1:15" ht="20.100000000000001" customHeight="1">
      <c r="A1104" s="846"/>
      <c r="B1104" s="846"/>
      <c r="C1104" s="846"/>
      <c r="D1104" s="846"/>
      <c r="E1104" s="846"/>
      <c r="F1104" s="846"/>
      <c r="G1104" s="846"/>
      <c r="H1104" s="846"/>
      <c r="I1104" s="846"/>
      <c r="J1104" s="846"/>
      <c r="K1104" s="846"/>
      <c r="L1104" s="846"/>
      <c r="M1104" s="846"/>
      <c r="N1104" s="846"/>
      <c r="O1104" s="846"/>
    </row>
    <row r="1105" spans="1:15" ht="20.100000000000001" customHeight="1">
      <c r="A1105" s="846"/>
      <c r="B1105" s="846"/>
      <c r="C1105" s="846"/>
      <c r="D1105" s="846"/>
      <c r="E1105" s="846"/>
      <c r="F1105" s="846"/>
      <c r="G1105" s="846"/>
      <c r="H1105" s="846"/>
      <c r="I1105" s="846"/>
      <c r="J1105" s="846"/>
      <c r="K1105" s="846"/>
      <c r="L1105" s="846"/>
      <c r="M1105" s="846"/>
      <c r="N1105" s="846"/>
      <c r="O1105" s="846"/>
    </row>
    <row r="1106" spans="1:15" ht="20.100000000000001" customHeight="1">
      <c r="A1106" s="846"/>
      <c r="B1106" s="846"/>
      <c r="C1106" s="846"/>
      <c r="D1106" s="846"/>
      <c r="E1106" s="846"/>
      <c r="F1106" s="846"/>
      <c r="G1106" s="846"/>
      <c r="H1106" s="846"/>
      <c r="I1106" s="846"/>
      <c r="J1106" s="846"/>
      <c r="K1106" s="846"/>
      <c r="L1106" s="846"/>
      <c r="M1106" s="846"/>
      <c r="N1106" s="846"/>
      <c r="O1106" s="846"/>
    </row>
    <row r="1107" spans="1:15" ht="20.100000000000001" customHeight="1">
      <c r="A1107" s="846"/>
      <c r="B1107" s="846"/>
      <c r="C1107" s="846"/>
      <c r="D1107" s="846"/>
      <c r="E1107" s="846"/>
      <c r="F1107" s="846"/>
      <c r="G1107" s="846"/>
      <c r="H1107" s="846"/>
      <c r="I1107" s="846"/>
      <c r="J1107" s="846"/>
      <c r="K1107" s="846"/>
      <c r="L1107" s="846"/>
      <c r="M1107" s="846"/>
      <c r="N1107" s="846"/>
      <c r="O1107" s="846"/>
    </row>
    <row r="1108" spans="1:15" ht="20.100000000000001" customHeight="1">
      <c r="A1108" s="846"/>
      <c r="B1108" s="846"/>
      <c r="C1108" s="846"/>
      <c r="D1108" s="846"/>
      <c r="E1108" s="846"/>
      <c r="F1108" s="846"/>
      <c r="G1108" s="846"/>
      <c r="H1108" s="846"/>
      <c r="I1108" s="846"/>
      <c r="J1108" s="846"/>
      <c r="K1108" s="846"/>
      <c r="L1108" s="846"/>
      <c r="M1108" s="846"/>
      <c r="N1108" s="846"/>
      <c r="O1108" s="846"/>
    </row>
    <row r="1109" spans="1:15" ht="20.100000000000001" customHeight="1">
      <c r="A1109" s="846"/>
      <c r="B1109" s="846"/>
      <c r="C1109" s="846"/>
      <c r="D1109" s="846"/>
      <c r="E1109" s="846"/>
      <c r="F1109" s="846"/>
      <c r="G1109" s="846"/>
      <c r="H1109" s="846"/>
      <c r="I1109" s="846"/>
      <c r="J1109" s="846"/>
      <c r="K1109" s="846"/>
      <c r="L1109" s="846"/>
      <c r="M1109" s="846"/>
      <c r="N1109" s="846"/>
      <c r="O1109" s="846"/>
    </row>
    <row r="1110" spans="1:15" ht="20.100000000000001" customHeight="1">
      <c r="A1110" s="846"/>
      <c r="B1110" s="846"/>
      <c r="C1110" s="846"/>
      <c r="D1110" s="846"/>
      <c r="E1110" s="846"/>
      <c r="F1110" s="846"/>
      <c r="G1110" s="846"/>
      <c r="H1110" s="846"/>
      <c r="I1110" s="846"/>
      <c r="J1110" s="846"/>
      <c r="K1110" s="846"/>
      <c r="L1110" s="846"/>
      <c r="M1110" s="846"/>
      <c r="N1110" s="846"/>
      <c r="O1110" s="846"/>
    </row>
    <row r="1111" spans="1:15" ht="20.100000000000001" customHeight="1">
      <c r="A1111" s="846"/>
      <c r="B1111" s="846"/>
      <c r="C1111" s="846"/>
      <c r="D1111" s="846"/>
      <c r="E1111" s="846"/>
      <c r="F1111" s="846"/>
      <c r="G1111" s="846"/>
      <c r="H1111" s="846"/>
      <c r="I1111" s="846"/>
      <c r="J1111" s="846"/>
      <c r="K1111" s="846"/>
      <c r="L1111" s="846"/>
      <c r="M1111" s="846"/>
      <c r="N1111" s="846"/>
      <c r="O1111" s="846"/>
    </row>
    <row r="1112" spans="1:15" ht="20.100000000000001" customHeight="1">
      <c r="A1112" s="846"/>
      <c r="B1112" s="846"/>
      <c r="C1112" s="846"/>
      <c r="D1112" s="846"/>
      <c r="E1112" s="846"/>
      <c r="F1112" s="846"/>
      <c r="G1112" s="846"/>
      <c r="H1112" s="846"/>
      <c r="I1112" s="846"/>
      <c r="J1112" s="846"/>
      <c r="K1112" s="846"/>
      <c r="L1112" s="846"/>
      <c r="M1112" s="846"/>
      <c r="N1112" s="846"/>
      <c r="O1112" s="846"/>
    </row>
    <row r="1113" spans="1:15" ht="20.100000000000001" customHeight="1">
      <c r="A1113" s="846"/>
      <c r="B1113" s="846"/>
      <c r="C1113" s="846"/>
      <c r="D1113" s="846"/>
      <c r="E1113" s="846"/>
      <c r="F1113" s="846"/>
      <c r="G1113" s="846"/>
      <c r="H1113" s="846"/>
      <c r="I1113" s="846"/>
      <c r="J1113" s="846"/>
      <c r="K1113" s="846"/>
      <c r="L1113" s="846"/>
      <c r="M1113" s="846"/>
      <c r="N1113" s="846"/>
      <c r="O1113" s="846"/>
    </row>
    <row r="1114" spans="1:15" ht="20.100000000000001" customHeight="1">
      <c r="A1114" s="846"/>
      <c r="B1114" s="846"/>
      <c r="C1114" s="846"/>
      <c r="D1114" s="846"/>
      <c r="E1114" s="846"/>
      <c r="F1114" s="846"/>
      <c r="G1114" s="846"/>
      <c r="H1114" s="846"/>
      <c r="I1114" s="846"/>
      <c r="J1114" s="846"/>
      <c r="K1114" s="846"/>
      <c r="L1114" s="846"/>
      <c r="M1114" s="846"/>
      <c r="N1114" s="846"/>
      <c r="O1114" s="846"/>
    </row>
    <row r="1115" spans="1:15" ht="20.100000000000001" customHeight="1">
      <c r="A1115" s="846"/>
      <c r="B1115" s="846"/>
      <c r="C1115" s="846"/>
      <c r="D1115" s="846"/>
      <c r="E1115" s="846"/>
      <c r="F1115" s="846"/>
      <c r="G1115" s="846"/>
      <c r="H1115" s="846"/>
      <c r="I1115" s="846"/>
      <c r="J1115" s="846"/>
      <c r="K1115" s="846"/>
      <c r="L1115" s="846"/>
      <c r="M1115" s="846"/>
      <c r="N1115" s="846"/>
      <c r="O1115" s="846"/>
    </row>
    <row r="1116" spans="1:15" ht="20.100000000000001" customHeight="1">
      <c r="A1116" s="846"/>
      <c r="B1116" s="846"/>
      <c r="C1116" s="846"/>
      <c r="D1116" s="846"/>
      <c r="E1116" s="846"/>
      <c r="F1116" s="846"/>
      <c r="G1116" s="846"/>
      <c r="H1116" s="846"/>
      <c r="I1116" s="846"/>
      <c r="J1116" s="846"/>
      <c r="K1116" s="846"/>
      <c r="L1116" s="846"/>
      <c r="M1116" s="846"/>
      <c r="N1116" s="846"/>
      <c r="O1116" s="846"/>
    </row>
    <row r="1117" spans="1:15" ht="20.100000000000001" customHeight="1">
      <c r="A1117" s="846"/>
      <c r="B1117" s="846"/>
      <c r="C1117" s="846"/>
      <c r="D1117" s="846"/>
      <c r="E1117" s="846"/>
      <c r="F1117" s="846"/>
      <c r="G1117" s="846"/>
      <c r="H1117" s="846"/>
      <c r="I1117" s="846"/>
      <c r="J1117" s="846"/>
      <c r="K1117" s="846"/>
      <c r="L1117" s="846"/>
      <c r="M1117" s="846"/>
      <c r="N1117" s="846"/>
      <c r="O1117" s="846"/>
    </row>
    <row r="1118" spans="1:15" ht="20.100000000000001" customHeight="1">
      <c r="A1118" s="846"/>
      <c r="B1118" s="846"/>
      <c r="C1118" s="846"/>
      <c r="D1118" s="846"/>
      <c r="E1118" s="846"/>
      <c r="F1118" s="846"/>
      <c r="G1118" s="846"/>
      <c r="H1118" s="846"/>
      <c r="I1118" s="846"/>
      <c r="J1118" s="846"/>
      <c r="K1118" s="846"/>
      <c r="L1118" s="846"/>
      <c r="M1118" s="846"/>
      <c r="N1118" s="846"/>
      <c r="O1118" s="846"/>
    </row>
    <row r="1119" spans="1:15" ht="20.100000000000001" customHeight="1">
      <c r="A1119" s="846"/>
      <c r="B1119" s="846"/>
      <c r="C1119" s="846"/>
      <c r="D1119" s="846"/>
      <c r="E1119" s="846"/>
      <c r="F1119" s="846"/>
      <c r="G1119" s="846"/>
      <c r="H1119" s="846"/>
      <c r="I1119" s="846"/>
      <c r="J1119" s="846"/>
      <c r="K1119" s="846"/>
      <c r="L1119" s="846"/>
      <c r="M1119" s="846"/>
      <c r="N1119" s="846"/>
      <c r="O1119" s="846"/>
    </row>
    <row r="1120" spans="1:15" ht="20.100000000000001" customHeight="1">
      <c r="A1120" s="846"/>
      <c r="B1120" s="846"/>
      <c r="C1120" s="846"/>
      <c r="D1120" s="846"/>
      <c r="E1120" s="846"/>
      <c r="F1120" s="846"/>
      <c r="G1120" s="846"/>
      <c r="H1120" s="846"/>
      <c r="I1120" s="846"/>
      <c r="J1120" s="846"/>
      <c r="K1120" s="846"/>
      <c r="L1120" s="846"/>
      <c r="M1120" s="846"/>
      <c r="N1120" s="846"/>
      <c r="O1120" s="846"/>
    </row>
    <row r="1121" spans="1:15" ht="20.100000000000001" customHeight="1">
      <c r="A1121" s="846"/>
      <c r="B1121" s="846"/>
      <c r="C1121" s="846"/>
      <c r="D1121" s="846"/>
      <c r="E1121" s="846"/>
      <c r="F1121" s="846"/>
      <c r="G1121" s="846"/>
      <c r="H1121" s="846"/>
      <c r="I1121" s="846"/>
      <c r="J1121" s="846"/>
      <c r="K1121" s="846"/>
      <c r="L1121" s="846"/>
      <c r="M1121" s="846"/>
      <c r="N1121" s="846"/>
      <c r="O1121" s="846"/>
    </row>
    <row r="1122" spans="1:15" ht="20.100000000000001" customHeight="1">
      <c r="A1122" s="846"/>
      <c r="B1122" s="846"/>
      <c r="C1122" s="846"/>
      <c r="D1122" s="846"/>
      <c r="E1122" s="846"/>
      <c r="F1122" s="846"/>
      <c r="G1122" s="846"/>
      <c r="H1122" s="846"/>
      <c r="I1122" s="846"/>
      <c r="J1122" s="846"/>
      <c r="K1122" s="846"/>
      <c r="L1122" s="846"/>
      <c r="M1122" s="846"/>
      <c r="N1122" s="846"/>
      <c r="O1122" s="846"/>
    </row>
    <row r="1123" spans="1:15" ht="20.100000000000001" customHeight="1">
      <c r="A1123" s="846"/>
      <c r="B1123" s="846"/>
      <c r="C1123" s="846"/>
      <c r="D1123" s="846"/>
      <c r="E1123" s="846"/>
      <c r="F1123" s="846"/>
      <c r="G1123" s="846"/>
      <c r="H1123" s="846"/>
      <c r="I1123" s="846"/>
      <c r="J1123" s="846"/>
      <c r="K1123" s="846"/>
      <c r="L1123" s="846"/>
      <c r="M1123" s="846"/>
      <c r="N1123" s="846"/>
      <c r="O1123" s="846"/>
    </row>
    <row r="1124" spans="1:15" ht="20.100000000000001" customHeight="1">
      <c r="A1124" s="846"/>
      <c r="B1124" s="846"/>
      <c r="C1124" s="846"/>
      <c r="D1124" s="846"/>
      <c r="E1124" s="846"/>
      <c r="F1124" s="846"/>
      <c r="G1124" s="846"/>
      <c r="H1124" s="846"/>
      <c r="I1124" s="846"/>
      <c r="J1124" s="846"/>
      <c r="K1124" s="846"/>
      <c r="L1124" s="846"/>
      <c r="M1124" s="846"/>
      <c r="N1124" s="846"/>
      <c r="O1124" s="846"/>
    </row>
    <row r="1125" spans="1:15" ht="20.100000000000001" customHeight="1">
      <c r="A1125" s="846"/>
      <c r="B1125" s="846"/>
      <c r="C1125" s="846"/>
      <c r="D1125" s="846"/>
      <c r="E1125" s="846"/>
      <c r="F1125" s="846"/>
      <c r="G1125" s="846"/>
      <c r="H1125" s="846"/>
      <c r="I1125" s="846"/>
      <c r="J1125" s="846"/>
      <c r="K1125" s="846"/>
      <c r="L1125" s="846"/>
      <c r="M1125" s="846"/>
      <c r="N1125" s="846"/>
      <c r="O1125" s="846"/>
    </row>
    <row r="1126" spans="1:15" ht="20.100000000000001" customHeight="1">
      <c r="A1126" s="846"/>
      <c r="B1126" s="846"/>
      <c r="C1126" s="846"/>
      <c r="D1126" s="846"/>
      <c r="E1126" s="846"/>
      <c r="F1126" s="846"/>
      <c r="G1126" s="846"/>
      <c r="H1126" s="846"/>
      <c r="I1126" s="846"/>
      <c r="J1126" s="846"/>
      <c r="K1126" s="846"/>
      <c r="L1126" s="846"/>
      <c r="M1126" s="846"/>
      <c r="N1126" s="846"/>
      <c r="O1126" s="846"/>
    </row>
    <row r="1127" spans="1:15" ht="20.100000000000001" customHeight="1">
      <c r="A1127" s="846"/>
      <c r="B1127" s="846"/>
      <c r="C1127" s="846"/>
      <c r="D1127" s="846"/>
      <c r="E1127" s="846"/>
      <c r="F1127" s="846"/>
      <c r="G1127" s="846"/>
      <c r="H1127" s="846"/>
      <c r="I1127" s="846"/>
      <c r="J1127" s="846"/>
      <c r="K1127" s="846"/>
      <c r="L1127" s="846"/>
      <c r="M1127" s="846"/>
      <c r="N1127" s="846"/>
      <c r="O1127" s="846"/>
    </row>
    <row r="1128" spans="1:15" ht="20.100000000000001" customHeight="1">
      <c r="A1128" s="846"/>
      <c r="B1128" s="846"/>
      <c r="C1128" s="846"/>
      <c r="D1128" s="846"/>
      <c r="E1128" s="846"/>
      <c r="F1128" s="846"/>
      <c r="G1128" s="846"/>
      <c r="H1128" s="846"/>
      <c r="I1128" s="846"/>
      <c r="J1128" s="846"/>
      <c r="K1128" s="846"/>
      <c r="L1128" s="846"/>
      <c r="M1128" s="846"/>
      <c r="N1128" s="846"/>
      <c r="O1128" s="846"/>
    </row>
    <row r="1129" spans="1:15" ht="20.100000000000001" customHeight="1">
      <c r="A1129" s="846"/>
      <c r="B1129" s="846"/>
      <c r="C1129" s="846"/>
      <c r="D1129" s="846"/>
      <c r="E1129" s="846"/>
      <c r="F1129" s="846"/>
      <c r="G1129" s="846"/>
      <c r="H1129" s="846"/>
      <c r="I1129" s="846"/>
      <c r="J1129" s="846"/>
      <c r="K1129" s="846"/>
      <c r="L1129" s="846"/>
      <c r="M1129" s="846"/>
      <c r="N1129" s="846"/>
      <c r="O1129" s="846"/>
    </row>
    <row r="1130" spans="1:15" ht="20.100000000000001" customHeight="1">
      <c r="A1130" s="846"/>
      <c r="B1130" s="846"/>
      <c r="C1130" s="846"/>
      <c r="D1130" s="846"/>
      <c r="E1130" s="846"/>
      <c r="F1130" s="846"/>
      <c r="G1130" s="846"/>
      <c r="H1130" s="846"/>
      <c r="I1130" s="846"/>
      <c r="J1130" s="846"/>
      <c r="K1130" s="846"/>
      <c r="L1130" s="846"/>
      <c r="M1130" s="846"/>
      <c r="N1130" s="846"/>
      <c r="O1130" s="846"/>
    </row>
    <row r="1131" spans="1:15" ht="20.100000000000001" customHeight="1">
      <c r="A1131" s="846"/>
      <c r="B1131" s="846"/>
      <c r="C1131" s="846"/>
      <c r="D1131" s="846"/>
      <c r="E1131" s="846"/>
      <c r="F1131" s="846"/>
      <c r="G1131" s="846"/>
      <c r="H1131" s="846"/>
      <c r="I1131" s="846"/>
      <c r="J1131" s="846"/>
      <c r="K1131" s="846"/>
      <c r="L1131" s="846"/>
      <c r="M1131" s="846"/>
      <c r="N1131" s="846"/>
      <c r="O1131" s="846"/>
    </row>
    <row r="1132" spans="1:15" ht="20.100000000000001" customHeight="1">
      <c r="A1132" s="846"/>
      <c r="B1132" s="846"/>
      <c r="C1132" s="846"/>
      <c r="D1132" s="846"/>
      <c r="E1132" s="846"/>
      <c r="F1132" s="846"/>
      <c r="G1132" s="846"/>
      <c r="H1132" s="846"/>
      <c r="I1132" s="846"/>
      <c r="J1132" s="846"/>
      <c r="K1132" s="846"/>
      <c r="L1132" s="846"/>
      <c r="M1132" s="846"/>
      <c r="N1132" s="846"/>
      <c r="O1132" s="846"/>
    </row>
    <row r="1133" spans="1:15" ht="20.100000000000001" customHeight="1">
      <c r="A1133" s="846"/>
      <c r="B1133" s="846"/>
      <c r="C1133" s="846"/>
      <c r="D1133" s="846"/>
      <c r="E1133" s="846"/>
      <c r="F1133" s="846"/>
      <c r="G1133" s="846"/>
      <c r="H1133" s="846"/>
      <c r="I1133" s="846"/>
      <c r="J1133" s="846"/>
      <c r="K1133" s="846"/>
      <c r="L1133" s="846"/>
      <c r="M1133" s="846"/>
      <c r="N1133" s="846"/>
      <c r="O1133" s="846"/>
    </row>
    <row r="1134" spans="1:15" ht="20.100000000000001" customHeight="1">
      <c r="A1134" s="846"/>
      <c r="B1134" s="846"/>
      <c r="C1134" s="846"/>
      <c r="D1134" s="846"/>
      <c r="E1134" s="846"/>
      <c r="F1134" s="846"/>
      <c r="G1134" s="846"/>
      <c r="H1134" s="846"/>
      <c r="I1134" s="846"/>
      <c r="J1134" s="846"/>
      <c r="K1134" s="846"/>
      <c r="L1134" s="846"/>
      <c r="M1134" s="846"/>
      <c r="N1134" s="846"/>
      <c r="O1134" s="846"/>
    </row>
    <row r="1135" spans="1:15" ht="20.100000000000001" customHeight="1">
      <c r="A1135" s="846"/>
      <c r="B1135" s="846"/>
      <c r="C1135" s="846"/>
      <c r="D1135" s="846"/>
      <c r="E1135" s="846"/>
      <c r="F1135" s="846"/>
      <c r="G1135" s="846"/>
      <c r="H1135" s="846"/>
      <c r="I1135" s="846"/>
      <c r="J1135" s="846"/>
      <c r="K1135" s="846"/>
      <c r="L1135" s="846"/>
      <c r="M1135" s="846"/>
      <c r="N1135" s="846"/>
      <c r="O1135" s="846"/>
    </row>
    <row r="1136" spans="1:15" ht="20.100000000000001" customHeight="1">
      <c r="A1136" s="846"/>
      <c r="B1136" s="846"/>
      <c r="C1136" s="846"/>
      <c r="D1136" s="846"/>
      <c r="E1136" s="846"/>
      <c r="F1136" s="846"/>
      <c r="G1136" s="846"/>
      <c r="H1136" s="846"/>
      <c r="I1136" s="846"/>
      <c r="J1136" s="846"/>
      <c r="K1136" s="846"/>
      <c r="L1136" s="846"/>
      <c r="M1136" s="846"/>
      <c r="N1136" s="846"/>
      <c r="O1136" s="846"/>
    </row>
    <row r="1137" spans="1:15" ht="20.100000000000001" customHeight="1">
      <c r="A1137" s="846"/>
      <c r="B1137" s="846"/>
      <c r="C1137" s="846"/>
      <c r="D1137" s="846"/>
      <c r="E1137" s="846"/>
      <c r="F1137" s="846"/>
      <c r="G1137" s="846"/>
      <c r="H1137" s="846"/>
      <c r="I1137" s="846"/>
      <c r="J1137" s="846"/>
      <c r="K1137" s="846"/>
      <c r="L1137" s="846"/>
      <c r="M1137" s="846"/>
      <c r="N1137" s="846"/>
      <c r="O1137" s="846"/>
    </row>
    <row r="1138" spans="1:15" ht="20.100000000000001" customHeight="1">
      <c r="A1138" s="846"/>
      <c r="B1138" s="846"/>
      <c r="C1138" s="846"/>
      <c r="D1138" s="846"/>
      <c r="E1138" s="846"/>
      <c r="F1138" s="846"/>
      <c r="G1138" s="846"/>
      <c r="H1138" s="846"/>
      <c r="I1138" s="846"/>
      <c r="J1138" s="846"/>
      <c r="K1138" s="846"/>
      <c r="L1138" s="846"/>
      <c r="M1138" s="846"/>
      <c r="N1138" s="846"/>
      <c r="O1138" s="846"/>
    </row>
    <row r="1139" spans="1:15" ht="20.100000000000001" customHeight="1">
      <c r="A1139" s="846"/>
      <c r="B1139" s="846"/>
      <c r="C1139" s="846"/>
      <c r="D1139" s="846"/>
      <c r="E1139" s="846"/>
      <c r="F1139" s="846"/>
      <c r="G1139" s="846"/>
      <c r="H1139" s="846"/>
      <c r="I1139" s="846"/>
      <c r="J1139" s="846"/>
      <c r="K1139" s="846"/>
      <c r="L1139" s="846"/>
      <c r="M1139" s="846"/>
      <c r="N1139" s="846"/>
      <c r="O1139" s="846"/>
    </row>
    <row r="1140" spans="1:15" ht="20.100000000000001" customHeight="1">
      <c r="A1140" s="846"/>
      <c r="B1140" s="846"/>
      <c r="C1140" s="846"/>
      <c r="D1140" s="846"/>
      <c r="E1140" s="846"/>
      <c r="F1140" s="846"/>
      <c r="G1140" s="846"/>
      <c r="H1140" s="846"/>
      <c r="I1140" s="846"/>
      <c r="J1140" s="846"/>
      <c r="K1140" s="846"/>
      <c r="L1140" s="846"/>
      <c r="M1140" s="846"/>
      <c r="N1140" s="846"/>
      <c r="O1140" s="846"/>
    </row>
    <row r="1141" spans="1:15" ht="20.100000000000001" customHeight="1">
      <c r="A1141" s="846"/>
      <c r="B1141" s="846"/>
      <c r="C1141" s="846"/>
      <c r="D1141" s="846"/>
      <c r="E1141" s="846"/>
      <c r="F1141" s="846"/>
      <c r="G1141" s="846"/>
      <c r="H1141" s="846"/>
      <c r="I1141" s="846"/>
      <c r="J1141" s="846"/>
      <c r="K1141" s="846"/>
      <c r="L1141" s="846"/>
      <c r="M1141" s="846"/>
      <c r="N1141" s="846"/>
      <c r="O1141" s="846"/>
    </row>
    <row r="1142" spans="1:15" ht="20.100000000000001" customHeight="1">
      <c r="A1142" s="846"/>
      <c r="B1142" s="846"/>
      <c r="C1142" s="846"/>
      <c r="D1142" s="846"/>
      <c r="E1142" s="846"/>
      <c r="F1142" s="846"/>
      <c r="G1142" s="846"/>
      <c r="H1142" s="846"/>
      <c r="I1142" s="846"/>
      <c r="J1142" s="846"/>
      <c r="K1142" s="846"/>
      <c r="L1142" s="846"/>
      <c r="M1142" s="846"/>
      <c r="N1142" s="846"/>
      <c r="O1142" s="846"/>
    </row>
    <row r="1143" spans="1:15" ht="20.100000000000001" customHeight="1">
      <c r="A1143" s="846"/>
      <c r="B1143" s="846"/>
      <c r="C1143" s="846"/>
      <c r="D1143" s="846"/>
      <c r="E1143" s="846"/>
      <c r="F1143" s="846"/>
      <c r="G1143" s="846"/>
      <c r="H1143" s="846"/>
      <c r="I1143" s="846"/>
      <c r="J1143" s="846"/>
      <c r="K1143" s="846"/>
      <c r="L1143" s="846"/>
      <c r="M1143" s="846"/>
      <c r="N1143" s="846"/>
      <c r="O1143" s="846"/>
    </row>
    <row r="1144" spans="1:15" ht="20.100000000000001" customHeight="1">
      <c r="A1144" s="846"/>
      <c r="B1144" s="846"/>
      <c r="C1144" s="846"/>
      <c r="D1144" s="846"/>
      <c r="E1144" s="846"/>
      <c r="F1144" s="846"/>
      <c r="G1144" s="846"/>
      <c r="H1144" s="846"/>
      <c r="I1144" s="846"/>
      <c r="J1144" s="846"/>
      <c r="K1144" s="846"/>
      <c r="L1144" s="846"/>
      <c r="M1144" s="846"/>
      <c r="N1144" s="846"/>
      <c r="O1144" s="846"/>
    </row>
    <row r="1145" spans="1:15" ht="20.100000000000001" customHeight="1">
      <c r="A1145" s="846"/>
      <c r="B1145" s="846"/>
      <c r="C1145" s="846"/>
      <c r="D1145" s="846"/>
      <c r="E1145" s="846"/>
      <c r="F1145" s="846"/>
      <c r="G1145" s="846"/>
      <c r="H1145" s="846"/>
      <c r="I1145" s="846"/>
      <c r="J1145" s="846"/>
      <c r="K1145" s="846"/>
      <c r="L1145" s="846"/>
      <c r="M1145" s="846"/>
      <c r="N1145" s="846"/>
      <c r="O1145" s="846"/>
    </row>
    <row r="1146" spans="1:15" ht="20.100000000000001" customHeight="1">
      <c r="A1146" s="846"/>
      <c r="B1146" s="846"/>
      <c r="C1146" s="846"/>
      <c r="D1146" s="846"/>
      <c r="E1146" s="846"/>
      <c r="F1146" s="846"/>
      <c r="G1146" s="846"/>
      <c r="H1146" s="846"/>
      <c r="I1146" s="846"/>
      <c r="J1146" s="846"/>
      <c r="K1146" s="846"/>
      <c r="L1146" s="846"/>
      <c r="M1146" s="846"/>
      <c r="N1146" s="846"/>
      <c r="O1146" s="846"/>
    </row>
    <row r="1147" spans="1:15" ht="20.100000000000001" customHeight="1">
      <c r="A1147" s="846"/>
      <c r="B1147" s="846"/>
      <c r="C1147" s="846"/>
      <c r="D1147" s="846"/>
      <c r="E1147" s="846"/>
      <c r="F1147" s="846"/>
      <c r="G1147" s="846"/>
      <c r="H1147" s="846"/>
      <c r="I1147" s="846"/>
      <c r="J1147" s="846"/>
      <c r="K1147" s="846"/>
      <c r="L1147" s="846"/>
      <c r="M1147" s="846"/>
      <c r="N1147" s="846"/>
      <c r="O1147" s="846"/>
    </row>
    <row r="1148" spans="1:15" ht="20.100000000000001" customHeight="1">
      <c r="A1148" s="846"/>
      <c r="B1148" s="846"/>
      <c r="C1148" s="846"/>
      <c r="D1148" s="846"/>
      <c r="E1148" s="846"/>
      <c r="F1148" s="846"/>
      <c r="G1148" s="846"/>
      <c r="H1148" s="846"/>
      <c r="I1148" s="846"/>
      <c r="J1148" s="846"/>
      <c r="K1148" s="846"/>
      <c r="L1148" s="846"/>
      <c r="M1148" s="846"/>
      <c r="N1148" s="846"/>
      <c r="O1148" s="846"/>
    </row>
    <row r="1149" spans="1:15" ht="20.100000000000001" customHeight="1">
      <c r="A1149" s="846"/>
      <c r="B1149" s="846"/>
      <c r="C1149" s="846"/>
      <c r="D1149" s="846"/>
      <c r="E1149" s="846"/>
      <c r="F1149" s="846"/>
      <c r="G1149" s="846"/>
      <c r="H1149" s="846"/>
      <c r="I1149" s="846"/>
      <c r="J1149" s="846"/>
      <c r="K1149" s="846"/>
      <c r="L1149" s="846"/>
      <c r="M1149" s="846"/>
      <c r="N1149" s="846"/>
      <c r="O1149" s="846"/>
    </row>
    <row r="1150" spans="1:15" ht="20.100000000000001" customHeight="1">
      <c r="A1150" s="846"/>
      <c r="B1150" s="846"/>
      <c r="C1150" s="846"/>
      <c r="D1150" s="846"/>
      <c r="E1150" s="846"/>
      <c r="F1150" s="846"/>
      <c r="G1150" s="846"/>
      <c r="H1150" s="846"/>
      <c r="I1150" s="846"/>
      <c r="J1150" s="846"/>
      <c r="K1150" s="846"/>
      <c r="L1150" s="846"/>
      <c r="M1150" s="846"/>
      <c r="N1150" s="846"/>
      <c r="O1150" s="846"/>
    </row>
    <row r="1151" spans="1:15" ht="20.100000000000001" customHeight="1">
      <c r="A1151" s="846"/>
      <c r="B1151" s="846"/>
      <c r="C1151" s="846"/>
      <c r="D1151" s="846"/>
      <c r="E1151" s="846"/>
      <c r="F1151" s="846"/>
      <c r="G1151" s="846"/>
      <c r="H1151" s="846"/>
      <c r="I1151" s="846"/>
      <c r="J1151" s="846"/>
      <c r="K1151" s="846"/>
      <c r="L1151" s="846"/>
      <c r="M1151" s="846"/>
      <c r="N1151" s="846"/>
      <c r="O1151" s="846"/>
    </row>
    <row r="1152" spans="1:15" ht="20.100000000000001" customHeight="1">
      <c r="A1152" s="846"/>
      <c r="B1152" s="846"/>
      <c r="C1152" s="846"/>
      <c r="D1152" s="846"/>
      <c r="E1152" s="846"/>
      <c r="F1152" s="846"/>
      <c r="G1152" s="846"/>
      <c r="H1152" s="846"/>
      <c r="I1152" s="846"/>
      <c r="J1152" s="846"/>
      <c r="K1152" s="846"/>
      <c r="L1152" s="846"/>
      <c r="M1152" s="846"/>
      <c r="N1152" s="846"/>
      <c r="O1152" s="846"/>
    </row>
    <row r="1153" spans="1:15" ht="20.100000000000001" customHeight="1">
      <c r="A1153" s="846"/>
      <c r="B1153" s="846"/>
      <c r="C1153" s="846"/>
      <c r="D1153" s="846"/>
      <c r="E1153" s="846"/>
      <c r="F1153" s="846"/>
      <c r="G1153" s="846"/>
      <c r="H1153" s="846"/>
      <c r="I1153" s="846"/>
      <c r="J1153" s="846"/>
      <c r="K1153" s="846"/>
      <c r="L1153" s="846"/>
      <c r="M1153" s="846"/>
      <c r="N1153" s="846"/>
      <c r="O1153" s="846"/>
    </row>
    <row r="1154" spans="1:15" ht="20.100000000000001" customHeight="1">
      <c r="A1154" s="846"/>
      <c r="B1154" s="846"/>
      <c r="C1154" s="846"/>
      <c r="D1154" s="846"/>
      <c r="E1154" s="846"/>
      <c r="F1154" s="846"/>
      <c r="G1154" s="846"/>
      <c r="H1154" s="846"/>
      <c r="I1154" s="846"/>
      <c r="J1154" s="846"/>
      <c r="K1154" s="846"/>
      <c r="L1154" s="846"/>
      <c r="M1154" s="846"/>
      <c r="N1154" s="846"/>
      <c r="O1154" s="846"/>
    </row>
    <row r="1155" spans="1:15" ht="20.100000000000001" customHeight="1">
      <c r="A1155" s="846"/>
      <c r="B1155" s="846"/>
      <c r="C1155" s="846"/>
      <c r="D1155" s="846"/>
      <c r="E1155" s="846"/>
      <c r="F1155" s="846"/>
      <c r="G1155" s="846"/>
      <c r="H1155" s="846"/>
      <c r="I1155" s="846"/>
      <c r="J1155" s="846"/>
      <c r="K1155" s="846"/>
      <c r="L1155" s="846"/>
      <c r="M1155" s="846"/>
      <c r="N1155" s="846"/>
      <c r="O1155" s="846"/>
    </row>
    <row r="1156" spans="1:15" ht="20.100000000000001" customHeight="1">
      <c r="A1156" s="846"/>
      <c r="B1156" s="846"/>
      <c r="C1156" s="846"/>
      <c r="D1156" s="846"/>
      <c r="E1156" s="846"/>
      <c r="F1156" s="846"/>
      <c r="G1156" s="846"/>
      <c r="H1156" s="846"/>
      <c r="I1156" s="846"/>
      <c r="J1156" s="846"/>
      <c r="K1156" s="846"/>
      <c r="L1156" s="846"/>
      <c r="M1156" s="846"/>
      <c r="N1156" s="846"/>
      <c r="O1156" s="846"/>
    </row>
    <row r="1157" spans="1:15" ht="20.100000000000001" customHeight="1">
      <c r="A1157" s="846"/>
      <c r="B1157" s="846"/>
      <c r="C1157" s="846"/>
      <c r="D1157" s="846"/>
      <c r="E1157" s="846"/>
      <c r="F1157" s="846"/>
      <c r="G1157" s="846"/>
      <c r="H1157" s="846"/>
      <c r="I1157" s="846"/>
      <c r="J1157" s="846"/>
      <c r="K1157" s="846"/>
      <c r="L1157" s="846"/>
      <c r="M1157" s="846"/>
      <c r="N1157" s="846"/>
      <c r="O1157" s="846"/>
    </row>
    <row r="1158" spans="1:15" ht="20.100000000000001" customHeight="1">
      <c r="A1158" s="846"/>
      <c r="B1158" s="846"/>
      <c r="C1158" s="846"/>
      <c r="D1158" s="846"/>
      <c r="E1158" s="846"/>
      <c r="F1158" s="846"/>
      <c r="G1158" s="846"/>
      <c r="H1158" s="846"/>
      <c r="I1158" s="846"/>
      <c r="J1158" s="846"/>
      <c r="K1158" s="846"/>
      <c r="L1158" s="846"/>
      <c r="M1158" s="846"/>
      <c r="N1158" s="846"/>
      <c r="O1158" s="846"/>
    </row>
    <row r="1159" spans="1:15" ht="20.100000000000001" customHeight="1">
      <c r="A1159" s="846"/>
      <c r="B1159" s="846"/>
      <c r="C1159" s="846"/>
      <c r="D1159" s="846"/>
      <c r="E1159" s="846"/>
      <c r="F1159" s="846"/>
      <c r="G1159" s="846"/>
      <c r="H1159" s="846"/>
      <c r="I1159" s="846"/>
      <c r="J1159" s="846"/>
      <c r="K1159" s="846"/>
      <c r="L1159" s="846"/>
      <c r="M1159" s="846"/>
      <c r="N1159" s="846"/>
      <c r="O1159" s="846"/>
    </row>
    <row r="1160" spans="1:15" ht="20.100000000000001" customHeight="1">
      <c r="A1160" s="846"/>
      <c r="B1160" s="846"/>
      <c r="C1160" s="846"/>
      <c r="D1160" s="846"/>
      <c r="E1160" s="846"/>
      <c r="F1160" s="846"/>
      <c r="G1160" s="846"/>
      <c r="H1160" s="846"/>
      <c r="I1160" s="846"/>
      <c r="J1160" s="846"/>
      <c r="K1160" s="846"/>
      <c r="L1160" s="846"/>
      <c r="M1160" s="846"/>
      <c r="N1160" s="846"/>
      <c r="O1160" s="846"/>
    </row>
    <row r="1161" spans="1:15" ht="20.100000000000001" customHeight="1">
      <c r="A1161" s="846"/>
      <c r="B1161" s="846"/>
      <c r="C1161" s="846"/>
      <c r="D1161" s="846"/>
      <c r="E1161" s="846"/>
      <c r="F1161" s="846"/>
      <c r="G1161" s="846"/>
      <c r="H1161" s="846"/>
      <c r="I1161" s="846"/>
      <c r="J1161" s="846"/>
      <c r="K1161" s="846"/>
      <c r="L1161" s="846"/>
      <c r="M1161" s="846"/>
      <c r="N1161" s="846"/>
      <c r="O1161" s="846"/>
    </row>
    <row r="1162" spans="1:15" ht="20.100000000000001" customHeight="1">
      <c r="A1162" s="846"/>
      <c r="B1162" s="846"/>
      <c r="C1162" s="846"/>
      <c r="D1162" s="846"/>
      <c r="E1162" s="846"/>
      <c r="F1162" s="846"/>
      <c r="G1162" s="846"/>
      <c r="H1162" s="846"/>
      <c r="I1162" s="846"/>
      <c r="J1162" s="846"/>
      <c r="K1162" s="846"/>
      <c r="L1162" s="846"/>
      <c r="M1162" s="846"/>
      <c r="N1162" s="846"/>
      <c r="O1162" s="846"/>
    </row>
    <row r="1163" spans="1:15" ht="20.100000000000001" customHeight="1">
      <c r="A1163" s="846"/>
      <c r="B1163" s="846"/>
      <c r="C1163" s="846"/>
      <c r="D1163" s="846"/>
      <c r="E1163" s="846"/>
      <c r="F1163" s="846"/>
      <c r="G1163" s="846"/>
      <c r="H1163" s="846"/>
      <c r="I1163" s="846"/>
      <c r="J1163" s="846"/>
      <c r="K1163" s="846"/>
      <c r="L1163" s="846"/>
      <c r="M1163" s="846"/>
      <c r="N1163" s="846"/>
      <c r="O1163" s="846"/>
    </row>
    <row r="1164" spans="1:15" ht="20.100000000000001" customHeight="1">
      <c r="A1164" s="846"/>
      <c r="B1164" s="846"/>
      <c r="C1164" s="846"/>
      <c r="D1164" s="846"/>
      <c r="E1164" s="846"/>
      <c r="F1164" s="846"/>
      <c r="G1164" s="846"/>
      <c r="H1164" s="846"/>
      <c r="I1164" s="846"/>
      <c r="J1164" s="846"/>
      <c r="K1164" s="846"/>
      <c r="L1164" s="846"/>
      <c r="M1164" s="846"/>
      <c r="N1164" s="846"/>
      <c r="O1164" s="846"/>
    </row>
    <row r="1165" spans="1:15" ht="20.100000000000001" customHeight="1">
      <c r="A1165" s="846"/>
      <c r="B1165" s="846"/>
      <c r="C1165" s="846"/>
      <c r="D1165" s="846"/>
      <c r="E1165" s="846"/>
      <c r="F1165" s="846"/>
      <c r="G1165" s="846"/>
      <c r="H1165" s="846"/>
      <c r="I1165" s="846"/>
      <c r="J1165" s="846"/>
      <c r="K1165" s="846"/>
      <c r="L1165" s="846"/>
      <c r="M1165" s="846"/>
      <c r="N1165" s="846"/>
      <c r="O1165" s="846"/>
    </row>
    <row r="1166" spans="1:15" ht="20.100000000000001" customHeight="1">
      <c r="A1166" s="846"/>
      <c r="B1166" s="846"/>
      <c r="C1166" s="846"/>
      <c r="D1166" s="846"/>
      <c r="E1166" s="846"/>
      <c r="F1166" s="846"/>
      <c r="G1166" s="846"/>
      <c r="H1166" s="846"/>
      <c r="I1166" s="846"/>
      <c r="J1166" s="846"/>
      <c r="K1166" s="846"/>
      <c r="L1166" s="846"/>
      <c r="M1166" s="846"/>
      <c r="N1166" s="846"/>
      <c r="O1166" s="846"/>
    </row>
    <row r="1167" spans="1:15" ht="20.100000000000001" customHeight="1">
      <c r="A1167" s="846"/>
      <c r="B1167" s="846"/>
      <c r="C1167" s="846"/>
      <c r="D1167" s="846"/>
      <c r="E1167" s="846"/>
      <c r="F1167" s="846"/>
      <c r="G1167" s="846"/>
      <c r="H1167" s="846"/>
      <c r="I1167" s="846"/>
      <c r="J1167" s="846"/>
      <c r="K1167" s="846"/>
      <c r="L1167" s="846"/>
      <c r="M1167" s="846"/>
      <c r="N1167" s="846"/>
      <c r="O1167" s="846"/>
    </row>
    <row r="1168" spans="1:15" ht="20.100000000000001" customHeight="1">
      <c r="A1168" s="846"/>
      <c r="B1168" s="846"/>
      <c r="C1168" s="846"/>
      <c r="D1168" s="846"/>
      <c r="E1168" s="846"/>
      <c r="F1168" s="846"/>
      <c r="G1168" s="846"/>
      <c r="H1168" s="846"/>
      <c r="I1168" s="846"/>
      <c r="J1168" s="846"/>
      <c r="K1168" s="846"/>
      <c r="L1168" s="846"/>
      <c r="M1168" s="846"/>
      <c r="N1168" s="846"/>
      <c r="O1168" s="846"/>
    </row>
    <row r="1169" spans="1:15" ht="20.100000000000001" customHeight="1">
      <c r="A1169" s="846"/>
      <c r="B1169" s="846"/>
      <c r="C1169" s="846"/>
      <c r="D1169" s="846"/>
      <c r="E1169" s="846"/>
      <c r="F1169" s="846"/>
      <c r="G1169" s="846"/>
      <c r="H1169" s="846"/>
      <c r="I1169" s="846"/>
      <c r="J1169" s="846"/>
      <c r="K1169" s="846"/>
      <c r="L1169" s="846"/>
      <c r="M1169" s="846"/>
      <c r="N1169" s="846"/>
      <c r="O1169" s="846"/>
    </row>
    <row r="1170" spans="1:15" ht="20.100000000000001" customHeight="1">
      <c r="A1170" s="846"/>
      <c r="B1170" s="846"/>
      <c r="C1170" s="846"/>
      <c r="D1170" s="846"/>
      <c r="E1170" s="846"/>
      <c r="F1170" s="846"/>
      <c r="G1170" s="846"/>
      <c r="H1170" s="846"/>
      <c r="I1170" s="846"/>
      <c r="J1170" s="846"/>
      <c r="K1170" s="846"/>
      <c r="L1170" s="846"/>
      <c r="M1170" s="846"/>
      <c r="N1170" s="846"/>
      <c r="O1170" s="846"/>
    </row>
    <row r="1171" spans="1:15" ht="20.100000000000001" customHeight="1">
      <c r="A1171" s="846"/>
      <c r="B1171" s="846"/>
      <c r="C1171" s="846"/>
      <c r="D1171" s="846"/>
      <c r="E1171" s="846"/>
      <c r="F1171" s="846"/>
      <c r="G1171" s="846"/>
      <c r="H1171" s="846"/>
      <c r="I1171" s="846"/>
      <c r="J1171" s="846"/>
      <c r="K1171" s="846"/>
      <c r="L1171" s="846"/>
      <c r="M1171" s="846"/>
      <c r="N1171" s="846"/>
      <c r="O1171" s="846"/>
    </row>
    <row r="1172" spans="1:15" ht="20.100000000000001" customHeight="1">
      <c r="A1172" s="846"/>
      <c r="B1172" s="846"/>
      <c r="C1172" s="846"/>
      <c r="D1172" s="846"/>
      <c r="E1172" s="846"/>
      <c r="F1172" s="846"/>
      <c r="G1172" s="846"/>
      <c r="H1172" s="846"/>
      <c r="I1172" s="846"/>
      <c r="J1172" s="846"/>
      <c r="K1172" s="846"/>
      <c r="L1172" s="846"/>
      <c r="M1172" s="846"/>
      <c r="N1172" s="846"/>
      <c r="O1172" s="846"/>
    </row>
    <row r="1173" spans="1:15" ht="20.100000000000001" customHeight="1">
      <c r="A1173" s="846"/>
      <c r="B1173" s="846"/>
      <c r="C1173" s="846"/>
      <c r="D1173" s="846"/>
      <c r="E1173" s="846"/>
      <c r="F1173" s="846"/>
      <c r="G1173" s="846"/>
      <c r="H1173" s="846"/>
      <c r="I1173" s="846"/>
      <c r="J1173" s="846"/>
      <c r="K1173" s="846"/>
      <c r="L1173" s="846"/>
      <c r="M1173" s="846"/>
      <c r="N1173" s="846"/>
      <c r="O1173" s="846"/>
    </row>
    <row r="1174" spans="1:15" ht="20.100000000000001" customHeight="1">
      <c r="A1174" s="846"/>
      <c r="B1174" s="846"/>
      <c r="C1174" s="846"/>
      <c r="D1174" s="846"/>
      <c r="E1174" s="846"/>
      <c r="F1174" s="846"/>
      <c r="G1174" s="846"/>
      <c r="H1174" s="846"/>
      <c r="I1174" s="846"/>
      <c r="J1174" s="846"/>
      <c r="K1174" s="846"/>
      <c r="L1174" s="846"/>
      <c r="M1174" s="846"/>
      <c r="N1174" s="846"/>
      <c r="O1174" s="846"/>
    </row>
    <row r="1175" spans="1:15" ht="20.100000000000001" customHeight="1">
      <c r="A1175" s="846"/>
      <c r="B1175" s="846"/>
      <c r="C1175" s="846"/>
      <c r="D1175" s="846"/>
      <c r="E1175" s="846"/>
      <c r="F1175" s="846"/>
      <c r="G1175" s="846"/>
      <c r="H1175" s="846"/>
      <c r="I1175" s="846"/>
      <c r="J1175" s="846"/>
      <c r="K1175" s="846"/>
      <c r="L1175" s="846"/>
      <c r="M1175" s="846"/>
      <c r="N1175" s="846"/>
      <c r="O1175" s="846"/>
    </row>
    <row r="1176" spans="1:15" ht="20.100000000000001" customHeight="1">
      <c r="A1176" s="846"/>
      <c r="B1176" s="846"/>
      <c r="C1176" s="846"/>
      <c r="D1176" s="846"/>
      <c r="E1176" s="846"/>
      <c r="F1176" s="846"/>
      <c r="G1176" s="846"/>
      <c r="H1176" s="846"/>
      <c r="I1176" s="846"/>
      <c r="J1176" s="846"/>
      <c r="K1176" s="846"/>
      <c r="L1176" s="846"/>
      <c r="M1176" s="846"/>
      <c r="N1176" s="846"/>
      <c r="O1176" s="846"/>
    </row>
    <row r="1177" spans="1:15" ht="20.100000000000001" customHeight="1">
      <c r="A1177" s="846"/>
      <c r="B1177" s="846"/>
      <c r="C1177" s="846"/>
      <c r="D1177" s="846"/>
      <c r="E1177" s="846"/>
      <c r="F1177" s="846"/>
      <c r="G1177" s="846"/>
      <c r="H1177" s="846"/>
      <c r="I1177" s="846"/>
      <c r="J1177" s="846"/>
      <c r="K1177" s="846"/>
      <c r="L1177" s="846"/>
      <c r="M1177" s="846"/>
      <c r="N1177" s="846"/>
      <c r="O1177" s="846"/>
    </row>
    <row r="1178" spans="1:15" ht="20.100000000000001" customHeight="1">
      <c r="A1178" s="846"/>
      <c r="B1178" s="846"/>
      <c r="C1178" s="846"/>
      <c r="D1178" s="846"/>
      <c r="E1178" s="846"/>
      <c r="F1178" s="846"/>
      <c r="G1178" s="846"/>
      <c r="H1178" s="846"/>
      <c r="I1178" s="846"/>
      <c r="J1178" s="846"/>
      <c r="K1178" s="846"/>
      <c r="L1178" s="846"/>
      <c r="M1178" s="846"/>
      <c r="N1178" s="846"/>
      <c r="O1178" s="846"/>
    </row>
    <row r="1179" spans="1:15" ht="20.100000000000001" customHeight="1">
      <c r="A1179" s="846"/>
      <c r="B1179" s="846"/>
      <c r="C1179" s="846"/>
      <c r="D1179" s="846"/>
      <c r="E1179" s="846"/>
      <c r="F1179" s="846"/>
      <c r="G1179" s="846"/>
      <c r="H1179" s="846"/>
      <c r="I1179" s="846"/>
      <c r="J1179" s="846"/>
      <c r="K1179" s="846"/>
      <c r="L1179" s="846"/>
      <c r="M1179" s="846"/>
      <c r="N1179" s="846"/>
      <c r="O1179" s="846"/>
    </row>
    <row r="1180" spans="1:15" ht="20.100000000000001" customHeight="1">
      <c r="A1180" s="846"/>
      <c r="B1180" s="846"/>
      <c r="C1180" s="846"/>
      <c r="D1180" s="846"/>
      <c r="E1180" s="846"/>
      <c r="F1180" s="846"/>
      <c r="G1180" s="846"/>
      <c r="H1180" s="846"/>
      <c r="I1180" s="846"/>
      <c r="J1180" s="846"/>
      <c r="K1180" s="846"/>
      <c r="L1180" s="846"/>
      <c r="M1180" s="846"/>
      <c r="N1180" s="846"/>
      <c r="O1180" s="846"/>
    </row>
    <row r="1181" spans="1:15" ht="20.100000000000001" customHeight="1">
      <c r="A1181" s="846"/>
      <c r="B1181" s="846"/>
      <c r="C1181" s="846"/>
      <c r="D1181" s="846"/>
      <c r="E1181" s="846"/>
      <c r="F1181" s="846"/>
      <c r="G1181" s="846"/>
      <c r="H1181" s="846"/>
      <c r="I1181" s="846"/>
      <c r="J1181" s="846"/>
      <c r="K1181" s="846"/>
      <c r="L1181" s="846"/>
      <c r="M1181" s="846"/>
      <c r="N1181" s="846"/>
      <c r="O1181" s="846"/>
    </row>
    <row r="1182" spans="1:15" ht="20.100000000000001" customHeight="1">
      <c r="A1182" s="846"/>
      <c r="B1182" s="846"/>
      <c r="C1182" s="846"/>
      <c r="D1182" s="846"/>
      <c r="E1182" s="846"/>
      <c r="F1182" s="846"/>
      <c r="G1182" s="846"/>
      <c r="H1182" s="846"/>
      <c r="I1182" s="846"/>
      <c r="J1182" s="846"/>
      <c r="K1182" s="846"/>
      <c r="L1182" s="846"/>
      <c r="M1182" s="846"/>
      <c r="N1182" s="846"/>
      <c r="O1182" s="846"/>
    </row>
    <row r="1183" spans="1:15" ht="20.100000000000001" customHeight="1">
      <c r="A1183" s="846"/>
      <c r="B1183" s="846"/>
      <c r="C1183" s="846"/>
      <c r="D1183" s="846"/>
      <c r="E1183" s="846"/>
      <c r="F1183" s="846"/>
      <c r="G1183" s="846"/>
      <c r="H1183" s="846"/>
      <c r="I1183" s="846"/>
      <c r="J1183" s="846"/>
      <c r="K1183" s="846"/>
      <c r="L1183" s="846"/>
      <c r="M1183" s="846"/>
      <c r="N1183" s="846"/>
      <c r="O1183" s="846"/>
    </row>
    <row r="1184" spans="1:15" ht="20.100000000000001" customHeight="1">
      <c r="A1184" s="846"/>
      <c r="B1184" s="846"/>
      <c r="C1184" s="846"/>
      <c r="D1184" s="846"/>
      <c r="E1184" s="846"/>
      <c r="F1184" s="846"/>
      <c r="G1184" s="846"/>
      <c r="H1184" s="846"/>
      <c r="I1184" s="846"/>
      <c r="J1184" s="846"/>
      <c r="K1184" s="846"/>
      <c r="L1184" s="846"/>
      <c r="M1184" s="846"/>
      <c r="N1184" s="846"/>
      <c r="O1184" s="846"/>
    </row>
    <row r="1185" spans="1:15" ht="20.100000000000001" customHeight="1">
      <c r="A1185" s="846"/>
      <c r="B1185" s="846"/>
      <c r="C1185" s="846"/>
      <c r="D1185" s="846"/>
      <c r="E1185" s="846"/>
      <c r="F1185" s="846"/>
      <c r="G1185" s="846"/>
      <c r="H1185" s="846"/>
      <c r="I1185" s="846"/>
      <c r="J1185" s="846"/>
      <c r="K1185" s="846"/>
      <c r="L1185" s="846"/>
      <c r="M1185" s="846"/>
      <c r="N1185" s="846"/>
      <c r="O1185" s="846"/>
    </row>
    <row r="1186" spans="1:15" ht="20.100000000000001" customHeight="1">
      <c r="A1186" s="846"/>
      <c r="B1186" s="846"/>
      <c r="C1186" s="846"/>
      <c r="D1186" s="846"/>
      <c r="E1186" s="846"/>
      <c r="F1186" s="846"/>
      <c r="G1186" s="846"/>
      <c r="H1186" s="846"/>
      <c r="I1186" s="846"/>
      <c r="J1186" s="846"/>
      <c r="K1186" s="846"/>
      <c r="L1186" s="846"/>
      <c r="M1186" s="846"/>
      <c r="N1186" s="846"/>
      <c r="O1186" s="846"/>
    </row>
    <row r="1187" spans="1:15" ht="20.100000000000001" customHeight="1">
      <c r="A1187" s="846"/>
      <c r="B1187" s="846"/>
      <c r="C1187" s="846"/>
      <c r="D1187" s="846"/>
      <c r="E1187" s="846"/>
      <c r="F1187" s="846"/>
      <c r="G1187" s="846"/>
      <c r="H1187" s="846"/>
      <c r="I1187" s="846"/>
      <c r="J1187" s="846"/>
      <c r="K1187" s="846"/>
      <c r="L1187" s="846"/>
      <c r="M1187" s="846"/>
      <c r="N1187" s="846"/>
      <c r="O1187" s="846"/>
    </row>
    <row r="1188" spans="1:15" ht="20.100000000000001" customHeight="1">
      <c r="A1188" s="846"/>
      <c r="B1188" s="846"/>
      <c r="C1188" s="846"/>
      <c r="D1188" s="846"/>
      <c r="E1188" s="846"/>
      <c r="F1188" s="846"/>
      <c r="G1188" s="846"/>
      <c r="H1188" s="846"/>
      <c r="I1188" s="846"/>
      <c r="J1188" s="846"/>
      <c r="K1188" s="846"/>
      <c r="L1188" s="846"/>
      <c r="M1188" s="846"/>
      <c r="N1188" s="846"/>
      <c r="O1188" s="846"/>
    </row>
    <row r="1189" spans="1:15" ht="20.100000000000001" customHeight="1">
      <c r="A1189" s="846"/>
      <c r="B1189" s="846"/>
      <c r="C1189" s="846"/>
      <c r="D1189" s="846"/>
      <c r="E1189" s="846"/>
      <c r="F1189" s="846"/>
      <c r="G1189" s="846"/>
      <c r="H1189" s="846"/>
      <c r="I1189" s="846"/>
      <c r="J1189" s="846"/>
      <c r="K1189" s="846"/>
      <c r="L1189" s="846"/>
      <c r="M1189" s="846"/>
      <c r="N1189" s="846"/>
      <c r="O1189" s="846"/>
    </row>
    <row r="1190" spans="1:15" ht="20.100000000000001" customHeight="1">
      <c r="A1190" s="846"/>
      <c r="B1190" s="846"/>
      <c r="C1190" s="846"/>
      <c r="D1190" s="846"/>
      <c r="E1190" s="846"/>
      <c r="F1190" s="846"/>
      <c r="G1190" s="846"/>
      <c r="H1190" s="846"/>
      <c r="I1190" s="846"/>
      <c r="J1190" s="846"/>
      <c r="K1190" s="846"/>
      <c r="L1190" s="846"/>
      <c r="M1190" s="846"/>
      <c r="N1190" s="846"/>
      <c r="O1190" s="846"/>
    </row>
    <row r="1191" spans="1:15" ht="20.100000000000001" customHeight="1">
      <c r="A1191" s="846"/>
      <c r="B1191" s="846"/>
      <c r="C1191" s="846"/>
      <c r="D1191" s="846"/>
      <c r="E1191" s="846"/>
      <c r="F1191" s="846"/>
      <c r="G1191" s="846"/>
      <c r="H1191" s="846"/>
      <c r="I1191" s="846"/>
      <c r="J1191" s="846"/>
      <c r="K1191" s="846"/>
      <c r="L1191" s="846"/>
      <c r="M1191" s="846"/>
      <c r="N1191" s="846"/>
      <c r="O1191" s="846"/>
    </row>
    <row r="1192" spans="1:15" ht="20.100000000000001" customHeight="1">
      <c r="A1192" s="846"/>
      <c r="B1192" s="846"/>
      <c r="C1192" s="846"/>
      <c r="D1192" s="846"/>
      <c r="E1192" s="846"/>
      <c r="F1192" s="846"/>
      <c r="G1192" s="846"/>
      <c r="H1192" s="846"/>
      <c r="I1192" s="846"/>
      <c r="J1192" s="846"/>
      <c r="K1192" s="846"/>
      <c r="L1192" s="846"/>
      <c r="M1192" s="846"/>
      <c r="N1192" s="846"/>
      <c r="O1192" s="846"/>
    </row>
    <row r="1193" spans="1:15" ht="20.100000000000001" customHeight="1">
      <c r="A1193" s="846"/>
      <c r="B1193" s="846"/>
      <c r="C1193" s="846"/>
      <c r="D1193" s="846"/>
      <c r="E1193" s="846"/>
      <c r="F1193" s="846"/>
      <c r="G1193" s="846"/>
      <c r="H1193" s="846"/>
      <c r="I1193" s="846"/>
      <c r="J1193" s="846"/>
      <c r="K1193" s="846"/>
      <c r="L1193" s="846"/>
      <c r="M1193" s="846"/>
      <c r="N1193" s="846"/>
      <c r="O1193" s="846"/>
    </row>
    <row r="1194" spans="1:15" ht="20.100000000000001" customHeight="1">
      <c r="A1194" s="846"/>
      <c r="B1194" s="846"/>
      <c r="C1194" s="846"/>
      <c r="D1194" s="846"/>
      <c r="E1194" s="846"/>
      <c r="F1194" s="846"/>
      <c r="G1194" s="846"/>
      <c r="H1194" s="846"/>
      <c r="I1194" s="846"/>
      <c r="J1194" s="846"/>
      <c r="K1194" s="846"/>
      <c r="L1194" s="846"/>
      <c r="M1194" s="846"/>
      <c r="N1194" s="846"/>
      <c r="O1194" s="846"/>
    </row>
    <row r="1195" spans="1:15" ht="20.100000000000001" customHeight="1">
      <c r="A1195" s="846"/>
      <c r="B1195" s="846"/>
      <c r="C1195" s="846"/>
      <c r="D1195" s="846"/>
      <c r="E1195" s="846"/>
      <c r="F1195" s="846"/>
      <c r="G1195" s="846"/>
      <c r="H1195" s="846"/>
      <c r="I1195" s="846"/>
      <c r="J1195" s="846"/>
      <c r="K1195" s="846"/>
      <c r="L1195" s="846"/>
      <c r="M1195" s="846"/>
      <c r="N1195" s="846"/>
      <c r="O1195" s="846"/>
    </row>
    <row r="1196" spans="1:15" ht="20.100000000000001" customHeight="1">
      <c r="A1196" s="846"/>
      <c r="B1196" s="846"/>
      <c r="C1196" s="846"/>
      <c r="D1196" s="846"/>
      <c r="E1196" s="846"/>
      <c r="F1196" s="846"/>
      <c r="G1196" s="846"/>
      <c r="H1196" s="846"/>
      <c r="I1196" s="846"/>
      <c r="J1196" s="846"/>
      <c r="K1196" s="846"/>
      <c r="L1196" s="846"/>
      <c r="M1196" s="846"/>
      <c r="N1196" s="846"/>
      <c r="O1196" s="846"/>
    </row>
    <row r="1197" spans="1:15" ht="20.100000000000001" customHeight="1">
      <c r="A1197" s="846"/>
      <c r="B1197" s="846"/>
      <c r="C1197" s="846"/>
      <c r="D1197" s="846"/>
      <c r="E1197" s="846"/>
      <c r="F1197" s="846"/>
      <c r="G1197" s="846"/>
      <c r="H1197" s="846"/>
      <c r="I1197" s="846"/>
      <c r="J1197" s="846"/>
      <c r="K1197" s="846"/>
      <c r="L1197" s="846"/>
      <c r="M1197" s="846"/>
      <c r="N1197" s="846"/>
      <c r="O1197" s="846"/>
    </row>
    <row r="1198" spans="1:15" ht="20.100000000000001" customHeight="1">
      <c r="A1198" s="846"/>
      <c r="B1198" s="846"/>
      <c r="C1198" s="846"/>
      <c r="D1198" s="846"/>
      <c r="E1198" s="846"/>
      <c r="F1198" s="846"/>
      <c r="G1198" s="846"/>
      <c r="H1198" s="846"/>
      <c r="I1198" s="846"/>
      <c r="J1198" s="846"/>
      <c r="K1198" s="846"/>
      <c r="L1198" s="846"/>
      <c r="M1198" s="846"/>
      <c r="N1198" s="846"/>
      <c r="O1198" s="846"/>
    </row>
    <row r="1199" spans="1:15" ht="20.100000000000001" customHeight="1">
      <c r="A1199" s="846"/>
      <c r="B1199" s="846"/>
      <c r="C1199" s="846"/>
      <c r="D1199" s="846"/>
      <c r="E1199" s="846"/>
      <c r="F1199" s="846"/>
      <c r="G1199" s="846"/>
      <c r="H1199" s="846"/>
      <c r="I1199" s="846"/>
      <c r="J1199" s="846"/>
      <c r="K1199" s="846"/>
      <c r="L1199" s="846"/>
      <c r="M1199" s="846"/>
      <c r="N1199" s="846"/>
      <c r="O1199" s="846"/>
    </row>
    <row r="1200" spans="1:15" ht="20.100000000000001" customHeight="1">
      <c r="A1200" s="846"/>
      <c r="B1200" s="846"/>
      <c r="C1200" s="846"/>
      <c r="D1200" s="846"/>
      <c r="E1200" s="846"/>
      <c r="F1200" s="846"/>
      <c r="G1200" s="846"/>
      <c r="H1200" s="846"/>
      <c r="I1200" s="846"/>
      <c r="J1200" s="846"/>
      <c r="K1200" s="846"/>
      <c r="L1200" s="846"/>
      <c r="M1200" s="846"/>
      <c r="N1200" s="846"/>
      <c r="O1200" s="846"/>
    </row>
    <row r="1201" spans="1:15" ht="20.100000000000001" customHeight="1">
      <c r="A1201" s="846"/>
      <c r="B1201" s="846"/>
      <c r="C1201" s="846"/>
      <c r="D1201" s="846"/>
      <c r="E1201" s="846"/>
      <c r="F1201" s="846"/>
      <c r="G1201" s="846"/>
      <c r="H1201" s="846"/>
      <c r="I1201" s="846"/>
      <c r="J1201" s="846"/>
      <c r="K1201" s="846"/>
      <c r="L1201" s="846"/>
      <c r="M1201" s="846"/>
      <c r="N1201" s="846"/>
      <c r="O1201" s="846"/>
    </row>
    <row r="1202" spans="1:15" ht="20.100000000000001" customHeight="1">
      <c r="A1202" s="846"/>
      <c r="B1202" s="846"/>
      <c r="C1202" s="846"/>
      <c r="D1202" s="846"/>
      <c r="E1202" s="846"/>
      <c r="F1202" s="846"/>
      <c r="G1202" s="846"/>
      <c r="H1202" s="846"/>
      <c r="I1202" s="846"/>
      <c r="J1202" s="846"/>
      <c r="K1202" s="846"/>
      <c r="L1202" s="846"/>
      <c r="M1202" s="846"/>
      <c r="N1202" s="846"/>
      <c r="O1202" s="846"/>
    </row>
    <row r="1203" spans="1:15" ht="20.100000000000001" customHeight="1">
      <c r="A1203" s="846"/>
      <c r="B1203" s="846"/>
      <c r="C1203" s="846"/>
      <c r="D1203" s="846"/>
      <c r="E1203" s="846"/>
      <c r="F1203" s="846"/>
      <c r="G1203" s="846"/>
      <c r="H1203" s="846"/>
      <c r="I1203" s="846"/>
      <c r="J1203" s="846"/>
      <c r="K1203" s="846"/>
      <c r="L1203" s="846"/>
      <c r="M1203" s="846"/>
      <c r="N1203" s="846"/>
      <c r="O1203" s="846"/>
    </row>
    <row r="1204" spans="1:15" ht="20.100000000000001" customHeight="1">
      <c r="A1204" s="846"/>
      <c r="B1204" s="846"/>
      <c r="C1204" s="846"/>
      <c r="D1204" s="846"/>
      <c r="E1204" s="846"/>
      <c r="F1204" s="846"/>
      <c r="G1204" s="846"/>
      <c r="H1204" s="846"/>
      <c r="I1204" s="846"/>
      <c r="J1204" s="846"/>
      <c r="K1204" s="846"/>
      <c r="L1204" s="846"/>
      <c r="M1204" s="846"/>
      <c r="N1204" s="846"/>
      <c r="O1204" s="846"/>
    </row>
    <row r="1205" spans="1:15" ht="20.100000000000001" customHeight="1">
      <c r="A1205" s="846"/>
      <c r="B1205" s="846"/>
      <c r="C1205" s="846"/>
      <c r="D1205" s="846"/>
      <c r="E1205" s="846"/>
      <c r="F1205" s="846"/>
      <c r="G1205" s="846"/>
      <c r="H1205" s="846"/>
      <c r="I1205" s="846"/>
      <c r="J1205" s="846"/>
      <c r="K1205" s="846"/>
      <c r="L1205" s="846"/>
      <c r="M1205" s="846"/>
      <c r="N1205" s="846"/>
      <c r="O1205" s="846"/>
    </row>
    <row r="1206" spans="1:15" ht="20.100000000000001" customHeight="1">
      <c r="A1206" s="846"/>
      <c r="B1206" s="846"/>
      <c r="C1206" s="846"/>
      <c r="D1206" s="846"/>
      <c r="E1206" s="846"/>
      <c r="F1206" s="846"/>
      <c r="G1206" s="846"/>
      <c r="H1206" s="846"/>
      <c r="I1206" s="846"/>
      <c r="J1206" s="846"/>
      <c r="K1206" s="846"/>
      <c r="L1206" s="846"/>
      <c r="M1206" s="846"/>
      <c r="N1206" s="846"/>
      <c r="O1206" s="846"/>
    </row>
    <row r="1207" spans="1:15" ht="20.100000000000001" customHeight="1">
      <c r="A1207" s="846"/>
      <c r="B1207" s="846"/>
      <c r="C1207" s="846"/>
      <c r="D1207" s="846"/>
      <c r="E1207" s="846"/>
      <c r="F1207" s="846"/>
      <c r="G1207" s="846"/>
      <c r="H1207" s="846"/>
      <c r="I1207" s="846"/>
      <c r="J1207" s="846"/>
      <c r="K1207" s="846"/>
      <c r="L1207" s="846"/>
      <c r="M1207" s="846"/>
      <c r="N1207" s="846"/>
      <c r="O1207" s="846"/>
    </row>
    <row r="1208" spans="1:15" ht="20.100000000000001" customHeight="1">
      <c r="A1208" s="846"/>
      <c r="B1208" s="846"/>
      <c r="C1208" s="846"/>
      <c r="D1208" s="846"/>
      <c r="E1208" s="846"/>
      <c r="F1208" s="846"/>
      <c r="G1208" s="846"/>
      <c r="H1208" s="846"/>
      <c r="I1208" s="846"/>
      <c r="J1208" s="846"/>
      <c r="K1208" s="846"/>
      <c r="L1208" s="846"/>
      <c r="M1208" s="846"/>
      <c r="N1208" s="846"/>
      <c r="O1208" s="846"/>
    </row>
    <row r="1209" spans="1:15" ht="20.100000000000001" customHeight="1">
      <c r="A1209" s="846"/>
      <c r="B1209" s="846"/>
      <c r="C1209" s="846"/>
      <c r="D1209" s="846"/>
      <c r="E1209" s="846"/>
      <c r="F1209" s="846"/>
      <c r="G1209" s="846"/>
      <c r="H1209" s="846"/>
      <c r="I1209" s="846"/>
      <c r="J1209" s="846"/>
      <c r="K1209" s="846"/>
      <c r="L1209" s="846"/>
      <c r="M1209" s="846"/>
      <c r="N1209" s="846"/>
      <c r="O1209" s="846"/>
    </row>
    <row r="1210" spans="1:15" ht="20.100000000000001" customHeight="1">
      <c r="A1210" s="846"/>
      <c r="B1210" s="846"/>
      <c r="C1210" s="846"/>
      <c r="D1210" s="846"/>
      <c r="E1210" s="846"/>
      <c r="F1210" s="846"/>
      <c r="G1210" s="846"/>
      <c r="H1210" s="846"/>
      <c r="I1210" s="846"/>
      <c r="J1210" s="846"/>
      <c r="K1210" s="846"/>
      <c r="L1210" s="846"/>
      <c r="M1210" s="846"/>
      <c r="N1210" s="846"/>
      <c r="O1210" s="846"/>
    </row>
    <row r="1211" spans="1:15" ht="20.100000000000001" customHeight="1">
      <c r="A1211" s="846"/>
      <c r="B1211" s="846"/>
      <c r="C1211" s="846"/>
      <c r="D1211" s="846"/>
      <c r="E1211" s="846"/>
      <c r="F1211" s="846"/>
      <c r="G1211" s="846"/>
      <c r="H1211" s="846"/>
      <c r="I1211" s="846"/>
      <c r="J1211" s="846"/>
      <c r="K1211" s="846"/>
      <c r="L1211" s="846"/>
      <c r="M1211" s="846"/>
      <c r="N1211" s="846"/>
      <c r="O1211" s="846"/>
    </row>
    <row r="1212" spans="1:15" ht="20.100000000000001" customHeight="1">
      <c r="A1212" s="846"/>
      <c r="B1212" s="846"/>
      <c r="C1212" s="846"/>
      <c r="D1212" s="846"/>
      <c r="E1212" s="846"/>
      <c r="F1212" s="846"/>
      <c r="G1212" s="846"/>
      <c r="H1212" s="846"/>
      <c r="I1212" s="846"/>
      <c r="J1212" s="846"/>
      <c r="K1212" s="846"/>
      <c r="L1212" s="846"/>
      <c r="M1212" s="846"/>
      <c r="N1212" s="846"/>
      <c r="O1212" s="846"/>
    </row>
    <row r="1213" spans="1:15" ht="20.100000000000001" customHeight="1">
      <c r="A1213" s="846"/>
      <c r="B1213" s="846"/>
      <c r="C1213" s="846"/>
      <c r="D1213" s="846"/>
      <c r="E1213" s="846"/>
      <c r="F1213" s="846"/>
      <c r="G1213" s="846"/>
      <c r="H1213" s="846"/>
      <c r="I1213" s="846"/>
      <c r="J1213" s="846"/>
      <c r="K1213" s="846"/>
      <c r="L1213" s="846"/>
      <c r="M1213" s="846"/>
      <c r="N1213" s="846"/>
      <c r="O1213" s="846"/>
    </row>
    <row r="1214" spans="1:15" ht="20.100000000000001" customHeight="1">
      <c r="A1214" s="846"/>
      <c r="B1214" s="846"/>
      <c r="C1214" s="846"/>
      <c r="D1214" s="846"/>
      <c r="E1214" s="846"/>
      <c r="F1214" s="846"/>
      <c r="G1214" s="846"/>
      <c r="H1214" s="846"/>
      <c r="I1214" s="846"/>
      <c r="J1214" s="846"/>
      <c r="K1214" s="846"/>
      <c r="L1214" s="846"/>
      <c r="M1214" s="846"/>
      <c r="N1214" s="846"/>
      <c r="O1214" s="846"/>
    </row>
    <row r="1215" spans="1:15" ht="20.100000000000001" customHeight="1">
      <c r="A1215" s="846"/>
      <c r="B1215" s="846"/>
      <c r="C1215" s="846"/>
      <c r="D1215" s="846"/>
      <c r="E1215" s="846"/>
      <c r="F1215" s="846"/>
      <c r="G1215" s="846"/>
      <c r="H1215" s="846"/>
      <c r="I1215" s="846"/>
      <c r="J1215" s="846"/>
      <c r="K1215" s="846"/>
      <c r="L1215" s="846"/>
      <c r="M1215" s="846"/>
      <c r="N1215" s="846"/>
      <c r="O1215" s="846"/>
    </row>
    <row r="1216" spans="1:15" ht="20.100000000000001" customHeight="1">
      <c r="A1216" s="846"/>
      <c r="B1216" s="846"/>
      <c r="C1216" s="846"/>
      <c r="D1216" s="846"/>
      <c r="E1216" s="846"/>
      <c r="F1216" s="846"/>
      <c r="G1216" s="846"/>
      <c r="H1216" s="846"/>
      <c r="I1216" s="846"/>
      <c r="J1216" s="846"/>
      <c r="K1216" s="846"/>
      <c r="L1216" s="846"/>
      <c r="M1216" s="846"/>
      <c r="N1216" s="846"/>
      <c r="O1216" s="846"/>
    </row>
    <row r="1217" spans="1:15" ht="20.100000000000001" customHeight="1">
      <c r="A1217" s="846"/>
      <c r="B1217" s="846"/>
      <c r="C1217" s="846"/>
      <c r="D1217" s="846"/>
      <c r="E1217" s="846"/>
      <c r="F1217" s="846"/>
      <c r="G1217" s="846"/>
      <c r="H1217" s="846"/>
      <c r="I1217" s="846"/>
      <c r="J1217" s="846"/>
      <c r="K1217" s="846"/>
      <c r="L1217" s="846"/>
      <c r="M1217" s="846"/>
      <c r="N1217" s="846"/>
      <c r="O1217" s="846"/>
    </row>
    <row r="1218" spans="1:15" ht="20.100000000000001" customHeight="1">
      <c r="A1218" s="846"/>
      <c r="B1218" s="846"/>
      <c r="C1218" s="846"/>
      <c r="D1218" s="846"/>
      <c r="E1218" s="846"/>
      <c r="F1218" s="846"/>
      <c r="G1218" s="846"/>
      <c r="H1218" s="846"/>
      <c r="I1218" s="846"/>
      <c r="J1218" s="846"/>
      <c r="K1218" s="846"/>
      <c r="L1218" s="846"/>
      <c r="M1218" s="846"/>
      <c r="N1218" s="846"/>
      <c r="O1218" s="846"/>
    </row>
    <row r="1219" spans="1:15" ht="20.100000000000001" customHeight="1">
      <c r="A1219" s="846"/>
      <c r="B1219" s="846"/>
      <c r="C1219" s="846"/>
      <c r="D1219" s="846"/>
      <c r="E1219" s="846"/>
      <c r="F1219" s="846"/>
      <c r="G1219" s="846"/>
      <c r="H1219" s="846"/>
      <c r="I1219" s="846"/>
      <c r="J1219" s="846"/>
      <c r="K1219" s="846"/>
      <c r="L1219" s="846"/>
      <c r="M1219" s="846"/>
      <c r="N1219" s="846"/>
      <c r="O1219" s="846"/>
    </row>
    <row r="1220" spans="1:15" ht="20.100000000000001" customHeight="1">
      <c r="A1220" s="846"/>
      <c r="B1220" s="846"/>
      <c r="C1220" s="846"/>
      <c r="D1220" s="846"/>
      <c r="E1220" s="846"/>
      <c r="F1220" s="846"/>
      <c r="G1220" s="846"/>
      <c r="H1220" s="846"/>
      <c r="I1220" s="846"/>
      <c r="J1220" s="846"/>
      <c r="K1220" s="846"/>
      <c r="L1220" s="846"/>
      <c r="M1220" s="846"/>
      <c r="N1220" s="846"/>
      <c r="O1220" s="846"/>
    </row>
    <row r="1221" spans="1:15" ht="20.100000000000001" customHeight="1">
      <c r="A1221" s="846"/>
      <c r="B1221" s="846"/>
      <c r="C1221" s="846"/>
      <c r="D1221" s="846"/>
      <c r="E1221" s="846"/>
      <c r="F1221" s="846"/>
      <c r="G1221" s="846"/>
      <c r="H1221" s="846"/>
      <c r="I1221" s="846"/>
      <c r="J1221" s="846"/>
      <c r="K1221" s="846"/>
      <c r="L1221" s="846"/>
      <c r="M1221" s="846"/>
      <c r="N1221" s="846"/>
      <c r="O1221" s="846"/>
    </row>
    <row r="1222" spans="1:15" ht="20.100000000000001" customHeight="1">
      <c r="A1222" s="846"/>
      <c r="B1222" s="846"/>
      <c r="C1222" s="846"/>
      <c r="D1222" s="846"/>
      <c r="E1222" s="846"/>
      <c r="F1222" s="846"/>
      <c r="G1222" s="846"/>
      <c r="H1222" s="846"/>
      <c r="I1222" s="846"/>
      <c r="J1222" s="846"/>
      <c r="K1222" s="846"/>
      <c r="L1222" s="846"/>
      <c r="M1222" s="846"/>
      <c r="N1222" s="846"/>
      <c r="O1222" s="846"/>
    </row>
    <row r="1223" spans="1:15" ht="20.100000000000001" customHeight="1">
      <c r="A1223" s="846"/>
      <c r="B1223" s="846"/>
      <c r="C1223" s="846"/>
      <c r="D1223" s="846"/>
      <c r="E1223" s="846"/>
      <c r="F1223" s="846"/>
      <c r="G1223" s="846"/>
      <c r="H1223" s="846"/>
      <c r="I1223" s="846"/>
      <c r="J1223" s="846"/>
      <c r="K1223" s="846"/>
      <c r="L1223" s="846"/>
      <c r="M1223" s="846"/>
      <c r="N1223" s="846"/>
      <c r="O1223" s="846"/>
    </row>
    <row r="1224" spans="1:15" ht="20.100000000000001" customHeight="1">
      <c r="A1224" s="846"/>
      <c r="B1224" s="846"/>
      <c r="C1224" s="846"/>
      <c r="D1224" s="846"/>
      <c r="E1224" s="846"/>
      <c r="F1224" s="846"/>
      <c r="G1224" s="846"/>
      <c r="H1224" s="846"/>
      <c r="I1224" s="846"/>
      <c r="J1224" s="846"/>
      <c r="K1224" s="846"/>
      <c r="L1224" s="846"/>
      <c r="M1224" s="846"/>
      <c r="N1224" s="846"/>
      <c r="O1224" s="846"/>
    </row>
    <row r="1225" spans="1:15" ht="20.100000000000001" customHeight="1">
      <c r="A1225" s="846"/>
      <c r="B1225" s="846"/>
      <c r="C1225" s="846"/>
      <c r="D1225" s="846"/>
      <c r="E1225" s="846"/>
      <c r="F1225" s="846"/>
      <c r="G1225" s="846"/>
      <c r="H1225" s="846"/>
      <c r="I1225" s="846"/>
      <c r="J1225" s="846"/>
      <c r="K1225" s="846"/>
      <c r="L1225" s="846"/>
      <c r="M1225" s="846"/>
      <c r="N1225" s="846"/>
      <c r="O1225" s="846"/>
    </row>
    <row r="1226" spans="1:15" ht="20.100000000000001" customHeight="1">
      <c r="A1226" s="846"/>
      <c r="B1226" s="846"/>
      <c r="C1226" s="846"/>
      <c r="D1226" s="846"/>
      <c r="E1226" s="846"/>
      <c r="F1226" s="846"/>
      <c r="G1226" s="846"/>
      <c r="H1226" s="846"/>
      <c r="I1226" s="846"/>
      <c r="J1226" s="846"/>
      <c r="K1226" s="846"/>
      <c r="L1226" s="846"/>
      <c r="M1226" s="846"/>
      <c r="N1226" s="846"/>
      <c r="O1226" s="846"/>
    </row>
    <row r="1227" spans="1:15" ht="20.100000000000001" customHeight="1">
      <c r="A1227" s="846"/>
      <c r="B1227" s="846"/>
      <c r="C1227" s="846"/>
      <c r="D1227" s="846"/>
      <c r="E1227" s="846"/>
      <c r="F1227" s="846"/>
      <c r="G1227" s="846"/>
      <c r="H1227" s="846"/>
      <c r="I1227" s="846"/>
      <c r="J1227" s="846"/>
      <c r="K1227" s="846"/>
      <c r="L1227" s="846"/>
      <c r="M1227" s="846"/>
      <c r="N1227" s="846"/>
      <c r="O1227" s="846"/>
    </row>
    <row r="1228" spans="1:15" ht="20.100000000000001" customHeight="1">
      <c r="A1228" s="846"/>
      <c r="B1228" s="846"/>
      <c r="C1228" s="846"/>
      <c r="D1228" s="846"/>
      <c r="E1228" s="846"/>
      <c r="F1228" s="846"/>
      <c r="G1228" s="846"/>
      <c r="H1228" s="846"/>
      <c r="I1228" s="846"/>
      <c r="J1228" s="846"/>
      <c r="K1228" s="846"/>
      <c r="L1228" s="846"/>
      <c r="M1228" s="846"/>
      <c r="N1228" s="846"/>
      <c r="O1228" s="846"/>
    </row>
    <row r="1229" spans="1:15" ht="20.100000000000001" customHeight="1">
      <c r="A1229" s="846"/>
      <c r="B1229" s="846"/>
      <c r="C1229" s="846"/>
      <c r="D1229" s="846"/>
      <c r="E1229" s="846"/>
      <c r="F1229" s="846"/>
      <c r="G1229" s="846"/>
      <c r="H1229" s="846"/>
      <c r="I1229" s="846"/>
      <c r="J1229" s="846"/>
      <c r="K1229" s="846"/>
      <c r="L1229" s="846"/>
      <c r="M1229" s="846"/>
      <c r="N1229" s="846"/>
      <c r="O1229" s="846"/>
    </row>
    <row r="1230" spans="1:15" ht="20.100000000000001" customHeight="1">
      <c r="A1230" s="846"/>
      <c r="B1230" s="846"/>
      <c r="C1230" s="846"/>
      <c r="D1230" s="846"/>
      <c r="E1230" s="846"/>
      <c r="F1230" s="846"/>
      <c r="G1230" s="846"/>
      <c r="H1230" s="846"/>
      <c r="I1230" s="846"/>
      <c r="J1230" s="846"/>
      <c r="K1230" s="846"/>
      <c r="L1230" s="846"/>
      <c r="M1230" s="846"/>
      <c r="N1230" s="846"/>
      <c r="O1230" s="846"/>
    </row>
    <row r="1231" spans="1:15" ht="20.100000000000001" customHeight="1">
      <c r="A1231" s="846"/>
      <c r="B1231" s="846"/>
      <c r="C1231" s="846"/>
      <c r="D1231" s="846"/>
      <c r="E1231" s="846"/>
      <c r="F1231" s="846"/>
      <c r="G1231" s="846"/>
      <c r="H1231" s="846"/>
      <c r="I1231" s="846"/>
      <c r="J1231" s="846"/>
      <c r="K1231" s="846"/>
      <c r="L1231" s="846"/>
      <c r="M1231" s="846"/>
      <c r="N1231" s="846"/>
      <c r="O1231" s="846"/>
    </row>
    <row r="1232" spans="1:15" ht="20.100000000000001" customHeight="1">
      <c r="A1232" s="846"/>
      <c r="B1232" s="846"/>
      <c r="C1232" s="846"/>
      <c r="D1232" s="846"/>
      <c r="E1232" s="846"/>
      <c r="F1232" s="846"/>
      <c r="G1232" s="846"/>
      <c r="H1232" s="846"/>
      <c r="I1232" s="846"/>
      <c r="J1232" s="846"/>
      <c r="K1232" s="846"/>
      <c r="L1232" s="846"/>
      <c r="M1232" s="846"/>
      <c r="N1232" s="846"/>
      <c r="O1232" s="846"/>
    </row>
    <row r="1233" spans="1:15" ht="20.100000000000001" customHeight="1">
      <c r="A1233" s="846"/>
      <c r="B1233" s="846"/>
      <c r="C1233" s="846"/>
      <c r="D1233" s="846"/>
      <c r="E1233" s="846"/>
      <c r="F1233" s="846"/>
      <c r="G1233" s="846"/>
      <c r="H1233" s="846"/>
      <c r="I1233" s="846"/>
      <c r="J1233" s="846"/>
      <c r="K1233" s="846"/>
      <c r="L1233" s="846"/>
      <c r="M1233" s="846"/>
      <c r="N1233" s="846"/>
      <c r="O1233" s="846"/>
    </row>
    <row r="1234" spans="1:15" ht="20.100000000000001" customHeight="1">
      <c r="A1234" s="846"/>
      <c r="B1234" s="846"/>
      <c r="C1234" s="846"/>
      <c r="D1234" s="846"/>
      <c r="E1234" s="846"/>
      <c r="F1234" s="846"/>
      <c r="G1234" s="846"/>
      <c r="H1234" s="846"/>
      <c r="I1234" s="846"/>
      <c r="J1234" s="846"/>
      <c r="K1234" s="846"/>
      <c r="L1234" s="846"/>
      <c r="M1234" s="846"/>
      <c r="N1234" s="846"/>
      <c r="O1234" s="846"/>
    </row>
    <row r="1235" spans="1:15" ht="20.100000000000001" customHeight="1">
      <c r="A1235" s="846"/>
      <c r="B1235" s="846"/>
      <c r="C1235" s="846"/>
      <c r="D1235" s="846"/>
      <c r="E1235" s="846"/>
      <c r="F1235" s="846"/>
      <c r="G1235" s="846"/>
      <c r="H1235" s="846"/>
      <c r="I1235" s="846"/>
      <c r="J1235" s="846"/>
      <c r="K1235" s="846"/>
      <c r="L1235" s="846"/>
      <c r="M1235" s="846"/>
      <c r="N1235" s="846"/>
      <c r="O1235" s="846"/>
    </row>
    <row r="1236" spans="1:15" ht="20.100000000000001" customHeight="1">
      <c r="A1236" s="846"/>
      <c r="B1236" s="846"/>
      <c r="C1236" s="846"/>
      <c r="D1236" s="846"/>
      <c r="E1236" s="846"/>
      <c r="F1236" s="846"/>
      <c r="G1236" s="846"/>
      <c r="H1236" s="846"/>
      <c r="I1236" s="846"/>
      <c r="J1236" s="846"/>
      <c r="K1236" s="846"/>
      <c r="L1236" s="846"/>
      <c r="M1236" s="846"/>
      <c r="N1236" s="846"/>
      <c r="O1236" s="846"/>
    </row>
    <row r="1237" spans="1:15" ht="20.100000000000001" customHeight="1">
      <c r="A1237" s="846"/>
      <c r="B1237" s="846"/>
      <c r="C1237" s="846"/>
      <c r="D1237" s="846"/>
      <c r="E1237" s="846"/>
      <c r="F1237" s="846"/>
      <c r="G1237" s="846"/>
      <c r="H1237" s="846"/>
      <c r="I1237" s="846"/>
      <c r="J1237" s="846"/>
      <c r="K1237" s="846"/>
      <c r="L1237" s="846"/>
      <c r="M1237" s="846"/>
      <c r="N1237" s="846"/>
      <c r="O1237" s="846"/>
    </row>
    <row r="1238" spans="1:15" ht="20.100000000000001" customHeight="1">
      <c r="A1238" s="846"/>
      <c r="B1238" s="846"/>
      <c r="C1238" s="846"/>
      <c r="D1238" s="846"/>
      <c r="E1238" s="846"/>
      <c r="F1238" s="846"/>
      <c r="G1238" s="846"/>
      <c r="H1238" s="846"/>
      <c r="I1238" s="846"/>
      <c r="J1238" s="846"/>
      <c r="K1238" s="846"/>
      <c r="L1238" s="846"/>
      <c r="M1238" s="846"/>
      <c r="N1238" s="846"/>
      <c r="O1238" s="846"/>
    </row>
    <row r="1239" spans="1:15" ht="20.100000000000001" customHeight="1">
      <c r="A1239" s="846"/>
      <c r="B1239" s="846"/>
      <c r="C1239" s="846"/>
      <c r="D1239" s="846"/>
      <c r="E1239" s="846"/>
      <c r="F1239" s="846"/>
      <c r="G1239" s="846"/>
      <c r="H1239" s="846"/>
      <c r="I1239" s="846"/>
      <c r="J1239" s="846"/>
      <c r="K1239" s="846"/>
      <c r="L1239" s="846"/>
      <c r="M1239" s="846"/>
      <c r="N1239" s="846"/>
      <c r="O1239" s="846"/>
    </row>
    <row r="1240" spans="1:15" ht="20.100000000000001" customHeight="1">
      <c r="A1240" s="846"/>
      <c r="B1240" s="846"/>
      <c r="C1240" s="846"/>
      <c r="D1240" s="846"/>
      <c r="E1240" s="846"/>
      <c r="F1240" s="846"/>
      <c r="G1240" s="846"/>
      <c r="H1240" s="846"/>
      <c r="I1240" s="846"/>
      <c r="J1240" s="846"/>
      <c r="K1240" s="846"/>
      <c r="L1240" s="846"/>
      <c r="M1240" s="846"/>
      <c r="N1240" s="846"/>
      <c r="O1240" s="846"/>
    </row>
    <row r="1241" spans="1:15" ht="20.100000000000001" customHeight="1">
      <c r="A1241" s="846"/>
      <c r="B1241" s="846"/>
      <c r="C1241" s="846"/>
      <c r="D1241" s="846"/>
      <c r="E1241" s="846"/>
      <c r="F1241" s="846"/>
      <c r="G1241" s="846"/>
      <c r="H1241" s="846"/>
      <c r="I1241" s="846"/>
      <c r="J1241" s="846"/>
      <c r="K1241" s="846"/>
      <c r="L1241" s="846"/>
      <c r="M1241" s="846"/>
      <c r="N1241" s="846"/>
      <c r="O1241" s="846"/>
    </row>
    <row r="1242" spans="1:15" ht="20.100000000000001" customHeight="1">
      <c r="A1242" s="846"/>
      <c r="B1242" s="846"/>
      <c r="C1242" s="846"/>
      <c r="D1242" s="846"/>
      <c r="E1242" s="846"/>
      <c r="F1242" s="846"/>
      <c r="G1242" s="846"/>
      <c r="H1242" s="846"/>
      <c r="I1242" s="846"/>
      <c r="J1242" s="846"/>
      <c r="K1242" s="846"/>
      <c r="L1242" s="846"/>
      <c r="M1242" s="846"/>
      <c r="N1242" s="846"/>
      <c r="O1242" s="846"/>
    </row>
    <row r="1243" spans="1:15" ht="20.100000000000001" customHeight="1">
      <c r="A1243" s="846"/>
      <c r="B1243" s="846"/>
      <c r="C1243" s="846"/>
      <c r="D1243" s="846"/>
      <c r="E1243" s="846"/>
      <c r="F1243" s="846"/>
      <c r="G1243" s="846"/>
      <c r="H1243" s="846"/>
      <c r="I1243" s="846"/>
      <c r="J1243" s="846"/>
      <c r="K1243" s="846"/>
      <c r="L1243" s="846"/>
      <c r="M1243" s="846"/>
      <c r="N1243" s="846"/>
      <c r="O1243" s="846"/>
    </row>
    <row r="1244" spans="1:15" ht="20.100000000000001" customHeight="1">
      <c r="A1244" s="846"/>
      <c r="B1244" s="846"/>
      <c r="C1244" s="846"/>
      <c r="D1244" s="846"/>
      <c r="E1244" s="846"/>
      <c r="F1244" s="846"/>
      <c r="G1244" s="846"/>
      <c r="H1244" s="846"/>
      <c r="I1244" s="846"/>
      <c r="J1244" s="846"/>
      <c r="K1244" s="846"/>
      <c r="L1244" s="846"/>
      <c r="M1244" s="846"/>
      <c r="N1244" s="846"/>
      <c r="O1244" s="846"/>
    </row>
    <row r="1245" spans="1:15" ht="20.100000000000001" customHeight="1">
      <c r="A1245" s="846"/>
      <c r="B1245" s="846"/>
      <c r="C1245" s="846"/>
      <c r="D1245" s="846"/>
      <c r="E1245" s="846"/>
      <c r="F1245" s="846"/>
      <c r="G1245" s="846"/>
      <c r="H1245" s="846"/>
      <c r="I1245" s="846"/>
      <c r="J1245" s="846"/>
      <c r="K1245" s="846"/>
      <c r="L1245" s="846"/>
      <c r="M1245" s="846"/>
      <c r="N1245" s="846"/>
      <c r="O1245" s="846"/>
    </row>
    <row r="1246" spans="1:15" ht="20.100000000000001" customHeight="1">
      <c r="A1246" s="846"/>
      <c r="B1246" s="846"/>
      <c r="C1246" s="846"/>
      <c r="D1246" s="846"/>
      <c r="E1246" s="846"/>
      <c r="F1246" s="846"/>
      <c r="G1246" s="846"/>
      <c r="H1246" s="846"/>
      <c r="I1246" s="846"/>
      <c r="J1246" s="846"/>
      <c r="K1246" s="846"/>
      <c r="L1246" s="846"/>
      <c r="M1246" s="846"/>
      <c r="N1246" s="846"/>
      <c r="O1246" s="846"/>
    </row>
    <row r="1247" spans="1:15" ht="20.100000000000001" customHeight="1">
      <c r="A1247" s="846"/>
      <c r="B1247" s="846"/>
      <c r="C1247" s="846"/>
      <c r="D1247" s="846"/>
      <c r="E1247" s="846"/>
      <c r="F1247" s="846"/>
      <c r="G1247" s="846"/>
      <c r="H1247" s="846"/>
      <c r="I1247" s="846"/>
      <c r="J1247" s="846"/>
      <c r="K1247" s="846"/>
      <c r="L1247" s="846"/>
      <c r="M1247" s="846"/>
      <c r="N1247" s="846"/>
      <c r="O1247" s="846"/>
    </row>
    <row r="1248" spans="1:15" ht="20.100000000000001" customHeight="1">
      <c r="A1248" s="846"/>
      <c r="B1248" s="846"/>
      <c r="C1248" s="846"/>
      <c r="D1248" s="846"/>
      <c r="E1248" s="846"/>
      <c r="F1248" s="846"/>
      <c r="G1248" s="846"/>
      <c r="H1248" s="846"/>
      <c r="I1248" s="846"/>
      <c r="J1248" s="846"/>
      <c r="K1248" s="846"/>
      <c r="L1248" s="846"/>
      <c r="M1248" s="846"/>
      <c r="N1248" s="846"/>
      <c r="O1248" s="846"/>
    </row>
    <row r="1249" spans="1:15" ht="20.100000000000001" customHeight="1">
      <c r="A1249" s="846"/>
      <c r="B1249" s="846"/>
      <c r="C1249" s="846"/>
      <c r="D1249" s="846"/>
      <c r="E1249" s="846"/>
      <c r="F1249" s="846"/>
      <c r="G1249" s="846"/>
      <c r="H1249" s="846"/>
      <c r="I1249" s="846"/>
      <c r="J1249" s="846"/>
      <c r="K1249" s="846"/>
      <c r="L1249" s="846"/>
      <c r="M1249" s="846"/>
      <c r="N1249" s="846"/>
      <c r="O1249" s="846"/>
    </row>
    <row r="1250" spans="1:15" ht="20.100000000000001" customHeight="1">
      <c r="A1250" s="846"/>
      <c r="B1250" s="846"/>
      <c r="C1250" s="846"/>
      <c r="D1250" s="846"/>
      <c r="E1250" s="846"/>
      <c r="F1250" s="846"/>
      <c r="G1250" s="846"/>
      <c r="H1250" s="846"/>
      <c r="I1250" s="846"/>
      <c r="J1250" s="846"/>
      <c r="K1250" s="846"/>
      <c r="L1250" s="846"/>
      <c r="M1250" s="846"/>
      <c r="N1250" s="846"/>
      <c r="O1250" s="846"/>
    </row>
    <row r="1251" spans="1:15" ht="20.100000000000001" customHeight="1">
      <c r="A1251" s="846"/>
      <c r="B1251" s="846"/>
      <c r="C1251" s="846"/>
      <c r="D1251" s="846"/>
      <c r="E1251" s="846"/>
      <c r="F1251" s="846"/>
      <c r="G1251" s="846"/>
      <c r="H1251" s="846"/>
      <c r="I1251" s="846"/>
      <c r="J1251" s="846"/>
      <c r="K1251" s="846"/>
      <c r="L1251" s="846"/>
      <c r="M1251" s="846"/>
      <c r="N1251" s="846"/>
      <c r="O1251" s="846"/>
    </row>
    <row r="1252" spans="1:15" ht="20.100000000000001" customHeight="1">
      <c r="A1252" s="846"/>
      <c r="B1252" s="846"/>
      <c r="C1252" s="846"/>
      <c r="D1252" s="846"/>
      <c r="E1252" s="846"/>
      <c r="F1252" s="846"/>
      <c r="G1252" s="846"/>
      <c r="H1252" s="846"/>
      <c r="I1252" s="846"/>
      <c r="J1252" s="846"/>
      <c r="K1252" s="846"/>
      <c r="L1252" s="846"/>
      <c r="M1252" s="846"/>
      <c r="N1252" s="846"/>
      <c r="O1252" s="846"/>
    </row>
    <row r="1253" spans="1:15" ht="20.100000000000001" customHeight="1">
      <c r="A1253" s="846"/>
      <c r="B1253" s="846"/>
      <c r="C1253" s="846"/>
      <c r="D1253" s="846"/>
      <c r="E1253" s="846"/>
      <c r="F1253" s="846"/>
      <c r="G1253" s="846"/>
      <c r="H1253" s="846"/>
      <c r="I1253" s="846"/>
      <c r="J1253" s="846"/>
      <c r="K1253" s="846"/>
      <c r="L1253" s="846"/>
      <c r="M1253" s="846"/>
      <c r="N1253" s="846"/>
      <c r="O1253" s="846"/>
    </row>
    <row r="1254" spans="1:15" ht="20.100000000000001" customHeight="1">
      <c r="A1254" s="846"/>
      <c r="B1254" s="846"/>
      <c r="C1254" s="846"/>
      <c r="D1254" s="846"/>
      <c r="E1254" s="846"/>
      <c r="F1254" s="846"/>
      <c r="G1254" s="846"/>
      <c r="H1254" s="846"/>
      <c r="I1254" s="846"/>
      <c r="J1254" s="846"/>
      <c r="K1254" s="846"/>
      <c r="L1254" s="846"/>
      <c r="M1254" s="846"/>
      <c r="N1254" s="846"/>
      <c r="O1254" s="846"/>
    </row>
    <row r="1255" spans="1:15" ht="20.100000000000001" customHeight="1">
      <c r="A1255" s="846"/>
      <c r="B1255" s="846"/>
      <c r="C1255" s="846"/>
      <c r="D1255" s="846"/>
      <c r="E1255" s="846"/>
      <c r="F1255" s="846"/>
      <c r="G1255" s="846"/>
      <c r="H1255" s="846"/>
      <c r="I1255" s="846"/>
      <c r="J1255" s="846"/>
      <c r="K1255" s="846"/>
      <c r="L1255" s="846"/>
      <c r="M1255" s="846"/>
      <c r="N1255" s="846"/>
      <c r="O1255" s="846"/>
    </row>
    <row r="1256" spans="1:15" ht="20.100000000000001" customHeight="1">
      <c r="A1256" s="846"/>
      <c r="B1256" s="846"/>
      <c r="C1256" s="846"/>
      <c r="D1256" s="846"/>
      <c r="E1256" s="846"/>
      <c r="F1256" s="846"/>
      <c r="G1256" s="846"/>
      <c r="H1256" s="846"/>
      <c r="I1256" s="846"/>
      <c r="J1256" s="846"/>
      <c r="K1256" s="846"/>
      <c r="L1256" s="846"/>
      <c r="M1256" s="846"/>
      <c r="N1256" s="846"/>
      <c r="O1256" s="846"/>
    </row>
    <row r="1257" spans="1:15" ht="20.100000000000001" customHeight="1">
      <c r="A1257" s="846"/>
      <c r="B1257" s="846"/>
      <c r="C1257" s="846"/>
      <c r="D1257" s="846"/>
      <c r="E1257" s="846"/>
      <c r="F1257" s="846"/>
      <c r="G1257" s="846"/>
      <c r="H1257" s="846"/>
      <c r="I1257" s="846"/>
      <c r="J1257" s="846"/>
      <c r="K1257" s="846"/>
      <c r="L1257" s="846"/>
      <c r="M1257" s="846"/>
      <c r="N1257" s="846"/>
      <c r="O1257" s="846"/>
    </row>
    <row r="1258" spans="1:15" ht="20.100000000000001" customHeight="1">
      <c r="A1258" s="846"/>
      <c r="B1258" s="846"/>
      <c r="C1258" s="846"/>
      <c r="D1258" s="846"/>
      <c r="E1258" s="846"/>
      <c r="F1258" s="846"/>
      <c r="G1258" s="846"/>
      <c r="H1258" s="846"/>
      <c r="I1258" s="846"/>
      <c r="J1258" s="846"/>
      <c r="K1258" s="846"/>
      <c r="L1258" s="846"/>
      <c r="M1258" s="846"/>
      <c r="N1258" s="846"/>
      <c r="O1258" s="846"/>
    </row>
    <row r="1259" spans="1:15" ht="20.100000000000001" customHeight="1">
      <c r="A1259" s="846"/>
      <c r="B1259" s="846"/>
      <c r="C1259" s="846"/>
      <c r="D1259" s="846"/>
      <c r="E1259" s="846"/>
      <c r="F1259" s="846"/>
      <c r="G1259" s="846"/>
      <c r="H1259" s="846"/>
      <c r="I1259" s="846"/>
      <c r="J1259" s="846"/>
      <c r="K1259" s="846"/>
      <c r="L1259" s="846"/>
      <c r="M1259" s="846"/>
      <c r="N1259" s="846"/>
      <c r="O1259" s="846"/>
    </row>
    <row r="1260" spans="1:15" ht="20.100000000000001" customHeight="1">
      <c r="A1260" s="846"/>
      <c r="B1260" s="846"/>
      <c r="C1260" s="846"/>
      <c r="D1260" s="846"/>
      <c r="E1260" s="846"/>
      <c r="F1260" s="846"/>
      <c r="G1260" s="846"/>
      <c r="H1260" s="846"/>
      <c r="I1260" s="846"/>
      <c r="J1260" s="846"/>
      <c r="K1260" s="846"/>
      <c r="L1260" s="846"/>
      <c r="M1260" s="846"/>
      <c r="N1260" s="846"/>
      <c r="O1260" s="846"/>
    </row>
    <row r="1261" spans="1:15" ht="20.100000000000001" customHeight="1">
      <c r="A1261" s="846"/>
      <c r="B1261" s="846"/>
      <c r="C1261" s="846"/>
      <c r="D1261" s="846"/>
      <c r="E1261" s="846"/>
      <c r="F1261" s="846"/>
      <c r="G1261" s="846"/>
      <c r="H1261" s="846"/>
      <c r="I1261" s="846"/>
      <c r="J1261" s="846"/>
      <c r="K1261" s="846"/>
      <c r="L1261" s="846"/>
      <c r="M1261" s="846"/>
      <c r="N1261" s="846"/>
      <c r="O1261" s="846"/>
    </row>
    <row r="1262" spans="1:15" ht="20.100000000000001" customHeight="1">
      <c r="A1262" s="846"/>
      <c r="B1262" s="846"/>
      <c r="C1262" s="846"/>
      <c r="D1262" s="846"/>
      <c r="E1262" s="846"/>
      <c r="F1262" s="846"/>
      <c r="G1262" s="846"/>
      <c r="H1262" s="846"/>
      <c r="I1262" s="846"/>
      <c r="J1262" s="846"/>
      <c r="K1262" s="846"/>
      <c r="L1262" s="846"/>
      <c r="M1262" s="846"/>
      <c r="N1262" s="846"/>
      <c r="O1262" s="846"/>
    </row>
    <row r="1263" spans="1:15" ht="20.100000000000001" customHeight="1">
      <c r="A1263" s="846"/>
      <c r="B1263" s="846"/>
      <c r="C1263" s="846"/>
      <c r="D1263" s="846"/>
      <c r="E1263" s="846"/>
      <c r="F1263" s="846"/>
      <c r="G1263" s="846"/>
      <c r="H1263" s="846"/>
      <c r="I1263" s="846"/>
      <c r="J1263" s="846"/>
      <c r="K1263" s="846"/>
      <c r="L1263" s="846"/>
      <c r="M1263" s="846"/>
      <c r="N1263" s="846"/>
      <c r="O1263" s="846"/>
    </row>
    <row r="1264" spans="1:15" ht="20.100000000000001" customHeight="1">
      <c r="A1264" s="846"/>
      <c r="B1264" s="846"/>
      <c r="C1264" s="846"/>
      <c r="D1264" s="846"/>
      <c r="E1264" s="846"/>
      <c r="F1264" s="846"/>
      <c r="G1264" s="846"/>
      <c r="H1264" s="846"/>
      <c r="I1264" s="846"/>
      <c r="J1264" s="846"/>
      <c r="K1264" s="846"/>
      <c r="L1264" s="846"/>
      <c r="M1264" s="846"/>
      <c r="N1264" s="846"/>
      <c r="O1264" s="846"/>
    </row>
    <row r="1265" spans="1:15" ht="20.100000000000001" customHeight="1">
      <c r="A1265" s="846"/>
      <c r="B1265" s="846"/>
      <c r="C1265" s="846"/>
      <c r="D1265" s="846"/>
      <c r="E1265" s="846"/>
      <c r="F1265" s="846"/>
      <c r="G1265" s="846"/>
      <c r="H1265" s="846"/>
      <c r="I1265" s="846"/>
      <c r="J1265" s="846"/>
      <c r="K1265" s="846"/>
      <c r="L1265" s="846"/>
      <c r="M1265" s="846"/>
      <c r="N1265" s="846"/>
      <c r="O1265" s="846"/>
    </row>
    <row r="1266" spans="1:15" ht="20.100000000000001" customHeight="1">
      <c r="A1266" s="846"/>
      <c r="B1266" s="846"/>
      <c r="C1266" s="846"/>
      <c r="D1266" s="846"/>
      <c r="E1266" s="846"/>
      <c r="F1266" s="846"/>
      <c r="G1266" s="846"/>
      <c r="H1266" s="846"/>
      <c r="I1266" s="846"/>
      <c r="J1266" s="846"/>
      <c r="K1266" s="846"/>
      <c r="L1266" s="846"/>
      <c r="M1266" s="846"/>
      <c r="N1266" s="846"/>
      <c r="O1266" s="846"/>
    </row>
    <row r="1267" spans="1:15" ht="20.100000000000001" customHeight="1">
      <c r="A1267" s="846"/>
      <c r="B1267" s="846"/>
      <c r="C1267" s="846"/>
      <c r="D1267" s="846"/>
      <c r="E1267" s="846"/>
      <c r="F1267" s="846"/>
      <c r="G1267" s="846"/>
      <c r="H1267" s="846"/>
      <c r="I1267" s="846"/>
      <c r="J1267" s="846"/>
      <c r="K1267" s="846"/>
      <c r="L1267" s="846"/>
      <c r="M1267" s="846"/>
      <c r="N1267" s="846"/>
      <c r="O1267" s="846"/>
    </row>
    <row r="1268" spans="1:15" ht="20.100000000000001" customHeight="1">
      <c r="A1268" s="846"/>
      <c r="B1268" s="846"/>
      <c r="C1268" s="846"/>
      <c r="D1268" s="846"/>
      <c r="E1268" s="846"/>
      <c r="F1268" s="846"/>
      <c r="G1268" s="846"/>
      <c r="H1268" s="846"/>
      <c r="I1268" s="846"/>
      <c r="J1268" s="846"/>
      <c r="K1268" s="846"/>
      <c r="L1268" s="846"/>
      <c r="M1268" s="846"/>
      <c r="N1268" s="846"/>
      <c r="O1268" s="846"/>
    </row>
    <row r="1269" spans="1:15" ht="20.100000000000001" customHeight="1">
      <c r="A1269" s="846"/>
      <c r="B1269" s="846"/>
      <c r="C1269" s="846"/>
      <c r="D1269" s="846"/>
      <c r="E1269" s="846"/>
      <c r="F1269" s="846"/>
      <c r="G1269" s="846"/>
      <c r="H1269" s="846"/>
      <c r="I1269" s="846"/>
      <c r="J1269" s="846"/>
      <c r="K1269" s="846"/>
      <c r="L1269" s="846"/>
      <c r="M1269" s="846"/>
      <c r="N1269" s="846"/>
      <c r="O1269" s="846"/>
    </row>
    <row r="1270" spans="1:15" ht="20.100000000000001" customHeight="1">
      <c r="A1270" s="846"/>
      <c r="B1270" s="846"/>
      <c r="C1270" s="846"/>
      <c r="D1270" s="846"/>
      <c r="E1270" s="846"/>
      <c r="F1270" s="846"/>
      <c r="G1270" s="846"/>
      <c r="H1270" s="846"/>
      <c r="I1270" s="846"/>
      <c r="J1270" s="846"/>
      <c r="K1270" s="846"/>
      <c r="L1270" s="846"/>
      <c r="M1270" s="846"/>
      <c r="N1270" s="846"/>
      <c r="O1270" s="846"/>
    </row>
    <row r="1271" spans="1:15" ht="20.100000000000001" customHeight="1">
      <c r="A1271" s="846"/>
      <c r="B1271" s="846"/>
      <c r="C1271" s="846"/>
      <c r="D1271" s="846"/>
      <c r="E1271" s="846"/>
      <c r="F1271" s="846"/>
      <c r="G1271" s="846"/>
      <c r="H1271" s="846"/>
      <c r="I1271" s="846"/>
      <c r="J1271" s="846"/>
      <c r="K1271" s="846"/>
      <c r="L1271" s="846"/>
      <c r="M1271" s="846"/>
      <c r="N1271" s="846"/>
      <c r="O1271" s="846"/>
    </row>
    <row r="1272" spans="1:15" ht="20.100000000000001" customHeight="1">
      <c r="A1272" s="846"/>
      <c r="B1272" s="846"/>
      <c r="C1272" s="846"/>
      <c r="D1272" s="846"/>
      <c r="E1272" s="846"/>
      <c r="F1272" s="846"/>
      <c r="G1272" s="846"/>
      <c r="H1272" s="846"/>
      <c r="I1272" s="846"/>
      <c r="J1272" s="846"/>
      <c r="K1272" s="846"/>
      <c r="L1272" s="846"/>
      <c r="M1272" s="846"/>
      <c r="N1272" s="846"/>
      <c r="O1272" s="846"/>
    </row>
    <row r="1273" spans="1:15" ht="20.100000000000001" customHeight="1">
      <c r="A1273" s="846"/>
      <c r="B1273" s="846"/>
      <c r="C1273" s="846"/>
      <c r="D1273" s="846"/>
      <c r="E1273" s="846"/>
      <c r="F1273" s="846"/>
      <c r="G1273" s="846"/>
      <c r="H1273" s="846"/>
      <c r="I1273" s="846"/>
      <c r="J1273" s="846"/>
      <c r="K1273" s="846"/>
      <c r="L1273" s="846"/>
      <c r="M1273" s="846"/>
      <c r="N1273" s="846"/>
      <c r="O1273" s="846"/>
    </row>
    <row r="1274" spans="1:15" ht="20.100000000000001" customHeight="1">
      <c r="A1274" s="846"/>
      <c r="B1274" s="846"/>
      <c r="C1274" s="846"/>
      <c r="D1274" s="846"/>
      <c r="E1274" s="846"/>
      <c r="F1274" s="846"/>
      <c r="G1274" s="846"/>
      <c r="H1274" s="846"/>
      <c r="I1274" s="846"/>
      <c r="J1274" s="846"/>
      <c r="K1274" s="846"/>
      <c r="L1274" s="846"/>
      <c r="M1274" s="846"/>
      <c r="N1274" s="846"/>
      <c r="O1274" s="846"/>
    </row>
    <row r="1275" spans="1:15" ht="20.100000000000001" customHeight="1">
      <c r="A1275" s="846"/>
      <c r="B1275" s="846"/>
      <c r="C1275" s="846"/>
      <c r="D1275" s="846"/>
      <c r="E1275" s="846"/>
      <c r="F1275" s="846"/>
      <c r="G1275" s="846"/>
      <c r="H1275" s="846"/>
      <c r="I1275" s="846"/>
      <c r="J1275" s="846"/>
      <c r="K1275" s="846"/>
      <c r="L1275" s="846"/>
      <c r="M1275" s="846"/>
      <c r="N1275" s="846"/>
      <c r="O1275" s="846"/>
    </row>
    <row r="1276" spans="1:15" ht="20.100000000000001" customHeight="1">
      <c r="A1276" s="846"/>
      <c r="B1276" s="846"/>
      <c r="C1276" s="846"/>
      <c r="D1276" s="846"/>
      <c r="E1276" s="846"/>
      <c r="F1276" s="846"/>
      <c r="G1276" s="846"/>
      <c r="H1276" s="846"/>
      <c r="I1276" s="846"/>
      <c r="J1276" s="846"/>
      <c r="K1276" s="846"/>
      <c r="L1276" s="846"/>
      <c r="M1276" s="846"/>
      <c r="N1276" s="846"/>
      <c r="O1276" s="846"/>
    </row>
    <row r="1277" spans="1:15" ht="20.100000000000001" customHeight="1">
      <c r="A1277" s="846"/>
      <c r="B1277" s="846"/>
      <c r="C1277" s="846"/>
      <c r="D1277" s="846"/>
      <c r="E1277" s="846"/>
      <c r="F1277" s="846"/>
      <c r="G1277" s="846"/>
      <c r="H1277" s="846"/>
      <c r="I1277" s="846"/>
      <c r="J1277" s="846"/>
      <c r="K1277" s="846"/>
      <c r="L1277" s="846"/>
      <c r="M1277" s="846"/>
      <c r="N1277" s="846"/>
      <c r="O1277" s="846"/>
    </row>
    <row r="1278" spans="1:15" ht="20.100000000000001" customHeight="1">
      <c r="A1278" s="846"/>
      <c r="B1278" s="846"/>
      <c r="C1278" s="846"/>
      <c r="D1278" s="846"/>
      <c r="E1278" s="846"/>
      <c r="F1278" s="846"/>
      <c r="G1278" s="846"/>
      <c r="H1278" s="846"/>
      <c r="I1278" s="846"/>
      <c r="J1278" s="846"/>
      <c r="K1278" s="846"/>
      <c r="L1278" s="846"/>
      <c r="M1278" s="846"/>
      <c r="N1278" s="846"/>
      <c r="O1278" s="846"/>
    </row>
    <row r="1279" spans="1:15" ht="20.100000000000001" customHeight="1">
      <c r="A1279" s="846"/>
      <c r="B1279" s="846"/>
      <c r="C1279" s="846"/>
      <c r="D1279" s="846"/>
      <c r="E1279" s="846"/>
      <c r="F1279" s="846"/>
      <c r="G1279" s="846"/>
      <c r="H1279" s="846"/>
      <c r="I1279" s="846"/>
      <c r="J1279" s="846"/>
      <c r="K1279" s="846"/>
      <c r="L1279" s="846"/>
      <c r="M1279" s="846"/>
      <c r="N1279" s="846"/>
      <c r="O1279" s="846"/>
    </row>
    <row r="1280" spans="1:15" ht="20.100000000000001" customHeight="1">
      <c r="A1280" s="846"/>
      <c r="B1280" s="846"/>
      <c r="C1280" s="846"/>
      <c r="D1280" s="846"/>
      <c r="E1280" s="846"/>
      <c r="F1280" s="846"/>
      <c r="G1280" s="846"/>
      <c r="H1280" s="846"/>
      <c r="I1280" s="846"/>
      <c r="J1280" s="846"/>
      <c r="K1280" s="846"/>
      <c r="L1280" s="846"/>
      <c r="M1280" s="846"/>
      <c r="N1280" s="846"/>
      <c r="O1280" s="846"/>
    </row>
    <row r="1281" spans="1:15" ht="20.100000000000001" customHeight="1">
      <c r="A1281" s="846"/>
      <c r="B1281" s="846"/>
      <c r="C1281" s="846"/>
      <c r="D1281" s="846"/>
      <c r="E1281" s="846"/>
      <c r="F1281" s="846"/>
      <c r="G1281" s="846"/>
      <c r="H1281" s="846"/>
      <c r="I1281" s="846"/>
      <c r="J1281" s="846"/>
      <c r="K1281" s="846"/>
      <c r="L1281" s="846"/>
      <c r="M1281" s="846"/>
      <c r="N1281" s="846"/>
      <c r="O1281" s="846"/>
    </row>
    <row r="1282" spans="1:15" ht="20.100000000000001" customHeight="1">
      <c r="A1282" s="846"/>
      <c r="B1282" s="846"/>
      <c r="C1282" s="846"/>
      <c r="D1282" s="846"/>
      <c r="E1282" s="846"/>
      <c r="F1282" s="846"/>
      <c r="G1282" s="846"/>
      <c r="H1282" s="846"/>
      <c r="I1282" s="846"/>
      <c r="J1282" s="846"/>
      <c r="K1282" s="846"/>
      <c r="L1282" s="846"/>
      <c r="M1282" s="846"/>
      <c r="N1282" s="846"/>
      <c r="O1282" s="846"/>
    </row>
    <row r="1283" spans="1:15" ht="20.100000000000001" customHeight="1">
      <c r="A1283" s="846"/>
      <c r="B1283" s="846"/>
      <c r="C1283" s="846"/>
      <c r="D1283" s="846"/>
      <c r="E1283" s="846"/>
      <c r="F1283" s="846"/>
      <c r="G1283" s="846"/>
      <c r="H1283" s="846"/>
      <c r="I1283" s="846"/>
      <c r="J1283" s="846"/>
      <c r="K1283" s="846"/>
      <c r="L1283" s="846"/>
      <c r="M1283" s="846"/>
      <c r="N1283" s="846"/>
      <c r="O1283" s="846"/>
    </row>
    <row r="1284" spans="1:15" ht="20.100000000000001" customHeight="1">
      <c r="A1284" s="846"/>
      <c r="B1284" s="846"/>
      <c r="C1284" s="846"/>
      <c r="D1284" s="846"/>
      <c r="E1284" s="846"/>
      <c r="F1284" s="846"/>
      <c r="G1284" s="846"/>
      <c r="H1284" s="846"/>
      <c r="I1284" s="846"/>
      <c r="J1284" s="846"/>
      <c r="K1284" s="846"/>
      <c r="L1284" s="846"/>
      <c r="M1284" s="846"/>
      <c r="N1284" s="846"/>
      <c r="O1284" s="846"/>
    </row>
    <row r="1285" spans="1:15" ht="20.100000000000001" customHeight="1">
      <c r="A1285" s="846"/>
      <c r="B1285" s="846"/>
      <c r="C1285" s="846"/>
      <c r="D1285" s="846"/>
      <c r="E1285" s="846"/>
      <c r="F1285" s="846"/>
      <c r="G1285" s="846"/>
      <c r="H1285" s="846"/>
      <c r="I1285" s="846"/>
      <c r="J1285" s="846"/>
      <c r="K1285" s="846"/>
      <c r="L1285" s="846"/>
      <c r="M1285" s="846"/>
      <c r="N1285" s="846"/>
      <c r="O1285" s="846"/>
    </row>
    <row r="1286" spans="1:15" ht="20.100000000000001" customHeight="1">
      <c r="A1286" s="846"/>
      <c r="B1286" s="846"/>
      <c r="C1286" s="846"/>
      <c r="D1286" s="846"/>
      <c r="E1286" s="846"/>
      <c r="F1286" s="846"/>
      <c r="G1286" s="846"/>
      <c r="H1286" s="846"/>
      <c r="I1286" s="846"/>
      <c r="J1286" s="846"/>
      <c r="K1286" s="846"/>
      <c r="L1286" s="846"/>
      <c r="M1286" s="846"/>
      <c r="N1286" s="846"/>
      <c r="O1286" s="846"/>
    </row>
    <row r="1287" spans="1:15" ht="20.100000000000001" customHeight="1">
      <c r="A1287" s="846"/>
      <c r="B1287" s="846"/>
      <c r="C1287" s="846"/>
      <c r="D1287" s="846"/>
      <c r="E1287" s="846"/>
      <c r="F1287" s="846"/>
      <c r="G1287" s="846"/>
      <c r="H1287" s="846"/>
      <c r="I1287" s="846"/>
      <c r="J1287" s="846"/>
      <c r="K1287" s="846"/>
      <c r="L1287" s="846"/>
      <c r="M1287" s="846"/>
      <c r="N1287" s="846"/>
      <c r="O1287" s="846"/>
    </row>
    <row r="1288" spans="1:15" ht="20.100000000000001" customHeight="1">
      <c r="A1288" s="846"/>
      <c r="B1288" s="846"/>
      <c r="C1288" s="846"/>
      <c r="D1288" s="846"/>
      <c r="E1288" s="846"/>
      <c r="F1288" s="846"/>
      <c r="G1288" s="846"/>
      <c r="H1288" s="846"/>
      <c r="I1288" s="846"/>
      <c r="J1288" s="846"/>
      <c r="K1288" s="846"/>
      <c r="L1288" s="846"/>
      <c r="M1288" s="846"/>
      <c r="N1288" s="846"/>
      <c r="O1288" s="846"/>
    </row>
    <row r="1289" spans="1:15" ht="20.100000000000001" customHeight="1">
      <c r="A1289" s="846"/>
      <c r="B1289" s="846"/>
      <c r="C1289" s="846"/>
      <c r="D1289" s="846"/>
      <c r="E1289" s="846"/>
      <c r="F1289" s="846"/>
      <c r="G1289" s="846"/>
      <c r="H1289" s="846"/>
      <c r="I1289" s="846"/>
      <c r="J1289" s="846"/>
      <c r="K1289" s="846"/>
      <c r="L1289" s="846"/>
      <c r="M1289" s="846"/>
      <c r="N1289" s="846"/>
      <c r="O1289" s="846"/>
    </row>
    <row r="1290" spans="1:15" ht="20.100000000000001" customHeight="1">
      <c r="A1290" s="846"/>
      <c r="B1290" s="846"/>
      <c r="C1290" s="846"/>
      <c r="D1290" s="846"/>
      <c r="E1290" s="846"/>
      <c r="F1290" s="846"/>
      <c r="G1290" s="846"/>
      <c r="H1290" s="846"/>
      <c r="I1290" s="846"/>
      <c r="J1290" s="846"/>
      <c r="K1290" s="846"/>
      <c r="L1290" s="846"/>
      <c r="M1290" s="846"/>
      <c r="N1290" s="846"/>
      <c r="O1290" s="846"/>
    </row>
    <row r="1291" spans="1:15" ht="20.100000000000001" customHeight="1">
      <c r="A1291" s="846"/>
      <c r="B1291" s="846"/>
      <c r="C1291" s="846"/>
      <c r="D1291" s="846"/>
      <c r="E1291" s="846"/>
      <c r="F1291" s="846"/>
      <c r="G1291" s="846"/>
      <c r="H1291" s="846"/>
      <c r="I1291" s="846"/>
      <c r="J1291" s="846"/>
      <c r="K1291" s="846"/>
      <c r="L1291" s="846"/>
      <c r="M1291" s="846"/>
      <c r="N1291" s="846"/>
      <c r="O1291" s="846"/>
    </row>
    <row r="1292" spans="1:15" ht="20.100000000000001" customHeight="1">
      <c r="A1292" s="846"/>
      <c r="B1292" s="846"/>
      <c r="C1292" s="846"/>
      <c r="D1292" s="846"/>
      <c r="E1292" s="846"/>
      <c r="F1292" s="846"/>
      <c r="G1292" s="846"/>
      <c r="H1292" s="846"/>
      <c r="I1292" s="846"/>
      <c r="J1292" s="846"/>
      <c r="K1292" s="846"/>
      <c r="L1292" s="846"/>
      <c r="M1292" s="846"/>
      <c r="N1292" s="846"/>
      <c r="O1292" s="846"/>
    </row>
    <row r="1293" spans="1:15" ht="20.100000000000001" customHeight="1">
      <c r="A1293" s="846"/>
      <c r="B1293" s="846"/>
      <c r="C1293" s="846"/>
      <c r="D1293" s="846"/>
      <c r="E1293" s="846"/>
      <c r="F1293" s="846"/>
      <c r="G1293" s="846"/>
      <c r="H1293" s="846"/>
      <c r="I1293" s="846"/>
      <c r="J1293" s="846"/>
      <c r="K1293" s="846"/>
      <c r="L1293" s="846"/>
      <c r="M1293" s="846"/>
      <c r="N1293" s="846"/>
      <c r="O1293" s="846"/>
    </row>
    <row r="1294" spans="1:15" ht="20.100000000000001" customHeight="1">
      <c r="A1294" s="846"/>
      <c r="B1294" s="846"/>
      <c r="C1294" s="846"/>
      <c r="D1294" s="846"/>
      <c r="E1294" s="846"/>
      <c r="F1294" s="846"/>
      <c r="G1294" s="846"/>
      <c r="H1294" s="846"/>
      <c r="I1294" s="846"/>
      <c r="J1294" s="846"/>
      <c r="K1294" s="846"/>
      <c r="L1294" s="846"/>
      <c r="M1294" s="846"/>
      <c r="N1294" s="846"/>
      <c r="O1294" s="846"/>
    </row>
    <row r="1295" spans="1:15" ht="20.100000000000001" customHeight="1">
      <c r="A1295" s="846"/>
      <c r="B1295" s="846"/>
      <c r="C1295" s="846"/>
      <c r="D1295" s="846"/>
      <c r="E1295" s="846"/>
      <c r="F1295" s="846"/>
      <c r="G1295" s="846"/>
      <c r="H1295" s="846"/>
      <c r="I1295" s="846"/>
      <c r="J1295" s="846"/>
      <c r="K1295" s="846"/>
      <c r="L1295" s="846"/>
      <c r="M1295" s="846"/>
      <c r="N1295" s="846"/>
      <c r="O1295" s="846"/>
    </row>
    <row r="1296" spans="1:15" ht="20.100000000000001" customHeight="1">
      <c r="A1296" s="846"/>
      <c r="B1296" s="846"/>
      <c r="C1296" s="846"/>
      <c r="D1296" s="846"/>
      <c r="E1296" s="846"/>
      <c r="F1296" s="846"/>
      <c r="G1296" s="846"/>
      <c r="H1296" s="846"/>
      <c r="I1296" s="846"/>
      <c r="J1296" s="846"/>
      <c r="K1296" s="846"/>
      <c r="L1296" s="846"/>
      <c r="M1296" s="846"/>
      <c r="N1296" s="846"/>
      <c r="O1296" s="846"/>
    </row>
    <row r="1297" spans="1:15" ht="20.100000000000001" customHeight="1">
      <c r="A1297" s="846"/>
      <c r="B1297" s="846"/>
      <c r="C1297" s="846"/>
      <c r="D1297" s="846"/>
      <c r="E1297" s="846"/>
      <c r="F1297" s="846"/>
      <c r="G1297" s="846"/>
      <c r="H1297" s="846"/>
      <c r="I1297" s="846"/>
      <c r="J1297" s="846"/>
      <c r="K1297" s="846"/>
      <c r="L1297" s="846"/>
      <c r="M1297" s="846"/>
      <c r="N1297" s="846"/>
      <c r="O1297" s="846"/>
    </row>
    <row r="1298" spans="1:15" ht="20.100000000000001" customHeight="1">
      <c r="A1298" s="846"/>
      <c r="B1298" s="846"/>
      <c r="C1298" s="846"/>
      <c r="D1298" s="846"/>
      <c r="E1298" s="846"/>
      <c r="F1298" s="846"/>
      <c r="G1298" s="846"/>
      <c r="H1298" s="846"/>
      <c r="I1298" s="846"/>
      <c r="J1298" s="846"/>
      <c r="K1298" s="846"/>
      <c r="L1298" s="846"/>
      <c r="M1298" s="846"/>
      <c r="N1298" s="846"/>
      <c r="O1298" s="846"/>
    </row>
    <row r="1299" spans="1:15" ht="20.100000000000001" customHeight="1">
      <c r="A1299" s="846"/>
      <c r="B1299" s="846"/>
      <c r="C1299" s="846"/>
      <c r="D1299" s="846"/>
      <c r="E1299" s="846"/>
      <c r="F1299" s="846"/>
      <c r="G1299" s="846"/>
      <c r="H1299" s="846"/>
      <c r="I1299" s="846"/>
      <c r="J1299" s="846"/>
      <c r="K1299" s="846"/>
      <c r="L1299" s="846"/>
      <c r="M1299" s="846"/>
      <c r="N1299" s="846"/>
      <c r="O1299" s="846"/>
    </row>
    <row r="1300" spans="1:15" ht="20.100000000000001" customHeight="1">
      <c r="A1300" s="846"/>
      <c r="B1300" s="846"/>
      <c r="C1300" s="846"/>
      <c r="D1300" s="846"/>
      <c r="E1300" s="846"/>
      <c r="F1300" s="846"/>
      <c r="G1300" s="846"/>
      <c r="H1300" s="846"/>
      <c r="I1300" s="846"/>
      <c r="J1300" s="846"/>
      <c r="K1300" s="846"/>
      <c r="L1300" s="846"/>
      <c r="M1300" s="846"/>
      <c r="N1300" s="846"/>
      <c r="O1300" s="846"/>
    </row>
    <row r="1301" spans="1:15" ht="20.100000000000001" customHeight="1">
      <c r="A1301" s="846"/>
      <c r="B1301" s="846"/>
      <c r="C1301" s="846"/>
      <c r="D1301" s="846"/>
      <c r="E1301" s="846"/>
      <c r="F1301" s="846"/>
      <c r="G1301" s="846"/>
      <c r="H1301" s="846"/>
      <c r="I1301" s="846"/>
      <c r="J1301" s="846"/>
      <c r="K1301" s="846"/>
      <c r="L1301" s="846"/>
      <c r="M1301" s="846"/>
      <c r="N1301" s="846"/>
      <c r="O1301" s="846"/>
    </row>
    <row r="1302" spans="1:15" ht="20.100000000000001" customHeight="1">
      <c r="A1302" s="846"/>
      <c r="B1302" s="846"/>
      <c r="C1302" s="846"/>
      <c r="D1302" s="846"/>
      <c r="E1302" s="846"/>
      <c r="F1302" s="846"/>
      <c r="G1302" s="846"/>
      <c r="H1302" s="846"/>
      <c r="I1302" s="846"/>
      <c r="J1302" s="846"/>
      <c r="K1302" s="846"/>
      <c r="L1302" s="846"/>
      <c r="M1302" s="846"/>
      <c r="N1302" s="846"/>
      <c r="O1302" s="846"/>
    </row>
    <row r="1303" spans="1:15" ht="20.100000000000001" customHeight="1">
      <c r="A1303" s="846"/>
      <c r="B1303" s="846"/>
      <c r="C1303" s="846"/>
      <c r="D1303" s="846"/>
      <c r="E1303" s="846"/>
      <c r="F1303" s="846"/>
      <c r="G1303" s="846"/>
      <c r="H1303" s="846"/>
      <c r="I1303" s="846"/>
      <c r="J1303" s="846"/>
      <c r="K1303" s="846"/>
      <c r="L1303" s="846"/>
      <c r="M1303" s="846"/>
      <c r="N1303" s="846"/>
      <c r="O1303" s="846"/>
    </row>
    <row r="1304" spans="1:15" ht="20.100000000000001" customHeight="1">
      <c r="A1304" s="846"/>
      <c r="B1304" s="846"/>
      <c r="C1304" s="846"/>
      <c r="D1304" s="846"/>
      <c r="E1304" s="846"/>
      <c r="F1304" s="846"/>
      <c r="G1304" s="846"/>
      <c r="H1304" s="846"/>
      <c r="I1304" s="846"/>
      <c r="J1304" s="846"/>
      <c r="K1304" s="846"/>
      <c r="L1304" s="846"/>
      <c r="M1304" s="846"/>
      <c r="N1304" s="846"/>
      <c r="O1304" s="846"/>
    </row>
    <row r="1305" spans="1:15" ht="20.100000000000001" customHeight="1">
      <c r="A1305" s="846"/>
      <c r="B1305" s="846"/>
      <c r="C1305" s="846"/>
      <c r="D1305" s="846"/>
      <c r="E1305" s="846"/>
      <c r="F1305" s="846"/>
      <c r="G1305" s="846"/>
      <c r="H1305" s="846"/>
      <c r="I1305" s="846"/>
      <c r="J1305" s="846"/>
      <c r="K1305" s="846"/>
      <c r="L1305" s="846"/>
      <c r="M1305" s="846"/>
      <c r="N1305" s="846"/>
      <c r="O1305" s="846"/>
    </row>
    <row r="1306" spans="1:15" ht="20.100000000000001" customHeight="1">
      <c r="A1306" s="846"/>
      <c r="B1306" s="846"/>
      <c r="C1306" s="846"/>
      <c r="D1306" s="846"/>
      <c r="E1306" s="846"/>
      <c r="F1306" s="846"/>
      <c r="G1306" s="846"/>
      <c r="H1306" s="846"/>
      <c r="I1306" s="846"/>
      <c r="J1306" s="846"/>
      <c r="K1306" s="846"/>
      <c r="L1306" s="846"/>
      <c r="M1306" s="846"/>
      <c r="N1306" s="846"/>
      <c r="O1306" s="846"/>
    </row>
    <row r="1307" spans="1:15" ht="20.100000000000001" customHeight="1">
      <c r="A1307" s="846"/>
      <c r="B1307" s="846"/>
      <c r="C1307" s="846"/>
      <c r="D1307" s="846"/>
      <c r="E1307" s="846"/>
      <c r="F1307" s="846"/>
      <c r="G1307" s="846"/>
      <c r="H1307" s="846"/>
      <c r="I1307" s="846"/>
      <c r="J1307" s="846"/>
      <c r="K1307" s="846"/>
      <c r="L1307" s="846"/>
      <c r="M1307" s="846"/>
      <c r="N1307" s="846"/>
      <c r="O1307" s="846"/>
    </row>
    <row r="1308" spans="1:15" ht="20.100000000000001" customHeight="1">
      <c r="A1308" s="846"/>
      <c r="B1308" s="846"/>
      <c r="C1308" s="846"/>
      <c r="D1308" s="846"/>
      <c r="E1308" s="846"/>
      <c r="F1308" s="846"/>
      <c r="G1308" s="846"/>
      <c r="H1308" s="846"/>
      <c r="I1308" s="846"/>
      <c r="J1308" s="846"/>
      <c r="K1308" s="846"/>
      <c r="L1308" s="846"/>
      <c r="M1308" s="846"/>
      <c r="N1308" s="846"/>
      <c r="O1308" s="846"/>
    </row>
    <row r="1309" spans="1:15" ht="20.100000000000001" customHeight="1">
      <c r="A1309" s="846"/>
      <c r="B1309" s="846"/>
      <c r="C1309" s="846"/>
      <c r="D1309" s="846"/>
      <c r="E1309" s="846"/>
      <c r="F1309" s="846"/>
      <c r="G1309" s="846"/>
      <c r="H1309" s="846"/>
      <c r="I1309" s="846"/>
      <c r="J1309" s="846"/>
      <c r="K1309" s="846"/>
      <c r="L1309" s="846"/>
      <c r="M1309" s="846"/>
      <c r="N1309" s="846"/>
      <c r="O1309" s="846"/>
    </row>
    <row r="1310" spans="1:15" ht="20.100000000000001" customHeight="1">
      <c r="A1310" s="846"/>
      <c r="B1310" s="846"/>
      <c r="C1310" s="846"/>
      <c r="D1310" s="846"/>
      <c r="E1310" s="846"/>
      <c r="F1310" s="846"/>
      <c r="G1310" s="846"/>
      <c r="H1310" s="846"/>
      <c r="I1310" s="846"/>
      <c r="J1310" s="846"/>
      <c r="K1310" s="846"/>
      <c r="L1310" s="846"/>
      <c r="M1310" s="846"/>
      <c r="N1310" s="846"/>
      <c r="O1310" s="846"/>
    </row>
    <row r="1311" spans="1:15" ht="20.100000000000001" customHeight="1">
      <c r="A1311" s="846"/>
      <c r="B1311" s="846"/>
      <c r="C1311" s="846"/>
      <c r="D1311" s="846"/>
      <c r="E1311" s="846"/>
      <c r="F1311" s="846"/>
      <c r="G1311" s="846"/>
      <c r="H1311" s="846"/>
      <c r="I1311" s="846"/>
      <c r="J1311" s="846"/>
      <c r="K1311" s="846"/>
      <c r="L1311" s="846"/>
      <c r="M1311" s="846"/>
      <c r="N1311" s="846"/>
      <c r="O1311" s="846"/>
    </row>
    <row r="1312" spans="1:15" ht="20.100000000000001" customHeight="1">
      <c r="A1312" s="846"/>
      <c r="B1312" s="846"/>
      <c r="C1312" s="846"/>
      <c r="D1312" s="846"/>
      <c r="E1312" s="846"/>
      <c r="F1312" s="846"/>
      <c r="G1312" s="846"/>
      <c r="H1312" s="846"/>
      <c r="I1312" s="846"/>
      <c r="J1312" s="846"/>
      <c r="K1312" s="846"/>
      <c r="L1312" s="846"/>
      <c r="M1312" s="846"/>
      <c r="N1312" s="846"/>
      <c r="O1312" s="846"/>
    </row>
    <row r="1313" spans="1:15" ht="20.100000000000001" customHeight="1">
      <c r="A1313" s="846"/>
      <c r="B1313" s="846"/>
      <c r="C1313" s="846"/>
      <c r="D1313" s="846"/>
      <c r="E1313" s="846"/>
      <c r="F1313" s="846"/>
      <c r="G1313" s="846"/>
      <c r="H1313" s="846"/>
      <c r="I1313" s="846"/>
      <c r="J1313" s="846"/>
      <c r="K1313" s="846"/>
      <c r="L1313" s="846"/>
      <c r="M1313" s="846"/>
      <c r="N1313" s="846"/>
      <c r="O1313" s="846"/>
    </row>
    <row r="1314" spans="1:15" ht="20.100000000000001" customHeight="1">
      <c r="A1314" s="846"/>
      <c r="B1314" s="846"/>
      <c r="C1314" s="846"/>
      <c r="D1314" s="846"/>
      <c r="E1314" s="846"/>
      <c r="F1314" s="846"/>
      <c r="G1314" s="846"/>
      <c r="H1314" s="846"/>
      <c r="I1314" s="846"/>
      <c r="J1314" s="846"/>
      <c r="K1314" s="846"/>
      <c r="L1314" s="846"/>
      <c r="M1314" s="846"/>
      <c r="N1314" s="846"/>
      <c r="O1314" s="846"/>
    </row>
    <row r="1315" spans="1:15" ht="20.100000000000001" customHeight="1">
      <c r="A1315" s="846"/>
      <c r="B1315" s="846"/>
      <c r="C1315" s="846"/>
      <c r="D1315" s="846"/>
      <c r="E1315" s="846"/>
      <c r="F1315" s="846"/>
      <c r="G1315" s="846"/>
      <c r="H1315" s="846"/>
      <c r="I1315" s="846"/>
      <c r="J1315" s="846"/>
      <c r="K1315" s="846"/>
      <c r="L1315" s="846"/>
      <c r="M1315" s="846"/>
      <c r="N1315" s="846"/>
      <c r="O1315" s="846"/>
    </row>
    <row r="1316" spans="1:15" ht="20.100000000000001" customHeight="1">
      <c r="A1316" s="846"/>
      <c r="B1316" s="846"/>
      <c r="C1316" s="846"/>
      <c r="D1316" s="846"/>
      <c r="E1316" s="846"/>
      <c r="F1316" s="846"/>
      <c r="G1316" s="846"/>
      <c r="H1316" s="846"/>
      <c r="I1316" s="846"/>
      <c r="J1316" s="846"/>
      <c r="K1316" s="846"/>
      <c r="L1316" s="846"/>
      <c r="M1316" s="846"/>
      <c r="N1316" s="846"/>
      <c r="O1316" s="846"/>
    </row>
    <row r="1317" spans="1:15" ht="20.100000000000001" customHeight="1">
      <c r="A1317" s="846"/>
      <c r="B1317" s="846"/>
      <c r="C1317" s="846"/>
      <c r="D1317" s="846"/>
      <c r="E1317" s="846"/>
      <c r="F1317" s="846"/>
      <c r="G1317" s="846"/>
      <c r="H1317" s="846"/>
      <c r="I1317" s="846"/>
      <c r="J1317" s="846"/>
      <c r="K1317" s="846"/>
      <c r="L1317" s="846"/>
      <c r="M1317" s="846"/>
      <c r="N1317" s="846"/>
      <c r="O1317" s="846"/>
    </row>
    <row r="1318" spans="1:15" ht="20.100000000000001" customHeight="1">
      <c r="A1318" s="846"/>
      <c r="B1318" s="846"/>
      <c r="C1318" s="846"/>
      <c r="D1318" s="846"/>
      <c r="E1318" s="846"/>
      <c r="F1318" s="846"/>
      <c r="G1318" s="846"/>
      <c r="H1318" s="846"/>
      <c r="I1318" s="846"/>
      <c r="J1318" s="846"/>
      <c r="K1318" s="846"/>
      <c r="L1318" s="846"/>
      <c r="M1318" s="846"/>
      <c r="N1318" s="846"/>
      <c r="O1318" s="846"/>
    </row>
    <row r="1319" spans="1:15" ht="20.100000000000001" customHeight="1">
      <c r="A1319" s="846"/>
      <c r="B1319" s="846"/>
      <c r="C1319" s="846"/>
      <c r="D1319" s="846"/>
      <c r="E1319" s="846"/>
      <c r="F1319" s="846"/>
      <c r="G1319" s="846"/>
      <c r="H1319" s="846"/>
      <c r="I1319" s="846"/>
      <c r="J1319" s="846"/>
      <c r="K1319" s="846"/>
      <c r="L1319" s="846"/>
      <c r="M1319" s="846"/>
      <c r="N1319" s="846"/>
      <c r="O1319" s="846"/>
    </row>
    <row r="1320" spans="1:15" ht="20.100000000000001" customHeight="1">
      <c r="A1320" s="846"/>
      <c r="B1320" s="846"/>
      <c r="C1320" s="846"/>
      <c r="D1320" s="846"/>
      <c r="E1320" s="846"/>
      <c r="F1320" s="846"/>
      <c r="G1320" s="846"/>
      <c r="H1320" s="846"/>
      <c r="I1320" s="846"/>
      <c r="J1320" s="846"/>
      <c r="K1320" s="846"/>
      <c r="L1320" s="846"/>
      <c r="M1320" s="846"/>
      <c r="N1320" s="846"/>
      <c r="O1320" s="846"/>
    </row>
    <row r="1321" spans="1:15" ht="20.100000000000001" customHeight="1">
      <c r="A1321" s="846"/>
      <c r="B1321" s="846"/>
      <c r="C1321" s="846"/>
      <c r="D1321" s="846"/>
      <c r="E1321" s="846"/>
      <c r="F1321" s="846"/>
      <c r="G1321" s="846"/>
      <c r="H1321" s="846"/>
      <c r="I1321" s="846"/>
      <c r="J1321" s="846"/>
      <c r="K1321" s="846"/>
      <c r="L1321" s="846"/>
      <c r="M1321" s="846"/>
      <c r="N1321" s="846"/>
      <c r="O1321" s="846"/>
    </row>
    <row r="1322" spans="1:15" ht="20.100000000000001" customHeight="1">
      <c r="A1322" s="846"/>
      <c r="B1322" s="846"/>
      <c r="C1322" s="846"/>
      <c r="D1322" s="846"/>
      <c r="E1322" s="846"/>
      <c r="F1322" s="846"/>
      <c r="G1322" s="846"/>
      <c r="H1322" s="846"/>
      <c r="I1322" s="846"/>
      <c r="J1322" s="846"/>
      <c r="K1322" s="846"/>
      <c r="L1322" s="846"/>
      <c r="M1322" s="846"/>
      <c r="N1322" s="846"/>
      <c r="O1322" s="846"/>
    </row>
    <row r="1323" spans="1:15" ht="20.100000000000001" customHeight="1">
      <c r="A1323" s="846"/>
      <c r="B1323" s="846"/>
      <c r="C1323" s="846"/>
      <c r="D1323" s="846"/>
      <c r="E1323" s="846"/>
      <c r="F1323" s="846"/>
      <c r="G1323" s="846"/>
      <c r="H1323" s="846"/>
      <c r="I1323" s="846"/>
      <c r="J1323" s="846"/>
      <c r="K1323" s="846"/>
      <c r="L1323" s="846"/>
      <c r="M1323" s="846"/>
      <c r="N1323" s="846"/>
      <c r="O1323" s="846"/>
    </row>
    <row r="1324" spans="1:15" ht="20.100000000000001" customHeight="1">
      <c r="A1324" s="846"/>
      <c r="B1324" s="846"/>
      <c r="C1324" s="846"/>
      <c r="D1324" s="846"/>
      <c r="E1324" s="846"/>
      <c r="F1324" s="846"/>
      <c r="G1324" s="846"/>
      <c r="H1324" s="846"/>
      <c r="I1324" s="846"/>
      <c r="J1324" s="846"/>
      <c r="K1324" s="846"/>
      <c r="L1324" s="846"/>
      <c r="M1324" s="846"/>
      <c r="N1324" s="846"/>
      <c r="O1324" s="846"/>
    </row>
    <row r="1325" spans="1:15" ht="20.100000000000001" customHeight="1">
      <c r="A1325" s="846"/>
      <c r="B1325" s="846"/>
      <c r="C1325" s="846"/>
      <c r="D1325" s="846"/>
      <c r="E1325" s="846"/>
      <c r="F1325" s="846"/>
      <c r="G1325" s="846"/>
      <c r="H1325" s="846"/>
      <c r="I1325" s="846"/>
      <c r="J1325" s="846"/>
      <c r="K1325" s="846"/>
      <c r="L1325" s="846"/>
      <c r="M1325" s="846"/>
      <c r="N1325" s="846"/>
      <c r="O1325" s="846"/>
    </row>
    <row r="1326" spans="1:15" ht="20.100000000000001" customHeight="1">
      <c r="A1326" s="846"/>
      <c r="B1326" s="846"/>
      <c r="C1326" s="846"/>
      <c r="D1326" s="846"/>
      <c r="E1326" s="846"/>
      <c r="F1326" s="846"/>
      <c r="G1326" s="846"/>
      <c r="H1326" s="846"/>
      <c r="I1326" s="846"/>
      <c r="J1326" s="846"/>
      <c r="K1326" s="846"/>
      <c r="L1326" s="846"/>
      <c r="M1326" s="846"/>
      <c r="N1326" s="846"/>
      <c r="O1326" s="846"/>
    </row>
    <row r="1327" spans="1:15" ht="20.100000000000001" customHeight="1">
      <c r="A1327" s="846"/>
      <c r="B1327" s="846"/>
      <c r="C1327" s="846"/>
      <c r="D1327" s="846"/>
      <c r="E1327" s="846"/>
      <c r="F1327" s="846"/>
      <c r="G1327" s="846"/>
      <c r="H1327" s="846"/>
      <c r="I1327" s="846"/>
      <c r="J1327" s="846"/>
      <c r="K1327" s="846"/>
      <c r="L1327" s="846"/>
      <c r="M1327" s="846"/>
      <c r="N1327" s="846"/>
      <c r="O1327" s="846"/>
    </row>
    <row r="1328" spans="1:15" ht="20.100000000000001" customHeight="1">
      <c r="A1328" s="846"/>
      <c r="B1328" s="846"/>
      <c r="C1328" s="846"/>
      <c r="D1328" s="846"/>
      <c r="E1328" s="846"/>
      <c r="F1328" s="846"/>
      <c r="G1328" s="846"/>
      <c r="H1328" s="846"/>
      <c r="I1328" s="846"/>
      <c r="J1328" s="846"/>
      <c r="K1328" s="846"/>
      <c r="L1328" s="846"/>
      <c r="M1328" s="846"/>
      <c r="N1328" s="846"/>
      <c r="O1328" s="846"/>
    </row>
    <row r="1329" spans="1:15" ht="20.100000000000001" customHeight="1">
      <c r="A1329" s="846"/>
      <c r="B1329" s="846"/>
      <c r="C1329" s="846"/>
      <c r="D1329" s="846"/>
      <c r="E1329" s="846"/>
      <c r="F1329" s="846"/>
      <c r="G1329" s="846"/>
      <c r="H1329" s="846"/>
      <c r="I1329" s="846"/>
      <c r="J1329" s="846"/>
      <c r="K1329" s="846"/>
      <c r="L1329" s="846"/>
      <c r="M1329" s="846"/>
      <c r="N1329" s="846"/>
      <c r="O1329" s="846"/>
    </row>
    <row r="1330" spans="1:15" ht="20.100000000000001" customHeight="1">
      <c r="A1330" s="846"/>
      <c r="B1330" s="846"/>
      <c r="C1330" s="846"/>
      <c r="D1330" s="846"/>
      <c r="E1330" s="846"/>
      <c r="F1330" s="846"/>
      <c r="G1330" s="846"/>
      <c r="H1330" s="846"/>
      <c r="I1330" s="846"/>
      <c r="J1330" s="846"/>
      <c r="K1330" s="846"/>
      <c r="L1330" s="846"/>
      <c r="M1330" s="846"/>
      <c r="N1330" s="846"/>
      <c r="O1330" s="846"/>
    </row>
    <row r="1331" spans="1:15" ht="20.100000000000001" customHeight="1">
      <c r="A1331" s="846"/>
      <c r="B1331" s="846"/>
      <c r="C1331" s="846"/>
      <c r="D1331" s="846"/>
      <c r="E1331" s="846"/>
      <c r="F1331" s="846"/>
      <c r="G1331" s="846"/>
      <c r="H1331" s="846"/>
      <c r="I1331" s="846"/>
      <c r="J1331" s="846"/>
      <c r="K1331" s="846"/>
      <c r="L1331" s="846"/>
      <c r="M1331" s="846"/>
      <c r="N1331" s="846"/>
      <c r="O1331" s="846"/>
    </row>
    <row r="1332" spans="1:15" ht="20.100000000000001" customHeight="1">
      <c r="A1332" s="846"/>
      <c r="B1332" s="846"/>
      <c r="C1332" s="846"/>
      <c r="D1332" s="846"/>
      <c r="E1332" s="846"/>
      <c r="F1332" s="846"/>
      <c r="G1332" s="846"/>
      <c r="H1332" s="846"/>
      <c r="I1332" s="846"/>
      <c r="J1332" s="846"/>
      <c r="K1332" s="846"/>
      <c r="L1332" s="846"/>
      <c r="M1332" s="846"/>
      <c r="N1332" s="846"/>
      <c r="O1332" s="846"/>
    </row>
    <row r="1333" spans="1:15" ht="20.100000000000001" customHeight="1">
      <c r="A1333" s="846"/>
      <c r="B1333" s="846"/>
      <c r="C1333" s="846"/>
      <c r="D1333" s="846"/>
      <c r="E1333" s="846"/>
      <c r="F1333" s="846"/>
      <c r="G1333" s="846"/>
      <c r="H1333" s="846"/>
      <c r="I1333" s="846"/>
      <c r="J1333" s="846"/>
      <c r="K1333" s="846"/>
      <c r="L1333" s="846"/>
      <c r="M1333" s="846"/>
      <c r="N1333" s="846"/>
      <c r="O1333" s="846"/>
    </row>
    <row r="1334" spans="1:15" ht="20.100000000000001" customHeight="1">
      <c r="A1334" s="846"/>
      <c r="B1334" s="846"/>
      <c r="C1334" s="846"/>
      <c r="D1334" s="846"/>
      <c r="E1334" s="846"/>
      <c r="F1334" s="846"/>
      <c r="G1334" s="846"/>
      <c r="H1334" s="846"/>
      <c r="I1334" s="846"/>
      <c r="J1334" s="846"/>
      <c r="K1334" s="846"/>
      <c r="L1334" s="846"/>
      <c r="M1334" s="846"/>
      <c r="N1334" s="846"/>
      <c r="O1334" s="846"/>
    </row>
    <row r="1335" spans="1:15" ht="20.100000000000001" customHeight="1">
      <c r="A1335" s="846"/>
      <c r="B1335" s="846"/>
      <c r="C1335" s="846"/>
      <c r="D1335" s="846"/>
      <c r="E1335" s="846"/>
      <c r="F1335" s="846"/>
      <c r="G1335" s="846"/>
      <c r="H1335" s="846"/>
      <c r="I1335" s="846"/>
      <c r="J1335" s="846"/>
      <c r="K1335" s="846"/>
      <c r="L1335" s="846"/>
      <c r="M1335" s="846"/>
      <c r="N1335" s="846"/>
      <c r="O1335" s="846"/>
    </row>
    <row r="1336" spans="1:15" ht="20.100000000000001" customHeight="1">
      <c r="A1336" s="846"/>
      <c r="B1336" s="846"/>
      <c r="C1336" s="846"/>
      <c r="D1336" s="846"/>
      <c r="E1336" s="846"/>
      <c r="F1336" s="846"/>
      <c r="G1336" s="846"/>
      <c r="H1336" s="846"/>
      <c r="I1336" s="846"/>
      <c r="J1336" s="846"/>
      <c r="K1336" s="846"/>
      <c r="L1336" s="846"/>
      <c r="M1336" s="846"/>
      <c r="N1336" s="846"/>
      <c r="O1336" s="846"/>
    </row>
    <row r="1337" spans="1:15" ht="20.100000000000001" customHeight="1">
      <c r="A1337" s="846"/>
      <c r="B1337" s="846"/>
      <c r="C1337" s="846"/>
      <c r="D1337" s="846"/>
      <c r="E1337" s="846"/>
      <c r="F1337" s="846"/>
      <c r="G1337" s="846"/>
      <c r="H1337" s="846"/>
      <c r="I1337" s="846"/>
      <c r="J1337" s="846"/>
      <c r="K1337" s="846"/>
      <c r="L1337" s="846"/>
      <c r="M1337" s="846"/>
      <c r="N1337" s="846"/>
      <c r="O1337" s="846"/>
    </row>
    <row r="1338" spans="1:15" ht="20.100000000000001" customHeight="1">
      <c r="A1338" s="846"/>
      <c r="B1338" s="846"/>
      <c r="C1338" s="846"/>
      <c r="D1338" s="846"/>
      <c r="E1338" s="846"/>
      <c r="F1338" s="846"/>
      <c r="G1338" s="846"/>
      <c r="H1338" s="846"/>
      <c r="I1338" s="846"/>
      <c r="J1338" s="846"/>
      <c r="K1338" s="846"/>
      <c r="L1338" s="846"/>
      <c r="M1338" s="846"/>
      <c r="N1338" s="846"/>
      <c r="O1338" s="846"/>
    </row>
    <row r="1339" spans="1:15" ht="20.100000000000001" customHeight="1">
      <c r="A1339" s="846"/>
      <c r="B1339" s="846"/>
      <c r="C1339" s="846"/>
      <c r="D1339" s="846"/>
      <c r="E1339" s="846"/>
      <c r="F1339" s="846"/>
      <c r="G1339" s="846"/>
      <c r="H1339" s="846"/>
      <c r="I1339" s="846"/>
      <c r="J1339" s="846"/>
      <c r="K1339" s="846"/>
      <c r="L1339" s="846"/>
      <c r="M1339" s="846"/>
      <c r="N1339" s="846"/>
      <c r="O1339" s="846"/>
    </row>
    <row r="1340" spans="1:15" ht="20.100000000000001" customHeight="1">
      <c r="A1340" s="846"/>
      <c r="B1340" s="846"/>
      <c r="C1340" s="846"/>
      <c r="D1340" s="846"/>
      <c r="E1340" s="846"/>
      <c r="F1340" s="846"/>
      <c r="G1340" s="846"/>
      <c r="H1340" s="846"/>
      <c r="I1340" s="846"/>
      <c r="J1340" s="846"/>
      <c r="K1340" s="846"/>
      <c r="L1340" s="846"/>
      <c r="M1340" s="846"/>
      <c r="N1340" s="846"/>
      <c r="O1340" s="846"/>
    </row>
    <row r="1341" spans="1:15" ht="20.100000000000001" customHeight="1">
      <c r="A1341" s="846"/>
      <c r="B1341" s="846"/>
      <c r="C1341" s="846"/>
      <c r="D1341" s="846"/>
      <c r="E1341" s="846"/>
      <c r="F1341" s="846"/>
      <c r="G1341" s="846"/>
      <c r="H1341" s="846"/>
      <c r="I1341" s="846"/>
      <c r="J1341" s="846"/>
      <c r="K1341" s="846"/>
      <c r="L1341" s="846"/>
      <c r="M1341" s="846"/>
      <c r="N1341" s="846"/>
      <c r="O1341" s="846"/>
    </row>
    <row r="1342" spans="1:15" ht="20.100000000000001" customHeight="1">
      <c r="A1342" s="846"/>
      <c r="B1342" s="846"/>
      <c r="C1342" s="846"/>
      <c r="D1342" s="846"/>
      <c r="E1342" s="846"/>
      <c r="F1342" s="846"/>
      <c r="G1342" s="846"/>
      <c r="H1342" s="846"/>
      <c r="I1342" s="846"/>
      <c r="J1342" s="846"/>
      <c r="K1342" s="846"/>
      <c r="L1342" s="846"/>
      <c r="M1342" s="846"/>
      <c r="N1342" s="846"/>
      <c r="O1342" s="846"/>
    </row>
    <row r="1343" spans="1:15" ht="20.100000000000001" customHeight="1">
      <c r="A1343" s="846"/>
      <c r="B1343" s="846"/>
      <c r="C1343" s="846"/>
      <c r="D1343" s="846"/>
      <c r="E1343" s="846"/>
      <c r="F1343" s="846"/>
      <c r="G1343" s="846"/>
      <c r="H1343" s="846"/>
      <c r="I1343" s="846"/>
      <c r="J1343" s="846"/>
      <c r="K1343" s="846"/>
      <c r="L1343" s="846"/>
      <c r="M1343" s="846"/>
      <c r="N1343" s="846"/>
      <c r="O1343" s="846"/>
    </row>
    <row r="1344" spans="1:15" ht="20.100000000000001" customHeight="1">
      <c r="A1344" s="846"/>
      <c r="B1344" s="846"/>
      <c r="C1344" s="846"/>
      <c r="D1344" s="846"/>
      <c r="E1344" s="846"/>
      <c r="F1344" s="846"/>
      <c r="G1344" s="846"/>
      <c r="H1344" s="846"/>
      <c r="I1344" s="846"/>
      <c r="J1344" s="846"/>
      <c r="K1344" s="846"/>
      <c r="L1344" s="846"/>
      <c r="M1344" s="846"/>
      <c r="N1344" s="846"/>
      <c r="O1344" s="846"/>
    </row>
    <row r="1345" spans="1:15" ht="20.100000000000001" customHeight="1">
      <c r="A1345" s="846"/>
      <c r="B1345" s="846"/>
      <c r="C1345" s="846"/>
      <c r="D1345" s="846"/>
      <c r="E1345" s="846"/>
      <c r="F1345" s="846"/>
      <c r="G1345" s="846"/>
      <c r="H1345" s="846"/>
      <c r="I1345" s="846"/>
      <c r="J1345" s="846"/>
      <c r="K1345" s="846"/>
      <c r="L1345" s="846"/>
      <c r="M1345" s="846"/>
      <c r="N1345" s="846"/>
      <c r="O1345" s="846"/>
    </row>
    <row r="1346" spans="1:15" ht="20.100000000000001" customHeight="1">
      <c r="A1346" s="846"/>
      <c r="B1346" s="846"/>
      <c r="C1346" s="846"/>
      <c r="D1346" s="846"/>
      <c r="E1346" s="846"/>
      <c r="F1346" s="846"/>
      <c r="G1346" s="846"/>
      <c r="H1346" s="846"/>
      <c r="I1346" s="846"/>
      <c r="J1346" s="846"/>
      <c r="K1346" s="846"/>
      <c r="L1346" s="846"/>
      <c r="M1346" s="846"/>
      <c r="N1346" s="846"/>
      <c r="O1346" s="846"/>
    </row>
    <row r="1347" spans="1:15" ht="20.100000000000001" customHeight="1">
      <c r="A1347" s="846"/>
      <c r="B1347" s="846"/>
      <c r="C1347" s="846"/>
      <c r="D1347" s="846"/>
      <c r="E1347" s="846"/>
      <c r="F1347" s="846"/>
      <c r="G1347" s="846"/>
      <c r="H1347" s="846"/>
      <c r="I1347" s="846"/>
      <c r="J1347" s="846"/>
      <c r="K1347" s="846"/>
      <c r="L1347" s="846"/>
      <c r="M1347" s="846"/>
      <c r="N1347" s="846"/>
      <c r="O1347" s="846"/>
    </row>
    <row r="1348" spans="1:15" ht="20.100000000000001" customHeight="1">
      <c r="A1348" s="846"/>
      <c r="B1348" s="846"/>
      <c r="C1348" s="846"/>
      <c r="D1348" s="846"/>
      <c r="E1348" s="846"/>
      <c r="F1348" s="846"/>
      <c r="G1348" s="846"/>
      <c r="H1348" s="846"/>
      <c r="I1348" s="846"/>
      <c r="J1348" s="846"/>
      <c r="K1348" s="846"/>
      <c r="L1348" s="846"/>
      <c r="M1348" s="846"/>
      <c r="N1348" s="846"/>
      <c r="O1348" s="846"/>
    </row>
    <row r="1349" spans="1:15" ht="20.100000000000001" customHeight="1">
      <c r="A1349" s="846"/>
      <c r="B1349" s="846"/>
      <c r="C1349" s="846"/>
      <c r="D1349" s="846"/>
      <c r="E1349" s="846"/>
      <c r="F1349" s="846"/>
      <c r="G1349" s="846"/>
      <c r="H1349" s="846"/>
      <c r="I1349" s="846"/>
      <c r="J1349" s="846"/>
      <c r="K1349" s="846"/>
      <c r="L1349" s="846"/>
      <c r="M1349" s="846"/>
      <c r="N1349" s="846"/>
      <c r="O1349" s="846"/>
    </row>
    <row r="1350" spans="1:15" ht="20.100000000000001" customHeight="1">
      <c r="A1350" s="846"/>
      <c r="B1350" s="846"/>
      <c r="C1350" s="846"/>
      <c r="D1350" s="846"/>
      <c r="E1350" s="846"/>
      <c r="F1350" s="846"/>
      <c r="G1350" s="846"/>
      <c r="H1350" s="846"/>
      <c r="I1350" s="846"/>
      <c r="J1350" s="846"/>
      <c r="K1350" s="846"/>
      <c r="L1350" s="846"/>
      <c r="M1350" s="846"/>
      <c r="N1350" s="846"/>
      <c r="O1350" s="846"/>
    </row>
    <row r="1351" spans="1:15" ht="20.100000000000001" customHeight="1">
      <c r="A1351" s="846"/>
      <c r="B1351" s="846"/>
      <c r="C1351" s="846"/>
      <c r="D1351" s="846"/>
      <c r="E1351" s="846"/>
      <c r="F1351" s="846"/>
      <c r="G1351" s="846"/>
      <c r="H1351" s="846"/>
      <c r="I1351" s="846"/>
      <c r="J1351" s="846"/>
      <c r="K1351" s="846"/>
      <c r="L1351" s="846"/>
      <c r="M1351" s="846"/>
      <c r="N1351" s="846"/>
      <c r="O1351" s="846"/>
    </row>
    <row r="1352" spans="1:15" ht="20.100000000000001" customHeight="1">
      <c r="A1352" s="846"/>
      <c r="B1352" s="846"/>
      <c r="C1352" s="846"/>
      <c r="D1352" s="846"/>
      <c r="E1352" s="846"/>
      <c r="F1352" s="846"/>
      <c r="G1352" s="846"/>
      <c r="H1352" s="846"/>
      <c r="I1352" s="846"/>
      <c r="J1352" s="846"/>
      <c r="K1352" s="846"/>
      <c r="L1352" s="846"/>
      <c r="M1352" s="846"/>
      <c r="N1352" s="846"/>
      <c r="O1352" s="846"/>
    </row>
    <row r="1353" spans="1:15" ht="20.100000000000001" customHeight="1">
      <c r="A1353" s="846"/>
      <c r="B1353" s="846"/>
      <c r="C1353" s="846"/>
      <c r="D1353" s="846"/>
      <c r="E1353" s="846"/>
      <c r="F1353" s="846"/>
      <c r="G1353" s="846"/>
      <c r="H1353" s="846"/>
      <c r="I1353" s="846"/>
      <c r="J1353" s="846"/>
      <c r="K1353" s="846"/>
      <c r="L1353" s="846"/>
      <c r="M1353" s="846"/>
      <c r="N1353" s="846"/>
      <c r="O1353" s="846"/>
    </row>
    <row r="1354" spans="1:15" ht="20.100000000000001" customHeight="1">
      <c r="A1354" s="846"/>
      <c r="B1354" s="846"/>
      <c r="C1354" s="846"/>
      <c r="D1354" s="846"/>
      <c r="E1354" s="846"/>
      <c r="F1354" s="846"/>
      <c r="G1354" s="846"/>
      <c r="H1354" s="846"/>
      <c r="I1354" s="846"/>
      <c r="J1354" s="846"/>
      <c r="K1354" s="846"/>
      <c r="L1354" s="846"/>
      <c r="M1354" s="846"/>
      <c r="N1354" s="846"/>
      <c r="O1354" s="846"/>
    </row>
    <row r="1355" spans="1:15" ht="20.100000000000001" customHeight="1">
      <c r="A1355" s="846"/>
      <c r="B1355" s="846"/>
      <c r="C1355" s="846"/>
      <c r="D1355" s="846"/>
      <c r="E1355" s="846"/>
      <c r="F1355" s="846"/>
      <c r="G1355" s="846"/>
      <c r="H1355" s="846"/>
      <c r="I1355" s="846"/>
      <c r="J1355" s="846"/>
      <c r="K1355" s="846"/>
      <c r="L1355" s="846"/>
      <c r="M1355" s="846"/>
      <c r="N1355" s="846"/>
      <c r="O1355" s="846"/>
    </row>
    <row r="1356" spans="1:15" ht="20.100000000000001" customHeight="1">
      <c r="A1356" s="846"/>
      <c r="B1356" s="846"/>
      <c r="C1356" s="846"/>
      <c r="D1356" s="846"/>
      <c r="E1356" s="846"/>
      <c r="F1356" s="846"/>
      <c r="G1356" s="846"/>
      <c r="H1356" s="846"/>
      <c r="I1356" s="846"/>
      <c r="J1356" s="846"/>
      <c r="K1356" s="846"/>
      <c r="L1356" s="846"/>
      <c r="M1356" s="846"/>
      <c r="N1356" s="846"/>
      <c r="O1356" s="846"/>
    </row>
    <row r="1357" spans="1:15" ht="20.100000000000001" customHeight="1">
      <c r="A1357" s="846"/>
      <c r="B1357" s="846"/>
      <c r="C1357" s="846"/>
      <c r="D1357" s="846"/>
      <c r="E1357" s="846"/>
      <c r="F1357" s="846"/>
      <c r="G1357" s="846"/>
      <c r="H1357" s="846"/>
      <c r="I1357" s="846"/>
      <c r="J1357" s="846"/>
      <c r="K1357" s="846"/>
      <c r="L1357" s="846"/>
      <c r="M1357" s="846"/>
      <c r="N1357" s="846"/>
      <c r="O1357" s="846"/>
    </row>
    <row r="1358" spans="1:15" ht="20.100000000000001" customHeight="1">
      <c r="A1358" s="846"/>
      <c r="B1358" s="846"/>
      <c r="C1358" s="846"/>
      <c r="D1358" s="846"/>
      <c r="E1358" s="846"/>
      <c r="F1358" s="846"/>
      <c r="G1358" s="846"/>
      <c r="H1358" s="846"/>
      <c r="I1358" s="846"/>
      <c r="J1358" s="846"/>
      <c r="K1358" s="846"/>
      <c r="L1358" s="846"/>
      <c r="M1358" s="846"/>
      <c r="N1358" s="846"/>
      <c r="O1358" s="846"/>
    </row>
    <row r="1359" spans="1:15" ht="20.100000000000001" customHeight="1">
      <c r="A1359" s="846"/>
      <c r="B1359" s="846"/>
      <c r="C1359" s="846"/>
      <c r="D1359" s="846"/>
      <c r="E1359" s="846"/>
      <c r="F1359" s="846"/>
      <c r="G1359" s="846"/>
      <c r="H1359" s="846"/>
      <c r="I1359" s="846"/>
      <c r="J1359" s="846"/>
      <c r="K1359" s="846"/>
      <c r="L1359" s="846"/>
      <c r="M1359" s="846"/>
      <c r="N1359" s="846"/>
      <c r="O1359" s="846"/>
    </row>
    <row r="1360" spans="1:15" ht="20.100000000000001" customHeight="1">
      <c r="A1360" s="846"/>
      <c r="B1360" s="846"/>
      <c r="C1360" s="846"/>
      <c r="D1360" s="846"/>
      <c r="E1360" s="846"/>
      <c r="F1360" s="846"/>
      <c r="G1360" s="846"/>
      <c r="H1360" s="846"/>
      <c r="I1360" s="846"/>
      <c r="J1360" s="846"/>
      <c r="K1360" s="846"/>
      <c r="L1360" s="846"/>
      <c r="M1360" s="846"/>
      <c r="N1360" s="846"/>
      <c r="O1360" s="846"/>
    </row>
    <row r="1361" spans="1:15" ht="20.100000000000001" customHeight="1">
      <c r="A1361" s="846"/>
      <c r="B1361" s="846"/>
      <c r="C1361" s="846"/>
      <c r="D1361" s="846"/>
      <c r="E1361" s="846"/>
      <c r="F1361" s="846"/>
      <c r="G1361" s="846"/>
      <c r="H1361" s="846"/>
      <c r="I1361" s="846"/>
      <c r="J1361" s="846"/>
      <c r="K1361" s="846"/>
      <c r="L1361" s="846"/>
      <c r="M1361" s="846"/>
      <c r="N1361" s="846"/>
      <c r="O1361" s="846"/>
    </row>
    <row r="1362" spans="1:15" ht="20.100000000000001" customHeight="1">
      <c r="A1362" s="846"/>
      <c r="B1362" s="846"/>
      <c r="C1362" s="846"/>
      <c r="D1362" s="846"/>
      <c r="E1362" s="846"/>
      <c r="F1362" s="846"/>
      <c r="G1362" s="846"/>
      <c r="H1362" s="846"/>
      <c r="I1362" s="846"/>
      <c r="J1362" s="846"/>
      <c r="K1362" s="846"/>
      <c r="L1362" s="846"/>
      <c r="M1362" s="846"/>
      <c r="N1362" s="846"/>
      <c r="O1362" s="846"/>
    </row>
    <row r="1363" spans="1:15" ht="20.100000000000001" customHeight="1">
      <c r="A1363" s="846"/>
      <c r="B1363" s="846"/>
      <c r="C1363" s="846"/>
      <c r="D1363" s="846"/>
      <c r="E1363" s="846"/>
      <c r="F1363" s="846"/>
      <c r="G1363" s="846"/>
      <c r="H1363" s="846"/>
      <c r="I1363" s="846"/>
      <c r="J1363" s="846"/>
      <c r="K1363" s="846"/>
      <c r="L1363" s="846"/>
      <c r="M1363" s="846"/>
      <c r="N1363" s="846"/>
      <c r="O1363" s="846"/>
    </row>
    <row r="1364" spans="1:15" ht="20.100000000000001" customHeight="1">
      <c r="A1364" s="846"/>
      <c r="B1364" s="846"/>
      <c r="C1364" s="846"/>
      <c r="D1364" s="846"/>
      <c r="E1364" s="846"/>
      <c r="F1364" s="846"/>
      <c r="G1364" s="846"/>
      <c r="H1364" s="846"/>
      <c r="I1364" s="846"/>
      <c r="J1364" s="846"/>
      <c r="K1364" s="846"/>
      <c r="L1364" s="846"/>
      <c r="M1364" s="846"/>
      <c r="N1364" s="846"/>
      <c r="O1364" s="846"/>
    </row>
    <row r="1365" spans="1:15" ht="20.100000000000001" customHeight="1">
      <c r="A1365" s="846"/>
      <c r="B1365" s="846"/>
      <c r="C1365" s="846"/>
      <c r="D1365" s="846"/>
      <c r="E1365" s="846"/>
      <c r="F1365" s="846"/>
      <c r="G1365" s="846"/>
      <c r="H1365" s="846"/>
      <c r="I1365" s="846"/>
      <c r="J1365" s="846"/>
      <c r="K1365" s="846"/>
      <c r="L1365" s="846"/>
      <c r="M1365" s="846"/>
      <c r="N1365" s="846"/>
      <c r="O1365" s="846"/>
    </row>
    <row r="1366" spans="1:15" ht="20.100000000000001" customHeight="1">
      <c r="A1366" s="846"/>
      <c r="B1366" s="846"/>
      <c r="C1366" s="846"/>
      <c r="D1366" s="846"/>
      <c r="E1366" s="846"/>
      <c r="F1366" s="846"/>
      <c r="G1366" s="846"/>
      <c r="H1366" s="846"/>
      <c r="I1366" s="846"/>
      <c r="J1366" s="846"/>
      <c r="K1366" s="846"/>
      <c r="L1366" s="846"/>
      <c r="M1366" s="846"/>
      <c r="N1366" s="846"/>
      <c r="O1366" s="846"/>
    </row>
    <row r="1367" spans="1:15" ht="20.100000000000001" customHeight="1">
      <c r="A1367" s="846"/>
      <c r="B1367" s="846"/>
      <c r="C1367" s="846"/>
      <c r="D1367" s="846"/>
      <c r="E1367" s="846"/>
      <c r="F1367" s="846"/>
      <c r="G1367" s="846"/>
      <c r="H1367" s="846"/>
      <c r="I1367" s="846"/>
      <c r="J1367" s="846"/>
      <c r="K1367" s="846"/>
      <c r="L1367" s="846"/>
      <c r="M1367" s="846"/>
      <c r="N1367" s="846"/>
      <c r="O1367" s="846"/>
    </row>
    <row r="1368" spans="1:15" ht="20.100000000000001" customHeight="1">
      <c r="A1368" s="846"/>
      <c r="B1368" s="846"/>
      <c r="C1368" s="846"/>
      <c r="D1368" s="846"/>
      <c r="E1368" s="846"/>
      <c r="F1368" s="846"/>
      <c r="G1368" s="846"/>
      <c r="H1368" s="846"/>
      <c r="I1368" s="846"/>
      <c r="J1368" s="846"/>
      <c r="K1368" s="846"/>
      <c r="L1368" s="846"/>
      <c r="M1368" s="846"/>
      <c r="N1368" s="846"/>
      <c r="O1368" s="846"/>
    </row>
    <row r="1369" spans="1:15" ht="20.100000000000001" customHeight="1">
      <c r="A1369" s="846"/>
      <c r="B1369" s="846"/>
      <c r="C1369" s="846"/>
      <c r="D1369" s="846"/>
      <c r="E1369" s="846"/>
      <c r="F1369" s="846"/>
      <c r="G1369" s="846"/>
      <c r="H1369" s="846"/>
      <c r="I1369" s="846"/>
      <c r="J1369" s="846"/>
      <c r="K1369" s="846"/>
      <c r="L1369" s="846"/>
      <c r="M1369" s="846"/>
      <c r="N1369" s="846"/>
      <c r="O1369" s="846"/>
    </row>
    <row r="1370" spans="1:15" ht="20.100000000000001" customHeight="1">
      <c r="A1370" s="846"/>
      <c r="B1370" s="846"/>
      <c r="C1370" s="846"/>
      <c r="D1370" s="846"/>
      <c r="E1370" s="846"/>
      <c r="F1370" s="846"/>
      <c r="G1370" s="846"/>
      <c r="H1370" s="846"/>
      <c r="I1370" s="846"/>
      <c r="J1370" s="846"/>
      <c r="K1370" s="846"/>
      <c r="L1370" s="846"/>
      <c r="M1370" s="846"/>
      <c r="N1370" s="846"/>
      <c r="O1370" s="846"/>
    </row>
    <row r="1371" spans="1:15" ht="20.100000000000001" customHeight="1">
      <c r="A1371" s="846"/>
      <c r="B1371" s="846"/>
      <c r="C1371" s="846"/>
      <c r="D1371" s="846"/>
      <c r="E1371" s="846"/>
      <c r="F1371" s="846"/>
      <c r="G1371" s="846"/>
      <c r="H1371" s="846"/>
      <c r="I1371" s="846"/>
      <c r="J1371" s="846"/>
      <c r="K1371" s="846"/>
      <c r="L1371" s="846"/>
      <c r="M1371" s="846"/>
      <c r="N1371" s="846"/>
      <c r="O1371" s="846"/>
    </row>
    <row r="1372" spans="1:15" ht="20.100000000000001" customHeight="1">
      <c r="A1372" s="846"/>
      <c r="B1372" s="846"/>
      <c r="C1372" s="846"/>
      <c r="D1372" s="846"/>
      <c r="E1372" s="846"/>
      <c r="F1372" s="846"/>
      <c r="G1372" s="846"/>
      <c r="H1372" s="846"/>
      <c r="I1372" s="846"/>
      <c r="J1372" s="846"/>
      <c r="K1372" s="846"/>
      <c r="L1372" s="846"/>
      <c r="M1372" s="846"/>
      <c r="N1372" s="846"/>
      <c r="O1372" s="846"/>
    </row>
    <row r="1373" spans="1:15" ht="20.100000000000001" customHeight="1">
      <c r="A1373" s="846"/>
      <c r="B1373" s="846"/>
      <c r="C1373" s="846"/>
      <c r="D1373" s="846"/>
      <c r="E1373" s="846"/>
      <c r="F1373" s="846"/>
      <c r="G1373" s="846"/>
      <c r="H1373" s="846"/>
      <c r="I1373" s="846"/>
      <c r="J1373" s="846"/>
      <c r="K1373" s="846"/>
      <c r="L1373" s="846"/>
      <c r="M1373" s="846"/>
      <c r="N1373" s="846"/>
      <c r="O1373" s="846"/>
    </row>
    <row r="1374" spans="1:15" ht="20.100000000000001" customHeight="1">
      <c r="A1374" s="846"/>
      <c r="B1374" s="846"/>
      <c r="C1374" s="846"/>
      <c r="D1374" s="846"/>
      <c r="E1374" s="846"/>
      <c r="F1374" s="846"/>
      <c r="G1374" s="846"/>
      <c r="H1374" s="846"/>
      <c r="I1374" s="846"/>
      <c r="J1374" s="846"/>
      <c r="K1374" s="846"/>
      <c r="L1374" s="846"/>
      <c r="M1374" s="846"/>
      <c r="N1374" s="846"/>
      <c r="O1374" s="846"/>
    </row>
    <row r="1375" spans="1:15" ht="20.100000000000001" customHeight="1">
      <c r="A1375" s="846"/>
      <c r="B1375" s="846"/>
      <c r="C1375" s="846"/>
      <c r="D1375" s="846"/>
      <c r="E1375" s="846"/>
      <c r="F1375" s="846"/>
      <c r="G1375" s="846"/>
      <c r="H1375" s="846"/>
      <c r="I1375" s="846"/>
      <c r="J1375" s="846"/>
      <c r="K1375" s="846"/>
      <c r="L1375" s="846"/>
      <c r="M1375" s="846"/>
      <c r="N1375" s="846"/>
      <c r="O1375" s="846"/>
    </row>
    <row r="1376" spans="1:15" ht="20.100000000000001" customHeight="1">
      <c r="A1376" s="846"/>
      <c r="B1376" s="846"/>
      <c r="C1376" s="846"/>
      <c r="D1376" s="846"/>
      <c r="E1376" s="846"/>
      <c r="F1376" s="846"/>
      <c r="G1376" s="846"/>
      <c r="H1376" s="846"/>
      <c r="I1376" s="846"/>
      <c r="J1376" s="846"/>
      <c r="K1376" s="846"/>
      <c r="L1376" s="846"/>
      <c r="M1376" s="846"/>
      <c r="N1376" s="846"/>
      <c r="O1376" s="846"/>
    </row>
    <row r="1377" spans="1:15" ht="20.100000000000001" customHeight="1">
      <c r="A1377" s="846"/>
      <c r="B1377" s="846"/>
      <c r="C1377" s="846"/>
      <c r="D1377" s="846"/>
      <c r="E1377" s="846"/>
      <c r="F1377" s="846"/>
      <c r="G1377" s="846"/>
      <c r="H1377" s="846"/>
      <c r="I1377" s="846"/>
      <c r="J1377" s="846"/>
      <c r="K1377" s="846"/>
      <c r="L1377" s="846"/>
      <c r="M1377" s="846"/>
      <c r="N1377" s="846"/>
      <c r="O1377" s="846"/>
    </row>
    <row r="1378" spans="1:15" ht="20.100000000000001" customHeight="1">
      <c r="A1378" s="846"/>
      <c r="B1378" s="846"/>
      <c r="C1378" s="846"/>
      <c r="D1378" s="846"/>
      <c r="E1378" s="846"/>
      <c r="F1378" s="846"/>
      <c r="G1378" s="846"/>
      <c r="H1378" s="846"/>
      <c r="I1378" s="846"/>
      <c r="J1378" s="846"/>
      <c r="K1378" s="846"/>
      <c r="L1378" s="846"/>
      <c r="M1378" s="846"/>
      <c r="N1378" s="846"/>
      <c r="O1378" s="846"/>
    </row>
    <row r="1379" spans="1:15" ht="20.100000000000001" customHeight="1">
      <c r="A1379" s="846"/>
      <c r="B1379" s="846"/>
      <c r="C1379" s="846"/>
      <c r="D1379" s="846"/>
      <c r="E1379" s="846"/>
      <c r="F1379" s="846"/>
      <c r="G1379" s="846"/>
      <c r="H1379" s="846"/>
      <c r="I1379" s="846"/>
      <c r="J1379" s="846"/>
      <c r="K1379" s="846"/>
      <c r="L1379" s="846"/>
      <c r="M1379" s="846"/>
      <c r="N1379" s="846"/>
      <c r="O1379" s="846"/>
    </row>
    <row r="1380" spans="1:15" ht="20.100000000000001" customHeight="1">
      <c r="A1380" s="846"/>
      <c r="B1380" s="846"/>
      <c r="C1380" s="846"/>
      <c r="D1380" s="846"/>
      <c r="E1380" s="846"/>
      <c r="F1380" s="846"/>
      <c r="G1380" s="846"/>
      <c r="H1380" s="846"/>
      <c r="I1380" s="846"/>
      <c r="J1380" s="846"/>
      <c r="K1380" s="846"/>
      <c r="L1380" s="846"/>
      <c r="M1380" s="846"/>
      <c r="N1380" s="846"/>
      <c r="O1380" s="846"/>
    </row>
    <row r="1381" spans="1:15" ht="20.100000000000001" customHeight="1">
      <c r="A1381" s="846"/>
      <c r="B1381" s="846"/>
      <c r="C1381" s="846"/>
      <c r="D1381" s="846"/>
      <c r="E1381" s="846"/>
      <c r="F1381" s="846"/>
      <c r="G1381" s="846"/>
      <c r="H1381" s="846"/>
      <c r="I1381" s="846"/>
      <c r="J1381" s="846"/>
      <c r="K1381" s="846"/>
      <c r="L1381" s="846"/>
      <c r="M1381" s="846"/>
      <c r="N1381" s="846"/>
      <c r="O1381" s="846"/>
    </row>
    <row r="1382" spans="1:15" ht="20.100000000000001" customHeight="1">
      <c r="A1382" s="846"/>
      <c r="B1382" s="846"/>
      <c r="C1382" s="846"/>
      <c r="D1382" s="846"/>
      <c r="E1382" s="846"/>
      <c r="F1382" s="846"/>
      <c r="G1382" s="846"/>
      <c r="H1382" s="846"/>
      <c r="I1382" s="846"/>
      <c r="J1382" s="846"/>
      <c r="K1382" s="846"/>
      <c r="L1382" s="846"/>
      <c r="M1382" s="846"/>
      <c r="N1382" s="846"/>
      <c r="O1382" s="846"/>
    </row>
    <row r="1383" spans="1:15" ht="20.100000000000001" customHeight="1">
      <c r="A1383" s="846"/>
      <c r="B1383" s="846"/>
      <c r="C1383" s="846"/>
      <c r="D1383" s="846"/>
      <c r="E1383" s="846"/>
      <c r="F1383" s="846"/>
      <c r="G1383" s="846"/>
      <c r="H1383" s="846"/>
      <c r="I1383" s="846"/>
      <c r="J1383" s="846"/>
      <c r="K1383" s="846"/>
      <c r="L1383" s="846"/>
      <c r="M1383" s="846"/>
      <c r="N1383" s="846"/>
      <c r="O1383" s="846"/>
    </row>
    <row r="1384" spans="1:15" ht="20.100000000000001" customHeight="1">
      <c r="A1384" s="846"/>
      <c r="B1384" s="846"/>
      <c r="C1384" s="846"/>
      <c r="D1384" s="846"/>
      <c r="E1384" s="846"/>
      <c r="F1384" s="846"/>
      <c r="G1384" s="846"/>
      <c r="H1384" s="846"/>
      <c r="I1384" s="846"/>
      <c r="J1384" s="846"/>
      <c r="K1384" s="846"/>
      <c r="L1384" s="846"/>
      <c r="M1384" s="846"/>
      <c r="N1384" s="846"/>
      <c r="O1384" s="846"/>
    </row>
    <row r="1385" spans="1:15" ht="20.100000000000001" customHeight="1">
      <c r="A1385" s="846"/>
      <c r="B1385" s="846"/>
      <c r="C1385" s="846"/>
      <c r="D1385" s="846"/>
      <c r="E1385" s="846"/>
      <c r="F1385" s="846"/>
      <c r="G1385" s="846"/>
      <c r="H1385" s="846"/>
      <c r="I1385" s="846"/>
      <c r="J1385" s="846"/>
      <c r="K1385" s="846"/>
      <c r="L1385" s="846"/>
      <c r="M1385" s="846"/>
      <c r="N1385" s="846"/>
      <c r="O1385" s="846"/>
    </row>
    <row r="1386" spans="1:15" ht="20.100000000000001" customHeight="1">
      <c r="A1386" s="846"/>
      <c r="B1386" s="846"/>
      <c r="C1386" s="846"/>
      <c r="D1386" s="846"/>
      <c r="E1386" s="846"/>
      <c r="F1386" s="846"/>
      <c r="G1386" s="846"/>
      <c r="H1386" s="846"/>
      <c r="I1386" s="846"/>
      <c r="J1386" s="846"/>
      <c r="K1386" s="846"/>
      <c r="L1386" s="846"/>
      <c r="M1386" s="846"/>
      <c r="N1386" s="846"/>
      <c r="O1386" s="846"/>
    </row>
    <row r="1387" spans="1:15" ht="20.100000000000001" customHeight="1">
      <c r="A1387" s="846"/>
      <c r="B1387" s="846"/>
      <c r="C1387" s="846"/>
      <c r="D1387" s="846"/>
      <c r="E1387" s="846"/>
      <c r="F1387" s="846"/>
      <c r="G1387" s="846"/>
      <c r="H1387" s="846"/>
      <c r="I1387" s="846"/>
      <c r="J1387" s="846"/>
      <c r="K1387" s="846"/>
      <c r="L1387" s="846"/>
      <c r="M1387" s="846"/>
      <c r="N1387" s="846"/>
      <c r="O1387" s="846"/>
    </row>
    <row r="1388" spans="1:15" ht="20.100000000000001" customHeight="1">
      <c r="A1388" s="846"/>
      <c r="B1388" s="846"/>
      <c r="C1388" s="846"/>
      <c r="D1388" s="846"/>
      <c r="E1388" s="846"/>
      <c r="F1388" s="846"/>
      <c r="G1388" s="846"/>
      <c r="H1388" s="846"/>
      <c r="I1388" s="846"/>
      <c r="J1388" s="846"/>
      <c r="K1388" s="846"/>
      <c r="L1388" s="846"/>
      <c r="M1388" s="846"/>
      <c r="N1388" s="846"/>
      <c r="O1388" s="846"/>
    </row>
    <row r="1389" spans="1:15" ht="20.100000000000001" customHeight="1">
      <c r="A1389" s="846"/>
      <c r="B1389" s="846"/>
      <c r="C1389" s="846"/>
      <c r="D1389" s="846"/>
      <c r="E1389" s="846"/>
      <c r="F1389" s="846"/>
      <c r="G1389" s="846"/>
      <c r="H1389" s="846"/>
      <c r="I1389" s="846"/>
      <c r="J1389" s="846"/>
      <c r="K1389" s="846"/>
      <c r="L1389" s="846"/>
      <c r="M1389" s="846"/>
      <c r="N1389" s="846"/>
      <c r="O1389" s="846"/>
    </row>
    <row r="1390" spans="1:15" ht="20.100000000000001" customHeight="1">
      <c r="A1390" s="846"/>
      <c r="B1390" s="846"/>
      <c r="C1390" s="846"/>
      <c r="D1390" s="846"/>
      <c r="E1390" s="846"/>
      <c r="F1390" s="846"/>
      <c r="G1390" s="846"/>
      <c r="H1390" s="846"/>
      <c r="I1390" s="846"/>
      <c r="J1390" s="846"/>
      <c r="K1390" s="846"/>
      <c r="L1390" s="846"/>
      <c r="M1390" s="846"/>
      <c r="N1390" s="846"/>
      <c r="O1390" s="846"/>
    </row>
    <row r="1391" spans="1:15" ht="20.100000000000001" customHeight="1">
      <c r="A1391" s="846"/>
      <c r="B1391" s="846"/>
      <c r="C1391" s="846"/>
      <c r="D1391" s="846"/>
      <c r="E1391" s="846"/>
      <c r="F1391" s="846"/>
      <c r="G1391" s="846"/>
      <c r="H1391" s="846"/>
      <c r="I1391" s="846"/>
      <c r="J1391" s="846"/>
      <c r="K1391" s="846"/>
      <c r="L1391" s="846"/>
      <c r="M1391" s="846"/>
      <c r="N1391" s="846"/>
      <c r="O1391" s="846"/>
    </row>
    <row r="1392" spans="1:15" ht="20.100000000000001" customHeight="1">
      <c r="A1392" s="846"/>
      <c r="B1392" s="846"/>
      <c r="C1392" s="846"/>
      <c r="D1392" s="846"/>
      <c r="E1392" s="846"/>
      <c r="F1392" s="846"/>
      <c r="G1392" s="846"/>
      <c r="H1392" s="846"/>
      <c r="I1392" s="846"/>
      <c r="J1392" s="846"/>
      <c r="K1392" s="846"/>
      <c r="L1392" s="846"/>
      <c r="M1392" s="846"/>
      <c r="N1392" s="846"/>
      <c r="O1392" s="846"/>
    </row>
    <row r="1393" spans="1:15" ht="20.100000000000001" customHeight="1">
      <c r="A1393" s="846"/>
      <c r="B1393" s="846"/>
      <c r="C1393" s="846"/>
      <c r="D1393" s="846"/>
      <c r="E1393" s="846"/>
      <c r="F1393" s="846"/>
      <c r="G1393" s="846"/>
      <c r="H1393" s="846"/>
      <c r="I1393" s="846"/>
      <c r="J1393" s="846"/>
      <c r="K1393" s="846"/>
      <c r="L1393" s="846"/>
      <c r="M1393" s="846"/>
      <c r="N1393" s="846"/>
      <c r="O1393" s="846"/>
    </row>
    <row r="1394" spans="1:15" ht="20.100000000000001" customHeight="1">
      <c r="A1394" s="846"/>
      <c r="B1394" s="846"/>
      <c r="C1394" s="846"/>
      <c r="D1394" s="846"/>
      <c r="E1394" s="846"/>
      <c r="F1394" s="846"/>
      <c r="G1394" s="846"/>
      <c r="H1394" s="846"/>
      <c r="I1394" s="846"/>
      <c r="J1394" s="846"/>
      <c r="K1394" s="846"/>
      <c r="L1394" s="846"/>
      <c r="M1394" s="846"/>
      <c r="N1394" s="846"/>
      <c r="O1394" s="846"/>
    </row>
    <row r="1395" spans="1:15" ht="20.100000000000001" customHeight="1">
      <c r="A1395" s="846"/>
      <c r="B1395" s="846"/>
      <c r="C1395" s="846"/>
      <c r="D1395" s="846"/>
      <c r="E1395" s="846"/>
      <c r="F1395" s="846"/>
      <c r="G1395" s="846"/>
      <c r="H1395" s="846"/>
      <c r="I1395" s="846"/>
      <c r="J1395" s="846"/>
      <c r="K1395" s="846"/>
      <c r="L1395" s="846"/>
      <c r="M1395" s="846"/>
      <c r="N1395" s="846"/>
      <c r="O1395" s="846"/>
    </row>
    <row r="1396" spans="1:15" ht="20.100000000000001" customHeight="1">
      <c r="A1396" s="846"/>
      <c r="B1396" s="846"/>
      <c r="C1396" s="846"/>
      <c r="D1396" s="846"/>
      <c r="E1396" s="846"/>
      <c r="F1396" s="846"/>
      <c r="G1396" s="846"/>
      <c r="H1396" s="846"/>
      <c r="I1396" s="846"/>
      <c r="J1396" s="846"/>
      <c r="K1396" s="846"/>
      <c r="L1396" s="846"/>
      <c r="M1396" s="846"/>
      <c r="N1396" s="846"/>
      <c r="O1396" s="846"/>
    </row>
    <row r="1397" spans="1:15" ht="20.100000000000001" customHeight="1">
      <c r="A1397" s="846"/>
      <c r="B1397" s="846"/>
      <c r="C1397" s="846"/>
      <c r="D1397" s="846"/>
      <c r="E1397" s="846"/>
      <c r="F1397" s="846"/>
      <c r="G1397" s="846"/>
      <c r="H1397" s="846"/>
      <c r="I1397" s="846"/>
      <c r="J1397" s="846"/>
      <c r="K1397" s="846"/>
      <c r="L1397" s="846"/>
      <c r="M1397" s="846"/>
      <c r="N1397" s="846"/>
      <c r="O1397" s="846"/>
    </row>
    <row r="1398" spans="1:15" ht="20.100000000000001" customHeight="1">
      <c r="A1398" s="846"/>
      <c r="B1398" s="846"/>
      <c r="C1398" s="846"/>
      <c r="D1398" s="846"/>
      <c r="E1398" s="846"/>
      <c r="F1398" s="846"/>
      <c r="G1398" s="846"/>
      <c r="H1398" s="846"/>
      <c r="I1398" s="846"/>
      <c r="J1398" s="846"/>
      <c r="K1398" s="846"/>
      <c r="L1398" s="846"/>
      <c r="M1398" s="846"/>
      <c r="N1398" s="846"/>
      <c r="O1398" s="846"/>
    </row>
    <row r="1399" spans="1:15" ht="20.100000000000001" customHeight="1">
      <c r="A1399" s="846"/>
      <c r="B1399" s="846"/>
      <c r="C1399" s="846"/>
      <c r="D1399" s="846"/>
      <c r="E1399" s="846"/>
      <c r="F1399" s="846"/>
      <c r="G1399" s="846"/>
      <c r="H1399" s="846"/>
      <c r="I1399" s="846"/>
      <c r="J1399" s="846"/>
      <c r="K1399" s="846"/>
      <c r="L1399" s="846"/>
      <c r="M1399" s="846"/>
      <c r="N1399" s="846"/>
      <c r="O1399" s="846"/>
    </row>
    <row r="1400" spans="1:15" ht="20.100000000000001" customHeight="1">
      <c r="A1400" s="846"/>
      <c r="B1400" s="846"/>
      <c r="C1400" s="846"/>
      <c r="D1400" s="846"/>
      <c r="E1400" s="846"/>
      <c r="F1400" s="846"/>
      <c r="G1400" s="846"/>
      <c r="H1400" s="846"/>
      <c r="I1400" s="846"/>
      <c r="J1400" s="846"/>
      <c r="K1400" s="846"/>
      <c r="L1400" s="846"/>
      <c r="M1400" s="846"/>
      <c r="N1400" s="846"/>
      <c r="O1400" s="846"/>
    </row>
    <row r="1401" spans="1:15" ht="20.100000000000001" customHeight="1">
      <c r="A1401" s="846"/>
      <c r="B1401" s="846"/>
      <c r="C1401" s="846"/>
      <c r="D1401" s="846"/>
      <c r="E1401" s="846"/>
      <c r="F1401" s="846"/>
      <c r="G1401" s="846"/>
      <c r="H1401" s="846"/>
      <c r="I1401" s="846"/>
      <c r="J1401" s="846"/>
      <c r="K1401" s="846"/>
      <c r="L1401" s="846"/>
      <c r="M1401" s="846"/>
      <c r="N1401" s="846"/>
      <c r="O1401" s="846"/>
    </row>
    <row r="1402" spans="1:15" ht="20.100000000000001" customHeight="1">
      <c r="A1402" s="846"/>
      <c r="B1402" s="846"/>
      <c r="C1402" s="846"/>
      <c r="D1402" s="846"/>
      <c r="E1402" s="846"/>
      <c r="F1402" s="846"/>
      <c r="G1402" s="846"/>
      <c r="H1402" s="846"/>
      <c r="I1402" s="846"/>
      <c r="J1402" s="846"/>
      <c r="K1402" s="846"/>
      <c r="L1402" s="846"/>
      <c r="M1402" s="846"/>
      <c r="N1402" s="846"/>
      <c r="O1402" s="846"/>
    </row>
    <row r="1403" spans="1:15" ht="20.100000000000001" customHeight="1">
      <c r="A1403" s="846"/>
      <c r="B1403" s="846"/>
      <c r="C1403" s="846"/>
      <c r="D1403" s="846"/>
      <c r="E1403" s="846"/>
      <c r="F1403" s="846"/>
      <c r="G1403" s="846"/>
      <c r="H1403" s="846"/>
      <c r="I1403" s="846"/>
      <c r="J1403" s="846"/>
      <c r="K1403" s="846"/>
      <c r="L1403" s="846"/>
      <c r="M1403" s="846"/>
      <c r="N1403" s="846"/>
      <c r="O1403" s="846"/>
    </row>
    <row r="1404" spans="1:15" ht="20.100000000000001" customHeight="1">
      <c r="A1404" s="846"/>
      <c r="B1404" s="846"/>
      <c r="C1404" s="846"/>
      <c r="D1404" s="846"/>
      <c r="E1404" s="846"/>
      <c r="F1404" s="846"/>
      <c r="G1404" s="846"/>
      <c r="H1404" s="846"/>
      <c r="I1404" s="846"/>
      <c r="J1404" s="846"/>
      <c r="K1404" s="846"/>
      <c r="L1404" s="846"/>
      <c r="M1404" s="846"/>
      <c r="N1404" s="846"/>
      <c r="O1404" s="846"/>
    </row>
    <row r="1405" spans="1:15" ht="20.100000000000001" customHeight="1">
      <c r="A1405" s="846"/>
      <c r="B1405" s="846"/>
      <c r="C1405" s="846"/>
      <c r="D1405" s="846"/>
      <c r="E1405" s="846"/>
      <c r="F1405" s="846"/>
      <c r="G1405" s="846"/>
      <c r="H1405" s="846"/>
      <c r="I1405" s="846"/>
      <c r="J1405" s="846"/>
      <c r="K1405" s="846"/>
      <c r="L1405" s="846"/>
      <c r="M1405" s="846"/>
      <c r="N1405" s="846"/>
      <c r="O1405" s="846"/>
    </row>
    <row r="1406" spans="1:15" ht="20.100000000000001" customHeight="1">
      <c r="A1406" s="846"/>
      <c r="B1406" s="846"/>
      <c r="C1406" s="846"/>
      <c r="D1406" s="846"/>
      <c r="E1406" s="846"/>
      <c r="F1406" s="846"/>
      <c r="G1406" s="846"/>
      <c r="H1406" s="846"/>
      <c r="I1406" s="846"/>
      <c r="J1406" s="846"/>
      <c r="K1406" s="846"/>
      <c r="L1406" s="846"/>
      <c r="M1406" s="846"/>
      <c r="N1406" s="846"/>
      <c r="O1406" s="846"/>
    </row>
    <row r="1407" spans="1:15" ht="20.100000000000001" customHeight="1">
      <c r="A1407" s="846"/>
      <c r="B1407" s="846"/>
      <c r="C1407" s="846"/>
      <c r="D1407" s="846"/>
      <c r="E1407" s="846"/>
      <c r="F1407" s="846"/>
      <c r="G1407" s="846"/>
      <c r="H1407" s="846"/>
      <c r="I1407" s="846"/>
      <c r="J1407" s="846"/>
      <c r="K1407" s="846"/>
      <c r="L1407" s="846"/>
      <c r="M1407" s="846"/>
      <c r="N1407" s="846"/>
      <c r="O1407" s="846"/>
    </row>
    <row r="1408" spans="1:15" ht="20.100000000000001" customHeight="1">
      <c r="A1408" s="846"/>
      <c r="B1408" s="846"/>
      <c r="C1408" s="846"/>
      <c r="D1408" s="846"/>
      <c r="E1408" s="846"/>
      <c r="F1408" s="846"/>
      <c r="G1408" s="846"/>
      <c r="H1408" s="846"/>
      <c r="I1408" s="846"/>
      <c r="J1408" s="846"/>
      <c r="K1408" s="846"/>
      <c r="L1408" s="846"/>
      <c r="M1408" s="846"/>
      <c r="N1408" s="846"/>
      <c r="O1408" s="846"/>
    </row>
    <row r="1409" spans="1:15" ht="20.100000000000001" customHeight="1">
      <c r="A1409" s="846"/>
      <c r="B1409" s="846"/>
      <c r="C1409" s="846"/>
      <c r="D1409" s="846"/>
      <c r="E1409" s="846"/>
      <c r="F1409" s="846"/>
      <c r="G1409" s="846"/>
      <c r="H1409" s="846"/>
      <c r="I1409" s="846"/>
      <c r="J1409" s="846"/>
      <c r="K1409" s="846"/>
      <c r="L1409" s="846"/>
      <c r="M1409" s="846"/>
      <c r="N1409" s="846"/>
      <c r="O1409" s="846"/>
    </row>
    <row r="1410" spans="1:15" ht="20.100000000000001" customHeight="1">
      <c r="A1410" s="846"/>
      <c r="B1410" s="846"/>
      <c r="C1410" s="846"/>
      <c r="D1410" s="846"/>
      <c r="E1410" s="846"/>
      <c r="F1410" s="846"/>
      <c r="G1410" s="846"/>
      <c r="H1410" s="846"/>
      <c r="I1410" s="846"/>
      <c r="J1410" s="846"/>
      <c r="K1410" s="846"/>
      <c r="L1410" s="846"/>
      <c r="M1410" s="846"/>
      <c r="N1410" s="846"/>
      <c r="O1410" s="846"/>
    </row>
    <row r="1411" spans="1:15" ht="20.100000000000001" customHeight="1">
      <c r="A1411" s="846"/>
      <c r="B1411" s="846"/>
      <c r="C1411" s="846"/>
      <c r="D1411" s="846"/>
      <c r="E1411" s="846"/>
      <c r="F1411" s="846"/>
      <c r="G1411" s="846"/>
      <c r="H1411" s="846"/>
      <c r="I1411" s="846"/>
      <c r="J1411" s="846"/>
      <c r="K1411" s="846"/>
      <c r="L1411" s="846"/>
      <c r="M1411" s="846"/>
      <c r="N1411" s="846"/>
      <c r="O1411" s="846"/>
    </row>
    <row r="1412" spans="1:15" ht="20.100000000000001" customHeight="1">
      <c r="A1412" s="846"/>
      <c r="B1412" s="846"/>
      <c r="C1412" s="846"/>
      <c r="D1412" s="846"/>
      <c r="E1412" s="846"/>
      <c r="F1412" s="846"/>
      <c r="G1412" s="846"/>
      <c r="H1412" s="846"/>
      <c r="I1412" s="846"/>
      <c r="J1412" s="846"/>
      <c r="K1412" s="846"/>
      <c r="L1412" s="846"/>
      <c r="M1412" s="846"/>
      <c r="N1412" s="846"/>
      <c r="O1412" s="846"/>
    </row>
    <row r="1413" spans="1:15" ht="20.100000000000001" customHeight="1">
      <c r="A1413" s="846"/>
      <c r="B1413" s="846"/>
      <c r="C1413" s="846"/>
      <c r="D1413" s="846"/>
      <c r="E1413" s="846"/>
      <c r="F1413" s="846"/>
      <c r="G1413" s="846"/>
      <c r="H1413" s="846"/>
      <c r="I1413" s="846"/>
      <c r="J1413" s="846"/>
      <c r="K1413" s="846"/>
      <c r="L1413" s="846"/>
      <c r="M1413" s="846"/>
      <c r="N1413" s="846"/>
      <c r="O1413" s="846"/>
    </row>
    <row r="1414" spans="1:15" ht="20.100000000000001" customHeight="1">
      <c r="A1414" s="846"/>
      <c r="B1414" s="846"/>
      <c r="C1414" s="846"/>
      <c r="D1414" s="846"/>
      <c r="E1414" s="846"/>
      <c r="F1414" s="846"/>
      <c r="G1414" s="846"/>
      <c r="H1414" s="846"/>
      <c r="I1414" s="846"/>
      <c r="J1414" s="846"/>
      <c r="K1414" s="846"/>
      <c r="L1414" s="846"/>
      <c r="M1414" s="846"/>
      <c r="N1414" s="846"/>
      <c r="O1414" s="846"/>
    </row>
    <row r="1415" spans="1:15" ht="20.100000000000001" customHeight="1">
      <c r="A1415" s="846"/>
      <c r="B1415" s="846"/>
      <c r="C1415" s="846"/>
      <c r="D1415" s="846"/>
      <c r="E1415" s="846"/>
      <c r="F1415" s="846"/>
      <c r="G1415" s="846"/>
      <c r="H1415" s="846"/>
      <c r="I1415" s="846"/>
      <c r="J1415" s="846"/>
      <c r="K1415" s="846"/>
      <c r="L1415" s="846"/>
      <c r="M1415" s="846"/>
      <c r="N1415" s="846"/>
      <c r="O1415" s="846"/>
    </row>
    <row r="1416" spans="1:15" ht="20.100000000000001" customHeight="1">
      <c r="A1416" s="846"/>
      <c r="B1416" s="846"/>
      <c r="C1416" s="846"/>
      <c r="D1416" s="846"/>
      <c r="E1416" s="846"/>
      <c r="F1416" s="846"/>
      <c r="G1416" s="846"/>
      <c r="H1416" s="846"/>
      <c r="I1416" s="846"/>
      <c r="J1416" s="846"/>
      <c r="K1416" s="846"/>
      <c r="L1416" s="846"/>
      <c r="M1416" s="846"/>
      <c r="N1416" s="846"/>
      <c r="O1416" s="846"/>
    </row>
    <row r="1417" spans="1:15" ht="20.100000000000001" customHeight="1">
      <c r="A1417" s="846"/>
      <c r="B1417" s="846"/>
      <c r="C1417" s="846"/>
      <c r="D1417" s="846"/>
      <c r="E1417" s="846"/>
      <c r="F1417" s="846"/>
      <c r="G1417" s="846"/>
      <c r="H1417" s="846"/>
      <c r="I1417" s="846"/>
      <c r="J1417" s="846"/>
      <c r="K1417" s="846"/>
      <c r="L1417" s="846"/>
      <c r="M1417" s="846"/>
      <c r="N1417" s="846"/>
      <c r="O1417" s="846"/>
    </row>
    <row r="1418" spans="1:15" ht="20.100000000000001" customHeight="1">
      <c r="A1418" s="846"/>
      <c r="B1418" s="846"/>
      <c r="C1418" s="846"/>
      <c r="D1418" s="846"/>
      <c r="E1418" s="846"/>
      <c r="F1418" s="846"/>
      <c r="G1418" s="846"/>
      <c r="H1418" s="846"/>
      <c r="I1418" s="846"/>
      <c r="J1418" s="846"/>
      <c r="K1418" s="846"/>
      <c r="L1418" s="846"/>
      <c r="M1418" s="846"/>
      <c r="N1418" s="846"/>
      <c r="O1418" s="846"/>
    </row>
    <row r="1419" spans="1:15" ht="20.100000000000001" customHeight="1">
      <c r="A1419" s="846"/>
      <c r="B1419" s="846"/>
      <c r="C1419" s="846"/>
      <c r="D1419" s="846"/>
      <c r="E1419" s="846"/>
      <c r="F1419" s="846"/>
      <c r="G1419" s="846"/>
      <c r="H1419" s="846"/>
      <c r="I1419" s="846"/>
      <c r="J1419" s="846"/>
      <c r="K1419" s="846"/>
      <c r="L1419" s="846"/>
      <c r="M1419" s="846"/>
      <c r="N1419" s="846"/>
      <c r="O1419" s="846"/>
    </row>
    <row r="1420" spans="1:15" ht="20.100000000000001" customHeight="1">
      <c r="A1420" s="846"/>
      <c r="B1420" s="846"/>
      <c r="C1420" s="846"/>
      <c r="D1420" s="846"/>
      <c r="E1420" s="846"/>
      <c r="F1420" s="846"/>
      <c r="G1420" s="846"/>
      <c r="H1420" s="846"/>
      <c r="I1420" s="846"/>
      <c r="J1420" s="846"/>
      <c r="K1420" s="846"/>
      <c r="L1420" s="846"/>
      <c r="M1420" s="846"/>
      <c r="N1420" s="846"/>
      <c r="O1420" s="846"/>
    </row>
    <row r="1421" spans="1:15" ht="20.100000000000001" customHeight="1">
      <c r="A1421" s="846"/>
      <c r="B1421" s="846"/>
      <c r="C1421" s="846"/>
      <c r="D1421" s="846"/>
      <c r="E1421" s="846"/>
      <c r="F1421" s="846"/>
      <c r="G1421" s="846"/>
      <c r="H1421" s="846"/>
      <c r="I1421" s="846"/>
      <c r="J1421" s="846"/>
      <c r="K1421" s="846"/>
      <c r="L1421" s="846"/>
      <c r="M1421" s="846"/>
      <c r="N1421" s="846"/>
      <c r="O1421" s="846"/>
    </row>
    <row r="1422" spans="1:15" ht="20.100000000000001" customHeight="1">
      <c r="A1422" s="846"/>
      <c r="B1422" s="846"/>
      <c r="C1422" s="846"/>
      <c r="D1422" s="846"/>
      <c r="E1422" s="846"/>
      <c r="F1422" s="846"/>
      <c r="G1422" s="846"/>
      <c r="H1422" s="846"/>
      <c r="I1422" s="846"/>
      <c r="J1422" s="846"/>
      <c r="K1422" s="846"/>
      <c r="L1422" s="846"/>
      <c r="M1422" s="846"/>
      <c r="N1422" s="846"/>
      <c r="O1422" s="846"/>
    </row>
    <row r="1423" spans="1:15" ht="20.100000000000001" customHeight="1">
      <c r="A1423" s="846"/>
      <c r="B1423" s="846"/>
      <c r="C1423" s="846"/>
      <c r="D1423" s="846"/>
      <c r="E1423" s="846"/>
      <c r="F1423" s="846"/>
      <c r="G1423" s="846"/>
      <c r="H1423" s="846"/>
      <c r="I1423" s="846"/>
      <c r="J1423" s="846"/>
      <c r="K1423" s="846"/>
      <c r="L1423" s="846"/>
      <c r="M1423" s="846"/>
      <c r="N1423" s="846"/>
      <c r="O1423" s="846"/>
    </row>
    <row r="1424" spans="1:15" ht="20.100000000000001" customHeight="1">
      <c r="A1424" s="846"/>
      <c r="B1424" s="846"/>
      <c r="C1424" s="846"/>
      <c r="D1424" s="846"/>
      <c r="E1424" s="846"/>
      <c r="F1424" s="846"/>
      <c r="G1424" s="846"/>
      <c r="H1424" s="846"/>
      <c r="I1424" s="846"/>
      <c r="J1424" s="846"/>
      <c r="K1424" s="846"/>
      <c r="L1424" s="846"/>
      <c r="M1424" s="846"/>
      <c r="N1424" s="846"/>
      <c r="O1424" s="846"/>
    </row>
    <row r="1425" spans="1:15" ht="20.100000000000001" customHeight="1">
      <c r="A1425" s="846"/>
      <c r="B1425" s="846"/>
      <c r="C1425" s="846"/>
      <c r="D1425" s="846"/>
      <c r="E1425" s="846"/>
      <c r="F1425" s="846"/>
      <c r="G1425" s="846"/>
      <c r="H1425" s="846"/>
      <c r="I1425" s="846"/>
      <c r="J1425" s="846"/>
      <c r="K1425" s="846"/>
      <c r="L1425" s="846"/>
      <c r="M1425" s="846"/>
      <c r="N1425" s="846"/>
      <c r="O1425" s="846"/>
    </row>
    <row r="1426" spans="1:15" ht="20.100000000000001" customHeight="1">
      <c r="A1426" s="846"/>
      <c r="B1426" s="846"/>
      <c r="C1426" s="846"/>
      <c r="D1426" s="846"/>
      <c r="E1426" s="846"/>
      <c r="F1426" s="846"/>
      <c r="G1426" s="846"/>
      <c r="H1426" s="846"/>
      <c r="I1426" s="846"/>
      <c r="J1426" s="846"/>
      <c r="K1426" s="846"/>
      <c r="L1426" s="846"/>
      <c r="M1426" s="846"/>
      <c r="N1426" s="846"/>
      <c r="O1426" s="846"/>
    </row>
    <row r="1427" spans="1:15" ht="20.100000000000001" customHeight="1">
      <c r="A1427" s="846"/>
      <c r="B1427" s="846"/>
      <c r="C1427" s="846"/>
      <c r="D1427" s="846"/>
      <c r="E1427" s="846"/>
      <c r="F1427" s="846"/>
      <c r="G1427" s="846"/>
      <c r="H1427" s="846"/>
      <c r="I1427" s="846"/>
      <c r="J1427" s="846"/>
      <c r="K1427" s="846"/>
      <c r="L1427" s="846"/>
      <c r="M1427" s="846"/>
      <c r="N1427" s="846"/>
      <c r="O1427" s="846"/>
    </row>
    <row r="1428" spans="1:15" ht="20.100000000000001" customHeight="1">
      <c r="A1428" s="846"/>
      <c r="B1428" s="846"/>
      <c r="C1428" s="846"/>
      <c r="D1428" s="846"/>
      <c r="E1428" s="846"/>
      <c r="F1428" s="846"/>
      <c r="G1428" s="846"/>
      <c r="H1428" s="846"/>
      <c r="I1428" s="846"/>
      <c r="J1428" s="846"/>
      <c r="K1428" s="846"/>
      <c r="L1428" s="846"/>
      <c r="M1428" s="846"/>
      <c r="N1428" s="846"/>
      <c r="O1428" s="846"/>
    </row>
    <row r="1429" spans="1:15" ht="20.100000000000001" customHeight="1">
      <c r="A1429" s="846"/>
      <c r="B1429" s="846"/>
      <c r="C1429" s="846"/>
      <c r="D1429" s="846"/>
      <c r="E1429" s="846"/>
      <c r="F1429" s="846"/>
      <c r="G1429" s="846"/>
      <c r="H1429" s="846"/>
      <c r="I1429" s="846"/>
      <c r="J1429" s="846"/>
      <c r="K1429" s="846"/>
      <c r="L1429" s="846"/>
      <c r="M1429" s="846"/>
      <c r="N1429" s="846"/>
      <c r="O1429" s="846"/>
    </row>
    <row r="1430" spans="1:15" ht="20.100000000000001" customHeight="1">
      <c r="A1430" s="846"/>
      <c r="B1430" s="846"/>
      <c r="C1430" s="846"/>
      <c r="D1430" s="846"/>
      <c r="E1430" s="846"/>
      <c r="F1430" s="846"/>
      <c r="G1430" s="846"/>
      <c r="H1430" s="846"/>
      <c r="I1430" s="846"/>
      <c r="J1430" s="846"/>
      <c r="K1430" s="846"/>
      <c r="L1430" s="846"/>
      <c r="M1430" s="846"/>
      <c r="N1430" s="846"/>
      <c r="O1430" s="846"/>
    </row>
    <row r="1431" spans="1:15" ht="20.100000000000001" customHeight="1">
      <c r="A1431" s="846"/>
      <c r="B1431" s="846"/>
      <c r="C1431" s="846"/>
      <c r="D1431" s="846"/>
      <c r="E1431" s="846"/>
      <c r="F1431" s="846"/>
      <c r="G1431" s="846"/>
      <c r="H1431" s="846"/>
      <c r="I1431" s="846"/>
      <c r="J1431" s="846"/>
      <c r="K1431" s="846"/>
      <c r="L1431" s="846"/>
      <c r="M1431" s="846"/>
      <c r="N1431" s="846"/>
      <c r="O1431" s="846"/>
    </row>
    <row r="1432" spans="1:15" ht="20.100000000000001" customHeight="1">
      <c r="A1432" s="846"/>
      <c r="B1432" s="846"/>
      <c r="C1432" s="846"/>
      <c r="D1432" s="846"/>
      <c r="E1432" s="846"/>
      <c r="F1432" s="846"/>
      <c r="G1432" s="846"/>
      <c r="H1432" s="846"/>
      <c r="I1432" s="846"/>
      <c r="J1432" s="846"/>
      <c r="K1432" s="846"/>
      <c r="L1432" s="846"/>
      <c r="M1432" s="846"/>
      <c r="N1432" s="846"/>
      <c r="O1432" s="846"/>
    </row>
    <row r="1433" spans="1:15" ht="20.100000000000001" customHeight="1">
      <c r="A1433" s="846"/>
      <c r="B1433" s="846"/>
      <c r="C1433" s="846"/>
      <c r="D1433" s="846"/>
      <c r="E1433" s="846"/>
      <c r="F1433" s="846"/>
      <c r="G1433" s="846"/>
      <c r="H1433" s="846"/>
      <c r="I1433" s="846"/>
      <c r="J1433" s="846"/>
      <c r="K1433" s="846"/>
      <c r="L1433" s="846"/>
      <c r="M1433" s="846"/>
      <c r="N1433" s="846"/>
      <c r="O1433" s="846"/>
    </row>
    <row r="1434" spans="1:15" ht="20.100000000000001" customHeight="1">
      <c r="A1434" s="846"/>
      <c r="B1434" s="846"/>
      <c r="C1434" s="846"/>
      <c r="D1434" s="846"/>
      <c r="E1434" s="846"/>
      <c r="F1434" s="846"/>
      <c r="G1434" s="846"/>
      <c r="H1434" s="846"/>
      <c r="I1434" s="846"/>
      <c r="J1434" s="846"/>
      <c r="K1434" s="846"/>
      <c r="L1434" s="846"/>
      <c r="M1434" s="846"/>
      <c r="N1434" s="846"/>
      <c r="O1434" s="846"/>
    </row>
    <row r="1435" spans="1:15" ht="20.100000000000001" customHeight="1">
      <c r="A1435" s="846"/>
      <c r="B1435" s="846"/>
      <c r="C1435" s="846"/>
      <c r="D1435" s="846"/>
      <c r="E1435" s="846"/>
      <c r="F1435" s="846"/>
      <c r="G1435" s="846"/>
      <c r="H1435" s="846"/>
      <c r="I1435" s="846"/>
      <c r="J1435" s="846"/>
      <c r="K1435" s="846"/>
      <c r="L1435" s="846"/>
      <c r="M1435" s="846"/>
      <c r="N1435" s="846"/>
      <c r="O1435" s="846"/>
    </row>
    <row r="1436" spans="1:15" ht="20.100000000000001" customHeight="1">
      <c r="A1436" s="846"/>
      <c r="B1436" s="846"/>
      <c r="C1436" s="846"/>
      <c r="D1436" s="846"/>
      <c r="E1436" s="846"/>
      <c r="F1436" s="846"/>
      <c r="G1436" s="846"/>
      <c r="H1436" s="846"/>
      <c r="I1436" s="846"/>
      <c r="J1436" s="846"/>
      <c r="K1436" s="846"/>
      <c r="L1436" s="846"/>
      <c r="M1436" s="846"/>
      <c r="N1436" s="846"/>
      <c r="O1436" s="846"/>
    </row>
    <row r="1437" spans="1:15" ht="20.100000000000001" customHeight="1">
      <c r="A1437" s="846"/>
      <c r="B1437" s="846"/>
      <c r="C1437" s="846"/>
      <c r="D1437" s="846"/>
      <c r="E1437" s="846"/>
      <c r="F1437" s="846"/>
      <c r="G1437" s="846"/>
      <c r="H1437" s="846"/>
      <c r="I1437" s="846"/>
      <c r="J1437" s="846"/>
      <c r="K1437" s="846"/>
      <c r="L1437" s="846"/>
      <c r="M1437" s="846"/>
      <c r="N1437" s="846"/>
      <c r="O1437" s="846"/>
    </row>
    <row r="1438" spans="1:15" ht="20.100000000000001" customHeight="1">
      <c r="A1438" s="846"/>
      <c r="B1438" s="846"/>
      <c r="C1438" s="846"/>
      <c r="D1438" s="846"/>
      <c r="E1438" s="846"/>
      <c r="F1438" s="846"/>
      <c r="G1438" s="846"/>
      <c r="H1438" s="846"/>
      <c r="I1438" s="846"/>
      <c r="J1438" s="846"/>
      <c r="K1438" s="846"/>
      <c r="L1438" s="846"/>
      <c r="M1438" s="846"/>
      <c r="N1438" s="846"/>
      <c r="O1438" s="846"/>
    </row>
    <row r="1439" spans="1:15" ht="20.100000000000001" customHeight="1">
      <c r="A1439" s="846"/>
      <c r="B1439" s="846"/>
      <c r="C1439" s="846"/>
      <c r="D1439" s="846"/>
      <c r="E1439" s="846"/>
      <c r="F1439" s="846"/>
      <c r="G1439" s="846"/>
      <c r="H1439" s="846"/>
      <c r="I1439" s="846"/>
      <c r="J1439" s="846"/>
      <c r="K1439" s="846"/>
      <c r="L1439" s="846"/>
      <c r="M1439" s="846"/>
      <c r="N1439" s="846"/>
      <c r="O1439" s="846"/>
    </row>
    <row r="1440" spans="1:15" ht="20.100000000000001" customHeight="1">
      <c r="A1440" s="846"/>
      <c r="B1440" s="846"/>
      <c r="C1440" s="846"/>
      <c r="D1440" s="846"/>
      <c r="E1440" s="846"/>
      <c r="F1440" s="846"/>
      <c r="G1440" s="846"/>
      <c r="H1440" s="846"/>
      <c r="I1440" s="846"/>
      <c r="J1440" s="846"/>
      <c r="K1440" s="846"/>
      <c r="L1440" s="846"/>
      <c r="M1440" s="846"/>
      <c r="N1440" s="846"/>
      <c r="O1440" s="846"/>
    </row>
    <row r="1441" spans="1:15" ht="20.100000000000001" customHeight="1">
      <c r="A1441" s="846"/>
      <c r="B1441" s="846"/>
      <c r="C1441" s="846"/>
      <c r="D1441" s="846"/>
      <c r="E1441" s="846"/>
      <c r="F1441" s="846"/>
      <c r="G1441" s="846"/>
      <c r="H1441" s="846"/>
      <c r="I1441" s="846"/>
      <c r="J1441" s="846"/>
      <c r="K1441" s="846"/>
      <c r="L1441" s="846"/>
      <c r="M1441" s="846"/>
      <c r="N1441" s="846"/>
      <c r="O1441" s="846"/>
    </row>
    <row r="1442" spans="1:15" ht="20.100000000000001" customHeight="1">
      <c r="A1442" s="846"/>
      <c r="B1442" s="846"/>
      <c r="C1442" s="846"/>
      <c r="D1442" s="846"/>
      <c r="E1442" s="846"/>
      <c r="F1442" s="846"/>
      <c r="G1442" s="846"/>
      <c r="H1442" s="846"/>
      <c r="I1442" s="846"/>
      <c r="J1442" s="846"/>
      <c r="K1442" s="846"/>
      <c r="L1442" s="846"/>
      <c r="M1442" s="846"/>
      <c r="N1442" s="846"/>
      <c r="O1442" s="846"/>
    </row>
    <row r="1443" spans="1:15" ht="20.100000000000001" customHeight="1">
      <c r="A1443" s="846"/>
      <c r="B1443" s="846"/>
      <c r="C1443" s="846"/>
      <c r="D1443" s="846"/>
      <c r="E1443" s="846"/>
      <c r="F1443" s="846"/>
      <c r="G1443" s="846"/>
      <c r="H1443" s="846"/>
      <c r="I1443" s="846"/>
      <c r="J1443" s="846"/>
      <c r="K1443" s="846"/>
      <c r="L1443" s="846"/>
      <c r="M1443" s="846"/>
      <c r="N1443" s="846"/>
      <c r="O1443" s="846"/>
    </row>
    <row r="1444" spans="1:15" ht="20.100000000000001" customHeight="1">
      <c r="A1444" s="846"/>
      <c r="B1444" s="846"/>
      <c r="C1444" s="846"/>
      <c r="D1444" s="846"/>
      <c r="E1444" s="846"/>
      <c r="F1444" s="846"/>
      <c r="G1444" s="846"/>
      <c r="H1444" s="846"/>
      <c r="I1444" s="846"/>
      <c r="J1444" s="846"/>
      <c r="K1444" s="846"/>
      <c r="L1444" s="846"/>
      <c r="M1444" s="846"/>
      <c r="N1444" s="846"/>
      <c r="O1444" s="846"/>
    </row>
    <row r="1445" spans="1:15" ht="20.100000000000001" customHeight="1">
      <c r="A1445" s="846"/>
      <c r="B1445" s="846"/>
      <c r="C1445" s="846"/>
      <c r="D1445" s="846"/>
      <c r="E1445" s="846"/>
      <c r="F1445" s="846"/>
      <c r="G1445" s="846"/>
      <c r="H1445" s="846"/>
      <c r="I1445" s="846"/>
      <c r="J1445" s="846"/>
      <c r="K1445" s="846"/>
      <c r="L1445" s="846"/>
      <c r="M1445" s="846"/>
      <c r="N1445" s="846"/>
      <c r="O1445" s="846"/>
    </row>
    <row r="1446" spans="1:15" ht="20.100000000000001" customHeight="1">
      <c r="A1446" s="846"/>
      <c r="B1446" s="846"/>
      <c r="C1446" s="846"/>
      <c r="D1446" s="846"/>
      <c r="E1446" s="846"/>
      <c r="F1446" s="846"/>
      <c r="G1446" s="846"/>
      <c r="H1446" s="846"/>
      <c r="I1446" s="846"/>
      <c r="J1446" s="846"/>
      <c r="K1446" s="846"/>
      <c r="L1446" s="846"/>
      <c r="M1446" s="846"/>
      <c r="N1446" s="846"/>
      <c r="O1446" s="846"/>
    </row>
    <row r="1447" spans="1:15" ht="20.100000000000001" customHeight="1">
      <c r="A1447" s="846"/>
      <c r="B1447" s="846"/>
      <c r="C1447" s="846"/>
      <c r="D1447" s="846"/>
      <c r="E1447" s="846"/>
      <c r="F1447" s="846"/>
      <c r="G1447" s="846"/>
      <c r="H1447" s="846"/>
      <c r="I1447" s="846"/>
      <c r="J1447" s="846"/>
      <c r="K1447" s="846"/>
      <c r="L1447" s="846"/>
      <c r="M1447" s="846"/>
      <c r="N1447" s="846"/>
      <c r="O1447" s="846"/>
    </row>
    <row r="1448" spans="1:15" ht="20.100000000000001" customHeight="1">
      <c r="A1448" s="846"/>
      <c r="B1448" s="846"/>
      <c r="C1448" s="846"/>
      <c r="D1448" s="846"/>
      <c r="E1448" s="846"/>
      <c r="F1448" s="846"/>
      <c r="G1448" s="846"/>
      <c r="H1448" s="846"/>
      <c r="I1448" s="846"/>
      <c r="J1448" s="846"/>
      <c r="K1448" s="846"/>
      <c r="L1448" s="846"/>
      <c r="M1448" s="846"/>
      <c r="N1448" s="846"/>
      <c r="O1448" s="846"/>
    </row>
    <row r="1449" spans="1:15" ht="20.100000000000001" customHeight="1">
      <c r="A1449" s="846"/>
      <c r="B1449" s="846"/>
      <c r="C1449" s="846"/>
      <c r="D1449" s="846"/>
      <c r="E1449" s="846"/>
      <c r="F1449" s="846"/>
      <c r="G1449" s="846"/>
      <c r="H1449" s="846"/>
      <c r="I1449" s="846"/>
      <c r="J1449" s="846"/>
      <c r="K1449" s="846"/>
      <c r="L1449" s="846"/>
      <c r="M1449" s="846"/>
      <c r="N1449" s="846"/>
      <c r="O1449" s="846"/>
    </row>
    <row r="1450" spans="1:15" ht="20.100000000000001" customHeight="1">
      <c r="A1450" s="846"/>
      <c r="B1450" s="846"/>
      <c r="C1450" s="846"/>
      <c r="D1450" s="846"/>
      <c r="E1450" s="846"/>
      <c r="F1450" s="846"/>
      <c r="G1450" s="846"/>
      <c r="H1450" s="846"/>
      <c r="I1450" s="846"/>
      <c r="J1450" s="846"/>
      <c r="K1450" s="846"/>
      <c r="L1450" s="846"/>
      <c r="M1450" s="846"/>
      <c r="N1450" s="846"/>
      <c r="O1450" s="846"/>
    </row>
    <row r="1451" spans="1:15" ht="20.100000000000001" customHeight="1">
      <c r="A1451" s="846"/>
      <c r="B1451" s="846"/>
      <c r="C1451" s="846"/>
      <c r="D1451" s="846"/>
      <c r="E1451" s="846"/>
      <c r="F1451" s="846"/>
      <c r="G1451" s="846"/>
      <c r="H1451" s="846"/>
      <c r="I1451" s="846"/>
      <c r="J1451" s="846"/>
      <c r="K1451" s="846"/>
      <c r="L1451" s="846"/>
      <c r="M1451" s="846"/>
      <c r="N1451" s="846"/>
      <c r="O1451" s="846"/>
    </row>
    <row r="1452" spans="1:15" ht="20.100000000000001" customHeight="1">
      <c r="A1452" s="846"/>
      <c r="B1452" s="846"/>
      <c r="C1452" s="846"/>
      <c r="D1452" s="846"/>
      <c r="E1452" s="846"/>
      <c r="F1452" s="846"/>
      <c r="G1452" s="846"/>
      <c r="H1452" s="846"/>
      <c r="I1452" s="846"/>
      <c r="J1452" s="846"/>
      <c r="K1452" s="846"/>
      <c r="L1452" s="846"/>
      <c r="M1452" s="846"/>
      <c r="N1452" s="846"/>
      <c r="O1452" s="846"/>
    </row>
    <row r="1453" spans="1:15" ht="20.100000000000001" customHeight="1">
      <c r="A1453" s="846"/>
      <c r="B1453" s="846"/>
      <c r="C1453" s="846"/>
      <c r="D1453" s="846"/>
      <c r="E1453" s="846"/>
      <c r="F1453" s="846"/>
      <c r="G1453" s="846"/>
      <c r="H1453" s="846"/>
      <c r="I1453" s="846"/>
      <c r="J1453" s="846"/>
      <c r="K1453" s="846"/>
      <c r="L1453" s="846"/>
      <c r="M1453" s="846"/>
      <c r="N1453" s="846"/>
      <c r="O1453" s="846"/>
    </row>
    <row r="1454" spans="1:15" ht="20.100000000000001" customHeight="1">
      <c r="A1454" s="846"/>
      <c r="B1454" s="846"/>
      <c r="C1454" s="846"/>
      <c r="D1454" s="846"/>
      <c r="E1454" s="846"/>
      <c r="F1454" s="846"/>
      <c r="G1454" s="846"/>
      <c r="H1454" s="846"/>
      <c r="I1454" s="846"/>
      <c r="J1454" s="846"/>
      <c r="K1454" s="846"/>
      <c r="L1454" s="846"/>
      <c r="M1454" s="846"/>
      <c r="N1454" s="846"/>
      <c r="O1454" s="846"/>
    </row>
    <row r="1455" spans="1:15" ht="20.100000000000001" customHeight="1">
      <c r="A1455" s="846"/>
      <c r="B1455" s="846"/>
      <c r="C1455" s="846"/>
      <c r="D1455" s="846"/>
      <c r="E1455" s="846"/>
      <c r="F1455" s="846"/>
      <c r="G1455" s="846"/>
      <c r="H1455" s="846"/>
      <c r="I1455" s="846"/>
      <c r="J1455" s="846"/>
      <c r="K1455" s="846"/>
      <c r="L1455" s="846"/>
      <c r="M1455" s="846"/>
      <c r="N1455" s="846"/>
      <c r="O1455" s="846"/>
    </row>
    <row r="1456" spans="1:15" ht="20.100000000000001" customHeight="1">
      <c r="A1456" s="846"/>
      <c r="B1456" s="846"/>
      <c r="C1456" s="846"/>
      <c r="D1456" s="846"/>
      <c r="E1456" s="846"/>
      <c r="F1456" s="846"/>
      <c r="G1456" s="846"/>
      <c r="H1456" s="846"/>
      <c r="I1456" s="846"/>
      <c r="J1456" s="846"/>
      <c r="K1456" s="846"/>
      <c r="L1456" s="846"/>
      <c r="M1456" s="846"/>
      <c r="N1456" s="846"/>
      <c r="O1456" s="846"/>
    </row>
    <row r="1457" spans="1:15" ht="20.100000000000001" customHeight="1">
      <c r="A1457" s="846"/>
      <c r="B1457" s="846"/>
      <c r="C1457" s="846"/>
      <c r="D1457" s="846"/>
      <c r="E1457" s="846"/>
      <c r="F1457" s="846"/>
      <c r="G1457" s="846"/>
      <c r="H1457" s="846"/>
      <c r="I1457" s="846"/>
      <c r="J1457" s="846"/>
      <c r="K1457" s="846"/>
      <c r="L1457" s="846"/>
      <c r="M1457" s="846"/>
      <c r="N1457" s="846"/>
      <c r="O1457" s="846"/>
    </row>
    <row r="1458" spans="1:15" ht="20.100000000000001" customHeight="1">
      <c r="A1458" s="846"/>
      <c r="B1458" s="846"/>
      <c r="C1458" s="846"/>
      <c r="D1458" s="846"/>
      <c r="E1458" s="846"/>
      <c r="F1458" s="846"/>
      <c r="G1458" s="846"/>
      <c r="H1458" s="846"/>
      <c r="I1458" s="846"/>
      <c r="J1458" s="846"/>
      <c r="K1458" s="846"/>
      <c r="L1458" s="846"/>
      <c r="M1458" s="846"/>
      <c r="N1458" s="846"/>
      <c r="O1458" s="846"/>
    </row>
    <row r="1459" spans="1:15" ht="20.100000000000001" customHeight="1">
      <c r="A1459" s="846"/>
      <c r="B1459" s="846"/>
      <c r="C1459" s="846"/>
      <c r="D1459" s="846"/>
      <c r="E1459" s="846"/>
      <c r="F1459" s="846"/>
      <c r="G1459" s="846"/>
      <c r="H1459" s="846"/>
      <c r="I1459" s="846"/>
      <c r="J1459" s="846"/>
      <c r="K1459" s="846"/>
      <c r="L1459" s="846"/>
      <c r="M1459" s="846"/>
      <c r="N1459" s="846"/>
      <c r="O1459" s="846"/>
    </row>
    <row r="1460" spans="1:15" ht="20.100000000000001" customHeight="1">
      <c r="A1460" s="846"/>
      <c r="B1460" s="846"/>
      <c r="C1460" s="846"/>
      <c r="D1460" s="846"/>
      <c r="E1460" s="846"/>
      <c r="F1460" s="846"/>
      <c r="G1460" s="846"/>
      <c r="H1460" s="846"/>
      <c r="I1460" s="846"/>
      <c r="J1460" s="846"/>
      <c r="K1460" s="846"/>
      <c r="L1460" s="846"/>
      <c r="M1460" s="846"/>
      <c r="N1460" s="846"/>
      <c r="O1460" s="846"/>
    </row>
    <row r="1461" spans="1:15" ht="20.100000000000001" customHeight="1">
      <c r="A1461" s="846"/>
      <c r="B1461" s="846"/>
      <c r="C1461" s="846"/>
      <c r="D1461" s="846"/>
      <c r="E1461" s="846"/>
      <c r="F1461" s="846"/>
      <c r="G1461" s="846"/>
      <c r="H1461" s="846"/>
      <c r="I1461" s="846"/>
      <c r="J1461" s="846"/>
      <c r="K1461" s="846"/>
      <c r="L1461" s="846"/>
      <c r="M1461" s="846"/>
      <c r="N1461" s="846"/>
      <c r="O1461" s="846"/>
    </row>
    <row r="1462" spans="1:15" ht="20.100000000000001" customHeight="1">
      <c r="A1462" s="846"/>
      <c r="B1462" s="846"/>
      <c r="C1462" s="846"/>
      <c r="D1462" s="846"/>
      <c r="E1462" s="846"/>
      <c r="F1462" s="846"/>
      <c r="G1462" s="846"/>
      <c r="H1462" s="846"/>
      <c r="I1462" s="846"/>
      <c r="J1462" s="846"/>
      <c r="K1462" s="846"/>
      <c r="L1462" s="846"/>
      <c r="M1462" s="846"/>
      <c r="N1462" s="846"/>
      <c r="O1462" s="846"/>
    </row>
    <row r="1463" spans="1:15" ht="20.100000000000001" customHeight="1">
      <c r="A1463" s="846"/>
      <c r="B1463" s="846"/>
      <c r="C1463" s="846"/>
      <c r="D1463" s="846"/>
      <c r="E1463" s="846"/>
      <c r="F1463" s="846"/>
      <c r="G1463" s="846"/>
      <c r="H1463" s="846"/>
      <c r="I1463" s="846"/>
      <c r="J1463" s="846"/>
      <c r="K1463" s="846"/>
      <c r="L1463" s="846"/>
      <c r="M1463" s="846"/>
      <c r="N1463" s="846"/>
      <c r="O1463" s="846"/>
    </row>
    <row r="1464" spans="1:15" ht="20.100000000000001" customHeight="1">
      <c r="A1464" s="846"/>
      <c r="B1464" s="846"/>
      <c r="C1464" s="846"/>
      <c r="D1464" s="846"/>
      <c r="E1464" s="846"/>
      <c r="F1464" s="846"/>
      <c r="G1464" s="846"/>
      <c r="H1464" s="846"/>
      <c r="I1464" s="846"/>
      <c r="J1464" s="846"/>
      <c r="K1464" s="846"/>
      <c r="L1464" s="846"/>
      <c r="M1464" s="846"/>
      <c r="N1464" s="846"/>
      <c r="O1464" s="846"/>
    </row>
    <row r="1465" spans="1:15" ht="20.100000000000001" customHeight="1">
      <c r="A1465" s="846"/>
      <c r="B1465" s="846"/>
      <c r="C1465" s="846"/>
      <c r="D1465" s="846"/>
      <c r="E1465" s="846"/>
      <c r="F1465" s="846"/>
      <c r="G1465" s="846"/>
      <c r="H1465" s="846"/>
      <c r="I1465" s="846"/>
      <c r="J1465" s="846"/>
      <c r="K1465" s="846"/>
      <c r="L1465" s="846"/>
      <c r="M1465" s="846"/>
      <c r="N1465" s="846"/>
      <c r="O1465" s="846"/>
    </row>
    <row r="1466" spans="1:15" ht="20.100000000000001" customHeight="1">
      <c r="A1466" s="846"/>
      <c r="B1466" s="846"/>
      <c r="C1466" s="846"/>
      <c r="D1466" s="846"/>
      <c r="E1466" s="846"/>
      <c r="F1466" s="846"/>
      <c r="G1466" s="846"/>
      <c r="H1466" s="846"/>
      <c r="I1466" s="846"/>
      <c r="J1466" s="846"/>
      <c r="K1466" s="846"/>
      <c r="L1466" s="846"/>
      <c r="M1466" s="846"/>
      <c r="N1466" s="846"/>
      <c r="O1466" s="846"/>
    </row>
    <row r="1467" spans="1:15" ht="20.100000000000001" customHeight="1">
      <c r="A1467" s="846"/>
      <c r="B1467" s="846"/>
      <c r="C1467" s="846"/>
      <c r="D1467" s="846"/>
      <c r="E1467" s="846"/>
      <c r="F1467" s="846"/>
      <c r="G1467" s="846"/>
      <c r="H1467" s="846"/>
      <c r="I1467" s="846"/>
      <c r="J1467" s="846"/>
      <c r="K1467" s="846"/>
      <c r="L1467" s="846"/>
      <c r="M1467" s="846"/>
      <c r="N1467" s="846"/>
      <c r="O1467" s="846"/>
    </row>
    <row r="1468" spans="1:15" ht="20.100000000000001" customHeight="1">
      <c r="A1468" s="846"/>
      <c r="B1468" s="846"/>
      <c r="C1468" s="846"/>
      <c r="D1468" s="846"/>
      <c r="E1468" s="846"/>
      <c r="F1468" s="846"/>
      <c r="G1468" s="846"/>
      <c r="H1468" s="846"/>
      <c r="I1468" s="846"/>
      <c r="J1468" s="846"/>
      <c r="K1468" s="846"/>
      <c r="L1468" s="846"/>
      <c r="M1468" s="846"/>
      <c r="N1468" s="846"/>
      <c r="O1468" s="846"/>
    </row>
    <row r="1469" spans="1:15" ht="20.100000000000001" customHeight="1">
      <c r="A1469" s="846"/>
      <c r="B1469" s="846"/>
      <c r="C1469" s="846"/>
      <c r="D1469" s="846"/>
      <c r="E1469" s="846"/>
      <c r="F1469" s="846"/>
      <c r="G1469" s="846"/>
      <c r="H1469" s="846"/>
      <c r="I1469" s="846"/>
      <c r="J1469" s="846"/>
      <c r="K1469" s="846"/>
      <c r="L1469" s="846"/>
      <c r="M1469" s="846"/>
      <c r="N1469" s="846"/>
      <c r="O1469" s="846"/>
    </row>
    <row r="1470" spans="1:15" ht="20.100000000000001" customHeight="1">
      <c r="A1470" s="846"/>
      <c r="B1470" s="846"/>
      <c r="C1470" s="846"/>
      <c r="D1470" s="846"/>
      <c r="E1470" s="846"/>
      <c r="F1470" s="846"/>
      <c r="G1470" s="846"/>
      <c r="H1470" s="846"/>
      <c r="I1470" s="846"/>
      <c r="J1470" s="846"/>
      <c r="K1470" s="846"/>
      <c r="L1470" s="846"/>
      <c r="M1470" s="846"/>
      <c r="N1470" s="846"/>
      <c r="O1470" s="846"/>
    </row>
    <row r="1471" spans="1:15" ht="20.100000000000001" customHeight="1">
      <c r="A1471" s="846"/>
      <c r="B1471" s="846"/>
      <c r="C1471" s="846"/>
      <c r="D1471" s="846"/>
      <c r="E1471" s="846"/>
      <c r="F1471" s="846"/>
      <c r="G1471" s="846"/>
      <c r="H1471" s="846"/>
      <c r="I1471" s="846"/>
      <c r="J1471" s="846"/>
      <c r="K1471" s="846"/>
      <c r="L1471" s="846"/>
      <c r="M1471" s="846"/>
      <c r="N1471" s="846"/>
      <c r="O1471" s="846"/>
    </row>
    <row r="1472" spans="1:15" ht="20.100000000000001" customHeight="1">
      <c r="A1472" s="846"/>
      <c r="B1472" s="846"/>
      <c r="C1472" s="846"/>
      <c r="D1472" s="846"/>
      <c r="E1472" s="846"/>
      <c r="F1472" s="846"/>
      <c r="G1472" s="846"/>
      <c r="H1472" s="846"/>
      <c r="I1472" s="846"/>
      <c r="J1472" s="846"/>
      <c r="K1472" s="846"/>
      <c r="L1472" s="846"/>
      <c r="M1472" s="846"/>
      <c r="N1472" s="846"/>
      <c r="O1472" s="846"/>
    </row>
    <row r="1473" spans="1:15" ht="20.100000000000001" customHeight="1">
      <c r="A1473" s="846"/>
      <c r="B1473" s="846"/>
      <c r="C1473" s="846"/>
      <c r="D1473" s="846"/>
      <c r="E1473" s="846"/>
      <c r="F1473" s="846"/>
      <c r="G1473" s="846"/>
      <c r="H1473" s="846"/>
      <c r="I1473" s="846"/>
      <c r="J1473" s="846"/>
      <c r="K1473" s="846"/>
      <c r="L1473" s="846"/>
      <c r="M1473" s="846"/>
      <c r="N1473" s="846"/>
      <c r="O1473" s="846"/>
    </row>
    <row r="1474" spans="1:15" ht="20.100000000000001" customHeight="1">
      <c r="A1474" s="846"/>
      <c r="B1474" s="846"/>
      <c r="C1474" s="846"/>
      <c r="D1474" s="846"/>
      <c r="E1474" s="846"/>
      <c r="F1474" s="846"/>
      <c r="G1474" s="846"/>
      <c r="H1474" s="846"/>
      <c r="I1474" s="846"/>
      <c r="J1474" s="846"/>
      <c r="K1474" s="846"/>
      <c r="L1474" s="846"/>
      <c r="M1474" s="846"/>
      <c r="N1474" s="846"/>
      <c r="O1474" s="846"/>
    </row>
    <row r="1475" spans="1:15" ht="20.100000000000001" customHeight="1">
      <c r="A1475" s="846"/>
      <c r="B1475" s="846"/>
      <c r="C1475" s="846"/>
      <c r="D1475" s="846"/>
      <c r="E1475" s="846"/>
      <c r="F1475" s="846"/>
      <c r="G1475" s="846"/>
      <c r="H1475" s="846"/>
      <c r="I1475" s="846"/>
      <c r="J1475" s="846"/>
      <c r="K1475" s="846"/>
      <c r="L1475" s="846"/>
      <c r="M1475" s="846"/>
      <c r="N1475" s="846"/>
      <c r="O1475" s="846"/>
    </row>
    <row r="1476" spans="1:15" ht="20.100000000000001" customHeight="1">
      <c r="A1476" s="846"/>
      <c r="B1476" s="846"/>
      <c r="C1476" s="846"/>
      <c r="D1476" s="846"/>
      <c r="E1476" s="846"/>
      <c r="F1476" s="846"/>
      <c r="G1476" s="846"/>
      <c r="H1476" s="846"/>
      <c r="I1476" s="846"/>
      <c r="J1476" s="846"/>
      <c r="K1476" s="846"/>
      <c r="L1476" s="846"/>
      <c r="M1476" s="846"/>
      <c r="N1476" s="846"/>
      <c r="O1476" s="846"/>
    </row>
    <row r="1477" spans="1:15" ht="20.100000000000001" customHeight="1">
      <c r="A1477" s="846"/>
      <c r="B1477" s="846"/>
      <c r="C1477" s="846"/>
      <c r="D1477" s="846"/>
      <c r="E1477" s="846"/>
      <c r="F1477" s="846"/>
      <c r="G1477" s="846"/>
      <c r="H1477" s="846"/>
      <c r="I1477" s="846"/>
      <c r="J1477" s="846"/>
      <c r="K1477" s="846"/>
      <c r="L1477" s="846"/>
      <c r="M1477" s="846"/>
      <c r="N1477" s="846"/>
      <c r="O1477" s="846"/>
    </row>
    <row r="1478" spans="1:15" ht="20.100000000000001" customHeight="1">
      <c r="A1478" s="846"/>
      <c r="B1478" s="846"/>
      <c r="C1478" s="846"/>
      <c r="D1478" s="846"/>
      <c r="E1478" s="846"/>
      <c r="F1478" s="846"/>
      <c r="G1478" s="846"/>
      <c r="H1478" s="846"/>
      <c r="I1478" s="846"/>
      <c r="J1478" s="846"/>
      <c r="K1478" s="846"/>
      <c r="L1478" s="846"/>
      <c r="M1478" s="846"/>
      <c r="N1478" s="846"/>
      <c r="O1478" s="846"/>
    </row>
    <row r="1479" spans="1:15" ht="20.100000000000001" customHeight="1">
      <c r="A1479" s="846"/>
      <c r="B1479" s="846"/>
      <c r="C1479" s="846"/>
      <c r="D1479" s="846"/>
      <c r="E1479" s="846"/>
      <c r="F1479" s="846"/>
      <c r="G1479" s="846"/>
      <c r="H1479" s="846"/>
      <c r="I1479" s="846"/>
      <c r="J1479" s="846"/>
      <c r="K1479" s="846"/>
      <c r="L1479" s="846"/>
      <c r="M1479" s="846"/>
      <c r="N1479" s="846"/>
      <c r="O1479" s="846"/>
    </row>
    <row r="1480" spans="1:15" ht="20.100000000000001" customHeight="1">
      <c r="A1480" s="846"/>
      <c r="B1480" s="846"/>
      <c r="C1480" s="846"/>
      <c r="D1480" s="846"/>
      <c r="E1480" s="846"/>
      <c r="F1480" s="846"/>
      <c r="G1480" s="846"/>
      <c r="H1480" s="846"/>
      <c r="I1480" s="846"/>
      <c r="J1480" s="846"/>
      <c r="K1480" s="846"/>
      <c r="L1480" s="846"/>
      <c r="M1480" s="846"/>
      <c r="N1480" s="846"/>
      <c r="O1480" s="846"/>
    </row>
    <row r="1481" spans="1:15" ht="20.100000000000001" customHeight="1">
      <c r="A1481" s="846"/>
      <c r="B1481" s="846"/>
      <c r="C1481" s="846"/>
      <c r="D1481" s="846"/>
      <c r="E1481" s="846"/>
      <c r="F1481" s="846"/>
      <c r="G1481" s="846"/>
      <c r="H1481" s="846"/>
      <c r="I1481" s="846"/>
      <c r="J1481" s="846"/>
      <c r="K1481" s="846"/>
      <c r="L1481" s="846"/>
      <c r="M1481" s="846"/>
      <c r="N1481" s="846"/>
      <c r="O1481" s="846"/>
    </row>
    <row r="1482" spans="1:15" ht="20.100000000000001" customHeight="1">
      <c r="A1482" s="846"/>
      <c r="B1482" s="846"/>
      <c r="C1482" s="846"/>
      <c r="D1482" s="846"/>
      <c r="E1482" s="846"/>
      <c r="F1482" s="846"/>
      <c r="G1482" s="846"/>
      <c r="H1482" s="846"/>
      <c r="I1482" s="846"/>
      <c r="J1482" s="846"/>
      <c r="K1482" s="846"/>
      <c r="L1482" s="846"/>
      <c r="M1482" s="846"/>
      <c r="N1482" s="846"/>
      <c r="O1482" s="846"/>
    </row>
    <row r="1483" spans="1:15" ht="20.100000000000001" customHeight="1">
      <c r="A1483" s="846"/>
      <c r="B1483" s="846"/>
      <c r="C1483" s="846"/>
      <c r="D1483" s="846"/>
      <c r="E1483" s="846"/>
      <c r="F1483" s="846"/>
      <c r="G1483" s="846"/>
      <c r="H1483" s="846"/>
      <c r="I1483" s="846"/>
      <c r="J1483" s="846"/>
      <c r="K1483" s="846"/>
      <c r="L1483" s="846"/>
      <c r="M1483" s="846"/>
      <c r="N1483" s="846"/>
      <c r="O1483" s="846"/>
    </row>
    <row r="1484" spans="1:15" ht="20.100000000000001" customHeight="1">
      <c r="A1484" s="846"/>
      <c r="B1484" s="846"/>
      <c r="C1484" s="846"/>
      <c r="D1484" s="846"/>
      <c r="E1484" s="846"/>
      <c r="F1484" s="846"/>
      <c r="G1484" s="846"/>
      <c r="H1484" s="846"/>
      <c r="I1484" s="846"/>
      <c r="J1484" s="846"/>
      <c r="K1484" s="846"/>
      <c r="L1484" s="846"/>
      <c r="M1484" s="846"/>
      <c r="N1484" s="846"/>
      <c r="O1484" s="846"/>
    </row>
    <row r="1485" spans="1:15" ht="20.100000000000001" customHeight="1">
      <c r="A1485" s="846"/>
      <c r="B1485" s="846"/>
      <c r="C1485" s="846"/>
      <c r="D1485" s="846"/>
      <c r="E1485" s="846"/>
      <c r="F1485" s="846"/>
      <c r="G1485" s="846"/>
      <c r="H1485" s="846"/>
      <c r="I1485" s="846"/>
      <c r="J1485" s="846"/>
      <c r="K1485" s="846"/>
      <c r="L1485" s="846"/>
      <c r="M1485" s="846"/>
      <c r="N1485" s="846"/>
      <c r="O1485" s="846"/>
    </row>
    <row r="1486" spans="1:15" ht="20.100000000000001" customHeight="1">
      <c r="A1486" s="846"/>
      <c r="B1486" s="846"/>
      <c r="C1486" s="846"/>
      <c r="D1486" s="846"/>
      <c r="E1486" s="846"/>
      <c r="F1486" s="846"/>
      <c r="G1486" s="846"/>
      <c r="H1486" s="846"/>
      <c r="I1486" s="846"/>
      <c r="J1486" s="846"/>
      <c r="K1486" s="846"/>
      <c r="L1486" s="846"/>
      <c r="M1486" s="846"/>
      <c r="N1486" s="846"/>
      <c r="O1486" s="846"/>
    </row>
    <row r="1487" spans="1:15" ht="20.100000000000001" customHeight="1">
      <c r="A1487" s="846"/>
      <c r="B1487" s="846"/>
      <c r="C1487" s="846"/>
      <c r="D1487" s="846"/>
      <c r="E1487" s="846"/>
      <c r="F1487" s="846"/>
      <c r="G1487" s="846"/>
      <c r="H1487" s="846"/>
      <c r="I1487" s="846"/>
      <c r="J1487" s="846"/>
      <c r="K1487" s="846"/>
      <c r="L1487" s="846"/>
      <c r="M1487" s="846"/>
      <c r="N1487" s="846"/>
      <c r="O1487" s="846"/>
    </row>
    <row r="1488" spans="1:15" ht="20.100000000000001" customHeight="1">
      <c r="A1488" s="846"/>
      <c r="B1488" s="846"/>
      <c r="C1488" s="846"/>
      <c r="D1488" s="846"/>
      <c r="E1488" s="846"/>
      <c r="F1488" s="846"/>
      <c r="G1488" s="846"/>
      <c r="H1488" s="846"/>
      <c r="I1488" s="846"/>
      <c r="J1488" s="846"/>
      <c r="K1488" s="846"/>
      <c r="L1488" s="846"/>
      <c r="M1488" s="846"/>
      <c r="N1488" s="846"/>
      <c r="O1488" s="846"/>
    </row>
    <row r="1489" spans="1:15" ht="20.100000000000001" customHeight="1">
      <c r="A1489" s="846"/>
      <c r="B1489" s="846"/>
      <c r="C1489" s="846"/>
      <c r="D1489" s="846"/>
      <c r="E1489" s="846"/>
      <c r="F1489" s="846"/>
      <c r="G1489" s="846"/>
      <c r="H1489" s="846"/>
      <c r="I1489" s="846"/>
      <c r="J1489" s="846"/>
      <c r="K1489" s="846"/>
      <c r="L1489" s="846"/>
      <c r="M1489" s="846"/>
      <c r="N1489" s="846"/>
      <c r="O1489" s="846"/>
    </row>
    <row r="1490" spans="1:15" ht="20.100000000000001" customHeight="1">
      <c r="A1490" s="846"/>
      <c r="B1490" s="846"/>
      <c r="C1490" s="846"/>
      <c r="D1490" s="846"/>
      <c r="E1490" s="846"/>
      <c r="F1490" s="846"/>
      <c r="G1490" s="846"/>
      <c r="H1490" s="846"/>
      <c r="I1490" s="846"/>
      <c r="J1490" s="846"/>
      <c r="K1490" s="846"/>
      <c r="L1490" s="846"/>
      <c r="M1490" s="846"/>
      <c r="N1490" s="846"/>
      <c r="O1490" s="846"/>
    </row>
    <row r="1491" spans="1:15" ht="20.100000000000001" customHeight="1">
      <c r="A1491" s="846"/>
      <c r="B1491" s="846"/>
      <c r="C1491" s="846"/>
      <c r="D1491" s="846"/>
      <c r="E1491" s="846"/>
      <c r="F1491" s="846"/>
      <c r="G1491" s="846"/>
      <c r="H1491" s="846"/>
      <c r="I1491" s="846"/>
      <c r="J1491" s="846"/>
      <c r="K1491" s="846"/>
      <c r="L1491" s="846"/>
      <c r="M1491" s="846"/>
      <c r="N1491" s="846"/>
      <c r="O1491" s="846"/>
    </row>
    <row r="1492" spans="1:15" ht="20.100000000000001" customHeight="1">
      <c r="A1492" s="846"/>
      <c r="B1492" s="846"/>
      <c r="C1492" s="846"/>
      <c r="D1492" s="846"/>
      <c r="E1492" s="846"/>
      <c r="F1492" s="846"/>
      <c r="G1492" s="846"/>
      <c r="H1492" s="846"/>
      <c r="I1492" s="846"/>
      <c r="J1492" s="846"/>
      <c r="K1492" s="846"/>
      <c r="L1492" s="846"/>
      <c r="M1492" s="846"/>
      <c r="N1492" s="846"/>
      <c r="O1492" s="846"/>
    </row>
    <row r="1493" spans="1:15" ht="20.100000000000001" customHeight="1">
      <c r="A1493" s="846"/>
      <c r="B1493" s="846"/>
      <c r="C1493" s="846"/>
      <c r="D1493" s="846"/>
      <c r="E1493" s="846"/>
      <c r="F1493" s="846"/>
      <c r="G1493" s="846"/>
      <c r="H1493" s="846"/>
      <c r="I1493" s="846"/>
      <c r="J1493" s="846"/>
      <c r="K1493" s="846"/>
      <c r="L1493" s="846"/>
      <c r="M1493" s="846"/>
      <c r="N1493" s="846"/>
      <c r="O1493" s="846"/>
    </row>
    <row r="1494" spans="1:15" ht="20.100000000000001" customHeight="1">
      <c r="A1494" s="846"/>
      <c r="B1494" s="846"/>
      <c r="C1494" s="846"/>
      <c r="D1494" s="846"/>
      <c r="E1494" s="846"/>
      <c r="F1494" s="846"/>
      <c r="G1494" s="846"/>
      <c r="H1494" s="846"/>
      <c r="I1494" s="846"/>
      <c r="J1494" s="846"/>
      <c r="K1494" s="846"/>
      <c r="L1494" s="846"/>
      <c r="M1494" s="846"/>
      <c r="N1494" s="846"/>
      <c r="O1494" s="846"/>
    </row>
    <row r="1495" spans="1:15" ht="20.100000000000001" customHeight="1">
      <c r="A1495" s="846"/>
      <c r="B1495" s="846"/>
      <c r="C1495" s="846"/>
      <c r="D1495" s="846"/>
      <c r="E1495" s="846"/>
      <c r="F1495" s="846"/>
      <c r="G1495" s="846"/>
      <c r="H1495" s="846"/>
      <c r="I1495" s="846"/>
      <c r="J1495" s="846"/>
      <c r="K1495" s="846"/>
      <c r="L1495" s="846"/>
      <c r="M1495" s="846"/>
      <c r="N1495" s="846"/>
      <c r="O1495" s="846"/>
    </row>
    <row r="1496" spans="1:15" ht="20.100000000000001" customHeight="1">
      <c r="A1496" s="846"/>
      <c r="B1496" s="846"/>
      <c r="C1496" s="846"/>
      <c r="D1496" s="846"/>
      <c r="E1496" s="846"/>
      <c r="F1496" s="846"/>
      <c r="G1496" s="846"/>
      <c r="H1496" s="846"/>
      <c r="I1496" s="846"/>
      <c r="J1496" s="846"/>
      <c r="K1496" s="846"/>
      <c r="L1496" s="846"/>
      <c r="M1496" s="846"/>
      <c r="N1496" s="846"/>
      <c r="O1496" s="846"/>
    </row>
    <row r="1497" spans="1:15" ht="20.100000000000001" customHeight="1">
      <c r="A1497" s="846"/>
      <c r="B1497" s="846"/>
      <c r="C1497" s="846"/>
      <c r="D1497" s="846"/>
      <c r="E1497" s="846"/>
      <c r="F1497" s="846"/>
      <c r="G1497" s="846"/>
      <c r="H1497" s="846"/>
      <c r="I1497" s="846"/>
      <c r="J1497" s="846"/>
      <c r="K1497" s="846"/>
      <c r="L1497" s="846"/>
      <c r="M1497" s="846"/>
      <c r="N1497" s="846"/>
      <c r="O1497" s="846"/>
    </row>
    <row r="1498" spans="1:15" ht="20.100000000000001" customHeight="1">
      <c r="A1498" s="846"/>
      <c r="B1498" s="846"/>
      <c r="C1498" s="846"/>
      <c r="D1498" s="846"/>
      <c r="E1498" s="846"/>
      <c r="F1498" s="846"/>
      <c r="G1498" s="846"/>
      <c r="H1498" s="846"/>
      <c r="I1498" s="846"/>
      <c r="J1498" s="846"/>
      <c r="K1498" s="846"/>
      <c r="L1498" s="846"/>
      <c r="M1498" s="846"/>
      <c r="N1498" s="846"/>
      <c r="O1498" s="846"/>
    </row>
    <row r="1499" spans="1:15" ht="20.100000000000001" customHeight="1">
      <c r="A1499" s="846"/>
      <c r="B1499" s="846"/>
      <c r="C1499" s="846"/>
      <c r="D1499" s="846"/>
      <c r="E1499" s="846"/>
      <c r="F1499" s="846"/>
      <c r="G1499" s="846"/>
      <c r="H1499" s="846"/>
      <c r="I1499" s="846"/>
      <c r="J1499" s="846"/>
      <c r="K1499" s="846"/>
      <c r="L1499" s="846"/>
      <c r="M1499" s="846"/>
      <c r="N1499" s="846"/>
      <c r="O1499" s="846"/>
    </row>
    <row r="1500" spans="1:15" ht="20.100000000000001" customHeight="1">
      <c r="A1500" s="846"/>
      <c r="B1500" s="846"/>
      <c r="C1500" s="846"/>
      <c r="D1500" s="846"/>
      <c r="E1500" s="846"/>
      <c r="F1500" s="846"/>
      <c r="G1500" s="846"/>
      <c r="H1500" s="846"/>
      <c r="I1500" s="846"/>
      <c r="J1500" s="846"/>
      <c r="K1500" s="846"/>
      <c r="L1500" s="846"/>
      <c r="M1500" s="846"/>
      <c r="N1500" s="846"/>
      <c r="O1500" s="846"/>
    </row>
    <row r="1501" spans="1:15" ht="20.100000000000001" customHeight="1">
      <c r="A1501" s="846"/>
      <c r="B1501" s="846"/>
      <c r="C1501" s="846"/>
      <c r="D1501" s="846"/>
      <c r="E1501" s="846"/>
      <c r="F1501" s="846"/>
      <c r="G1501" s="846"/>
      <c r="H1501" s="846"/>
      <c r="I1501" s="846"/>
      <c r="J1501" s="846"/>
      <c r="K1501" s="846"/>
      <c r="L1501" s="846"/>
      <c r="M1501" s="846"/>
      <c r="N1501" s="846"/>
      <c r="O1501" s="846"/>
    </row>
    <row r="1502" spans="1:15" ht="20.100000000000001" customHeight="1">
      <c r="A1502" s="846"/>
      <c r="B1502" s="846"/>
      <c r="C1502" s="846"/>
      <c r="D1502" s="846"/>
      <c r="E1502" s="846"/>
      <c r="F1502" s="846"/>
      <c r="G1502" s="846"/>
      <c r="H1502" s="846"/>
      <c r="I1502" s="846"/>
      <c r="J1502" s="846"/>
      <c r="K1502" s="846"/>
      <c r="L1502" s="846"/>
      <c r="M1502" s="846"/>
      <c r="N1502" s="846"/>
      <c r="O1502" s="846"/>
    </row>
    <row r="1503" spans="1:15" ht="20.100000000000001" customHeight="1">
      <c r="A1503" s="846"/>
      <c r="B1503" s="846"/>
      <c r="C1503" s="846"/>
      <c r="D1503" s="846"/>
      <c r="E1503" s="846"/>
      <c r="F1503" s="846"/>
      <c r="G1503" s="846"/>
      <c r="H1503" s="846"/>
      <c r="I1503" s="846"/>
      <c r="J1503" s="846"/>
      <c r="K1503" s="846"/>
      <c r="L1503" s="846"/>
      <c r="M1503" s="846"/>
      <c r="N1503" s="846"/>
      <c r="O1503" s="846"/>
    </row>
    <row r="1504" spans="1:15" ht="20.100000000000001" customHeight="1">
      <c r="A1504" s="846"/>
      <c r="B1504" s="846"/>
      <c r="C1504" s="846"/>
      <c r="D1504" s="846"/>
      <c r="E1504" s="846"/>
      <c r="F1504" s="846"/>
      <c r="G1504" s="846"/>
      <c r="H1504" s="846"/>
      <c r="I1504" s="846"/>
      <c r="J1504" s="846"/>
      <c r="K1504" s="846"/>
      <c r="L1504" s="846"/>
      <c r="M1504" s="846"/>
      <c r="N1504" s="846"/>
      <c r="O1504" s="846"/>
    </row>
    <row r="1505" spans="1:15" ht="20.100000000000001" customHeight="1">
      <c r="A1505" s="846"/>
      <c r="B1505" s="846"/>
      <c r="C1505" s="846"/>
      <c r="D1505" s="846"/>
      <c r="E1505" s="846"/>
      <c r="F1505" s="846"/>
      <c r="G1505" s="846"/>
      <c r="H1505" s="846"/>
      <c r="I1505" s="846"/>
      <c r="J1505" s="846"/>
      <c r="K1505" s="846"/>
      <c r="L1505" s="846"/>
      <c r="M1505" s="846"/>
      <c r="N1505" s="846"/>
      <c r="O1505" s="846"/>
    </row>
    <row r="1506" spans="1:15" ht="20.100000000000001" customHeight="1">
      <c r="A1506" s="846"/>
      <c r="B1506" s="846"/>
      <c r="C1506" s="846"/>
      <c r="D1506" s="846"/>
      <c r="E1506" s="846"/>
      <c r="F1506" s="846"/>
      <c r="G1506" s="846"/>
      <c r="H1506" s="846"/>
      <c r="I1506" s="846"/>
      <c r="J1506" s="846"/>
      <c r="K1506" s="846"/>
      <c r="L1506" s="846"/>
      <c r="M1506" s="846"/>
      <c r="N1506" s="846"/>
      <c r="O1506" s="846"/>
    </row>
    <row r="1507" spans="1:15" ht="20.100000000000001" customHeight="1">
      <c r="A1507" s="846"/>
      <c r="B1507" s="846"/>
      <c r="C1507" s="846"/>
      <c r="D1507" s="846"/>
      <c r="E1507" s="846"/>
      <c r="F1507" s="846"/>
      <c r="G1507" s="846"/>
      <c r="H1507" s="846"/>
      <c r="I1507" s="846"/>
      <c r="J1507" s="846"/>
      <c r="K1507" s="846"/>
      <c r="L1507" s="846"/>
      <c r="M1507" s="846"/>
      <c r="N1507" s="846"/>
      <c r="O1507" s="846"/>
    </row>
    <row r="1508" spans="1:15" ht="20.100000000000001" customHeight="1">
      <c r="A1508" s="846"/>
      <c r="B1508" s="846"/>
      <c r="C1508" s="846"/>
      <c r="D1508" s="846"/>
      <c r="E1508" s="846"/>
      <c r="F1508" s="846"/>
      <c r="G1508" s="846"/>
      <c r="H1508" s="846"/>
      <c r="I1508" s="846"/>
      <c r="J1508" s="846"/>
      <c r="K1508" s="846"/>
      <c r="L1508" s="846"/>
      <c r="M1508" s="846"/>
      <c r="N1508" s="846"/>
      <c r="O1508" s="846"/>
    </row>
    <row r="1509" spans="1:15" ht="20.100000000000001" customHeight="1">
      <c r="A1509" s="846"/>
      <c r="B1509" s="846"/>
      <c r="C1509" s="846"/>
      <c r="D1509" s="846"/>
      <c r="E1509" s="846"/>
      <c r="F1509" s="846"/>
      <c r="G1509" s="846"/>
      <c r="H1509" s="846"/>
      <c r="I1509" s="846"/>
      <c r="J1509" s="846"/>
      <c r="K1509" s="846"/>
      <c r="L1509" s="846"/>
      <c r="M1509" s="846"/>
      <c r="N1509" s="846"/>
      <c r="O1509" s="846"/>
    </row>
    <row r="1510" spans="1:15" ht="20.100000000000001" customHeight="1">
      <c r="A1510" s="846"/>
      <c r="B1510" s="846"/>
      <c r="C1510" s="846"/>
      <c r="D1510" s="846"/>
      <c r="E1510" s="846"/>
      <c r="F1510" s="846"/>
      <c r="G1510" s="846"/>
      <c r="H1510" s="846"/>
      <c r="I1510" s="846"/>
      <c r="J1510" s="846"/>
      <c r="K1510" s="846"/>
      <c r="L1510" s="846"/>
      <c r="M1510" s="846"/>
      <c r="N1510" s="846"/>
      <c r="O1510" s="846"/>
    </row>
    <row r="1511" spans="1:15" ht="20.100000000000001" customHeight="1">
      <c r="A1511" s="846"/>
      <c r="B1511" s="846"/>
      <c r="C1511" s="846"/>
      <c r="D1511" s="846"/>
      <c r="E1511" s="846"/>
      <c r="F1511" s="846"/>
      <c r="G1511" s="846"/>
      <c r="H1511" s="846"/>
      <c r="I1511" s="846"/>
      <c r="J1511" s="846"/>
      <c r="K1511" s="846"/>
      <c r="L1511" s="846"/>
      <c r="M1511" s="846"/>
      <c r="N1511" s="846"/>
      <c r="O1511" s="846"/>
    </row>
    <row r="1512" spans="1:15" ht="20.100000000000001" customHeight="1">
      <c r="A1512" s="846"/>
      <c r="B1512" s="846"/>
      <c r="C1512" s="846"/>
      <c r="D1512" s="846"/>
      <c r="E1512" s="846"/>
      <c r="F1512" s="846"/>
      <c r="G1512" s="846"/>
      <c r="H1512" s="846"/>
      <c r="I1512" s="846"/>
      <c r="J1512" s="846"/>
      <c r="K1512" s="846"/>
      <c r="L1512" s="846"/>
      <c r="M1512" s="846"/>
      <c r="N1512" s="846"/>
      <c r="O1512" s="846"/>
    </row>
    <row r="1513" spans="1:15" ht="20.100000000000001" customHeight="1">
      <c r="A1513" s="846"/>
      <c r="B1513" s="846"/>
      <c r="C1513" s="846"/>
      <c r="D1513" s="846"/>
      <c r="E1513" s="846"/>
      <c r="F1513" s="846"/>
      <c r="G1513" s="846"/>
      <c r="H1513" s="846"/>
      <c r="I1513" s="846"/>
      <c r="J1513" s="846"/>
      <c r="K1513" s="846"/>
      <c r="L1513" s="846"/>
      <c r="M1513" s="846"/>
      <c r="N1513" s="846"/>
      <c r="O1513" s="846"/>
    </row>
    <row r="1514" spans="1:15" ht="20.100000000000001" customHeight="1">
      <c r="A1514" s="846"/>
      <c r="B1514" s="846"/>
      <c r="C1514" s="846"/>
      <c r="D1514" s="846"/>
      <c r="E1514" s="846"/>
      <c r="F1514" s="846"/>
      <c r="G1514" s="846"/>
      <c r="H1514" s="846"/>
      <c r="I1514" s="846"/>
      <c r="J1514" s="846"/>
      <c r="K1514" s="846"/>
      <c r="L1514" s="846"/>
      <c r="M1514" s="846"/>
      <c r="N1514" s="846"/>
      <c r="O1514" s="846"/>
    </row>
    <row r="1515" spans="1:15" ht="20.100000000000001" customHeight="1">
      <c r="A1515" s="846"/>
      <c r="B1515" s="846"/>
      <c r="C1515" s="846"/>
      <c r="D1515" s="846"/>
      <c r="E1515" s="846"/>
      <c r="F1515" s="846"/>
      <c r="G1515" s="846"/>
      <c r="H1515" s="846"/>
      <c r="I1515" s="846"/>
      <c r="J1515" s="846"/>
      <c r="K1515" s="846"/>
      <c r="L1515" s="846"/>
      <c r="M1515" s="846"/>
      <c r="N1515" s="846"/>
      <c r="O1515" s="846"/>
    </row>
    <row r="1516" spans="1:15" ht="20.100000000000001" customHeight="1">
      <c r="A1516" s="846"/>
      <c r="B1516" s="846"/>
      <c r="C1516" s="846"/>
      <c r="D1516" s="846"/>
      <c r="E1516" s="846"/>
      <c r="F1516" s="846"/>
      <c r="G1516" s="846"/>
      <c r="H1516" s="846"/>
      <c r="I1516" s="846"/>
      <c r="J1516" s="846"/>
      <c r="K1516" s="846"/>
      <c r="L1516" s="846"/>
      <c r="M1516" s="846"/>
      <c r="N1516" s="846"/>
      <c r="O1516" s="846"/>
    </row>
    <row r="1517" spans="1:15" ht="20.100000000000001" customHeight="1">
      <c r="A1517" s="846"/>
      <c r="B1517" s="846"/>
      <c r="C1517" s="846"/>
      <c r="D1517" s="846"/>
      <c r="E1517" s="846"/>
      <c r="F1517" s="846"/>
      <c r="G1517" s="846"/>
      <c r="H1517" s="846"/>
      <c r="I1517" s="846"/>
      <c r="J1517" s="846"/>
      <c r="K1517" s="846"/>
      <c r="L1517" s="846"/>
      <c r="M1517" s="846"/>
      <c r="N1517" s="846"/>
      <c r="O1517" s="846"/>
    </row>
    <row r="1518" spans="1:15" ht="20.100000000000001" customHeight="1">
      <c r="A1518" s="846"/>
      <c r="B1518" s="846"/>
      <c r="C1518" s="846"/>
      <c r="D1518" s="846"/>
      <c r="E1518" s="846"/>
      <c r="F1518" s="846"/>
      <c r="G1518" s="846"/>
      <c r="H1518" s="846"/>
      <c r="I1518" s="846"/>
      <c r="J1518" s="846"/>
      <c r="K1518" s="846"/>
      <c r="L1518" s="846"/>
      <c r="M1518" s="846"/>
      <c r="N1518" s="846"/>
      <c r="O1518" s="846"/>
    </row>
    <row r="1519" spans="1:15" ht="20.100000000000001" customHeight="1">
      <c r="A1519" s="846"/>
      <c r="B1519" s="846"/>
      <c r="C1519" s="846"/>
      <c r="D1519" s="846"/>
      <c r="E1519" s="846"/>
      <c r="F1519" s="846"/>
      <c r="G1519" s="846"/>
      <c r="H1519" s="846"/>
      <c r="I1519" s="846"/>
      <c r="J1519" s="846"/>
      <c r="K1519" s="846"/>
      <c r="L1519" s="846"/>
      <c r="M1519" s="846"/>
      <c r="N1519" s="846"/>
      <c r="O1519" s="846"/>
    </row>
    <row r="1520" spans="1:15" ht="20.100000000000001" customHeight="1">
      <c r="A1520" s="846"/>
      <c r="B1520" s="846"/>
      <c r="C1520" s="846"/>
      <c r="D1520" s="846"/>
      <c r="E1520" s="846"/>
      <c r="F1520" s="846"/>
      <c r="G1520" s="846"/>
      <c r="H1520" s="846"/>
      <c r="I1520" s="846"/>
      <c r="J1520" s="846"/>
      <c r="K1520" s="846"/>
      <c r="L1520" s="846"/>
      <c r="M1520" s="846"/>
      <c r="N1520" s="846"/>
      <c r="O1520" s="846"/>
    </row>
    <row r="1521" spans="1:15" ht="20.100000000000001" customHeight="1">
      <c r="A1521" s="846"/>
      <c r="B1521" s="846"/>
      <c r="C1521" s="846"/>
      <c r="D1521" s="846"/>
      <c r="E1521" s="846"/>
      <c r="F1521" s="846"/>
      <c r="G1521" s="846"/>
      <c r="H1521" s="846"/>
      <c r="I1521" s="846"/>
      <c r="J1521" s="846"/>
      <c r="K1521" s="846"/>
      <c r="L1521" s="846"/>
      <c r="M1521" s="846"/>
      <c r="N1521" s="846"/>
      <c r="O1521" s="846"/>
    </row>
    <row r="1522" spans="1:15" ht="20.100000000000001" customHeight="1">
      <c r="A1522" s="846"/>
      <c r="B1522" s="846"/>
      <c r="C1522" s="846"/>
      <c r="D1522" s="846"/>
      <c r="E1522" s="846"/>
      <c r="F1522" s="846"/>
      <c r="G1522" s="846"/>
      <c r="H1522" s="846"/>
      <c r="I1522" s="846"/>
      <c r="J1522" s="846"/>
      <c r="K1522" s="846"/>
      <c r="L1522" s="846"/>
      <c r="M1522" s="846"/>
      <c r="N1522" s="846"/>
      <c r="O1522" s="846"/>
    </row>
    <row r="1523" spans="1:15" ht="20.100000000000001" customHeight="1">
      <c r="A1523" s="846"/>
      <c r="B1523" s="846"/>
      <c r="C1523" s="846"/>
      <c r="D1523" s="846"/>
      <c r="E1523" s="846"/>
      <c r="F1523" s="846"/>
      <c r="G1523" s="846"/>
      <c r="H1523" s="846"/>
      <c r="I1523" s="846"/>
      <c r="J1523" s="846"/>
      <c r="K1523" s="846"/>
      <c r="L1523" s="846"/>
      <c r="M1523" s="846"/>
      <c r="N1523" s="846"/>
      <c r="O1523" s="846"/>
    </row>
    <row r="1524" spans="1:15" ht="20.100000000000001" customHeight="1">
      <c r="A1524" s="846"/>
      <c r="B1524" s="846"/>
      <c r="C1524" s="846"/>
      <c r="D1524" s="846"/>
      <c r="E1524" s="846"/>
      <c r="F1524" s="846"/>
      <c r="G1524" s="846"/>
      <c r="H1524" s="846"/>
      <c r="I1524" s="846"/>
      <c r="J1524" s="846"/>
      <c r="K1524" s="846"/>
      <c r="L1524" s="846"/>
      <c r="M1524" s="846"/>
      <c r="N1524" s="846"/>
      <c r="O1524" s="846"/>
    </row>
    <row r="1525" spans="1:15" ht="20.100000000000001" customHeight="1">
      <c r="A1525" s="846"/>
      <c r="B1525" s="846"/>
      <c r="C1525" s="846"/>
      <c r="D1525" s="846"/>
      <c r="E1525" s="846"/>
      <c r="F1525" s="846"/>
      <c r="G1525" s="846"/>
      <c r="H1525" s="846"/>
      <c r="I1525" s="846"/>
      <c r="J1525" s="846"/>
      <c r="K1525" s="846"/>
      <c r="L1525" s="846"/>
      <c r="M1525" s="846"/>
      <c r="N1525" s="846"/>
      <c r="O1525" s="846"/>
    </row>
    <row r="1526" spans="1:15" ht="20.100000000000001" customHeight="1">
      <c r="A1526" s="846"/>
      <c r="B1526" s="846"/>
      <c r="C1526" s="846"/>
      <c r="D1526" s="846"/>
      <c r="E1526" s="846"/>
      <c r="F1526" s="846"/>
      <c r="G1526" s="846"/>
      <c r="H1526" s="846"/>
      <c r="I1526" s="846"/>
      <c r="J1526" s="846"/>
      <c r="K1526" s="846"/>
      <c r="L1526" s="846"/>
      <c r="M1526" s="846"/>
      <c r="N1526" s="846"/>
      <c r="O1526" s="846"/>
    </row>
    <row r="1527" spans="1:15" ht="20.100000000000001" customHeight="1">
      <c r="A1527" s="846"/>
      <c r="B1527" s="846"/>
      <c r="C1527" s="846"/>
      <c r="D1527" s="846"/>
      <c r="E1527" s="846"/>
      <c r="F1527" s="846"/>
      <c r="G1527" s="846"/>
      <c r="H1527" s="846"/>
      <c r="I1527" s="846"/>
      <c r="J1527" s="846"/>
      <c r="K1527" s="846"/>
      <c r="L1527" s="846"/>
      <c r="M1527" s="846"/>
      <c r="N1527" s="846"/>
      <c r="O1527" s="846"/>
    </row>
    <row r="1528" spans="1:15" ht="20.100000000000001" customHeight="1">
      <c r="A1528" s="846"/>
      <c r="B1528" s="846"/>
      <c r="C1528" s="846"/>
      <c r="D1528" s="846"/>
      <c r="E1528" s="846"/>
      <c r="F1528" s="846"/>
      <c r="G1528" s="846"/>
      <c r="H1528" s="846"/>
      <c r="I1528" s="846"/>
      <c r="J1528" s="846"/>
      <c r="K1528" s="846"/>
      <c r="L1528" s="846"/>
      <c r="M1528" s="846"/>
      <c r="N1528" s="846"/>
      <c r="O1528" s="846"/>
    </row>
    <row r="1529" spans="1:15" ht="20.100000000000001" customHeight="1">
      <c r="A1529" s="846"/>
      <c r="B1529" s="846"/>
      <c r="C1529" s="846"/>
      <c r="D1529" s="846"/>
      <c r="E1529" s="846"/>
      <c r="F1529" s="846"/>
      <c r="G1529" s="846"/>
      <c r="H1529" s="846"/>
      <c r="I1529" s="846"/>
      <c r="J1529" s="846"/>
      <c r="K1529" s="846"/>
      <c r="L1529" s="846"/>
      <c r="M1529" s="846"/>
      <c r="N1529" s="846"/>
      <c r="O1529" s="846"/>
    </row>
    <row r="1530" spans="1:15" ht="20.100000000000001" customHeight="1">
      <c r="A1530" s="846"/>
      <c r="B1530" s="846"/>
      <c r="C1530" s="846"/>
      <c r="D1530" s="846"/>
      <c r="E1530" s="846"/>
      <c r="F1530" s="846"/>
      <c r="G1530" s="846"/>
      <c r="H1530" s="846"/>
      <c r="I1530" s="846"/>
      <c r="J1530" s="846"/>
      <c r="K1530" s="846"/>
      <c r="L1530" s="846"/>
      <c r="M1530" s="846"/>
      <c r="N1530" s="846"/>
      <c r="O1530" s="846"/>
    </row>
    <row r="1531" spans="1:15" ht="20.100000000000001" customHeight="1">
      <c r="A1531" s="846"/>
      <c r="B1531" s="846"/>
      <c r="C1531" s="846"/>
      <c r="D1531" s="846"/>
      <c r="E1531" s="846"/>
      <c r="F1531" s="846"/>
      <c r="G1531" s="846"/>
      <c r="H1531" s="846"/>
      <c r="I1531" s="846"/>
      <c r="J1531" s="846"/>
      <c r="K1531" s="846"/>
      <c r="L1531" s="846"/>
      <c r="M1531" s="846"/>
      <c r="N1531" s="846"/>
      <c r="O1531" s="846"/>
    </row>
    <row r="1532" spans="1:15" ht="20.100000000000001" customHeight="1">
      <c r="A1532" s="846"/>
      <c r="B1532" s="846"/>
      <c r="C1532" s="846"/>
      <c r="D1532" s="846"/>
      <c r="E1532" s="846"/>
      <c r="F1532" s="846"/>
      <c r="G1532" s="846"/>
      <c r="H1532" s="846"/>
      <c r="I1532" s="846"/>
      <c r="J1532" s="846"/>
      <c r="K1532" s="846"/>
      <c r="L1532" s="846"/>
      <c r="M1532" s="846"/>
      <c r="N1532" s="846"/>
      <c r="O1532" s="846"/>
    </row>
    <row r="1533" spans="1:15" ht="20.100000000000001" customHeight="1">
      <c r="A1533" s="846"/>
      <c r="B1533" s="846"/>
      <c r="C1533" s="846"/>
      <c r="D1533" s="846"/>
      <c r="E1533" s="846"/>
      <c r="F1533" s="846"/>
      <c r="G1533" s="846"/>
      <c r="H1533" s="846"/>
      <c r="I1533" s="846"/>
      <c r="J1533" s="846"/>
      <c r="K1533" s="846"/>
      <c r="L1533" s="846"/>
      <c r="M1533" s="846"/>
      <c r="N1533" s="846"/>
      <c r="O1533" s="846"/>
    </row>
    <row r="1534" spans="1:15" ht="20.100000000000001" customHeight="1">
      <c r="A1534" s="846"/>
      <c r="B1534" s="846"/>
      <c r="C1534" s="846"/>
      <c r="D1534" s="846"/>
      <c r="E1534" s="846"/>
      <c r="F1534" s="846"/>
      <c r="G1534" s="846"/>
      <c r="H1534" s="846"/>
      <c r="I1534" s="846"/>
      <c r="J1534" s="846"/>
      <c r="K1534" s="846"/>
      <c r="L1534" s="846"/>
      <c r="M1534" s="846"/>
      <c r="N1534" s="846"/>
      <c r="O1534" s="846"/>
    </row>
    <row r="1535" spans="1:15" ht="20.100000000000001" customHeight="1">
      <c r="A1535" s="846"/>
      <c r="B1535" s="846"/>
      <c r="C1535" s="846"/>
      <c r="D1535" s="846"/>
      <c r="E1535" s="846"/>
      <c r="F1535" s="846"/>
      <c r="G1535" s="846"/>
      <c r="H1535" s="846"/>
      <c r="I1535" s="846"/>
      <c r="J1535" s="846"/>
      <c r="K1535" s="846"/>
      <c r="L1535" s="846"/>
      <c r="M1535" s="846"/>
      <c r="N1535" s="846"/>
      <c r="O1535" s="846"/>
    </row>
    <row r="1536" spans="1:15" ht="20.100000000000001" customHeight="1">
      <c r="A1536" s="846"/>
      <c r="B1536" s="846"/>
      <c r="C1536" s="846"/>
      <c r="D1536" s="846"/>
      <c r="E1536" s="846"/>
      <c r="F1536" s="846"/>
      <c r="G1536" s="846"/>
      <c r="H1536" s="846"/>
      <c r="I1536" s="846"/>
      <c r="J1536" s="846"/>
      <c r="K1536" s="846"/>
      <c r="L1536" s="846"/>
      <c r="M1536" s="846"/>
      <c r="N1536" s="846"/>
      <c r="O1536" s="846"/>
    </row>
    <row r="1537" spans="1:15" ht="20.100000000000001" customHeight="1">
      <c r="A1537" s="846"/>
      <c r="B1537" s="846"/>
      <c r="C1537" s="846"/>
      <c r="D1537" s="846"/>
      <c r="E1537" s="846"/>
      <c r="F1537" s="846"/>
      <c r="G1537" s="846"/>
      <c r="H1537" s="846"/>
      <c r="I1537" s="846"/>
      <c r="J1537" s="846"/>
      <c r="K1537" s="846"/>
      <c r="L1537" s="846"/>
      <c r="M1537" s="846"/>
      <c r="N1537" s="846"/>
      <c r="O1537" s="846"/>
    </row>
    <row r="1538" spans="1:15" ht="20.100000000000001" customHeight="1">
      <c r="A1538" s="846"/>
      <c r="B1538" s="846"/>
      <c r="C1538" s="846"/>
      <c r="D1538" s="846"/>
      <c r="E1538" s="846"/>
      <c r="F1538" s="846"/>
      <c r="G1538" s="846"/>
      <c r="H1538" s="846"/>
      <c r="I1538" s="846"/>
      <c r="J1538" s="846"/>
      <c r="K1538" s="846"/>
      <c r="L1538" s="846"/>
      <c r="M1538" s="846"/>
      <c r="N1538" s="846"/>
      <c r="O1538" s="846"/>
    </row>
    <row r="1539" spans="1:15" ht="20.100000000000001" customHeight="1">
      <c r="A1539" s="846"/>
      <c r="B1539" s="846"/>
      <c r="C1539" s="846"/>
      <c r="D1539" s="846"/>
      <c r="E1539" s="846"/>
      <c r="F1539" s="846"/>
      <c r="G1539" s="846"/>
      <c r="H1539" s="846"/>
      <c r="I1539" s="846"/>
      <c r="J1539" s="846"/>
      <c r="K1539" s="846"/>
      <c r="L1539" s="846"/>
      <c r="M1539" s="846"/>
      <c r="N1539" s="846"/>
      <c r="O1539" s="846"/>
    </row>
    <row r="1540" spans="1:15" ht="20.100000000000001" customHeight="1">
      <c r="A1540" s="846"/>
      <c r="B1540" s="846"/>
      <c r="C1540" s="846"/>
      <c r="D1540" s="846"/>
      <c r="E1540" s="846"/>
      <c r="F1540" s="846"/>
      <c r="G1540" s="846"/>
      <c r="H1540" s="846"/>
      <c r="I1540" s="846"/>
      <c r="J1540" s="846"/>
      <c r="K1540" s="846"/>
      <c r="L1540" s="846"/>
      <c r="M1540" s="846"/>
      <c r="N1540" s="846"/>
      <c r="O1540" s="846"/>
    </row>
    <row r="1541" spans="1:15" ht="20.100000000000001" customHeight="1">
      <c r="A1541" s="846"/>
      <c r="B1541" s="846"/>
      <c r="C1541" s="846"/>
      <c r="D1541" s="846"/>
      <c r="E1541" s="846"/>
      <c r="F1541" s="846"/>
      <c r="G1541" s="846"/>
      <c r="H1541" s="846"/>
      <c r="I1541" s="846"/>
      <c r="J1541" s="846"/>
      <c r="K1541" s="846"/>
      <c r="L1541" s="846"/>
      <c r="M1541" s="846"/>
      <c r="N1541" s="846"/>
      <c r="O1541" s="846"/>
    </row>
    <row r="1542" spans="1:15" ht="20.100000000000001" customHeight="1">
      <c r="A1542" s="846"/>
      <c r="B1542" s="846"/>
      <c r="C1542" s="846"/>
      <c r="D1542" s="846"/>
      <c r="E1542" s="846"/>
      <c r="F1542" s="846"/>
      <c r="G1542" s="846"/>
      <c r="H1542" s="846"/>
      <c r="I1542" s="846"/>
      <c r="J1542" s="846"/>
      <c r="K1542" s="846"/>
      <c r="L1542" s="846"/>
      <c r="M1542" s="846"/>
      <c r="N1542" s="846"/>
      <c r="O1542" s="846"/>
    </row>
    <row r="1543" spans="1:15" ht="20.100000000000001" customHeight="1">
      <c r="A1543" s="846"/>
      <c r="B1543" s="846"/>
      <c r="C1543" s="846"/>
      <c r="D1543" s="846"/>
      <c r="E1543" s="846"/>
      <c r="F1543" s="846"/>
      <c r="G1543" s="846"/>
      <c r="H1543" s="846"/>
      <c r="I1543" s="846"/>
      <c r="J1543" s="846"/>
      <c r="K1543" s="846"/>
      <c r="L1543" s="846"/>
      <c r="M1543" s="846"/>
      <c r="N1543" s="846"/>
      <c r="O1543" s="846"/>
    </row>
    <row r="1544" spans="1:15" ht="20.100000000000001" customHeight="1">
      <c r="A1544" s="846"/>
      <c r="B1544" s="846"/>
      <c r="C1544" s="846"/>
      <c r="D1544" s="846"/>
      <c r="E1544" s="846"/>
      <c r="F1544" s="846"/>
      <c r="G1544" s="846"/>
      <c r="H1544" s="846"/>
      <c r="I1544" s="846"/>
      <c r="J1544" s="846"/>
      <c r="K1544" s="846"/>
      <c r="L1544" s="846"/>
      <c r="M1544" s="846"/>
      <c r="N1544" s="846"/>
      <c r="O1544" s="846"/>
    </row>
    <row r="1545" spans="1:15" ht="20.100000000000001" customHeight="1">
      <c r="A1545" s="846"/>
      <c r="B1545" s="846"/>
      <c r="C1545" s="846"/>
      <c r="D1545" s="846"/>
      <c r="E1545" s="846"/>
      <c r="F1545" s="846"/>
      <c r="G1545" s="846"/>
      <c r="H1545" s="846"/>
      <c r="I1545" s="846"/>
      <c r="J1545" s="846"/>
      <c r="K1545" s="846"/>
      <c r="L1545" s="846"/>
      <c r="M1545" s="846"/>
      <c r="N1545" s="846"/>
      <c r="O1545" s="846"/>
    </row>
    <row r="1546" spans="1:15" ht="20.100000000000001" customHeight="1">
      <c r="A1546" s="846"/>
      <c r="B1546" s="846"/>
      <c r="C1546" s="846"/>
      <c r="D1546" s="846"/>
      <c r="E1546" s="846"/>
      <c r="F1546" s="846"/>
      <c r="G1546" s="846"/>
      <c r="H1546" s="846"/>
      <c r="I1546" s="846"/>
      <c r="J1546" s="846"/>
      <c r="K1546" s="846"/>
      <c r="L1546" s="846"/>
      <c r="M1546" s="846"/>
      <c r="N1546" s="846"/>
      <c r="O1546" s="846"/>
    </row>
    <row r="1547" spans="1:15" ht="20.100000000000001" customHeight="1">
      <c r="A1547" s="846"/>
      <c r="B1547" s="846"/>
      <c r="C1547" s="846"/>
      <c r="D1547" s="846"/>
      <c r="E1547" s="846"/>
      <c r="F1547" s="846"/>
      <c r="G1547" s="846"/>
      <c r="H1547" s="846"/>
      <c r="I1547" s="846"/>
      <c r="J1547" s="846"/>
      <c r="K1547" s="846"/>
      <c r="L1547" s="846"/>
      <c r="M1547" s="846"/>
      <c r="N1547" s="846"/>
      <c r="O1547" s="846"/>
    </row>
    <row r="1548" spans="1:15" ht="20.100000000000001" customHeight="1">
      <c r="A1548" s="846"/>
      <c r="B1548" s="846"/>
      <c r="C1548" s="846"/>
      <c r="D1548" s="846"/>
      <c r="E1548" s="846"/>
      <c r="F1548" s="846"/>
      <c r="G1548" s="846"/>
      <c r="H1548" s="846"/>
      <c r="I1548" s="846"/>
      <c r="J1548" s="846"/>
      <c r="K1548" s="846"/>
      <c r="L1548" s="846"/>
      <c r="M1548" s="846"/>
      <c r="N1548" s="846"/>
      <c r="O1548" s="846"/>
    </row>
    <row r="1549" spans="1:15" ht="20.100000000000001" customHeight="1">
      <c r="A1549" s="846"/>
      <c r="B1549" s="846"/>
      <c r="C1549" s="846"/>
      <c r="D1549" s="846"/>
      <c r="E1549" s="846"/>
      <c r="F1549" s="846"/>
      <c r="G1549" s="846"/>
      <c r="H1549" s="846"/>
      <c r="I1549" s="846"/>
      <c r="J1549" s="846"/>
      <c r="K1549" s="846"/>
      <c r="L1549" s="846"/>
      <c r="M1549" s="846"/>
      <c r="N1549" s="846"/>
      <c r="O1549" s="846"/>
    </row>
    <row r="1550" spans="1:15" ht="20.100000000000001" customHeight="1">
      <c r="A1550" s="846"/>
      <c r="B1550" s="846"/>
      <c r="C1550" s="846"/>
      <c r="D1550" s="846"/>
      <c r="E1550" s="846"/>
      <c r="F1550" s="846"/>
      <c r="G1550" s="846"/>
      <c r="H1550" s="846"/>
      <c r="I1550" s="846"/>
      <c r="J1550" s="846"/>
      <c r="K1550" s="846"/>
      <c r="L1550" s="846"/>
      <c r="M1550" s="846"/>
      <c r="N1550" s="846"/>
      <c r="O1550" s="846"/>
    </row>
    <row r="1551" spans="1:15" ht="20.100000000000001" customHeight="1">
      <c r="A1551" s="846"/>
      <c r="B1551" s="846"/>
      <c r="C1551" s="846"/>
      <c r="D1551" s="846"/>
      <c r="E1551" s="846"/>
      <c r="F1551" s="846"/>
      <c r="G1551" s="846"/>
      <c r="H1551" s="846"/>
      <c r="I1551" s="846"/>
      <c r="J1551" s="846"/>
      <c r="K1551" s="846"/>
      <c r="L1551" s="846"/>
      <c r="M1551" s="846"/>
      <c r="N1551" s="846"/>
      <c r="O1551" s="846"/>
    </row>
    <row r="1552" spans="1:15" ht="20.100000000000001" customHeight="1">
      <c r="A1552" s="846"/>
      <c r="B1552" s="846"/>
      <c r="C1552" s="846"/>
      <c r="D1552" s="846"/>
      <c r="E1552" s="846"/>
      <c r="F1552" s="846"/>
      <c r="G1552" s="846"/>
      <c r="H1552" s="846"/>
      <c r="I1552" s="846"/>
      <c r="J1552" s="846"/>
      <c r="K1552" s="846"/>
      <c r="L1552" s="846"/>
      <c r="M1552" s="846"/>
      <c r="N1552" s="846"/>
      <c r="O1552" s="846"/>
    </row>
    <row r="1553" spans="1:15" ht="20.100000000000001" customHeight="1">
      <c r="A1553" s="846"/>
      <c r="B1553" s="846"/>
      <c r="C1553" s="846"/>
      <c r="D1553" s="846"/>
      <c r="E1553" s="846"/>
      <c r="F1553" s="846"/>
      <c r="G1553" s="846"/>
      <c r="H1553" s="846"/>
      <c r="I1553" s="846"/>
      <c r="J1553" s="846"/>
      <c r="K1553" s="846"/>
      <c r="L1553" s="846"/>
      <c r="M1553" s="846"/>
      <c r="N1553" s="846"/>
      <c r="O1553" s="846"/>
    </row>
    <row r="1554" spans="1:15" ht="20.100000000000001" customHeight="1">
      <c r="A1554" s="846"/>
      <c r="B1554" s="846"/>
      <c r="C1554" s="846"/>
      <c r="D1554" s="846"/>
      <c r="E1554" s="846"/>
      <c r="F1554" s="846"/>
      <c r="G1554" s="846"/>
      <c r="H1554" s="846"/>
      <c r="I1554" s="846"/>
      <c r="J1554" s="846"/>
      <c r="K1554" s="846"/>
      <c r="L1554" s="846"/>
      <c r="M1554" s="846"/>
      <c r="N1554" s="846"/>
      <c r="O1554" s="846"/>
    </row>
    <row r="1555" spans="1:15" ht="20.100000000000001" customHeight="1">
      <c r="A1555" s="846"/>
      <c r="B1555" s="846"/>
      <c r="C1555" s="846"/>
      <c r="D1555" s="846"/>
      <c r="E1555" s="846"/>
      <c r="F1555" s="846"/>
      <c r="G1555" s="846"/>
      <c r="H1555" s="846"/>
      <c r="I1555" s="846"/>
      <c r="J1555" s="846"/>
      <c r="K1555" s="846"/>
      <c r="L1555" s="846"/>
      <c r="M1555" s="846"/>
      <c r="N1555" s="846"/>
      <c r="O1555" s="846"/>
    </row>
    <row r="1556" spans="1:15" ht="20.100000000000001" customHeight="1">
      <c r="A1556" s="846"/>
      <c r="B1556" s="846"/>
      <c r="C1556" s="846"/>
      <c r="D1556" s="846"/>
      <c r="E1556" s="846"/>
      <c r="F1556" s="846"/>
      <c r="G1556" s="846"/>
      <c r="H1556" s="846"/>
      <c r="I1556" s="846"/>
      <c r="J1556" s="846"/>
      <c r="K1556" s="846"/>
      <c r="L1556" s="846"/>
      <c r="M1556" s="846"/>
      <c r="N1556" s="846"/>
      <c r="O1556" s="846"/>
    </row>
    <row r="1557" spans="1:15" ht="20.100000000000001" customHeight="1">
      <c r="A1557" s="846"/>
      <c r="B1557" s="846"/>
      <c r="C1557" s="846"/>
      <c r="D1557" s="846"/>
      <c r="E1557" s="846"/>
      <c r="F1557" s="846"/>
      <c r="G1557" s="846"/>
      <c r="H1557" s="846"/>
      <c r="I1557" s="846"/>
      <c r="J1557" s="846"/>
      <c r="K1557" s="846"/>
      <c r="L1557" s="846"/>
      <c r="M1557" s="846"/>
      <c r="N1557" s="846"/>
      <c r="O1557" s="846"/>
    </row>
    <row r="1558" spans="1:15" ht="20.100000000000001" customHeight="1">
      <c r="A1558" s="846"/>
      <c r="B1558" s="846"/>
      <c r="C1558" s="846"/>
      <c r="D1558" s="846"/>
      <c r="E1558" s="846"/>
      <c r="F1558" s="846"/>
      <c r="G1558" s="846"/>
      <c r="H1558" s="846"/>
      <c r="I1558" s="846"/>
      <c r="J1558" s="846"/>
      <c r="K1558" s="846"/>
      <c r="L1558" s="846"/>
      <c r="M1558" s="846"/>
      <c r="N1558" s="846"/>
      <c r="O1558" s="846"/>
    </row>
    <row r="1559" spans="1:15" ht="20.100000000000001" customHeight="1">
      <c r="A1559" s="846"/>
      <c r="B1559" s="846"/>
      <c r="C1559" s="846"/>
      <c r="D1559" s="846"/>
      <c r="E1559" s="846"/>
      <c r="F1559" s="846"/>
      <c r="G1559" s="846"/>
      <c r="H1559" s="846"/>
      <c r="I1559" s="846"/>
      <c r="J1559" s="846"/>
      <c r="K1559" s="846"/>
      <c r="L1559" s="846"/>
      <c r="M1559" s="846"/>
      <c r="N1559" s="846"/>
      <c r="O1559" s="846"/>
    </row>
    <row r="1560" spans="1:15" ht="20.100000000000001" customHeight="1">
      <c r="A1560" s="846"/>
      <c r="B1560" s="846"/>
      <c r="C1560" s="846"/>
      <c r="D1560" s="846"/>
      <c r="E1560" s="846"/>
      <c r="F1560" s="846"/>
      <c r="G1560" s="846"/>
      <c r="H1560" s="846"/>
      <c r="I1560" s="846"/>
      <c r="J1560" s="846"/>
      <c r="K1560" s="846"/>
      <c r="L1560" s="846"/>
      <c r="M1560" s="846"/>
      <c r="N1560" s="846"/>
      <c r="O1560" s="846"/>
    </row>
    <row r="1561" spans="1:15" ht="20.100000000000001" customHeight="1">
      <c r="A1561" s="846"/>
      <c r="B1561" s="846"/>
      <c r="C1561" s="846"/>
      <c r="D1561" s="846"/>
      <c r="E1561" s="846"/>
      <c r="F1561" s="846"/>
      <c r="G1561" s="846"/>
      <c r="H1561" s="846"/>
      <c r="I1561" s="846"/>
      <c r="J1561" s="846"/>
      <c r="K1561" s="846"/>
      <c r="L1561" s="846"/>
      <c r="M1561" s="846"/>
      <c r="N1561" s="846"/>
      <c r="O1561" s="846"/>
    </row>
    <row r="1562" spans="1:15" ht="20.100000000000001" customHeight="1">
      <c r="A1562" s="846"/>
      <c r="B1562" s="846"/>
      <c r="C1562" s="846"/>
      <c r="D1562" s="846"/>
      <c r="E1562" s="846"/>
      <c r="F1562" s="846"/>
      <c r="G1562" s="846"/>
      <c r="H1562" s="846"/>
      <c r="I1562" s="846"/>
      <c r="J1562" s="846"/>
      <c r="K1562" s="846"/>
      <c r="L1562" s="846"/>
      <c r="M1562" s="846"/>
      <c r="N1562" s="846"/>
      <c r="O1562" s="846"/>
    </row>
    <row r="1563" spans="1:15" ht="20.100000000000001" customHeight="1">
      <c r="A1563" s="846"/>
      <c r="B1563" s="846"/>
      <c r="C1563" s="846"/>
      <c r="D1563" s="846"/>
      <c r="E1563" s="846"/>
      <c r="F1563" s="846"/>
      <c r="G1563" s="846"/>
      <c r="H1563" s="846"/>
      <c r="I1563" s="846"/>
      <c r="J1563" s="846"/>
      <c r="K1563" s="846"/>
      <c r="L1563" s="846"/>
      <c r="M1563" s="846"/>
      <c r="N1563" s="846"/>
      <c r="O1563" s="846"/>
    </row>
    <row r="1564" spans="1:15" ht="20.100000000000001" customHeight="1">
      <c r="A1564" s="846"/>
      <c r="B1564" s="846"/>
      <c r="C1564" s="846"/>
      <c r="D1564" s="846"/>
      <c r="E1564" s="846"/>
      <c r="F1564" s="846"/>
      <c r="G1564" s="846"/>
      <c r="H1564" s="846"/>
      <c r="I1564" s="846"/>
      <c r="J1564" s="846"/>
      <c r="K1564" s="846"/>
      <c r="L1564" s="846"/>
      <c r="M1564" s="846"/>
      <c r="N1564" s="846"/>
      <c r="O1564" s="846"/>
    </row>
    <row r="1565" spans="1:15" ht="20.100000000000001" customHeight="1">
      <c r="A1565" s="846"/>
      <c r="B1565" s="846"/>
      <c r="C1565" s="846"/>
      <c r="D1565" s="846"/>
      <c r="E1565" s="846"/>
      <c r="F1565" s="846"/>
      <c r="G1565" s="846"/>
      <c r="H1565" s="846"/>
      <c r="I1565" s="846"/>
      <c r="J1565" s="846"/>
      <c r="K1565" s="846"/>
      <c r="L1565" s="846"/>
      <c r="M1565" s="846"/>
      <c r="N1565" s="846"/>
      <c r="O1565" s="846"/>
    </row>
    <row r="1566" spans="1:15" ht="20.100000000000001" customHeight="1">
      <c r="A1566" s="846"/>
      <c r="B1566" s="846"/>
      <c r="C1566" s="846"/>
      <c r="D1566" s="846"/>
      <c r="E1566" s="846"/>
      <c r="F1566" s="846"/>
      <c r="G1566" s="846"/>
      <c r="H1566" s="846"/>
      <c r="I1566" s="846"/>
      <c r="J1566" s="846"/>
      <c r="K1566" s="846"/>
      <c r="L1566" s="846"/>
      <c r="M1566" s="846"/>
      <c r="N1566" s="846"/>
      <c r="O1566" s="846"/>
    </row>
    <row r="1567" spans="1:15" ht="20.100000000000001" customHeight="1">
      <c r="A1567" s="846"/>
      <c r="B1567" s="846"/>
      <c r="C1567" s="846"/>
      <c r="D1567" s="846"/>
      <c r="E1567" s="846"/>
      <c r="F1567" s="846"/>
      <c r="G1567" s="846"/>
      <c r="H1567" s="846"/>
      <c r="I1567" s="846"/>
      <c r="J1567" s="846"/>
      <c r="K1567" s="846"/>
      <c r="L1567" s="846"/>
      <c r="M1567" s="846"/>
      <c r="N1567" s="846"/>
      <c r="O1567" s="846"/>
    </row>
    <row r="1568" spans="1:15" ht="20.100000000000001" customHeight="1">
      <c r="A1568" s="846"/>
      <c r="B1568" s="846"/>
      <c r="C1568" s="846"/>
      <c r="D1568" s="846"/>
      <c r="E1568" s="846"/>
      <c r="F1568" s="846"/>
      <c r="G1568" s="846"/>
      <c r="H1568" s="846"/>
      <c r="I1568" s="846"/>
      <c r="J1568" s="846"/>
      <c r="K1568" s="846"/>
      <c r="L1568" s="846"/>
      <c r="M1568" s="846"/>
      <c r="N1568" s="846"/>
      <c r="O1568" s="846"/>
    </row>
    <row r="1569" spans="1:15" ht="20.100000000000001" customHeight="1">
      <c r="A1569" s="846"/>
      <c r="B1569" s="846"/>
      <c r="C1569" s="846"/>
      <c r="D1569" s="846"/>
      <c r="E1569" s="846"/>
      <c r="F1569" s="846"/>
      <c r="G1569" s="846"/>
      <c r="H1569" s="846"/>
      <c r="I1569" s="846"/>
      <c r="J1569" s="846"/>
      <c r="K1569" s="846"/>
      <c r="L1569" s="846"/>
      <c r="M1569" s="846"/>
      <c r="N1569" s="846"/>
      <c r="O1569" s="846"/>
    </row>
    <row r="1570" spans="1:15" ht="20.100000000000001" customHeight="1">
      <c r="A1570" s="846"/>
      <c r="B1570" s="846"/>
      <c r="C1570" s="846"/>
      <c r="D1570" s="846"/>
      <c r="E1570" s="846"/>
      <c r="F1570" s="846"/>
      <c r="G1570" s="846"/>
      <c r="H1570" s="846"/>
      <c r="I1570" s="846"/>
      <c r="J1570" s="846"/>
      <c r="K1570" s="846"/>
      <c r="L1570" s="846"/>
      <c r="M1570" s="846"/>
      <c r="N1570" s="846"/>
      <c r="O1570" s="846"/>
    </row>
    <row r="1571" spans="1:15" ht="20.100000000000001" customHeight="1">
      <c r="A1571" s="846"/>
      <c r="B1571" s="846"/>
      <c r="C1571" s="846"/>
      <c r="D1571" s="846"/>
      <c r="E1571" s="846"/>
      <c r="F1571" s="846"/>
      <c r="G1571" s="846"/>
      <c r="H1571" s="846"/>
      <c r="I1571" s="846"/>
      <c r="J1571" s="846"/>
      <c r="K1571" s="846"/>
      <c r="L1571" s="846"/>
      <c r="M1571" s="846"/>
      <c r="N1571" s="846"/>
      <c r="O1571" s="846"/>
    </row>
    <row r="1572" spans="1:15" ht="20.100000000000001" customHeight="1">
      <c r="A1572" s="846"/>
      <c r="B1572" s="846"/>
      <c r="C1572" s="846"/>
      <c r="D1572" s="846"/>
      <c r="E1572" s="846"/>
      <c r="F1572" s="846"/>
      <c r="G1572" s="846"/>
      <c r="H1572" s="846"/>
      <c r="I1572" s="846"/>
      <c r="J1572" s="846"/>
      <c r="K1572" s="846"/>
      <c r="L1572" s="846"/>
      <c r="M1572" s="846"/>
      <c r="N1572" s="846"/>
      <c r="O1572" s="846"/>
    </row>
    <row r="1573" spans="1:15" ht="20.100000000000001" customHeight="1">
      <c r="A1573" s="846"/>
      <c r="B1573" s="846"/>
      <c r="C1573" s="846"/>
      <c r="D1573" s="846"/>
      <c r="E1573" s="846"/>
      <c r="F1573" s="846"/>
      <c r="G1573" s="846"/>
      <c r="H1573" s="846"/>
      <c r="I1573" s="846"/>
      <c r="J1573" s="846"/>
      <c r="K1573" s="846"/>
      <c r="L1573" s="846"/>
      <c r="M1573" s="846"/>
      <c r="N1573" s="846"/>
      <c r="O1573" s="846"/>
    </row>
    <row r="1574" spans="1:15" ht="20.100000000000001" customHeight="1">
      <c r="A1574" s="846"/>
      <c r="B1574" s="846"/>
      <c r="C1574" s="846"/>
      <c r="D1574" s="846"/>
      <c r="E1574" s="846"/>
      <c r="F1574" s="846"/>
      <c r="G1574" s="846"/>
      <c r="H1574" s="846"/>
      <c r="I1574" s="846"/>
      <c r="J1574" s="846"/>
      <c r="K1574" s="846"/>
      <c r="L1574" s="846"/>
      <c r="M1574" s="846"/>
      <c r="N1574" s="846"/>
      <c r="O1574" s="846"/>
    </row>
  </sheetData>
  <sortState ref="B1061:AH1569">
    <sortCondition ref="O1061:O1569"/>
  </sortState>
  <mergeCells count="33">
    <mergeCell ref="B17:B18"/>
    <mergeCell ref="B19:B21"/>
    <mergeCell ref="M8:M9"/>
    <mergeCell ref="N8:N9"/>
    <mergeCell ref="K8:K9"/>
    <mergeCell ref="B12:O13"/>
    <mergeCell ref="B15:B16"/>
    <mergeCell ref="C15:C16"/>
    <mergeCell ref="D15:N15"/>
    <mergeCell ref="B2:L2"/>
    <mergeCell ref="B3:L3"/>
    <mergeCell ref="B7:B9"/>
    <mergeCell ref="C8:C9"/>
    <mergeCell ref="L8:L9"/>
    <mergeCell ref="B42:O43"/>
    <mergeCell ref="B22:B23"/>
    <mergeCell ref="B24:B25"/>
    <mergeCell ref="B33:B35"/>
    <mergeCell ref="B36:B37"/>
    <mergeCell ref="B38:C38"/>
    <mergeCell ref="B72:C72"/>
    <mergeCell ref="B46:B47"/>
    <mergeCell ref="C46:C47"/>
    <mergeCell ref="B48:B49"/>
    <mergeCell ref="B50:B52"/>
    <mergeCell ref="B53:B54"/>
    <mergeCell ref="B55:B56"/>
    <mergeCell ref="D46:N46"/>
    <mergeCell ref="O46:O47"/>
    <mergeCell ref="B59:B60"/>
    <mergeCell ref="B66:B68"/>
    <mergeCell ref="B70:B71"/>
    <mergeCell ref="B63:B65"/>
  </mergeCells>
  <conditionalFormatting sqref="O17:O37">
    <cfRule type="dataBar" priority="12">
      <dataBar>
        <cfvo type="min" val="0"/>
        <cfvo type="max" val="0"/>
        <color rgb="FF008AEF"/>
      </dataBar>
    </cfRule>
  </conditionalFormatting>
  <conditionalFormatting sqref="D38:N38">
    <cfRule type="dataBar" priority="11">
      <dataBar>
        <cfvo type="min" val="0"/>
        <cfvo type="max" val="0"/>
        <color rgb="FF008AEF"/>
      </dataBar>
    </cfRule>
  </conditionalFormatting>
  <conditionalFormatting sqref="D72:N72">
    <cfRule type="dataBar" priority="6">
      <dataBar>
        <cfvo type="min" val="0"/>
        <cfvo type="max" val="0"/>
        <color rgb="FF008AEF"/>
      </dataBar>
    </cfRule>
  </conditionalFormatting>
  <conditionalFormatting sqref="O48:O71">
    <cfRule type="dataBar" priority="22">
      <dataBar>
        <cfvo type="min" val="0"/>
        <cfvo type="max" val="0"/>
        <color rgb="FF008AEF"/>
      </dataBar>
    </cfRule>
  </conditionalFormatting>
  <conditionalFormatting sqref="D72:N72">
    <cfRule type="dataBar" priority="4">
      <dataBar>
        <cfvo type="min" val="0"/>
        <cfvo type="max" val="0"/>
        <color rgb="FF008AEF"/>
      </dataBar>
    </cfRule>
  </conditionalFormatting>
  <conditionalFormatting sqref="O48:O71">
    <cfRule type="dataBar" priority="3">
      <dataBar>
        <cfvo type="min" val="0"/>
        <cfvo type="max" val="0"/>
        <color rgb="FF008AEF"/>
      </dataBar>
    </cfRule>
  </conditionalFormatting>
  <conditionalFormatting sqref="O17:O37">
    <cfRule type="dataBar" priority="2">
      <dataBar>
        <cfvo type="min" val="0"/>
        <cfvo type="max" val="0"/>
        <color rgb="FF008AEF"/>
      </dataBar>
    </cfRule>
  </conditionalFormatting>
  <conditionalFormatting sqref="D38:N38">
    <cfRule type="dataBar" priority="1">
      <dataBar>
        <cfvo type="min" val="0"/>
        <cfvo type="max" val="0"/>
        <color rgb="FF008AEF"/>
      </dataBar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KW263"/>
  <sheetViews>
    <sheetView zoomScale="78" zoomScaleNormal="78" workbookViewId="0">
      <selection activeCell="L12" sqref="L12:M19"/>
    </sheetView>
  </sheetViews>
  <sheetFormatPr baseColWidth="10" defaultColWidth="11.140625" defaultRowHeight="20.100000000000001" customHeight="1"/>
  <cols>
    <col min="1" max="1" width="10.85546875" style="181" customWidth="1"/>
    <col min="2" max="2" width="26.42578125" style="181" customWidth="1"/>
    <col min="3" max="3" width="13.7109375" style="181" customWidth="1"/>
    <col min="4" max="4" width="10.7109375" style="181" customWidth="1"/>
    <col min="5" max="5" width="13.42578125" style="181" customWidth="1"/>
    <col min="6" max="6" width="14.85546875" style="181" customWidth="1"/>
    <col min="7" max="7" width="10.28515625" style="181" customWidth="1"/>
    <col min="8" max="8" width="10.7109375" style="181" customWidth="1"/>
    <col min="9" max="11" width="13.7109375" style="181" customWidth="1"/>
    <col min="12" max="12" width="11.5703125" style="181" customWidth="1"/>
    <col min="13" max="13" width="13" style="181" customWidth="1"/>
    <col min="14" max="14" width="16.28515625" style="402" customWidth="1"/>
    <col min="15" max="15" width="21" style="402" customWidth="1"/>
    <col min="16" max="16" width="14" style="402" customWidth="1"/>
    <col min="17" max="17" width="11.85546875" style="402" customWidth="1"/>
    <col min="18" max="20" width="9.140625" style="402" customWidth="1"/>
    <col min="21" max="21" width="13.5703125" style="402" customWidth="1"/>
    <col min="22" max="309" width="11.140625" style="402"/>
    <col min="310" max="16384" width="11.140625" style="181"/>
  </cols>
  <sheetData>
    <row r="1" spans="1:309" s="402" customFormat="1" ht="15.95" customHeight="1" thickBot="1"/>
    <row r="2" spans="1:309" ht="15.95" customHeight="1">
      <c r="A2" s="3089" t="s">
        <v>530</v>
      </c>
      <c r="B2" s="3090"/>
      <c r="C2" s="3090"/>
      <c r="D2" s="3090"/>
      <c r="E2" s="3090"/>
      <c r="F2" s="3090"/>
      <c r="G2" s="3090"/>
      <c r="H2" s="3090"/>
      <c r="I2" s="3090"/>
      <c r="J2" s="3090"/>
      <c r="K2" s="3091"/>
      <c r="L2" s="402"/>
      <c r="M2" s="402"/>
    </row>
    <row r="3" spans="1:309" ht="15.95" customHeight="1">
      <c r="A3" s="3121" t="s">
        <v>531</v>
      </c>
      <c r="B3" s="3122"/>
      <c r="C3" s="3122"/>
      <c r="D3" s="3122"/>
      <c r="E3" s="3122"/>
      <c r="F3" s="3122"/>
      <c r="G3" s="3122"/>
      <c r="H3" s="3122"/>
      <c r="I3" s="3122"/>
      <c r="J3" s="3122"/>
      <c r="K3" s="3123"/>
      <c r="L3" s="402"/>
      <c r="M3" s="402"/>
    </row>
    <row r="4" spans="1:309" ht="15.95" customHeight="1" thickBot="1">
      <c r="A4" s="3112" t="s">
        <v>754</v>
      </c>
      <c r="B4" s="3113"/>
      <c r="C4" s="3113"/>
      <c r="D4" s="3113"/>
      <c r="E4" s="3113"/>
      <c r="F4" s="3113"/>
      <c r="G4" s="3113"/>
      <c r="H4" s="3113"/>
      <c r="I4" s="3113"/>
      <c r="J4" s="3113"/>
      <c r="K4" s="3114"/>
      <c r="L4" s="402"/>
      <c r="M4" s="402"/>
    </row>
    <row r="5" spans="1:309" s="28" customFormat="1" ht="15.95" customHeight="1">
      <c r="A5" s="402"/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402"/>
      <c r="AF5" s="402"/>
      <c r="AG5" s="402"/>
      <c r="AH5" s="402"/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2"/>
      <c r="BA5" s="402"/>
      <c r="BB5" s="402"/>
      <c r="BC5" s="402"/>
      <c r="BD5" s="402"/>
      <c r="BE5" s="402"/>
      <c r="BF5" s="402"/>
      <c r="BG5" s="402"/>
      <c r="BH5" s="402"/>
      <c r="BI5" s="402"/>
      <c r="BJ5" s="402"/>
      <c r="BK5" s="402"/>
      <c r="BL5" s="402"/>
      <c r="BM5" s="402"/>
      <c r="BN5" s="402"/>
      <c r="BO5" s="402"/>
      <c r="BP5" s="402"/>
      <c r="BQ5" s="402"/>
      <c r="BR5" s="402"/>
      <c r="BS5" s="402"/>
      <c r="BT5" s="402"/>
      <c r="BU5" s="402"/>
      <c r="BV5" s="402"/>
      <c r="BW5" s="402"/>
      <c r="BX5" s="402"/>
      <c r="BY5" s="402"/>
      <c r="BZ5" s="402"/>
      <c r="CA5" s="402"/>
      <c r="CB5" s="402"/>
      <c r="CC5" s="402"/>
      <c r="CD5" s="402"/>
      <c r="CE5" s="402"/>
      <c r="CF5" s="402"/>
      <c r="CG5" s="402"/>
      <c r="CH5" s="402"/>
      <c r="CI5" s="402"/>
      <c r="CJ5" s="402"/>
      <c r="CK5" s="402"/>
      <c r="CL5" s="402"/>
      <c r="CM5" s="402"/>
      <c r="CN5" s="402"/>
      <c r="CO5" s="402"/>
      <c r="CP5" s="402"/>
      <c r="CQ5" s="402"/>
      <c r="CR5" s="402"/>
      <c r="CS5" s="402"/>
      <c r="CT5" s="402"/>
      <c r="CU5" s="402"/>
      <c r="CV5" s="402"/>
      <c r="CW5" s="402"/>
      <c r="CX5" s="402"/>
      <c r="CY5" s="402"/>
      <c r="CZ5" s="402"/>
      <c r="DA5" s="402"/>
      <c r="DB5" s="402"/>
      <c r="DC5" s="402"/>
      <c r="DD5" s="402"/>
      <c r="DE5" s="402"/>
      <c r="DF5" s="402"/>
      <c r="DG5" s="402"/>
      <c r="DH5" s="402"/>
      <c r="DI5" s="402"/>
      <c r="DJ5" s="402"/>
      <c r="DK5" s="402"/>
      <c r="DL5" s="402"/>
      <c r="DM5" s="402"/>
      <c r="DN5" s="402"/>
      <c r="DO5" s="402"/>
      <c r="DP5" s="402"/>
      <c r="DQ5" s="402"/>
      <c r="DR5" s="402"/>
      <c r="DS5" s="402"/>
      <c r="DT5" s="402"/>
      <c r="DU5" s="402"/>
      <c r="DV5" s="402"/>
      <c r="DW5" s="402"/>
      <c r="DX5" s="402"/>
      <c r="DY5" s="402"/>
      <c r="DZ5" s="402"/>
      <c r="EA5" s="402"/>
      <c r="EB5" s="402"/>
      <c r="EC5" s="402"/>
      <c r="ED5" s="402"/>
      <c r="EE5" s="402"/>
      <c r="EF5" s="402"/>
      <c r="EG5" s="402"/>
      <c r="EH5" s="402"/>
      <c r="EI5" s="402"/>
      <c r="EJ5" s="402"/>
      <c r="EK5" s="402"/>
      <c r="EL5" s="402"/>
      <c r="EM5" s="402"/>
      <c r="EN5" s="402"/>
      <c r="EO5" s="402"/>
      <c r="EP5" s="402"/>
      <c r="EQ5" s="402"/>
      <c r="ER5" s="402"/>
      <c r="ES5" s="402"/>
      <c r="ET5" s="402"/>
      <c r="EU5" s="402"/>
      <c r="EV5" s="402"/>
      <c r="EW5" s="402"/>
      <c r="EX5" s="402"/>
      <c r="EY5" s="402"/>
      <c r="EZ5" s="402"/>
      <c r="FA5" s="402"/>
      <c r="FB5" s="402"/>
      <c r="FC5" s="402"/>
      <c r="FD5" s="402"/>
      <c r="FE5" s="402"/>
      <c r="FF5" s="402"/>
      <c r="FG5" s="402"/>
      <c r="FH5" s="402"/>
      <c r="FI5" s="402"/>
      <c r="FJ5" s="402"/>
      <c r="FK5" s="402"/>
      <c r="FL5" s="402"/>
      <c r="FM5" s="402"/>
      <c r="FN5" s="402"/>
      <c r="FO5" s="402"/>
      <c r="FP5" s="402"/>
      <c r="FQ5" s="402"/>
      <c r="FR5" s="402"/>
      <c r="FS5" s="402"/>
      <c r="FT5" s="402"/>
      <c r="FU5" s="402"/>
      <c r="FV5" s="402"/>
      <c r="FW5" s="402"/>
      <c r="FX5" s="402"/>
      <c r="FY5" s="402"/>
      <c r="FZ5" s="402"/>
      <c r="GA5" s="402"/>
      <c r="GB5" s="402"/>
      <c r="GC5" s="402"/>
      <c r="GD5" s="402"/>
      <c r="GE5" s="402"/>
      <c r="GF5" s="402"/>
      <c r="GG5" s="402"/>
      <c r="GH5" s="402"/>
      <c r="GI5" s="402"/>
      <c r="GJ5" s="402"/>
      <c r="GK5" s="402"/>
      <c r="GL5" s="402"/>
      <c r="GM5" s="402"/>
      <c r="GN5" s="402"/>
      <c r="GO5" s="402"/>
      <c r="GP5" s="402"/>
      <c r="GQ5" s="402"/>
      <c r="GR5" s="402"/>
      <c r="GS5" s="402"/>
      <c r="GT5" s="402"/>
      <c r="GU5" s="402"/>
      <c r="GV5" s="402"/>
      <c r="GW5" s="402"/>
      <c r="GX5" s="402"/>
      <c r="GY5" s="402"/>
      <c r="GZ5" s="402"/>
      <c r="HA5" s="402"/>
      <c r="HB5" s="402"/>
      <c r="HC5" s="402"/>
      <c r="HD5" s="402"/>
      <c r="HE5" s="402"/>
      <c r="HF5" s="402"/>
      <c r="HG5" s="402"/>
      <c r="HH5" s="402"/>
      <c r="HI5" s="402"/>
      <c r="HJ5" s="402"/>
      <c r="HK5" s="402"/>
      <c r="HL5" s="402"/>
      <c r="HM5" s="402"/>
      <c r="HN5" s="402"/>
      <c r="HO5" s="402"/>
      <c r="HP5" s="402"/>
      <c r="HQ5" s="402"/>
      <c r="HR5" s="402"/>
      <c r="HS5" s="402"/>
      <c r="HT5" s="402"/>
      <c r="HU5" s="402"/>
      <c r="HV5" s="402"/>
      <c r="HW5" s="402"/>
      <c r="HX5" s="402"/>
      <c r="HY5" s="402"/>
      <c r="HZ5" s="402"/>
      <c r="IA5" s="402"/>
      <c r="IB5" s="402"/>
      <c r="IC5" s="402"/>
      <c r="ID5" s="402"/>
      <c r="IE5" s="402"/>
      <c r="IF5" s="402"/>
      <c r="IG5" s="402"/>
      <c r="IH5" s="402"/>
      <c r="II5" s="402"/>
      <c r="IJ5" s="402"/>
      <c r="IK5" s="402"/>
      <c r="IL5" s="402"/>
      <c r="IM5" s="402"/>
      <c r="IN5" s="402"/>
      <c r="IO5" s="402"/>
      <c r="IP5" s="402"/>
      <c r="IQ5" s="402"/>
      <c r="IR5" s="402"/>
      <c r="IS5" s="402"/>
      <c r="IT5" s="402"/>
      <c r="IU5" s="402"/>
      <c r="IV5" s="402"/>
      <c r="IW5" s="402"/>
      <c r="IX5" s="402"/>
      <c r="IY5" s="402"/>
      <c r="IZ5" s="402"/>
      <c r="JA5" s="402"/>
      <c r="JB5" s="402"/>
      <c r="JC5" s="402"/>
      <c r="JD5" s="402"/>
      <c r="JE5" s="402"/>
      <c r="JF5" s="402"/>
      <c r="JG5" s="402"/>
      <c r="JH5" s="402"/>
      <c r="JI5" s="402"/>
      <c r="JJ5" s="402"/>
      <c r="JK5" s="402"/>
      <c r="JL5" s="402"/>
      <c r="JM5" s="402"/>
      <c r="JN5" s="402"/>
      <c r="JO5" s="402"/>
      <c r="JP5" s="402"/>
      <c r="JQ5" s="402"/>
      <c r="JR5" s="402"/>
      <c r="JS5" s="402"/>
      <c r="JT5" s="402"/>
      <c r="JU5" s="402"/>
      <c r="JV5" s="402"/>
      <c r="JW5" s="402"/>
      <c r="JX5" s="402"/>
      <c r="JY5" s="402"/>
      <c r="JZ5" s="402"/>
      <c r="KA5" s="402"/>
      <c r="KB5" s="402"/>
      <c r="KC5" s="402"/>
      <c r="KD5" s="402"/>
      <c r="KE5" s="402"/>
      <c r="KF5" s="402"/>
      <c r="KG5" s="402"/>
      <c r="KH5" s="402"/>
      <c r="KI5" s="402"/>
      <c r="KJ5" s="402"/>
      <c r="KK5" s="402"/>
      <c r="KL5" s="402"/>
      <c r="KM5" s="402"/>
      <c r="KN5" s="402"/>
      <c r="KO5" s="402"/>
      <c r="KP5" s="402"/>
      <c r="KQ5" s="402"/>
      <c r="KR5" s="402"/>
      <c r="KS5" s="402"/>
      <c r="KT5" s="402"/>
      <c r="KU5" s="402"/>
      <c r="KV5" s="402"/>
      <c r="KW5" s="402"/>
    </row>
    <row r="6" spans="1:309" ht="15.95" customHeight="1" thickBot="1">
      <c r="A6" s="402"/>
      <c r="B6" s="402"/>
      <c r="C6" s="402"/>
      <c r="D6" s="402"/>
      <c r="E6" s="402"/>
      <c r="F6" s="402"/>
      <c r="G6" s="402"/>
      <c r="H6" s="402"/>
      <c r="I6" s="402"/>
      <c r="K6" s="402"/>
      <c r="L6" s="402"/>
      <c r="M6" s="402"/>
    </row>
    <row r="7" spans="1:309" ht="19.5" customHeight="1" thickBot="1">
      <c r="A7" s="27" t="s">
        <v>52</v>
      </c>
      <c r="B7" s="50" t="s">
        <v>263</v>
      </c>
      <c r="C7" s="53" t="s">
        <v>56</v>
      </c>
      <c r="D7" s="54" t="s">
        <v>139</v>
      </c>
      <c r="E7" s="554" t="s">
        <v>206</v>
      </c>
      <c r="F7" s="277" t="s">
        <v>575</v>
      </c>
      <c r="G7" s="142" t="s">
        <v>3</v>
      </c>
      <c r="H7" s="57" t="s">
        <v>143</v>
      </c>
      <c r="I7" s="58" t="s">
        <v>85</v>
      </c>
      <c r="J7" s="56" t="s">
        <v>199</v>
      </c>
      <c r="K7" s="57" t="s">
        <v>205</v>
      </c>
      <c r="L7" s="402"/>
    </row>
    <row r="8" spans="1:309" ht="15.95" customHeight="1">
      <c r="A8" s="3118" t="s">
        <v>523</v>
      </c>
      <c r="B8" s="51" t="s">
        <v>120</v>
      </c>
      <c r="C8" s="817" t="s">
        <v>162</v>
      </c>
      <c r="D8" s="816">
        <v>1000</v>
      </c>
      <c r="E8" s="555">
        <f>D8</f>
        <v>1000</v>
      </c>
      <c r="F8" s="1894">
        <v>0</v>
      </c>
      <c r="G8" s="815">
        <f>D8-F8</f>
        <v>1000</v>
      </c>
      <c r="H8" s="814">
        <f>F8/E8</f>
        <v>0</v>
      </c>
      <c r="I8" s="813"/>
      <c r="J8" s="812"/>
      <c r="K8" s="811"/>
      <c r="L8" s="402"/>
      <c r="M8" s="402"/>
    </row>
    <row r="9" spans="1:309" ht="15.95" customHeight="1">
      <c r="A9" s="3119"/>
      <c r="B9" s="52" t="s">
        <v>151</v>
      </c>
      <c r="C9" s="810" t="s">
        <v>162</v>
      </c>
      <c r="D9" s="809">
        <v>2000</v>
      </c>
      <c r="E9" s="808">
        <f t="shared" ref="E9:E10" si="0">D9</f>
        <v>2000</v>
      </c>
      <c r="F9" s="1343">
        <v>0</v>
      </c>
      <c r="G9" s="807">
        <f>D9-F9</f>
        <v>2000</v>
      </c>
      <c r="H9" s="806">
        <f t="shared" ref="H9:H11" si="1">F9/E9</f>
        <v>0</v>
      </c>
      <c r="I9" s="805"/>
      <c r="J9" s="623"/>
      <c r="K9" s="804"/>
      <c r="L9" s="400"/>
      <c r="M9" s="400"/>
      <c r="N9" s="400"/>
      <c r="O9" s="400"/>
      <c r="P9" s="400"/>
      <c r="Q9" s="400"/>
      <c r="R9" s="400"/>
      <c r="S9" s="400"/>
      <c r="T9" s="400"/>
      <c r="U9" s="400"/>
    </row>
    <row r="10" spans="1:309" ht="15.95" customHeight="1">
      <c r="A10" s="3119"/>
      <c r="B10" s="52" t="s">
        <v>758</v>
      </c>
      <c r="C10" s="810" t="s">
        <v>162</v>
      </c>
      <c r="D10" s="809">
        <v>1576</v>
      </c>
      <c r="E10" s="808">
        <f t="shared" si="0"/>
        <v>1576</v>
      </c>
      <c r="F10" s="1895">
        <v>0</v>
      </c>
      <c r="G10" s="807">
        <f>D10-F10</f>
        <v>1576</v>
      </c>
      <c r="H10" s="806">
        <f>F10/E10</f>
        <v>0</v>
      </c>
      <c r="I10" s="803"/>
      <c r="J10" s="623"/>
      <c r="K10" s="802"/>
      <c r="L10" s="400"/>
      <c r="M10" s="400"/>
      <c r="N10" s="400"/>
      <c r="O10" s="400"/>
      <c r="P10" s="400"/>
      <c r="Q10" s="400"/>
      <c r="R10" s="400"/>
      <c r="S10" s="400"/>
      <c r="T10" s="400"/>
      <c r="U10" s="400"/>
    </row>
    <row r="11" spans="1:309" ht="15.95" customHeight="1" thickBot="1">
      <c r="A11" s="3119"/>
      <c r="B11" s="834" t="s">
        <v>271</v>
      </c>
      <c r="C11" s="824" t="s">
        <v>162</v>
      </c>
      <c r="D11" s="777">
        <v>156024</v>
      </c>
      <c r="E11" s="832">
        <f>D11</f>
        <v>156024</v>
      </c>
      <c r="F11" s="702">
        <v>144128.72500000044</v>
      </c>
      <c r="G11" s="143">
        <f>D11-F11</f>
        <v>11895.274999999558</v>
      </c>
      <c r="H11" s="835">
        <f t="shared" si="1"/>
        <v>0.92375996641542613</v>
      </c>
      <c r="I11" s="278"/>
      <c r="J11" s="801"/>
      <c r="K11" s="279"/>
      <c r="L11" s="400"/>
      <c r="M11" s="781"/>
      <c r="N11" s="1361"/>
      <c r="O11" s="573"/>
      <c r="P11" s="400"/>
      <c r="Q11" s="400"/>
      <c r="R11" s="400"/>
      <c r="S11" s="400"/>
      <c r="T11" s="400"/>
      <c r="U11" s="400"/>
    </row>
    <row r="12" spans="1:309" ht="15.95" customHeight="1">
      <c r="A12" s="3119"/>
      <c r="B12" s="2932" t="s">
        <v>272</v>
      </c>
      <c r="C12" s="821" t="s">
        <v>152</v>
      </c>
      <c r="D12" s="774">
        <v>4916</v>
      </c>
      <c r="E12" s="828">
        <f>D12</f>
        <v>4916</v>
      </c>
      <c r="F12" s="1493">
        <v>5116.7179999999989</v>
      </c>
      <c r="G12" s="800">
        <f>E12-F12</f>
        <v>-200.71799999999894</v>
      </c>
      <c r="H12" s="799">
        <f>F12/E12</f>
        <v>1.0408295362082993</v>
      </c>
      <c r="I12" s="798">
        <v>42382</v>
      </c>
      <c r="J12" s="797">
        <v>42388</v>
      </c>
      <c r="K12" s="796">
        <v>42394</v>
      </c>
      <c r="L12" s="399">
        <f>+F12/13</f>
        <v>393.59369230769221</v>
      </c>
      <c r="M12" s="776" t="s">
        <v>693</v>
      </c>
      <c r="N12" s="693"/>
      <c r="O12" s="399"/>
      <c r="P12" s="400"/>
      <c r="Q12" s="400"/>
      <c r="R12" s="400"/>
      <c r="S12" s="400"/>
      <c r="T12" s="400"/>
      <c r="U12" s="400"/>
    </row>
    <row r="13" spans="1:309" ht="15.95" customHeight="1">
      <c r="A13" s="3119"/>
      <c r="B13" s="2935"/>
      <c r="C13" s="826" t="s">
        <v>153</v>
      </c>
      <c r="D13" s="827">
        <v>4912</v>
      </c>
      <c r="E13" s="782">
        <f>D13+G12</f>
        <v>4711.2820000000011</v>
      </c>
      <c r="F13" s="1525">
        <v>4665.9340000000002</v>
      </c>
      <c r="G13" s="807">
        <f>E13-F13</f>
        <v>45.348000000000866</v>
      </c>
      <c r="H13" s="806">
        <f>F13/E13</f>
        <v>0.99037459443098486</v>
      </c>
      <c r="I13" s="795">
        <v>42413</v>
      </c>
      <c r="J13" s="623"/>
      <c r="K13" s="802"/>
      <c r="L13" s="399">
        <f>+F13/13</f>
        <v>358.91800000000001</v>
      </c>
      <c r="M13" s="776" t="s">
        <v>694</v>
      </c>
      <c r="N13" s="776"/>
      <c r="O13" s="399"/>
      <c r="P13" s="400"/>
      <c r="Q13" s="400"/>
      <c r="R13" s="400"/>
      <c r="S13" s="400"/>
      <c r="T13" s="400"/>
      <c r="U13" s="400"/>
    </row>
    <row r="14" spans="1:309" ht="15.95" customHeight="1">
      <c r="A14" s="3119"/>
      <c r="B14" s="2935"/>
      <c r="C14" s="826" t="s">
        <v>154</v>
      </c>
      <c r="D14" s="827">
        <v>4912</v>
      </c>
      <c r="E14" s="782">
        <f>D14+G13</f>
        <v>4957.3480000000009</v>
      </c>
      <c r="F14" s="1525">
        <v>5209.0269999999991</v>
      </c>
      <c r="G14" s="794">
        <f t="shared" ref="G14:G23" si="2">E14-F14</f>
        <v>-251.67899999999827</v>
      </c>
      <c r="H14" s="793">
        <f t="shared" ref="H14:H24" si="3">F14/E14</f>
        <v>1.0507688788440912</v>
      </c>
      <c r="I14" s="795">
        <v>42440</v>
      </c>
      <c r="J14" s="623"/>
      <c r="K14" s="802"/>
      <c r="L14" s="399">
        <f>+F14/11</f>
        <v>473.547909090909</v>
      </c>
      <c r="M14" s="776" t="s">
        <v>695</v>
      </c>
      <c r="N14" s="776"/>
      <c r="O14" s="399"/>
      <c r="P14" s="389"/>
      <c r="Q14" s="389"/>
      <c r="R14" s="272"/>
      <c r="S14" s="272"/>
      <c r="T14" s="400"/>
      <c r="U14" s="400"/>
    </row>
    <row r="15" spans="1:309" ht="15.95" customHeight="1">
      <c r="A15" s="3119"/>
      <c r="B15" s="2935"/>
      <c r="C15" s="826" t="s">
        <v>155</v>
      </c>
      <c r="D15" s="827">
        <v>4912</v>
      </c>
      <c r="E15" s="782">
        <f>D15+G14</f>
        <v>4660.3210000000017</v>
      </c>
      <c r="F15" s="1525">
        <v>4986.0790000000006</v>
      </c>
      <c r="G15" s="794">
        <f t="shared" si="2"/>
        <v>-325.7579999999989</v>
      </c>
      <c r="H15" s="793">
        <f t="shared" si="3"/>
        <v>1.0699003351915026</v>
      </c>
      <c r="I15" s="795">
        <v>42472</v>
      </c>
      <c r="J15" s="623"/>
      <c r="K15" s="802"/>
      <c r="L15" s="399">
        <f>+F15/12</f>
        <v>415.50658333333337</v>
      </c>
      <c r="M15" s="776" t="s">
        <v>696</v>
      </c>
      <c r="N15" s="776"/>
      <c r="O15" s="399"/>
      <c r="P15" s="388"/>
      <c r="Q15" s="387"/>
      <c r="R15" s="272"/>
      <c r="S15" s="272"/>
      <c r="T15" s="400"/>
      <c r="U15" s="400"/>
    </row>
    <row r="16" spans="1:309" ht="15.95" customHeight="1">
      <c r="A16" s="3119"/>
      <c r="B16" s="2935"/>
      <c r="C16" s="826" t="s">
        <v>156</v>
      </c>
      <c r="D16" s="827">
        <v>4912</v>
      </c>
      <c r="E16" s="782">
        <f>D16+G15</f>
        <v>4586.2420000000011</v>
      </c>
      <c r="F16" s="1525">
        <v>5205.3419999999987</v>
      </c>
      <c r="G16" s="794">
        <f t="shared" si="2"/>
        <v>-619.09999999999764</v>
      </c>
      <c r="H16" s="793">
        <f t="shared" si="3"/>
        <v>1.1349906960862504</v>
      </c>
      <c r="I16" s="795">
        <v>42500</v>
      </c>
      <c r="J16" s="623"/>
      <c r="K16" s="802"/>
      <c r="L16" s="399">
        <f>+F16/10</f>
        <v>520.53419999999983</v>
      </c>
      <c r="M16" s="776" t="s">
        <v>697</v>
      </c>
      <c r="N16" s="776"/>
      <c r="O16" s="399"/>
      <c r="P16" s="387"/>
      <c r="Q16" s="387"/>
      <c r="R16" s="272"/>
      <c r="S16" s="272"/>
      <c r="T16" s="400"/>
      <c r="U16" s="400"/>
    </row>
    <row r="17" spans="1:37" ht="15.95" customHeight="1">
      <c r="A17" s="3119"/>
      <c r="B17" s="2935"/>
      <c r="C17" s="826" t="s">
        <v>157</v>
      </c>
      <c r="D17" s="827">
        <v>4912</v>
      </c>
      <c r="E17" s="782">
        <f>D17+G16</f>
        <v>4292.9000000000024</v>
      </c>
      <c r="F17" s="1525">
        <v>5027.9720000000016</v>
      </c>
      <c r="G17" s="794">
        <f t="shared" si="2"/>
        <v>-735.07199999999921</v>
      </c>
      <c r="H17" s="793">
        <f t="shared" si="3"/>
        <v>1.1712297048615152</v>
      </c>
      <c r="I17" s="795">
        <v>42529</v>
      </c>
      <c r="J17" s="623"/>
      <c r="K17" s="802"/>
      <c r="L17" s="399">
        <f>+F17/8</f>
        <v>628.4965000000002</v>
      </c>
      <c r="M17" s="776" t="s">
        <v>698</v>
      </c>
      <c r="N17" s="776"/>
      <c r="O17" s="399"/>
      <c r="P17" s="388"/>
      <c r="Q17" s="387"/>
      <c r="R17" s="272"/>
      <c r="S17" s="272"/>
      <c r="T17" s="400"/>
      <c r="U17" s="400"/>
    </row>
    <row r="18" spans="1:37" ht="15.95" customHeight="1">
      <c r="A18" s="3119"/>
      <c r="B18" s="2935"/>
      <c r="C18" s="826" t="s">
        <v>158</v>
      </c>
      <c r="D18" s="827">
        <v>4912</v>
      </c>
      <c r="E18" s="782">
        <f t="shared" ref="E18:E23" si="4">D18+G17</f>
        <v>4176.9280000000008</v>
      </c>
      <c r="F18" s="1525">
        <v>4757.7689999999993</v>
      </c>
      <c r="G18" s="794">
        <f t="shared" si="2"/>
        <v>-580.84099999999853</v>
      </c>
      <c r="H18" s="793">
        <f t="shared" si="3"/>
        <v>1.1390593756942897</v>
      </c>
      <c r="I18" s="792">
        <v>42571</v>
      </c>
      <c r="J18" s="791"/>
      <c r="K18" s="790"/>
      <c r="L18" s="399">
        <f>+F18/20</f>
        <v>237.88844999999998</v>
      </c>
      <c r="M18" s="776" t="s">
        <v>699</v>
      </c>
      <c r="N18" s="776"/>
      <c r="O18" s="399"/>
      <c r="P18" s="388"/>
      <c r="Q18" s="387"/>
      <c r="R18" s="272"/>
      <c r="S18" s="272"/>
      <c r="T18" s="400"/>
      <c r="U18" s="400"/>
    </row>
    <row r="19" spans="1:37" ht="15.95" customHeight="1">
      <c r="A19" s="3119"/>
      <c r="B19" s="2935"/>
      <c r="C19" s="826" t="s">
        <v>159</v>
      </c>
      <c r="D19" s="827">
        <v>4958</v>
      </c>
      <c r="E19" s="782">
        <f>D19+G18</f>
        <v>4377.1590000000015</v>
      </c>
      <c r="F19" s="1525">
        <v>4362.24</v>
      </c>
      <c r="G19" s="807">
        <f>E19-F19</f>
        <v>14.919000000001688</v>
      </c>
      <c r="H19" s="806">
        <f t="shared" si="3"/>
        <v>0.99659162484159203</v>
      </c>
      <c r="I19" s="792">
        <v>42591</v>
      </c>
      <c r="J19" s="791"/>
      <c r="K19" s="790"/>
      <c r="L19" s="399">
        <f>+F19/9</f>
        <v>484.69333333333333</v>
      </c>
      <c r="M19" s="776" t="s">
        <v>700</v>
      </c>
      <c r="N19" s="776"/>
      <c r="O19" s="399"/>
      <c r="P19" s="387"/>
      <c r="Q19" s="388"/>
      <c r="R19" s="272"/>
      <c r="S19" s="272"/>
      <c r="T19" s="400"/>
      <c r="U19" s="400"/>
    </row>
    <row r="20" spans="1:37" ht="15.95" customHeight="1">
      <c r="A20" s="3119"/>
      <c r="B20" s="2935"/>
      <c r="C20" s="826" t="s">
        <v>524</v>
      </c>
      <c r="D20" s="831">
        <v>1</v>
      </c>
      <c r="E20" s="782">
        <f t="shared" si="4"/>
        <v>15.919000000001688</v>
      </c>
      <c r="F20" s="779"/>
      <c r="G20" s="807">
        <f t="shared" si="2"/>
        <v>15.919000000001688</v>
      </c>
      <c r="H20" s="789">
        <f t="shared" si="3"/>
        <v>0</v>
      </c>
      <c r="I20" s="788">
        <v>42613</v>
      </c>
      <c r="J20" s="787"/>
      <c r="K20" s="786"/>
      <c r="L20" s="399"/>
      <c r="M20" s="776"/>
      <c r="N20" s="776"/>
      <c r="O20" s="399"/>
      <c r="P20" s="387"/>
      <c r="Q20" s="388"/>
      <c r="R20" s="272"/>
      <c r="S20" s="272"/>
      <c r="T20" s="400"/>
      <c r="U20" s="400"/>
    </row>
    <row r="21" spans="1:37" ht="15.95" customHeight="1">
      <c r="A21" s="3119"/>
      <c r="B21" s="2935"/>
      <c r="C21" s="826" t="s">
        <v>525</v>
      </c>
      <c r="D21" s="831">
        <v>1</v>
      </c>
      <c r="E21" s="782">
        <f t="shared" si="4"/>
        <v>16.919000000001688</v>
      </c>
      <c r="F21" s="1344"/>
      <c r="G21" s="807">
        <f t="shared" si="2"/>
        <v>16.919000000001688</v>
      </c>
      <c r="H21" s="806">
        <f t="shared" si="3"/>
        <v>0</v>
      </c>
      <c r="I21" s="785"/>
      <c r="J21" s="787"/>
      <c r="K21" s="786"/>
      <c r="L21" s="399"/>
      <c r="M21" s="776"/>
      <c r="N21" s="776"/>
      <c r="O21" s="399"/>
      <c r="P21" s="387"/>
      <c r="Q21" s="388"/>
      <c r="R21" s="272"/>
      <c r="S21" s="272"/>
      <c r="T21" s="400"/>
      <c r="U21" s="400"/>
    </row>
    <row r="22" spans="1:37" ht="15.95" customHeight="1">
      <c r="A22" s="3119"/>
      <c r="B22" s="2935"/>
      <c r="C22" s="826" t="s">
        <v>526</v>
      </c>
      <c r="D22" s="831">
        <v>1</v>
      </c>
      <c r="E22" s="782">
        <f t="shared" si="4"/>
        <v>17.919000000001688</v>
      </c>
      <c r="F22" s="1344"/>
      <c r="G22" s="807">
        <f t="shared" si="2"/>
        <v>17.919000000001688</v>
      </c>
      <c r="H22" s="806">
        <f t="shared" si="3"/>
        <v>0</v>
      </c>
      <c r="I22" s="785"/>
      <c r="J22" s="787"/>
      <c r="K22" s="786"/>
      <c r="L22" s="400"/>
      <c r="M22" s="776"/>
      <c r="N22" s="776"/>
      <c r="O22" s="387"/>
      <c r="P22" s="387"/>
      <c r="Q22" s="388"/>
      <c r="R22" s="272"/>
      <c r="S22" s="272"/>
      <c r="T22" s="400"/>
      <c r="U22" s="400"/>
    </row>
    <row r="23" spans="1:37" ht="15.95" customHeight="1" thickBot="1">
      <c r="A23" s="3119"/>
      <c r="B23" s="2933"/>
      <c r="C23" s="836" t="s">
        <v>527</v>
      </c>
      <c r="D23" s="831">
        <v>1</v>
      </c>
      <c r="E23" s="829">
        <f t="shared" si="4"/>
        <v>18.919000000001688</v>
      </c>
      <c r="F23" s="833"/>
      <c r="G23" s="823">
        <f t="shared" si="2"/>
        <v>18.919000000001688</v>
      </c>
      <c r="H23" s="784">
        <f t="shared" si="3"/>
        <v>0</v>
      </c>
      <c r="I23" s="785"/>
      <c r="J23" s="787"/>
      <c r="K23" s="786"/>
      <c r="L23" s="400"/>
      <c r="M23" s="776"/>
      <c r="N23" s="776"/>
      <c r="O23" s="585"/>
      <c r="P23" s="585"/>
      <c r="Q23" s="585"/>
      <c r="R23" s="585"/>
      <c r="S23" s="585"/>
      <c r="T23" s="585"/>
      <c r="U23" s="585"/>
    </row>
    <row r="24" spans="1:37" ht="15.95" customHeight="1" thickBot="1">
      <c r="A24" s="3120"/>
      <c r="B24" s="392" t="s">
        <v>528</v>
      </c>
      <c r="C24" s="401" t="s">
        <v>529</v>
      </c>
      <c r="D24" s="398">
        <v>50</v>
      </c>
      <c r="E24" s="395">
        <v>50</v>
      </c>
      <c r="F24" s="587">
        <f>4.81+0.006+0.011</f>
        <v>4.827</v>
      </c>
      <c r="G24" s="394">
        <f>E24-F24</f>
        <v>45.173000000000002</v>
      </c>
      <c r="H24" s="393">
        <f t="shared" si="3"/>
        <v>9.6540000000000001E-2</v>
      </c>
      <c r="I24" s="397"/>
      <c r="J24" s="397"/>
      <c r="K24" s="396"/>
      <c r="L24" s="400"/>
      <c r="M24" s="825"/>
      <c r="N24" s="776"/>
      <c r="O24" s="518"/>
      <c r="P24" s="518"/>
      <c r="Q24" s="518"/>
      <c r="R24" s="518"/>
      <c r="S24" s="518"/>
      <c r="T24" s="586"/>
      <c r="U24" s="586"/>
    </row>
    <row r="25" spans="1:37" s="402" customFormat="1" ht="15.95" customHeight="1">
      <c r="A25" s="200"/>
      <c r="B25" s="319"/>
      <c r="C25" s="137"/>
      <c r="D25" s="516"/>
      <c r="E25" s="94"/>
      <c r="F25" s="747"/>
      <c r="G25" s="94"/>
      <c r="H25" s="517"/>
      <c r="I25" s="400"/>
      <c r="J25" s="400"/>
      <c r="K25" s="400"/>
      <c r="L25" s="400"/>
      <c r="M25" s="518"/>
      <c r="N25" s="519"/>
      <c r="O25" s="519"/>
      <c r="P25" s="519"/>
      <c r="Q25" s="519"/>
      <c r="R25" s="519"/>
      <c r="S25" s="519"/>
      <c r="T25" s="520"/>
      <c r="U25" s="520"/>
    </row>
    <row r="26" spans="1:37" s="400" customFormat="1" ht="15.95" customHeight="1" thickBot="1"/>
    <row r="27" spans="1:37" s="362" customFormat="1" ht="15.95" customHeight="1" thickBot="1">
      <c r="B27" s="3115" t="s">
        <v>473</v>
      </c>
      <c r="C27" s="3116"/>
      <c r="D27" s="3116"/>
      <c r="E27" s="3116"/>
      <c r="F27" s="3116"/>
      <c r="G27" s="3116"/>
      <c r="H27" s="3116"/>
      <c r="I27" s="3117"/>
      <c r="K27" s="3124"/>
      <c r="L27" s="3124"/>
      <c r="M27" s="3124"/>
      <c r="N27" s="3124"/>
      <c r="O27" s="3124"/>
      <c r="P27" s="3124"/>
      <c r="Q27" s="3124"/>
      <c r="R27" s="391"/>
      <c r="S27" s="391"/>
      <c r="T27" s="391"/>
      <c r="U27" s="391"/>
      <c r="V27" s="391"/>
      <c r="W27" s="391"/>
      <c r="X27" s="391"/>
    </row>
    <row r="28" spans="1:37" s="362" customFormat="1" ht="15.95" customHeight="1" thickBot="1">
      <c r="A28" s="1341"/>
      <c r="B28" s="332"/>
      <c r="C28" s="332"/>
      <c r="D28" s="332"/>
      <c r="I28" s="391"/>
      <c r="J28" s="391"/>
      <c r="K28" s="368"/>
      <c r="L28" s="368"/>
      <c r="M28" s="368"/>
      <c r="N28" s="368"/>
      <c r="O28" s="368"/>
      <c r="P28" s="368"/>
      <c r="Q28" s="391"/>
      <c r="R28" s="391"/>
      <c r="S28" s="391"/>
      <c r="T28" s="391"/>
      <c r="U28" s="391"/>
      <c r="V28" s="391"/>
      <c r="W28" s="391"/>
      <c r="X28" s="391"/>
    </row>
    <row r="29" spans="1:37" ht="15.95" customHeight="1" thickBot="1">
      <c r="A29" s="402"/>
      <c r="B29" s="1342"/>
      <c r="C29" s="1342"/>
      <c r="D29" s="3136" t="s">
        <v>474</v>
      </c>
      <c r="E29" s="3137"/>
      <c r="F29" s="3137"/>
      <c r="G29" s="3137"/>
      <c r="H29" s="3137"/>
      <c r="I29" s="1294" t="s">
        <v>442</v>
      </c>
      <c r="J29" s="400"/>
      <c r="K29" s="390"/>
      <c r="L29" s="390"/>
      <c r="M29" s="3127"/>
      <c r="N29" s="3127"/>
      <c r="O29" s="3127"/>
      <c r="P29" s="3127"/>
      <c r="Q29" s="3127"/>
      <c r="R29" s="400"/>
      <c r="S29" s="400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391"/>
      <c r="AE29" s="391"/>
      <c r="AF29" s="391"/>
      <c r="AG29" s="391"/>
      <c r="AH29" s="391"/>
      <c r="AI29" s="391"/>
      <c r="AJ29" s="391"/>
      <c r="AK29" s="391"/>
    </row>
    <row r="30" spans="1:37" ht="15.95" customHeight="1">
      <c r="A30" s="402"/>
      <c r="B30" s="584" t="s">
        <v>470</v>
      </c>
      <c r="C30" s="775" t="s">
        <v>357</v>
      </c>
      <c r="D30" s="780" t="s">
        <v>471</v>
      </c>
      <c r="E30" s="783" t="s">
        <v>62</v>
      </c>
      <c r="F30" s="783" t="s">
        <v>65</v>
      </c>
      <c r="G30" s="783" t="s">
        <v>445</v>
      </c>
      <c r="H30" s="783" t="s">
        <v>262</v>
      </c>
      <c r="I30" s="1294"/>
      <c r="J30" s="753"/>
      <c r="K30" s="753"/>
      <c r="L30" s="753"/>
      <c r="M30" s="753"/>
      <c r="N30" s="753"/>
      <c r="O30" s="753"/>
      <c r="P30" s="753"/>
      <c r="Q30" s="3127"/>
      <c r="R30" s="400"/>
      <c r="S30" s="400"/>
      <c r="T30" s="556"/>
      <c r="U30" s="556"/>
      <c r="V30" s="556"/>
      <c r="W30" s="556"/>
      <c r="X30" s="556"/>
      <c r="Y30" s="556"/>
      <c r="Z30" s="556"/>
      <c r="AA30" s="391"/>
      <c r="AB30" s="391"/>
      <c r="AC30" s="391"/>
      <c r="AD30" s="391"/>
      <c r="AE30" s="391"/>
      <c r="AF30" s="391"/>
      <c r="AG30" s="391"/>
      <c r="AH30" s="391"/>
      <c r="AI30" s="391"/>
      <c r="AJ30" s="391"/>
      <c r="AK30" s="391"/>
    </row>
    <row r="31" spans="1:37" ht="15.95" customHeight="1">
      <c r="A31" s="402"/>
      <c r="B31" s="749" t="s">
        <v>471</v>
      </c>
      <c r="C31" s="1293">
        <v>102</v>
      </c>
      <c r="D31" s="1249">
        <v>0.54400000000000004</v>
      </c>
      <c r="E31" s="1249"/>
      <c r="F31" s="1249"/>
      <c r="G31" s="1249"/>
      <c r="H31" s="1249"/>
      <c r="I31" s="1249">
        <f t="shared" ref="I31:I48" si="5">SUM(D31:H31)</f>
        <v>0.54400000000000004</v>
      </c>
      <c r="J31" s="752"/>
      <c r="K31" s="751"/>
      <c r="L31" s="751"/>
      <c r="M31" s="750"/>
      <c r="N31" s="750"/>
      <c r="O31" s="750"/>
      <c r="P31" s="750"/>
      <c r="Q31" s="582"/>
      <c r="R31" s="400"/>
      <c r="S31" s="400"/>
      <c r="T31" s="558"/>
      <c r="U31" s="559"/>
      <c r="V31" s="559"/>
      <c r="W31" s="557"/>
      <c r="X31" s="557"/>
      <c r="Y31" s="557"/>
      <c r="Z31" s="557"/>
      <c r="AA31" s="391"/>
      <c r="AB31" s="391"/>
      <c r="AC31" s="391"/>
      <c r="AD31" s="391"/>
      <c r="AE31" s="391"/>
      <c r="AF31" s="391"/>
      <c r="AG31" s="391"/>
      <c r="AH31" s="391"/>
      <c r="AI31" s="391"/>
      <c r="AJ31" s="391"/>
      <c r="AK31" s="391"/>
    </row>
    <row r="32" spans="1:37" ht="15.95" customHeight="1">
      <c r="A32" s="402"/>
      <c r="B32" s="749" t="s">
        <v>471</v>
      </c>
      <c r="C32" s="1293">
        <v>141</v>
      </c>
      <c r="D32" s="1249">
        <v>2.113</v>
      </c>
      <c r="E32" s="1249"/>
      <c r="F32" s="1249"/>
      <c r="G32" s="1249"/>
      <c r="H32" s="1249"/>
      <c r="I32" s="1249">
        <f t="shared" si="5"/>
        <v>2.113</v>
      </c>
      <c r="J32" s="752"/>
      <c r="K32" s="751"/>
      <c r="L32" s="751"/>
      <c r="M32" s="750"/>
      <c r="N32" s="750"/>
      <c r="O32" s="750"/>
      <c r="P32" s="750"/>
      <c r="Q32" s="582"/>
      <c r="R32" s="400"/>
      <c r="S32" s="400"/>
      <c r="T32" s="558"/>
      <c r="U32" s="559"/>
      <c r="V32" s="559"/>
      <c r="W32" s="557"/>
      <c r="X32" s="557"/>
      <c r="Y32" s="557"/>
      <c r="Z32" s="557"/>
      <c r="AA32" s="391"/>
      <c r="AB32" s="391"/>
      <c r="AC32" s="391"/>
      <c r="AD32" s="391"/>
      <c r="AE32" s="391"/>
      <c r="AF32" s="391"/>
      <c r="AG32" s="391"/>
      <c r="AH32" s="391"/>
      <c r="AI32" s="391"/>
      <c r="AJ32" s="391"/>
      <c r="AK32" s="391"/>
    </row>
    <row r="33" spans="1:37" ht="20.100000000000001" customHeight="1">
      <c r="A33" s="402"/>
      <c r="B33" s="749" t="s">
        <v>61</v>
      </c>
      <c r="C33" s="1293">
        <v>110</v>
      </c>
      <c r="D33" s="1249"/>
      <c r="E33" s="1249">
        <v>6.4000000000000001E-2</v>
      </c>
      <c r="F33" s="1249">
        <v>0.63800000000000001</v>
      </c>
      <c r="G33" s="1249"/>
      <c r="H33" s="1249"/>
      <c r="I33" s="1249">
        <f t="shared" si="5"/>
        <v>0.70199999999999996</v>
      </c>
      <c r="J33" s="752"/>
      <c r="K33" s="751"/>
      <c r="L33" s="750"/>
      <c r="M33" s="751"/>
      <c r="N33" s="751"/>
      <c r="O33" s="750"/>
      <c r="P33" s="750"/>
      <c r="Q33" s="582"/>
      <c r="R33" s="400"/>
      <c r="S33" s="400"/>
      <c r="T33" s="558"/>
      <c r="U33" s="559"/>
      <c r="V33" s="557"/>
      <c r="W33" s="559"/>
      <c r="X33" s="559"/>
      <c r="Y33" s="557"/>
      <c r="Z33" s="557"/>
      <c r="AA33" s="391"/>
      <c r="AB33" s="391"/>
      <c r="AC33" s="391"/>
      <c r="AD33" s="391"/>
      <c r="AE33" s="391"/>
      <c r="AF33" s="391"/>
      <c r="AG33" s="391"/>
      <c r="AH33" s="391"/>
      <c r="AI33" s="391"/>
      <c r="AJ33" s="391"/>
      <c r="AK33" s="391"/>
    </row>
    <row r="34" spans="1:37" ht="20.100000000000001" customHeight="1">
      <c r="A34" s="402"/>
      <c r="B34" s="749" t="s">
        <v>472</v>
      </c>
      <c r="C34" s="1293">
        <v>115</v>
      </c>
      <c r="D34" s="1249"/>
      <c r="E34" s="1249"/>
      <c r="F34" s="1249">
        <v>251.07400000000001</v>
      </c>
      <c r="G34" s="1249"/>
      <c r="H34" s="1249"/>
      <c r="I34" s="1249">
        <f t="shared" si="5"/>
        <v>251.07400000000001</v>
      </c>
      <c r="J34" s="752"/>
      <c r="K34" s="751"/>
      <c r="L34" s="750"/>
      <c r="M34" s="750"/>
      <c r="N34" s="751"/>
      <c r="O34" s="750"/>
      <c r="P34" s="750"/>
      <c r="Q34" s="582"/>
      <c r="R34" s="400"/>
      <c r="S34" s="400"/>
      <c r="T34" s="558"/>
      <c r="U34" s="559"/>
      <c r="V34" s="557"/>
      <c r="W34" s="557"/>
      <c r="X34" s="559"/>
      <c r="Y34" s="557"/>
      <c r="Z34" s="557"/>
      <c r="AA34" s="391"/>
      <c r="AB34" s="391"/>
      <c r="AC34" s="391"/>
      <c r="AD34" s="391"/>
      <c r="AE34" s="391"/>
      <c r="AF34" s="391"/>
      <c r="AG34" s="391"/>
      <c r="AH34" s="391"/>
      <c r="AI34" s="391"/>
      <c r="AJ34" s="391"/>
      <c r="AK34" s="391"/>
    </row>
    <row r="35" spans="1:37" ht="20.100000000000001" customHeight="1">
      <c r="A35" s="402"/>
      <c r="B35" s="749" t="s">
        <v>472</v>
      </c>
      <c r="C35" s="1293">
        <v>154</v>
      </c>
      <c r="D35" s="1249"/>
      <c r="E35" s="1249"/>
      <c r="F35" s="1249">
        <v>1.6360000000000001</v>
      </c>
      <c r="G35" s="1249"/>
      <c r="H35" s="1249"/>
      <c r="I35" s="1249">
        <f t="shared" si="5"/>
        <v>1.6360000000000001</v>
      </c>
      <c r="J35" s="752"/>
      <c r="K35" s="751"/>
      <c r="L35" s="750"/>
      <c r="M35" s="750"/>
      <c r="N35" s="751"/>
      <c r="O35" s="750"/>
      <c r="P35" s="750"/>
      <c r="Q35" s="582"/>
      <c r="R35" s="400"/>
      <c r="S35" s="400"/>
      <c r="T35" s="558"/>
      <c r="U35" s="559"/>
      <c r="V35" s="557"/>
      <c r="W35" s="557"/>
      <c r="X35" s="559"/>
      <c r="Y35" s="557"/>
      <c r="Z35" s="557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</row>
    <row r="36" spans="1:37" ht="20.100000000000001" customHeight="1">
      <c r="A36" s="402"/>
      <c r="B36" s="749" t="s">
        <v>62</v>
      </c>
      <c r="C36" s="1293">
        <v>111</v>
      </c>
      <c r="D36" s="1249"/>
      <c r="E36" s="1249">
        <f>26.823+0.011</f>
        <v>26.834</v>
      </c>
      <c r="F36" s="1249">
        <v>35.316000000000003</v>
      </c>
      <c r="G36" s="1249"/>
      <c r="H36" s="1249"/>
      <c r="I36" s="1249">
        <f t="shared" si="5"/>
        <v>62.150000000000006</v>
      </c>
      <c r="J36" s="752"/>
      <c r="K36" s="751"/>
      <c r="L36" s="750"/>
      <c r="M36" s="751"/>
      <c r="N36" s="751"/>
      <c r="O36" s="750"/>
      <c r="P36" s="750"/>
      <c r="Q36" s="582"/>
      <c r="R36" s="400"/>
      <c r="S36" s="400"/>
      <c r="T36" s="558"/>
      <c r="U36" s="559"/>
      <c r="V36" s="557"/>
      <c r="W36" s="559"/>
      <c r="X36" s="559"/>
      <c r="Y36" s="557"/>
      <c r="Z36" s="557"/>
      <c r="AA36" s="556"/>
      <c r="AB36" s="391"/>
      <c r="AC36" s="391"/>
      <c r="AD36" s="391"/>
      <c r="AE36" s="391"/>
      <c r="AF36" s="391"/>
      <c r="AG36" s="391"/>
      <c r="AH36" s="391"/>
      <c r="AI36" s="391"/>
      <c r="AJ36" s="391"/>
      <c r="AK36" s="391"/>
    </row>
    <row r="37" spans="1:37" ht="20.100000000000001" customHeight="1">
      <c r="A37" s="402"/>
      <c r="B37" s="749" t="s">
        <v>63</v>
      </c>
      <c r="C37" s="1293">
        <v>112</v>
      </c>
      <c r="D37" s="1249"/>
      <c r="E37" s="1249">
        <v>4.0999999999999995E-2</v>
      </c>
      <c r="F37" s="1249">
        <v>7.4480000000000004</v>
      </c>
      <c r="G37" s="1249"/>
      <c r="H37" s="1249"/>
      <c r="I37" s="1249">
        <f t="shared" si="5"/>
        <v>7.4890000000000008</v>
      </c>
      <c r="J37" s="752"/>
      <c r="K37" s="751"/>
      <c r="L37" s="750"/>
      <c r="M37" s="751"/>
      <c r="N37" s="751"/>
      <c r="O37" s="750"/>
      <c r="P37" s="750"/>
      <c r="Q37" s="582"/>
      <c r="R37" s="400"/>
      <c r="S37" s="400"/>
      <c r="T37" s="558"/>
      <c r="U37" s="559"/>
      <c r="V37" s="557"/>
      <c r="W37" s="559"/>
      <c r="X37" s="559"/>
      <c r="Y37" s="557"/>
      <c r="Z37" s="557"/>
      <c r="AA37" s="557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</row>
    <row r="38" spans="1:37" ht="20.100000000000001" customHeight="1">
      <c r="A38" s="402"/>
      <c r="B38" s="749" t="s">
        <v>63</v>
      </c>
      <c r="C38" s="1293">
        <v>151</v>
      </c>
      <c r="D38" s="1249"/>
      <c r="E38" s="1249"/>
      <c r="F38" s="1249">
        <v>1.59</v>
      </c>
      <c r="G38" s="1249"/>
      <c r="H38" s="1249"/>
      <c r="I38" s="1249">
        <f t="shared" si="5"/>
        <v>1.59</v>
      </c>
      <c r="J38" s="752"/>
      <c r="K38" s="751"/>
      <c r="L38" s="750"/>
      <c r="M38" s="750"/>
      <c r="N38" s="751"/>
      <c r="O38" s="750"/>
      <c r="P38" s="750"/>
      <c r="Q38" s="582"/>
      <c r="R38" s="400"/>
      <c r="S38" s="400"/>
      <c r="T38" s="558"/>
      <c r="U38" s="559"/>
      <c r="V38" s="557"/>
      <c r="W38" s="557"/>
      <c r="X38" s="559"/>
      <c r="Y38" s="557"/>
      <c r="Z38" s="557"/>
      <c r="AA38" s="557"/>
      <c r="AB38" s="391"/>
      <c r="AC38" s="391"/>
      <c r="AD38" s="391"/>
      <c r="AE38" s="391"/>
      <c r="AF38" s="391"/>
      <c r="AG38" s="391"/>
      <c r="AH38" s="391"/>
      <c r="AI38" s="391"/>
      <c r="AJ38" s="391"/>
      <c r="AK38" s="391"/>
    </row>
    <row r="39" spans="1:37" ht="20.100000000000001" customHeight="1">
      <c r="A39" s="402"/>
      <c r="B39" s="749" t="s">
        <v>64</v>
      </c>
      <c r="C39" s="1293">
        <v>113</v>
      </c>
      <c r="D39" s="1249"/>
      <c r="E39" s="1249">
        <v>2.5000000000000001E-2</v>
      </c>
      <c r="F39" s="1249">
        <v>380.08500000000004</v>
      </c>
      <c r="G39" s="1249"/>
      <c r="H39" s="1249"/>
      <c r="I39" s="1249">
        <f t="shared" si="5"/>
        <v>380.11</v>
      </c>
      <c r="J39" s="752"/>
      <c r="K39" s="751"/>
      <c r="L39" s="750"/>
      <c r="M39" s="751"/>
      <c r="N39" s="751"/>
      <c r="O39" s="750"/>
      <c r="P39" s="750"/>
      <c r="Q39" s="583"/>
      <c r="R39" s="400"/>
      <c r="S39" s="400"/>
      <c r="T39" s="558"/>
      <c r="U39" s="559"/>
      <c r="V39" s="557"/>
      <c r="W39" s="559"/>
      <c r="X39" s="559"/>
      <c r="Y39" s="557"/>
      <c r="Z39" s="557"/>
      <c r="AA39" s="557"/>
      <c r="AB39" s="391"/>
      <c r="AC39" s="391"/>
      <c r="AD39" s="391"/>
      <c r="AE39" s="391"/>
      <c r="AF39" s="391"/>
      <c r="AG39" s="391"/>
      <c r="AH39" s="391"/>
      <c r="AI39" s="391"/>
      <c r="AJ39" s="391"/>
      <c r="AK39" s="391"/>
    </row>
    <row r="40" spans="1:37" ht="20.100000000000001" customHeight="1">
      <c r="A40" s="402"/>
      <c r="B40" s="749" t="s">
        <v>65</v>
      </c>
      <c r="C40" s="1293">
        <v>114</v>
      </c>
      <c r="D40" s="1249"/>
      <c r="E40" s="1249">
        <v>5.2629999999999999</v>
      </c>
      <c r="F40" s="1249">
        <v>38618.288000000008</v>
      </c>
      <c r="G40" s="1249"/>
      <c r="H40" s="1249"/>
      <c r="I40" s="1249">
        <f t="shared" si="5"/>
        <v>38623.551000000007</v>
      </c>
      <c r="J40" s="752"/>
      <c r="K40" s="751"/>
      <c r="L40" s="750"/>
      <c r="M40" s="751"/>
      <c r="N40" s="751"/>
      <c r="O40" s="750"/>
      <c r="P40" s="750"/>
      <c r="Q40" s="370"/>
      <c r="R40" s="400"/>
      <c r="S40" s="400"/>
      <c r="T40" s="558"/>
      <c r="U40" s="559"/>
      <c r="V40" s="557"/>
      <c r="W40" s="557"/>
      <c r="X40" s="559"/>
      <c r="Y40" s="557"/>
      <c r="Z40" s="557"/>
      <c r="AA40" s="557"/>
      <c r="AB40" s="391"/>
      <c r="AC40" s="391"/>
      <c r="AD40" s="391"/>
      <c r="AE40" s="391"/>
      <c r="AF40" s="391"/>
      <c r="AG40" s="391"/>
      <c r="AH40" s="391"/>
      <c r="AI40" s="391"/>
      <c r="AJ40" s="391"/>
      <c r="AK40" s="391"/>
    </row>
    <row r="41" spans="1:37" ht="20.100000000000001" customHeight="1">
      <c r="A41" s="402"/>
      <c r="B41" s="749" t="s">
        <v>65</v>
      </c>
      <c r="C41" s="1293">
        <v>153</v>
      </c>
      <c r="D41" s="1249"/>
      <c r="E41" s="1249"/>
      <c r="F41" s="1249">
        <v>2.9470000000000001</v>
      </c>
      <c r="G41" s="1249"/>
      <c r="H41" s="1249"/>
      <c r="I41" s="1249">
        <f t="shared" si="5"/>
        <v>2.9470000000000001</v>
      </c>
      <c r="J41" s="752"/>
      <c r="K41" s="751"/>
      <c r="L41" s="750"/>
      <c r="M41" s="750"/>
      <c r="N41" s="751"/>
      <c r="O41" s="750"/>
      <c r="P41" s="750"/>
      <c r="Q41" s="370"/>
      <c r="R41" s="400"/>
      <c r="S41" s="400"/>
      <c r="T41" s="558"/>
      <c r="U41" s="559"/>
      <c r="V41" s="557"/>
      <c r="W41" s="557"/>
      <c r="X41" s="559"/>
      <c r="Y41" s="557"/>
      <c r="Z41" s="557"/>
      <c r="AA41" s="557"/>
      <c r="AB41" s="391"/>
      <c r="AC41" s="391"/>
      <c r="AD41" s="391"/>
      <c r="AE41" s="391"/>
      <c r="AF41" s="391"/>
      <c r="AG41" s="391"/>
      <c r="AH41" s="391"/>
      <c r="AI41" s="391"/>
      <c r="AJ41" s="391"/>
      <c r="AK41" s="391"/>
    </row>
    <row r="42" spans="1:37" ht="20.100000000000001" customHeight="1">
      <c r="A42" s="402"/>
      <c r="B42" s="749" t="s">
        <v>444</v>
      </c>
      <c r="C42" s="1293">
        <v>156</v>
      </c>
      <c r="D42" s="1249"/>
      <c r="E42" s="1249"/>
      <c r="F42" s="1249">
        <v>0.16</v>
      </c>
      <c r="G42" s="1249"/>
      <c r="H42" s="1249"/>
      <c r="I42" s="1249">
        <f t="shared" si="5"/>
        <v>0.16</v>
      </c>
      <c r="J42" s="752"/>
      <c r="K42" s="751"/>
      <c r="L42" s="750"/>
      <c r="M42" s="750"/>
      <c r="N42" s="751"/>
      <c r="O42" s="750"/>
      <c r="P42" s="750"/>
      <c r="Q42" s="369"/>
      <c r="R42" s="400"/>
      <c r="S42" s="400"/>
      <c r="T42" s="558"/>
      <c r="U42" s="559"/>
      <c r="V42" s="557"/>
      <c r="W42" s="557"/>
      <c r="X42" s="559"/>
      <c r="Y42" s="557"/>
      <c r="Z42" s="557"/>
      <c r="AA42" s="557"/>
      <c r="AB42" s="391"/>
      <c r="AC42" s="391"/>
      <c r="AD42" s="391"/>
      <c r="AE42" s="391"/>
      <c r="AF42" s="391"/>
      <c r="AG42" s="391"/>
      <c r="AH42" s="391"/>
      <c r="AI42" s="391"/>
      <c r="AJ42" s="391"/>
      <c r="AK42" s="391"/>
    </row>
    <row r="43" spans="1:37" ht="20.100000000000001" customHeight="1">
      <c r="A43" s="402"/>
      <c r="B43" s="749" t="s">
        <v>444</v>
      </c>
      <c r="C43" s="1293">
        <v>162</v>
      </c>
      <c r="D43" s="1249"/>
      <c r="E43" s="1249"/>
      <c r="F43" s="1249">
        <v>0.39900000000000002</v>
      </c>
      <c r="G43" s="1249"/>
      <c r="H43" s="1249"/>
      <c r="I43" s="1249">
        <f t="shared" si="5"/>
        <v>0.39900000000000002</v>
      </c>
      <c r="J43" s="752"/>
      <c r="K43" s="751"/>
      <c r="L43" s="750"/>
      <c r="M43" s="750"/>
      <c r="N43" s="751"/>
      <c r="O43" s="750"/>
      <c r="P43" s="750"/>
      <c r="Q43" s="369"/>
      <c r="R43" s="400"/>
      <c r="S43" s="400"/>
      <c r="T43" s="558"/>
      <c r="U43" s="559"/>
      <c r="V43" s="557"/>
      <c r="W43" s="557"/>
      <c r="X43" s="559"/>
      <c r="Y43" s="557"/>
      <c r="Z43" s="557"/>
      <c r="AA43" s="557"/>
      <c r="AB43" s="391"/>
      <c r="AC43" s="391"/>
      <c r="AD43" s="391"/>
      <c r="AE43" s="391"/>
      <c r="AF43" s="391"/>
      <c r="AG43" s="391"/>
      <c r="AH43" s="391"/>
      <c r="AI43" s="391"/>
      <c r="AJ43" s="391"/>
      <c r="AK43" s="391"/>
    </row>
    <row r="44" spans="1:37" ht="20.100000000000001" customHeight="1">
      <c r="A44" s="402"/>
      <c r="B44" s="749" t="s">
        <v>444</v>
      </c>
      <c r="C44" s="1293">
        <v>164</v>
      </c>
      <c r="D44" s="1249"/>
      <c r="E44" s="1249"/>
      <c r="F44" s="1249">
        <v>0.26700000000000002</v>
      </c>
      <c r="G44" s="1249"/>
      <c r="H44" s="1249"/>
      <c r="I44" s="1249">
        <f t="shared" si="5"/>
        <v>0.26700000000000002</v>
      </c>
      <c r="J44" s="752"/>
      <c r="K44" s="751"/>
      <c r="L44" s="750"/>
      <c r="M44" s="750"/>
      <c r="N44" s="751"/>
      <c r="O44" s="750"/>
      <c r="P44" s="750"/>
      <c r="Q44" s="369"/>
      <c r="R44" s="400"/>
      <c r="S44" s="400"/>
      <c r="T44" s="558"/>
      <c r="U44" s="559"/>
      <c r="V44" s="557"/>
      <c r="W44" s="557"/>
      <c r="X44" s="559"/>
      <c r="Y44" s="557"/>
      <c r="Z44" s="557"/>
      <c r="AA44" s="557"/>
      <c r="AB44" s="391"/>
      <c r="AC44" s="391"/>
      <c r="AD44" s="391"/>
      <c r="AE44" s="391"/>
      <c r="AF44" s="391"/>
      <c r="AG44" s="391"/>
      <c r="AH44" s="391"/>
      <c r="AI44" s="391"/>
      <c r="AJ44" s="391"/>
      <c r="AK44" s="391"/>
    </row>
    <row r="45" spans="1:37" ht="20.100000000000001" customHeight="1">
      <c r="A45" s="402"/>
      <c r="B45" s="749" t="s">
        <v>445</v>
      </c>
      <c r="C45" s="1293">
        <v>118</v>
      </c>
      <c r="D45" s="1249"/>
      <c r="E45" s="1249"/>
      <c r="F45" s="1249">
        <v>6.0000000000000001E-3</v>
      </c>
      <c r="G45" s="1249">
        <v>9.4E-2</v>
      </c>
      <c r="H45" s="1249">
        <v>9.0000000000000011E-3</v>
      </c>
      <c r="I45" s="1249">
        <f t="shared" si="5"/>
        <v>0.10900000000000001</v>
      </c>
      <c r="J45" s="752"/>
      <c r="K45" s="751"/>
      <c r="L45" s="750"/>
      <c r="M45" s="750"/>
      <c r="N45" s="750"/>
      <c r="O45" s="751"/>
      <c r="P45" s="751"/>
      <c r="Q45" s="369"/>
      <c r="R45" s="400"/>
      <c r="S45" s="400"/>
      <c r="T45" s="558"/>
      <c r="U45" s="559"/>
      <c r="V45" s="557"/>
      <c r="W45" s="557"/>
      <c r="X45" s="557"/>
      <c r="Y45" s="559"/>
      <c r="Z45" s="559"/>
      <c r="AA45" s="557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</row>
    <row r="46" spans="1:37" ht="20.100000000000001" customHeight="1">
      <c r="A46" s="402"/>
      <c r="B46" s="749" t="s">
        <v>445</v>
      </c>
      <c r="C46" s="1293">
        <v>119</v>
      </c>
      <c r="D46" s="1249"/>
      <c r="E46" s="1249"/>
      <c r="F46" s="1249"/>
      <c r="G46" s="1249">
        <v>9.0000000000000011E-3</v>
      </c>
      <c r="H46" s="1249"/>
      <c r="I46" s="1249">
        <f t="shared" si="5"/>
        <v>9.0000000000000011E-3</v>
      </c>
      <c r="J46" s="752"/>
      <c r="K46" s="751"/>
      <c r="L46" s="750"/>
      <c r="M46" s="750"/>
      <c r="N46" s="750"/>
      <c r="O46" s="751"/>
      <c r="P46" s="750"/>
      <c r="Q46" s="369"/>
      <c r="R46" s="400"/>
      <c r="S46" s="400"/>
      <c r="T46" s="558"/>
      <c r="U46" s="559"/>
      <c r="V46" s="557"/>
      <c r="W46" s="557"/>
      <c r="X46" s="557"/>
      <c r="Y46" s="559"/>
      <c r="Z46" s="557"/>
      <c r="AA46" s="557"/>
      <c r="AB46" s="391"/>
      <c r="AC46" s="391"/>
      <c r="AD46" s="391"/>
      <c r="AE46" s="391"/>
      <c r="AF46" s="391"/>
      <c r="AG46" s="391"/>
      <c r="AH46" s="391"/>
      <c r="AI46" s="391"/>
      <c r="AJ46" s="391"/>
      <c r="AK46" s="391"/>
    </row>
    <row r="47" spans="1:37" ht="20.100000000000001" customHeight="1">
      <c r="A47" s="402"/>
      <c r="B47" s="749" t="s">
        <v>445</v>
      </c>
      <c r="C47" s="1293">
        <v>161</v>
      </c>
      <c r="D47" s="1249"/>
      <c r="E47" s="1249"/>
      <c r="F47" s="1249">
        <v>0.96299999999999997</v>
      </c>
      <c r="G47" s="1249"/>
      <c r="H47" s="1249"/>
      <c r="I47" s="1249">
        <f t="shared" si="5"/>
        <v>0.96299999999999997</v>
      </c>
      <c r="J47" s="752"/>
      <c r="K47" s="751"/>
      <c r="L47" s="750"/>
      <c r="M47" s="750"/>
      <c r="N47" s="750"/>
      <c r="O47" s="750"/>
      <c r="P47" s="751"/>
      <c r="Q47" s="359"/>
      <c r="R47" s="400"/>
      <c r="S47" s="400"/>
      <c r="T47" s="558"/>
      <c r="U47" s="559"/>
      <c r="V47" s="557"/>
      <c r="W47" s="557"/>
      <c r="X47" s="557"/>
      <c r="Y47" s="557"/>
      <c r="Z47" s="559"/>
      <c r="AA47" s="557"/>
      <c r="AB47" s="391"/>
      <c r="AC47" s="391"/>
      <c r="AD47" s="391"/>
      <c r="AE47" s="391"/>
      <c r="AF47" s="391"/>
      <c r="AG47" s="391"/>
      <c r="AH47" s="391"/>
      <c r="AI47" s="391"/>
      <c r="AJ47" s="391"/>
      <c r="AK47" s="391"/>
    </row>
    <row r="48" spans="1:37" ht="20.100000000000001" customHeight="1">
      <c r="A48" s="402"/>
      <c r="B48" s="749" t="s">
        <v>262</v>
      </c>
      <c r="C48" s="1293">
        <v>120</v>
      </c>
      <c r="D48" s="1249"/>
      <c r="E48" s="1249"/>
      <c r="F48" s="1249"/>
      <c r="G48" s="1249"/>
      <c r="H48" s="1249">
        <v>1.2E-2</v>
      </c>
      <c r="I48" s="1249">
        <f t="shared" si="5"/>
        <v>1.2E-2</v>
      </c>
      <c r="J48" s="752"/>
      <c r="K48" s="751"/>
      <c r="L48" s="750"/>
      <c r="M48" s="750"/>
      <c r="N48" s="751"/>
      <c r="O48" s="750"/>
      <c r="P48" s="750"/>
      <c r="Q48" s="360"/>
      <c r="R48" s="400"/>
      <c r="S48" s="400"/>
      <c r="T48" s="558"/>
      <c r="U48" s="559"/>
      <c r="V48" s="557"/>
      <c r="W48" s="557"/>
      <c r="X48" s="559"/>
      <c r="Y48" s="557"/>
      <c r="Z48" s="557"/>
      <c r="AA48" s="557"/>
      <c r="AB48" s="391"/>
      <c r="AC48" s="391"/>
      <c r="AD48" s="391"/>
      <c r="AE48" s="391"/>
      <c r="AF48" s="391"/>
      <c r="AG48" s="391"/>
      <c r="AH48" s="391"/>
      <c r="AI48" s="391"/>
      <c r="AJ48" s="391"/>
      <c r="AK48" s="391"/>
    </row>
    <row r="49" spans="1:309" ht="20.100000000000001" customHeight="1" thickBot="1">
      <c r="A49" s="402"/>
      <c r="B49" s="1900" t="s">
        <v>446</v>
      </c>
      <c r="C49" s="1896">
        <v>163</v>
      </c>
      <c r="D49" s="1897"/>
      <c r="E49" s="1897"/>
      <c r="F49" s="1897">
        <v>8.3000000000000004E-2</v>
      </c>
      <c r="G49" s="1897"/>
      <c r="H49" s="1897"/>
      <c r="I49" s="1897">
        <f>SUM(D49:H49)</f>
        <v>8.3000000000000004E-2</v>
      </c>
      <c r="J49" s="752"/>
      <c r="K49" s="751"/>
      <c r="L49" s="750"/>
      <c r="M49" s="750"/>
      <c r="N49" s="751"/>
      <c r="O49" s="750"/>
      <c r="P49" s="750"/>
      <c r="Q49" s="359"/>
      <c r="R49" s="400"/>
      <c r="S49" s="400"/>
      <c r="T49" s="558"/>
      <c r="U49" s="559"/>
      <c r="V49" s="557"/>
      <c r="W49" s="557"/>
      <c r="X49" s="559"/>
      <c r="Y49" s="557"/>
      <c r="Z49" s="557"/>
      <c r="AA49" s="557"/>
      <c r="AB49" s="391"/>
      <c r="AC49" s="391"/>
      <c r="AD49" s="391"/>
      <c r="AE49" s="391"/>
      <c r="AF49" s="391"/>
      <c r="AG49" s="391"/>
      <c r="AH49" s="391"/>
      <c r="AI49" s="391"/>
      <c r="AJ49" s="391"/>
      <c r="AK49" s="391"/>
    </row>
    <row r="50" spans="1:309" ht="20.100000000000001" customHeight="1" thickBot="1">
      <c r="A50" s="402"/>
      <c r="B50" s="1901" t="s">
        <v>427</v>
      </c>
      <c r="C50" s="1898"/>
      <c r="D50" s="1899">
        <f t="shared" ref="D50:G50" si="6">SUM(D31:D49)</f>
        <v>2.657</v>
      </c>
      <c r="E50" s="1899">
        <f t="shared" si="6"/>
        <v>32.226999999999997</v>
      </c>
      <c r="F50" s="1899">
        <f t="shared" si="6"/>
        <v>39300.900000000009</v>
      </c>
      <c r="G50" s="1899">
        <f t="shared" si="6"/>
        <v>0.10300000000000001</v>
      </c>
      <c r="H50" s="1902">
        <f>SUM(H31:H49)</f>
        <v>2.1000000000000001E-2</v>
      </c>
      <c r="I50" s="1903">
        <f>SUM(D50:H50)</f>
        <v>39335.90800000001</v>
      </c>
      <c r="J50" s="332"/>
      <c r="K50" s="332"/>
      <c r="L50" s="332"/>
      <c r="M50" s="367"/>
      <c r="N50" s="400"/>
      <c r="O50" s="400"/>
      <c r="P50" s="400"/>
      <c r="Q50" s="400"/>
      <c r="R50" s="400"/>
      <c r="S50" s="400"/>
      <c r="T50" s="391"/>
      <c r="U50" s="558"/>
      <c r="V50" s="559"/>
      <c r="W50" s="557"/>
      <c r="X50" s="557"/>
      <c r="Y50" s="557"/>
      <c r="Z50" s="559"/>
      <c r="AA50" s="559"/>
      <c r="AB50" s="391"/>
      <c r="AC50" s="391"/>
      <c r="AD50" s="391"/>
      <c r="AE50" s="391"/>
      <c r="AF50" s="391"/>
      <c r="AG50" s="391"/>
      <c r="AH50" s="391"/>
      <c r="AI50" s="391"/>
      <c r="AJ50" s="391"/>
      <c r="AK50" s="391"/>
    </row>
    <row r="51" spans="1:309" ht="20.100000000000001" customHeight="1">
      <c r="A51" s="402"/>
      <c r="B51" s="402"/>
      <c r="C51" s="402"/>
      <c r="D51" s="402"/>
      <c r="E51" s="402"/>
      <c r="F51" s="402"/>
      <c r="G51" s="402"/>
      <c r="H51" s="402"/>
      <c r="I51" s="402"/>
      <c r="J51" s="367"/>
      <c r="K51" s="367"/>
      <c r="L51" s="367"/>
      <c r="M51" s="367"/>
      <c r="N51" s="400"/>
      <c r="T51" s="391"/>
      <c r="U51" s="558"/>
      <c r="V51" s="559"/>
      <c r="W51" s="557"/>
      <c r="X51" s="557"/>
      <c r="Y51" s="557"/>
      <c r="Z51" s="559"/>
      <c r="AA51" s="557"/>
      <c r="AB51" s="391"/>
      <c r="AC51" s="391"/>
      <c r="AD51" s="391"/>
      <c r="AE51" s="391"/>
      <c r="AF51" s="391"/>
      <c r="AG51" s="391"/>
      <c r="AH51" s="391"/>
      <c r="AI51" s="391"/>
      <c r="AJ51" s="391"/>
      <c r="AK51" s="391"/>
    </row>
    <row r="52" spans="1:309" s="402" customFormat="1" ht="20.100000000000001" customHeight="1" thickBot="1"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3"/>
      <c r="N52" s="693"/>
      <c r="O52" s="693"/>
      <c r="P52" s="693"/>
      <c r="T52" s="1342"/>
      <c r="U52" s="558"/>
      <c r="V52" s="559"/>
      <c r="W52" s="557"/>
      <c r="X52" s="557"/>
      <c r="Y52" s="557"/>
      <c r="Z52" s="557"/>
      <c r="AA52" s="559"/>
      <c r="AB52" s="1342"/>
      <c r="AC52" s="1342"/>
      <c r="AD52" s="1342"/>
      <c r="AE52" s="1342"/>
      <c r="AF52" s="1342"/>
      <c r="AG52" s="1342"/>
      <c r="AH52" s="1342"/>
      <c r="AI52" s="1342"/>
      <c r="AJ52" s="1342"/>
      <c r="AK52" s="1342"/>
    </row>
    <row r="53" spans="1:309" s="402" customFormat="1" ht="20.100000000000001" customHeight="1" thickBot="1">
      <c r="B53" s="3128" t="s">
        <v>734</v>
      </c>
      <c r="C53" s="3129"/>
      <c r="D53" s="3129"/>
      <c r="E53" s="3129"/>
      <c r="F53" s="3129"/>
      <c r="G53" s="3129"/>
      <c r="H53" s="3129"/>
      <c r="I53" s="3129"/>
      <c r="J53" s="3129"/>
      <c r="K53" s="3129"/>
      <c r="L53" s="3129"/>
      <c r="M53" s="3129"/>
      <c r="N53" s="3130"/>
      <c r="O53" s="3130"/>
      <c r="P53" s="3130"/>
      <c r="T53" s="391"/>
      <c r="U53" s="558"/>
      <c r="V53" s="559"/>
      <c r="W53" s="557"/>
      <c r="X53" s="557"/>
      <c r="Y53" s="559"/>
      <c r="Z53" s="557"/>
      <c r="AA53" s="557"/>
      <c r="AB53" s="391"/>
      <c r="AC53" s="391"/>
      <c r="AD53" s="391"/>
      <c r="AE53" s="391"/>
      <c r="AF53" s="391"/>
      <c r="AG53" s="391"/>
      <c r="AH53" s="391"/>
      <c r="AI53" s="391"/>
      <c r="AJ53" s="391"/>
      <c r="AK53" s="391"/>
    </row>
    <row r="54" spans="1:309" s="646" customFormat="1" ht="20.100000000000001" customHeight="1">
      <c r="B54" s="367"/>
      <c r="C54" s="367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67"/>
      <c r="P54" s="367"/>
    </row>
    <row r="55" spans="1:309" s="646" customFormat="1" ht="20.100000000000001" customHeight="1">
      <c r="B55" s="1346" t="s">
        <v>470</v>
      </c>
      <c r="C55" s="1346" t="s">
        <v>357</v>
      </c>
      <c r="D55" s="1346" t="s">
        <v>674</v>
      </c>
      <c r="E55" s="1346" t="s">
        <v>675</v>
      </c>
      <c r="F55" s="1346" t="s">
        <v>676</v>
      </c>
      <c r="G55" s="1346" t="s">
        <v>677</v>
      </c>
      <c r="H55" s="1346" t="s">
        <v>678</v>
      </c>
      <c r="I55" s="1346" t="s">
        <v>679</v>
      </c>
      <c r="J55" s="1346" t="s">
        <v>680</v>
      </c>
      <c r="K55" s="1346" t="s">
        <v>681</v>
      </c>
      <c r="L55" s="1346" t="s">
        <v>682</v>
      </c>
      <c r="M55" s="1346" t="s">
        <v>683</v>
      </c>
      <c r="N55" s="1346" t="s">
        <v>684</v>
      </c>
      <c r="O55" s="1346" t="s">
        <v>685</v>
      </c>
      <c r="P55" s="1564" t="s">
        <v>686</v>
      </c>
    </row>
    <row r="56" spans="1:309" s="646" customFormat="1" ht="20.100000000000001" customHeight="1">
      <c r="B56" s="1565" t="s">
        <v>471</v>
      </c>
      <c r="C56" s="1412">
        <v>102</v>
      </c>
      <c r="D56" s="1414"/>
      <c r="E56" s="1414"/>
      <c r="F56" s="1414"/>
      <c r="G56" s="1414"/>
      <c r="H56" s="1414">
        <v>0.54400000000000004</v>
      </c>
      <c r="I56" s="1414"/>
      <c r="J56" s="1414"/>
      <c r="K56" s="1414"/>
      <c r="L56" s="1414"/>
      <c r="M56" s="1414"/>
      <c r="N56" s="1414"/>
      <c r="O56" s="1414"/>
      <c r="P56" s="1566">
        <f t="shared" ref="P56:P57" si="7">SUM(D56:O56)</f>
        <v>0.54400000000000004</v>
      </c>
    </row>
    <row r="57" spans="1:309" s="646" customFormat="1" ht="20.100000000000001" customHeight="1">
      <c r="B57" s="1565" t="s">
        <v>61</v>
      </c>
      <c r="C57" s="1412">
        <v>110</v>
      </c>
      <c r="D57" s="1414"/>
      <c r="E57" s="1414">
        <v>0.22800000000000001</v>
      </c>
      <c r="F57" s="1414">
        <v>0.41000000000000003</v>
      </c>
      <c r="G57" s="1414">
        <v>3.2000000000000001E-2</v>
      </c>
      <c r="H57" s="1414">
        <v>3.2000000000000001E-2</v>
      </c>
      <c r="I57" s="1414"/>
      <c r="J57" s="1414"/>
      <c r="K57" s="1414"/>
      <c r="L57" s="1414"/>
      <c r="M57" s="1414"/>
      <c r="N57" s="1414"/>
      <c r="O57" s="1414"/>
      <c r="P57" s="1566">
        <f t="shared" si="7"/>
        <v>0.70200000000000007</v>
      </c>
    </row>
    <row r="58" spans="1:309" s="646" customFormat="1" ht="20.100000000000001" customHeight="1">
      <c r="B58" s="1565" t="s">
        <v>62</v>
      </c>
      <c r="C58" s="1412">
        <v>111</v>
      </c>
      <c r="D58" s="1414">
        <v>14.314000000000002</v>
      </c>
      <c r="E58" s="1414">
        <v>1.97</v>
      </c>
      <c r="F58" s="1414">
        <v>34.074999999999996</v>
      </c>
      <c r="G58" s="1414">
        <v>6.9269999999999996</v>
      </c>
      <c r="H58" s="1414">
        <v>8.0000000000000002E-3</v>
      </c>
      <c r="I58" s="1414">
        <v>1.0999999999999999E-2</v>
      </c>
      <c r="J58" s="1414">
        <v>2.9000000000000001E-2</v>
      </c>
      <c r="K58" s="1414"/>
      <c r="L58" s="1414"/>
      <c r="M58" s="1414">
        <v>1.2E-2</v>
      </c>
      <c r="N58" s="1414">
        <f>0.048+0.01</f>
        <v>5.8000000000000003E-2</v>
      </c>
      <c r="O58" s="1945">
        <v>4.7460000000000004</v>
      </c>
      <c r="P58" s="1566">
        <f>SUM(D58:O58)</f>
        <v>62.150000000000006</v>
      </c>
    </row>
    <row r="59" spans="1:309" s="646" customFormat="1" ht="20.100000000000001" customHeight="1">
      <c r="B59" s="1565" t="s">
        <v>63</v>
      </c>
      <c r="C59" s="1412">
        <v>112</v>
      </c>
      <c r="D59" s="1414">
        <v>7.4480000000000004</v>
      </c>
      <c r="E59" s="1414"/>
      <c r="F59" s="1414">
        <v>1.4999999999999999E-2</v>
      </c>
      <c r="G59" s="1414">
        <v>1.4E-2</v>
      </c>
      <c r="H59" s="1414">
        <v>1.2E-2</v>
      </c>
      <c r="I59" s="1414"/>
      <c r="J59" s="1414"/>
      <c r="K59" s="1414"/>
      <c r="L59" s="1414"/>
      <c r="M59" s="1414"/>
      <c r="N59" s="1414"/>
      <c r="O59" s="1414"/>
      <c r="P59" s="1566">
        <f t="shared" ref="P59:P73" si="8">SUM(D59:O59)</f>
        <v>7.4889999999999999</v>
      </c>
    </row>
    <row r="60" spans="1:309" s="748" customFormat="1" ht="20.100000000000001" customHeight="1">
      <c r="A60" s="646"/>
      <c r="B60" s="1565" t="s">
        <v>64</v>
      </c>
      <c r="C60" s="1412">
        <v>113</v>
      </c>
      <c r="D60" s="1414"/>
      <c r="E60" s="1414">
        <v>0.114</v>
      </c>
      <c r="F60" s="1414"/>
      <c r="G60" s="1414"/>
      <c r="H60" s="1414"/>
      <c r="I60" s="1414">
        <v>2.5000000000000001E-2</v>
      </c>
      <c r="J60" s="1414">
        <v>379.97100000000006</v>
      </c>
      <c r="K60" s="1414"/>
      <c r="L60" s="1414"/>
      <c r="M60" s="1414"/>
      <c r="N60" s="1414"/>
      <c r="O60" s="1414"/>
      <c r="P60" s="1566">
        <f t="shared" si="8"/>
        <v>380.11000000000007</v>
      </c>
      <c r="Q60" s="646"/>
      <c r="R60" s="646"/>
      <c r="S60" s="646"/>
      <c r="T60" s="646"/>
      <c r="U60" s="646"/>
      <c r="V60" s="646"/>
      <c r="W60" s="646"/>
      <c r="X60" s="646"/>
      <c r="Y60" s="646"/>
      <c r="Z60" s="646"/>
      <c r="AA60" s="646"/>
      <c r="AB60" s="646"/>
      <c r="AC60" s="646"/>
      <c r="AD60" s="646"/>
      <c r="AE60" s="646"/>
      <c r="AF60" s="646"/>
      <c r="AG60" s="646"/>
      <c r="AH60" s="646"/>
      <c r="AI60" s="646"/>
      <c r="AJ60" s="646"/>
      <c r="AK60" s="646"/>
      <c r="AL60" s="646"/>
      <c r="AM60" s="646"/>
      <c r="AN60" s="646"/>
      <c r="AO60" s="646"/>
      <c r="AP60" s="646"/>
      <c r="AQ60" s="646"/>
      <c r="AR60" s="646"/>
      <c r="AS60" s="646"/>
      <c r="AT60" s="646"/>
      <c r="AU60" s="646"/>
      <c r="AV60" s="646"/>
      <c r="AW60" s="646"/>
      <c r="AX60" s="646"/>
      <c r="AY60" s="646"/>
      <c r="AZ60" s="646"/>
      <c r="BA60" s="646"/>
      <c r="BB60" s="646"/>
      <c r="BC60" s="646"/>
      <c r="BD60" s="646"/>
      <c r="BE60" s="646"/>
      <c r="BF60" s="646"/>
      <c r="BG60" s="646"/>
      <c r="BH60" s="646"/>
      <c r="BI60" s="646"/>
      <c r="BJ60" s="646"/>
      <c r="BK60" s="646"/>
      <c r="BL60" s="646"/>
      <c r="BM60" s="646"/>
      <c r="BN60" s="646"/>
      <c r="BO60" s="646"/>
      <c r="BP60" s="646"/>
      <c r="BQ60" s="646"/>
      <c r="BR60" s="646"/>
      <c r="BS60" s="646"/>
      <c r="BT60" s="646"/>
      <c r="BU60" s="646"/>
      <c r="BV60" s="646"/>
      <c r="BW60" s="646"/>
      <c r="BX60" s="646"/>
      <c r="BY60" s="646"/>
      <c r="BZ60" s="646"/>
      <c r="CA60" s="646"/>
      <c r="CB60" s="646"/>
      <c r="CC60" s="646"/>
      <c r="CD60" s="646"/>
      <c r="CE60" s="646"/>
      <c r="CF60" s="646"/>
      <c r="CG60" s="646"/>
      <c r="CH60" s="646"/>
      <c r="CI60" s="646"/>
      <c r="CJ60" s="646"/>
      <c r="CK60" s="646"/>
      <c r="CL60" s="646"/>
      <c r="CM60" s="646"/>
      <c r="CN60" s="646"/>
      <c r="CO60" s="646"/>
      <c r="CP60" s="646"/>
      <c r="CQ60" s="646"/>
      <c r="CR60" s="646"/>
      <c r="CS60" s="646"/>
      <c r="CT60" s="646"/>
      <c r="CU60" s="646"/>
      <c r="CV60" s="646"/>
      <c r="CW60" s="646"/>
      <c r="CX60" s="646"/>
      <c r="CY60" s="646"/>
      <c r="CZ60" s="646"/>
      <c r="DA60" s="646"/>
      <c r="DB60" s="646"/>
      <c r="DC60" s="646"/>
      <c r="DD60" s="646"/>
      <c r="DE60" s="646"/>
      <c r="DF60" s="646"/>
      <c r="DG60" s="646"/>
      <c r="DH60" s="646"/>
      <c r="DI60" s="646"/>
      <c r="DJ60" s="646"/>
      <c r="DK60" s="646"/>
      <c r="DL60" s="646"/>
      <c r="DM60" s="646"/>
      <c r="DN60" s="646"/>
      <c r="DO60" s="646"/>
      <c r="DP60" s="646"/>
      <c r="DQ60" s="646"/>
      <c r="DR60" s="646"/>
      <c r="DS60" s="646"/>
      <c r="DT60" s="646"/>
      <c r="DU60" s="646"/>
      <c r="DV60" s="646"/>
      <c r="DW60" s="646"/>
      <c r="DX60" s="646"/>
      <c r="DY60" s="646"/>
      <c r="DZ60" s="646"/>
      <c r="EA60" s="646"/>
      <c r="EB60" s="646"/>
      <c r="EC60" s="646"/>
      <c r="ED60" s="646"/>
      <c r="EE60" s="646"/>
      <c r="EF60" s="646"/>
      <c r="EG60" s="646"/>
      <c r="EH60" s="646"/>
      <c r="EI60" s="646"/>
      <c r="EJ60" s="646"/>
      <c r="EK60" s="646"/>
      <c r="EL60" s="646"/>
      <c r="EM60" s="646"/>
      <c r="EN60" s="646"/>
      <c r="EO60" s="646"/>
      <c r="EP60" s="646"/>
      <c r="EQ60" s="646"/>
      <c r="ER60" s="646"/>
      <c r="ES60" s="646"/>
      <c r="ET60" s="646"/>
      <c r="EU60" s="646"/>
      <c r="EV60" s="646"/>
      <c r="EW60" s="646"/>
      <c r="EX60" s="646"/>
      <c r="EY60" s="646"/>
      <c r="EZ60" s="646"/>
      <c r="FA60" s="646"/>
      <c r="FB60" s="646"/>
      <c r="FC60" s="646"/>
      <c r="FD60" s="646"/>
      <c r="FE60" s="646"/>
      <c r="FF60" s="646"/>
      <c r="FG60" s="646"/>
      <c r="FH60" s="646"/>
      <c r="FI60" s="646"/>
      <c r="FJ60" s="646"/>
      <c r="FK60" s="646"/>
      <c r="FL60" s="646"/>
      <c r="FM60" s="646"/>
      <c r="FN60" s="646"/>
      <c r="FO60" s="646"/>
      <c r="FP60" s="646"/>
      <c r="FQ60" s="646"/>
      <c r="FR60" s="646"/>
      <c r="FS60" s="646"/>
      <c r="FT60" s="646"/>
      <c r="FU60" s="646"/>
      <c r="FV60" s="646"/>
      <c r="FW60" s="646"/>
      <c r="FX60" s="646"/>
      <c r="FY60" s="646"/>
      <c r="FZ60" s="646"/>
      <c r="GA60" s="646"/>
      <c r="GB60" s="646"/>
      <c r="GC60" s="646"/>
      <c r="GD60" s="646"/>
      <c r="GE60" s="646"/>
      <c r="GF60" s="646"/>
      <c r="GG60" s="646"/>
      <c r="GH60" s="646"/>
      <c r="GI60" s="646"/>
      <c r="GJ60" s="646"/>
      <c r="GK60" s="646"/>
      <c r="GL60" s="646"/>
      <c r="GM60" s="646"/>
      <c r="GN60" s="646"/>
      <c r="GO60" s="646"/>
      <c r="GP60" s="646"/>
      <c r="GQ60" s="646"/>
      <c r="GR60" s="646"/>
      <c r="GS60" s="646"/>
      <c r="GT60" s="646"/>
      <c r="GU60" s="646"/>
      <c r="GV60" s="646"/>
      <c r="GW60" s="646"/>
      <c r="GX60" s="646"/>
      <c r="GY60" s="646"/>
      <c r="GZ60" s="646"/>
      <c r="HA60" s="646"/>
      <c r="HB60" s="646"/>
      <c r="HC60" s="646"/>
      <c r="HD60" s="646"/>
      <c r="HE60" s="646"/>
      <c r="HF60" s="646"/>
      <c r="HG60" s="646"/>
      <c r="HH60" s="646"/>
      <c r="HI60" s="646"/>
      <c r="HJ60" s="646"/>
      <c r="HK60" s="646"/>
      <c r="HL60" s="646"/>
      <c r="HM60" s="646"/>
      <c r="HN60" s="646"/>
      <c r="HO60" s="646"/>
      <c r="HP60" s="646"/>
      <c r="HQ60" s="646"/>
      <c r="HR60" s="646"/>
      <c r="HS60" s="646"/>
      <c r="HT60" s="646"/>
      <c r="HU60" s="646"/>
      <c r="HV60" s="646"/>
      <c r="HW60" s="646"/>
      <c r="HX60" s="646"/>
      <c r="HY60" s="646"/>
      <c r="HZ60" s="646"/>
      <c r="IA60" s="646"/>
      <c r="IB60" s="646"/>
      <c r="IC60" s="646"/>
      <c r="ID60" s="646"/>
      <c r="IE60" s="646"/>
      <c r="IF60" s="646"/>
      <c r="IG60" s="646"/>
      <c r="IH60" s="646"/>
      <c r="II60" s="646"/>
      <c r="IJ60" s="646"/>
      <c r="IK60" s="646"/>
      <c r="IL60" s="646"/>
      <c r="IM60" s="646"/>
      <c r="IN60" s="646"/>
      <c r="IO60" s="646"/>
      <c r="IP60" s="646"/>
      <c r="IQ60" s="646"/>
      <c r="IR60" s="646"/>
      <c r="IS60" s="646"/>
      <c r="IT60" s="646"/>
      <c r="IU60" s="646"/>
      <c r="IV60" s="646"/>
      <c r="IW60" s="646"/>
      <c r="IX60" s="646"/>
      <c r="IY60" s="646"/>
      <c r="IZ60" s="646"/>
      <c r="JA60" s="646"/>
      <c r="JB60" s="646"/>
      <c r="JC60" s="646"/>
      <c r="JD60" s="646"/>
      <c r="JE60" s="646"/>
      <c r="JF60" s="646"/>
      <c r="JG60" s="646"/>
      <c r="JH60" s="646"/>
      <c r="JI60" s="646"/>
      <c r="JJ60" s="646"/>
      <c r="JK60" s="646"/>
      <c r="JL60" s="646"/>
      <c r="JM60" s="646"/>
      <c r="JN60" s="646"/>
      <c r="JO60" s="646"/>
      <c r="JP60" s="646"/>
      <c r="JQ60" s="646"/>
      <c r="JR60" s="646"/>
      <c r="JS60" s="646"/>
      <c r="JT60" s="646"/>
      <c r="JU60" s="646"/>
      <c r="JV60" s="646"/>
      <c r="JW60" s="646"/>
      <c r="JX60" s="646"/>
      <c r="JY60" s="646"/>
      <c r="JZ60" s="646"/>
      <c r="KA60" s="646"/>
      <c r="KB60" s="646"/>
      <c r="KC60" s="646"/>
      <c r="KD60" s="646"/>
      <c r="KE60" s="646"/>
      <c r="KF60" s="646"/>
      <c r="KG60" s="646"/>
      <c r="KH60" s="646"/>
      <c r="KI60" s="646"/>
      <c r="KJ60" s="646"/>
      <c r="KK60" s="646"/>
      <c r="KL60" s="646"/>
      <c r="KM60" s="646"/>
      <c r="KN60" s="646"/>
      <c r="KO60" s="646"/>
      <c r="KP60" s="646"/>
      <c r="KQ60" s="646"/>
      <c r="KR60" s="646"/>
      <c r="KS60" s="646"/>
      <c r="KT60" s="646"/>
      <c r="KU60" s="646"/>
      <c r="KV60" s="646"/>
      <c r="KW60" s="646"/>
    </row>
    <row r="61" spans="1:309" s="748" customFormat="1" ht="20.100000000000001" customHeight="1">
      <c r="A61" s="646"/>
      <c r="B61" s="1565" t="s">
        <v>65</v>
      </c>
      <c r="C61" s="1412">
        <v>114</v>
      </c>
      <c r="D61" s="1414">
        <v>5094.9559999999992</v>
      </c>
      <c r="E61" s="1414">
        <v>4662.027</v>
      </c>
      <c r="F61" s="1414">
        <v>5174.5159999999996</v>
      </c>
      <c r="G61" s="1414">
        <v>4976.7840000000006</v>
      </c>
      <c r="H61" s="1414">
        <v>5203.0239999999994</v>
      </c>
      <c r="I61" s="1414">
        <v>5022.3860000000004</v>
      </c>
      <c r="J61" s="1414">
        <v>4129.2160000000003</v>
      </c>
      <c r="K61" s="1414">
        <v>4360.6420000000016</v>
      </c>
      <c r="L61" s="1414"/>
      <c r="M61" s="1414"/>
      <c r="N61" s="1414"/>
      <c r="O61" s="1414"/>
      <c r="P61" s="1566">
        <f t="shared" si="8"/>
        <v>38623.550999999999</v>
      </c>
      <c r="Q61" s="646"/>
      <c r="R61" s="646"/>
      <c r="S61" s="646"/>
      <c r="T61" s="646"/>
      <c r="U61" s="646"/>
      <c r="V61" s="646"/>
      <c r="W61" s="646"/>
      <c r="X61" s="646"/>
      <c r="Y61" s="646"/>
      <c r="Z61" s="646"/>
      <c r="AA61" s="646"/>
      <c r="AB61" s="646"/>
      <c r="AC61" s="646"/>
      <c r="AD61" s="646"/>
      <c r="AE61" s="646"/>
      <c r="AF61" s="646"/>
      <c r="AG61" s="646"/>
      <c r="AH61" s="646"/>
      <c r="AI61" s="646"/>
      <c r="AJ61" s="646"/>
      <c r="AK61" s="646"/>
      <c r="AL61" s="646"/>
      <c r="AM61" s="646"/>
      <c r="AN61" s="646"/>
      <c r="AO61" s="646"/>
      <c r="AP61" s="646"/>
      <c r="AQ61" s="646"/>
      <c r="AR61" s="646"/>
      <c r="AS61" s="646"/>
      <c r="AT61" s="646"/>
      <c r="AU61" s="646"/>
      <c r="AV61" s="646"/>
      <c r="AW61" s="646"/>
      <c r="AX61" s="646"/>
      <c r="AY61" s="646"/>
      <c r="AZ61" s="646"/>
      <c r="BA61" s="646"/>
      <c r="BB61" s="646"/>
      <c r="BC61" s="646"/>
      <c r="BD61" s="646"/>
      <c r="BE61" s="646"/>
      <c r="BF61" s="646"/>
      <c r="BG61" s="646"/>
      <c r="BH61" s="646"/>
      <c r="BI61" s="646"/>
      <c r="BJ61" s="646"/>
      <c r="BK61" s="646"/>
      <c r="BL61" s="646"/>
      <c r="BM61" s="646"/>
      <c r="BN61" s="646"/>
      <c r="BO61" s="646"/>
      <c r="BP61" s="646"/>
      <c r="BQ61" s="646"/>
      <c r="BR61" s="646"/>
      <c r="BS61" s="646"/>
      <c r="BT61" s="646"/>
      <c r="BU61" s="646"/>
      <c r="BV61" s="646"/>
      <c r="BW61" s="646"/>
      <c r="BX61" s="646"/>
      <c r="BY61" s="646"/>
      <c r="BZ61" s="646"/>
      <c r="CA61" s="646"/>
      <c r="CB61" s="646"/>
      <c r="CC61" s="646"/>
      <c r="CD61" s="646"/>
      <c r="CE61" s="646"/>
      <c r="CF61" s="646"/>
      <c r="CG61" s="646"/>
      <c r="CH61" s="646"/>
      <c r="CI61" s="646"/>
      <c r="CJ61" s="646"/>
      <c r="CK61" s="646"/>
      <c r="CL61" s="646"/>
      <c r="CM61" s="646"/>
      <c r="CN61" s="646"/>
      <c r="CO61" s="646"/>
      <c r="CP61" s="646"/>
      <c r="CQ61" s="646"/>
      <c r="CR61" s="646"/>
      <c r="CS61" s="646"/>
      <c r="CT61" s="646"/>
      <c r="CU61" s="646"/>
      <c r="CV61" s="646"/>
      <c r="CW61" s="646"/>
      <c r="CX61" s="646"/>
      <c r="CY61" s="646"/>
      <c r="CZ61" s="646"/>
      <c r="DA61" s="646"/>
      <c r="DB61" s="646"/>
      <c r="DC61" s="646"/>
      <c r="DD61" s="646"/>
      <c r="DE61" s="646"/>
      <c r="DF61" s="646"/>
      <c r="DG61" s="646"/>
      <c r="DH61" s="646"/>
      <c r="DI61" s="646"/>
      <c r="DJ61" s="646"/>
      <c r="DK61" s="646"/>
      <c r="DL61" s="646"/>
      <c r="DM61" s="646"/>
      <c r="DN61" s="646"/>
      <c r="DO61" s="646"/>
      <c r="DP61" s="646"/>
      <c r="DQ61" s="646"/>
      <c r="DR61" s="646"/>
      <c r="DS61" s="646"/>
      <c r="DT61" s="646"/>
      <c r="DU61" s="646"/>
      <c r="DV61" s="646"/>
      <c r="DW61" s="646"/>
      <c r="DX61" s="646"/>
      <c r="DY61" s="646"/>
      <c r="DZ61" s="646"/>
      <c r="EA61" s="646"/>
      <c r="EB61" s="646"/>
      <c r="EC61" s="646"/>
      <c r="ED61" s="646"/>
      <c r="EE61" s="646"/>
      <c r="EF61" s="646"/>
      <c r="EG61" s="646"/>
      <c r="EH61" s="646"/>
      <c r="EI61" s="646"/>
      <c r="EJ61" s="646"/>
      <c r="EK61" s="646"/>
      <c r="EL61" s="646"/>
      <c r="EM61" s="646"/>
      <c r="EN61" s="646"/>
      <c r="EO61" s="646"/>
      <c r="EP61" s="646"/>
      <c r="EQ61" s="646"/>
      <c r="ER61" s="646"/>
      <c r="ES61" s="646"/>
      <c r="ET61" s="646"/>
      <c r="EU61" s="646"/>
      <c r="EV61" s="646"/>
      <c r="EW61" s="646"/>
      <c r="EX61" s="646"/>
      <c r="EY61" s="646"/>
      <c r="EZ61" s="646"/>
      <c r="FA61" s="646"/>
      <c r="FB61" s="646"/>
      <c r="FC61" s="646"/>
      <c r="FD61" s="646"/>
      <c r="FE61" s="646"/>
      <c r="FF61" s="646"/>
      <c r="FG61" s="646"/>
      <c r="FH61" s="646"/>
      <c r="FI61" s="646"/>
      <c r="FJ61" s="646"/>
      <c r="FK61" s="646"/>
      <c r="FL61" s="646"/>
      <c r="FM61" s="646"/>
      <c r="FN61" s="646"/>
      <c r="FO61" s="646"/>
      <c r="FP61" s="646"/>
      <c r="FQ61" s="646"/>
      <c r="FR61" s="646"/>
      <c r="FS61" s="646"/>
      <c r="FT61" s="646"/>
      <c r="FU61" s="646"/>
      <c r="FV61" s="646"/>
      <c r="FW61" s="646"/>
      <c r="FX61" s="646"/>
      <c r="FY61" s="646"/>
      <c r="FZ61" s="646"/>
      <c r="GA61" s="646"/>
      <c r="GB61" s="646"/>
      <c r="GC61" s="646"/>
      <c r="GD61" s="646"/>
      <c r="GE61" s="646"/>
      <c r="GF61" s="646"/>
      <c r="GG61" s="646"/>
      <c r="GH61" s="646"/>
      <c r="GI61" s="646"/>
      <c r="GJ61" s="646"/>
      <c r="GK61" s="646"/>
      <c r="GL61" s="646"/>
      <c r="GM61" s="646"/>
      <c r="GN61" s="646"/>
      <c r="GO61" s="646"/>
      <c r="GP61" s="646"/>
      <c r="GQ61" s="646"/>
      <c r="GR61" s="646"/>
      <c r="GS61" s="646"/>
      <c r="GT61" s="646"/>
      <c r="GU61" s="646"/>
      <c r="GV61" s="646"/>
      <c r="GW61" s="646"/>
      <c r="GX61" s="646"/>
      <c r="GY61" s="646"/>
      <c r="GZ61" s="646"/>
      <c r="HA61" s="646"/>
      <c r="HB61" s="646"/>
      <c r="HC61" s="646"/>
      <c r="HD61" s="646"/>
      <c r="HE61" s="646"/>
      <c r="HF61" s="646"/>
      <c r="HG61" s="646"/>
      <c r="HH61" s="646"/>
      <c r="HI61" s="646"/>
      <c r="HJ61" s="646"/>
      <c r="HK61" s="646"/>
      <c r="HL61" s="646"/>
      <c r="HM61" s="646"/>
      <c r="HN61" s="646"/>
      <c r="HO61" s="646"/>
      <c r="HP61" s="646"/>
      <c r="HQ61" s="646"/>
      <c r="HR61" s="646"/>
      <c r="HS61" s="646"/>
      <c r="HT61" s="646"/>
      <c r="HU61" s="646"/>
      <c r="HV61" s="646"/>
      <c r="HW61" s="646"/>
      <c r="HX61" s="646"/>
      <c r="HY61" s="646"/>
      <c r="HZ61" s="646"/>
      <c r="IA61" s="646"/>
      <c r="IB61" s="646"/>
      <c r="IC61" s="646"/>
      <c r="ID61" s="646"/>
      <c r="IE61" s="646"/>
      <c r="IF61" s="646"/>
      <c r="IG61" s="646"/>
      <c r="IH61" s="646"/>
      <c r="II61" s="646"/>
      <c r="IJ61" s="646"/>
      <c r="IK61" s="646"/>
      <c r="IL61" s="646"/>
      <c r="IM61" s="646"/>
      <c r="IN61" s="646"/>
      <c r="IO61" s="646"/>
      <c r="IP61" s="646"/>
      <c r="IQ61" s="646"/>
      <c r="IR61" s="646"/>
      <c r="IS61" s="646"/>
      <c r="IT61" s="646"/>
      <c r="IU61" s="646"/>
      <c r="IV61" s="646"/>
      <c r="IW61" s="646"/>
      <c r="IX61" s="646"/>
      <c r="IY61" s="646"/>
      <c r="IZ61" s="646"/>
      <c r="JA61" s="646"/>
      <c r="JB61" s="646"/>
      <c r="JC61" s="646"/>
      <c r="JD61" s="646"/>
      <c r="JE61" s="646"/>
      <c r="JF61" s="646"/>
      <c r="JG61" s="646"/>
      <c r="JH61" s="646"/>
      <c r="JI61" s="646"/>
      <c r="JJ61" s="646"/>
      <c r="JK61" s="646"/>
      <c r="JL61" s="646"/>
      <c r="JM61" s="646"/>
      <c r="JN61" s="646"/>
      <c r="JO61" s="646"/>
      <c r="JP61" s="646"/>
      <c r="JQ61" s="646"/>
      <c r="JR61" s="646"/>
      <c r="JS61" s="646"/>
      <c r="JT61" s="646"/>
      <c r="JU61" s="646"/>
      <c r="JV61" s="646"/>
      <c r="JW61" s="646"/>
      <c r="JX61" s="646"/>
      <c r="JY61" s="646"/>
      <c r="JZ61" s="646"/>
      <c r="KA61" s="646"/>
      <c r="KB61" s="646"/>
      <c r="KC61" s="646"/>
      <c r="KD61" s="646"/>
      <c r="KE61" s="646"/>
      <c r="KF61" s="646"/>
      <c r="KG61" s="646"/>
      <c r="KH61" s="646"/>
      <c r="KI61" s="646"/>
      <c r="KJ61" s="646"/>
      <c r="KK61" s="646"/>
      <c r="KL61" s="646"/>
      <c r="KM61" s="646"/>
      <c r="KN61" s="646"/>
      <c r="KO61" s="646"/>
      <c r="KP61" s="646"/>
      <c r="KQ61" s="646"/>
      <c r="KR61" s="646"/>
      <c r="KS61" s="646"/>
      <c r="KT61" s="646"/>
      <c r="KU61" s="646"/>
      <c r="KV61" s="646"/>
      <c r="KW61" s="646"/>
    </row>
    <row r="62" spans="1:309" s="748" customFormat="1" ht="20.100000000000001" customHeight="1">
      <c r="A62" s="646"/>
      <c r="B62" s="1565" t="s">
        <v>472</v>
      </c>
      <c r="C62" s="1412">
        <v>115</v>
      </c>
      <c r="D62" s="1414"/>
      <c r="E62" s="1414"/>
      <c r="F62" s="1414"/>
      <c r="G62" s="1414">
        <v>0.14699999999999999</v>
      </c>
      <c r="H62" s="1414"/>
      <c r="I62" s="1414">
        <v>4.508</v>
      </c>
      <c r="J62" s="1414">
        <v>246.41900000000001</v>
      </c>
      <c r="K62" s="1414"/>
      <c r="L62" s="1414"/>
      <c r="M62" s="1414"/>
      <c r="N62" s="1414"/>
      <c r="O62" s="1414"/>
      <c r="P62" s="1566">
        <f t="shared" si="8"/>
        <v>251.07400000000001</v>
      </c>
      <c r="Q62" s="646"/>
      <c r="R62" s="646"/>
      <c r="S62" s="646"/>
      <c r="T62" s="646"/>
      <c r="U62" s="646"/>
      <c r="V62" s="646"/>
      <c r="W62" s="646"/>
      <c r="X62" s="646"/>
      <c r="Y62" s="646"/>
      <c r="Z62" s="646"/>
      <c r="AA62" s="646"/>
      <c r="AB62" s="646"/>
      <c r="AC62" s="646"/>
      <c r="AD62" s="646"/>
      <c r="AE62" s="646"/>
      <c r="AF62" s="646"/>
      <c r="AG62" s="646"/>
      <c r="AH62" s="646"/>
      <c r="AI62" s="646"/>
      <c r="AJ62" s="646"/>
      <c r="AK62" s="646"/>
      <c r="AL62" s="646"/>
      <c r="AM62" s="646"/>
      <c r="AN62" s="646"/>
      <c r="AO62" s="646"/>
      <c r="AP62" s="646"/>
      <c r="AQ62" s="646"/>
      <c r="AR62" s="646"/>
      <c r="AS62" s="646"/>
      <c r="AT62" s="646"/>
      <c r="AU62" s="646"/>
      <c r="AV62" s="646"/>
      <c r="AW62" s="646"/>
      <c r="AX62" s="646"/>
      <c r="AY62" s="646"/>
      <c r="AZ62" s="646"/>
      <c r="BA62" s="646"/>
      <c r="BB62" s="646"/>
      <c r="BC62" s="646"/>
      <c r="BD62" s="646"/>
      <c r="BE62" s="646"/>
      <c r="BF62" s="646"/>
      <c r="BG62" s="646"/>
      <c r="BH62" s="646"/>
      <c r="BI62" s="646"/>
      <c r="BJ62" s="646"/>
      <c r="BK62" s="646"/>
      <c r="BL62" s="646"/>
      <c r="BM62" s="646"/>
      <c r="BN62" s="646"/>
      <c r="BO62" s="646"/>
      <c r="BP62" s="646"/>
      <c r="BQ62" s="646"/>
      <c r="BR62" s="646"/>
      <c r="BS62" s="646"/>
      <c r="BT62" s="646"/>
      <c r="BU62" s="646"/>
      <c r="BV62" s="646"/>
      <c r="BW62" s="646"/>
      <c r="BX62" s="646"/>
      <c r="BY62" s="646"/>
      <c r="BZ62" s="646"/>
      <c r="CA62" s="646"/>
      <c r="CB62" s="646"/>
      <c r="CC62" s="646"/>
      <c r="CD62" s="646"/>
      <c r="CE62" s="646"/>
      <c r="CF62" s="646"/>
      <c r="CG62" s="646"/>
      <c r="CH62" s="646"/>
      <c r="CI62" s="646"/>
      <c r="CJ62" s="646"/>
      <c r="CK62" s="646"/>
      <c r="CL62" s="646"/>
      <c r="CM62" s="646"/>
      <c r="CN62" s="646"/>
      <c r="CO62" s="646"/>
      <c r="CP62" s="646"/>
      <c r="CQ62" s="646"/>
      <c r="CR62" s="646"/>
      <c r="CS62" s="646"/>
      <c r="CT62" s="646"/>
      <c r="CU62" s="646"/>
      <c r="CV62" s="646"/>
      <c r="CW62" s="646"/>
      <c r="CX62" s="646"/>
      <c r="CY62" s="646"/>
      <c r="CZ62" s="646"/>
      <c r="DA62" s="646"/>
      <c r="DB62" s="646"/>
      <c r="DC62" s="646"/>
      <c r="DD62" s="646"/>
      <c r="DE62" s="646"/>
      <c r="DF62" s="646"/>
      <c r="DG62" s="646"/>
      <c r="DH62" s="646"/>
      <c r="DI62" s="646"/>
      <c r="DJ62" s="646"/>
      <c r="DK62" s="646"/>
      <c r="DL62" s="646"/>
      <c r="DM62" s="646"/>
      <c r="DN62" s="646"/>
      <c r="DO62" s="646"/>
      <c r="DP62" s="646"/>
      <c r="DQ62" s="646"/>
      <c r="DR62" s="646"/>
      <c r="DS62" s="646"/>
      <c r="DT62" s="646"/>
      <c r="DU62" s="646"/>
      <c r="DV62" s="646"/>
      <c r="DW62" s="646"/>
      <c r="DX62" s="646"/>
      <c r="DY62" s="646"/>
      <c r="DZ62" s="646"/>
      <c r="EA62" s="646"/>
      <c r="EB62" s="646"/>
      <c r="EC62" s="646"/>
      <c r="ED62" s="646"/>
      <c r="EE62" s="646"/>
      <c r="EF62" s="646"/>
      <c r="EG62" s="646"/>
      <c r="EH62" s="646"/>
      <c r="EI62" s="646"/>
      <c r="EJ62" s="646"/>
      <c r="EK62" s="646"/>
      <c r="EL62" s="646"/>
      <c r="EM62" s="646"/>
      <c r="EN62" s="646"/>
      <c r="EO62" s="646"/>
      <c r="EP62" s="646"/>
      <c r="EQ62" s="646"/>
      <c r="ER62" s="646"/>
      <c r="ES62" s="646"/>
      <c r="ET62" s="646"/>
      <c r="EU62" s="646"/>
      <c r="EV62" s="646"/>
      <c r="EW62" s="646"/>
      <c r="EX62" s="646"/>
      <c r="EY62" s="646"/>
      <c r="EZ62" s="646"/>
      <c r="FA62" s="646"/>
      <c r="FB62" s="646"/>
      <c r="FC62" s="646"/>
      <c r="FD62" s="646"/>
      <c r="FE62" s="646"/>
      <c r="FF62" s="646"/>
      <c r="FG62" s="646"/>
      <c r="FH62" s="646"/>
      <c r="FI62" s="646"/>
      <c r="FJ62" s="646"/>
      <c r="FK62" s="646"/>
      <c r="FL62" s="646"/>
      <c r="FM62" s="646"/>
      <c r="FN62" s="646"/>
      <c r="FO62" s="646"/>
      <c r="FP62" s="646"/>
      <c r="FQ62" s="646"/>
      <c r="FR62" s="646"/>
      <c r="FS62" s="646"/>
      <c r="FT62" s="646"/>
      <c r="FU62" s="646"/>
      <c r="FV62" s="646"/>
      <c r="FW62" s="646"/>
      <c r="FX62" s="646"/>
      <c r="FY62" s="646"/>
      <c r="FZ62" s="646"/>
      <c r="GA62" s="646"/>
      <c r="GB62" s="646"/>
      <c r="GC62" s="646"/>
      <c r="GD62" s="646"/>
      <c r="GE62" s="646"/>
      <c r="GF62" s="646"/>
      <c r="GG62" s="646"/>
      <c r="GH62" s="646"/>
      <c r="GI62" s="646"/>
      <c r="GJ62" s="646"/>
      <c r="GK62" s="646"/>
      <c r="GL62" s="646"/>
      <c r="GM62" s="646"/>
      <c r="GN62" s="646"/>
      <c r="GO62" s="646"/>
      <c r="GP62" s="646"/>
      <c r="GQ62" s="646"/>
      <c r="GR62" s="646"/>
      <c r="GS62" s="646"/>
      <c r="GT62" s="646"/>
      <c r="GU62" s="646"/>
      <c r="GV62" s="646"/>
      <c r="GW62" s="646"/>
      <c r="GX62" s="646"/>
      <c r="GY62" s="646"/>
      <c r="GZ62" s="646"/>
      <c r="HA62" s="646"/>
      <c r="HB62" s="646"/>
      <c r="HC62" s="646"/>
      <c r="HD62" s="646"/>
      <c r="HE62" s="646"/>
      <c r="HF62" s="646"/>
      <c r="HG62" s="646"/>
      <c r="HH62" s="646"/>
      <c r="HI62" s="646"/>
      <c r="HJ62" s="646"/>
      <c r="HK62" s="646"/>
      <c r="HL62" s="646"/>
      <c r="HM62" s="646"/>
      <c r="HN62" s="646"/>
      <c r="HO62" s="646"/>
      <c r="HP62" s="646"/>
      <c r="HQ62" s="646"/>
      <c r="HR62" s="646"/>
      <c r="HS62" s="646"/>
      <c r="HT62" s="646"/>
      <c r="HU62" s="646"/>
      <c r="HV62" s="646"/>
      <c r="HW62" s="646"/>
      <c r="HX62" s="646"/>
      <c r="HY62" s="646"/>
      <c r="HZ62" s="646"/>
      <c r="IA62" s="646"/>
      <c r="IB62" s="646"/>
      <c r="IC62" s="646"/>
      <c r="ID62" s="646"/>
      <c r="IE62" s="646"/>
      <c r="IF62" s="646"/>
      <c r="IG62" s="646"/>
      <c r="IH62" s="646"/>
      <c r="II62" s="646"/>
      <c r="IJ62" s="646"/>
      <c r="IK62" s="646"/>
      <c r="IL62" s="646"/>
      <c r="IM62" s="646"/>
      <c r="IN62" s="646"/>
      <c r="IO62" s="646"/>
      <c r="IP62" s="646"/>
      <c r="IQ62" s="646"/>
      <c r="IR62" s="646"/>
      <c r="IS62" s="646"/>
      <c r="IT62" s="646"/>
      <c r="IU62" s="646"/>
      <c r="IV62" s="646"/>
      <c r="IW62" s="646"/>
      <c r="IX62" s="646"/>
      <c r="IY62" s="646"/>
      <c r="IZ62" s="646"/>
      <c r="JA62" s="646"/>
      <c r="JB62" s="646"/>
      <c r="JC62" s="646"/>
      <c r="JD62" s="646"/>
      <c r="JE62" s="646"/>
      <c r="JF62" s="646"/>
      <c r="JG62" s="646"/>
      <c r="JH62" s="646"/>
      <c r="JI62" s="646"/>
      <c r="JJ62" s="646"/>
      <c r="JK62" s="646"/>
      <c r="JL62" s="646"/>
      <c r="JM62" s="646"/>
      <c r="JN62" s="646"/>
      <c r="JO62" s="646"/>
      <c r="JP62" s="646"/>
      <c r="JQ62" s="646"/>
      <c r="JR62" s="646"/>
      <c r="JS62" s="646"/>
      <c r="JT62" s="646"/>
      <c r="JU62" s="646"/>
      <c r="JV62" s="646"/>
      <c r="JW62" s="646"/>
      <c r="JX62" s="646"/>
      <c r="JY62" s="646"/>
      <c r="JZ62" s="646"/>
      <c r="KA62" s="646"/>
      <c r="KB62" s="646"/>
      <c r="KC62" s="646"/>
      <c r="KD62" s="646"/>
      <c r="KE62" s="646"/>
      <c r="KF62" s="646"/>
      <c r="KG62" s="646"/>
      <c r="KH62" s="646"/>
      <c r="KI62" s="646"/>
      <c r="KJ62" s="646"/>
      <c r="KK62" s="646"/>
      <c r="KL62" s="646"/>
      <c r="KM62" s="646"/>
      <c r="KN62" s="646"/>
      <c r="KO62" s="646"/>
      <c r="KP62" s="646"/>
      <c r="KQ62" s="646"/>
      <c r="KR62" s="646"/>
      <c r="KS62" s="646"/>
      <c r="KT62" s="646"/>
      <c r="KU62" s="646"/>
      <c r="KV62" s="646"/>
      <c r="KW62" s="646"/>
    </row>
    <row r="63" spans="1:309" s="748" customFormat="1" ht="20.100000000000001" customHeight="1">
      <c r="A63" s="646"/>
      <c r="B63" s="1565" t="s">
        <v>445</v>
      </c>
      <c r="C63" s="1412">
        <v>118</v>
      </c>
      <c r="D63" s="1414"/>
      <c r="E63" s="1414"/>
      <c r="F63" s="1414">
        <v>3.0000000000000001E-3</v>
      </c>
      <c r="G63" s="1414"/>
      <c r="H63" s="1414"/>
      <c r="I63" s="1414">
        <v>7.1999999999999995E-2</v>
      </c>
      <c r="J63" s="1414">
        <v>1.5000000000000001E-2</v>
      </c>
      <c r="K63" s="1414">
        <v>8.0000000000000002E-3</v>
      </c>
      <c r="L63" s="1414">
        <v>5.0000000000000001E-3</v>
      </c>
      <c r="M63" s="1414"/>
      <c r="N63" s="1414"/>
      <c r="O63" s="1893">
        <v>6.0000000000000001E-3</v>
      </c>
      <c r="P63" s="1566">
        <f>SUM(D63:O63)</f>
        <v>0.10900000000000001</v>
      </c>
      <c r="Q63" s="646"/>
      <c r="R63" s="646"/>
      <c r="S63" s="646"/>
      <c r="T63" s="646"/>
      <c r="U63" s="646"/>
      <c r="V63" s="646"/>
      <c r="W63" s="646"/>
      <c r="X63" s="646"/>
      <c r="Y63" s="646"/>
      <c r="Z63" s="646"/>
      <c r="AA63" s="646"/>
      <c r="AB63" s="646"/>
      <c r="AC63" s="646"/>
      <c r="AD63" s="646"/>
      <c r="AE63" s="646"/>
      <c r="AF63" s="646"/>
      <c r="AG63" s="646"/>
      <c r="AH63" s="646"/>
      <c r="AI63" s="646"/>
      <c r="AJ63" s="646"/>
      <c r="AK63" s="646"/>
      <c r="AL63" s="646"/>
      <c r="AM63" s="646"/>
      <c r="AN63" s="646"/>
      <c r="AO63" s="646"/>
      <c r="AP63" s="646"/>
      <c r="AQ63" s="646"/>
      <c r="AR63" s="646"/>
      <c r="AS63" s="646"/>
      <c r="AT63" s="646"/>
      <c r="AU63" s="646"/>
      <c r="AV63" s="646"/>
      <c r="AW63" s="646"/>
      <c r="AX63" s="646"/>
      <c r="AY63" s="646"/>
      <c r="AZ63" s="646"/>
      <c r="BA63" s="646"/>
      <c r="BB63" s="646"/>
      <c r="BC63" s="646"/>
      <c r="BD63" s="646"/>
      <c r="BE63" s="646"/>
      <c r="BF63" s="646"/>
      <c r="BG63" s="646"/>
      <c r="BH63" s="646"/>
      <c r="BI63" s="646"/>
      <c r="BJ63" s="646"/>
      <c r="BK63" s="646"/>
      <c r="BL63" s="646"/>
      <c r="BM63" s="646"/>
      <c r="BN63" s="646"/>
      <c r="BO63" s="646"/>
      <c r="BP63" s="646"/>
      <c r="BQ63" s="646"/>
      <c r="BR63" s="646"/>
      <c r="BS63" s="646"/>
      <c r="BT63" s="646"/>
      <c r="BU63" s="646"/>
      <c r="BV63" s="646"/>
      <c r="BW63" s="646"/>
      <c r="BX63" s="646"/>
      <c r="BY63" s="646"/>
      <c r="BZ63" s="646"/>
      <c r="CA63" s="646"/>
      <c r="CB63" s="646"/>
      <c r="CC63" s="646"/>
      <c r="CD63" s="646"/>
      <c r="CE63" s="646"/>
      <c r="CF63" s="646"/>
      <c r="CG63" s="646"/>
      <c r="CH63" s="646"/>
      <c r="CI63" s="646"/>
      <c r="CJ63" s="646"/>
      <c r="CK63" s="646"/>
      <c r="CL63" s="646"/>
      <c r="CM63" s="646"/>
      <c r="CN63" s="646"/>
      <c r="CO63" s="646"/>
      <c r="CP63" s="646"/>
      <c r="CQ63" s="646"/>
      <c r="CR63" s="646"/>
      <c r="CS63" s="646"/>
      <c r="CT63" s="646"/>
      <c r="CU63" s="646"/>
      <c r="CV63" s="646"/>
      <c r="CW63" s="646"/>
      <c r="CX63" s="646"/>
      <c r="CY63" s="646"/>
      <c r="CZ63" s="646"/>
      <c r="DA63" s="646"/>
      <c r="DB63" s="646"/>
      <c r="DC63" s="646"/>
      <c r="DD63" s="646"/>
      <c r="DE63" s="646"/>
      <c r="DF63" s="646"/>
      <c r="DG63" s="646"/>
      <c r="DH63" s="646"/>
      <c r="DI63" s="646"/>
      <c r="DJ63" s="646"/>
      <c r="DK63" s="646"/>
      <c r="DL63" s="646"/>
      <c r="DM63" s="646"/>
      <c r="DN63" s="646"/>
      <c r="DO63" s="646"/>
      <c r="DP63" s="646"/>
      <c r="DQ63" s="646"/>
      <c r="DR63" s="646"/>
      <c r="DS63" s="646"/>
      <c r="DT63" s="646"/>
      <c r="DU63" s="646"/>
      <c r="DV63" s="646"/>
      <c r="DW63" s="646"/>
      <c r="DX63" s="646"/>
      <c r="DY63" s="646"/>
      <c r="DZ63" s="646"/>
      <c r="EA63" s="646"/>
      <c r="EB63" s="646"/>
      <c r="EC63" s="646"/>
      <c r="ED63" s="646"/>
      <c r="EE63" s="646"/>
      <c r="EF63" s="646"/>
      <c r="EG63" s="646"/>
      <c r="EH63" s="646"/>
      <c r="EI63" s="646"/>
      <c r="EJ63" s="646"/>
      <c r="EK63" s="646"/>
      <c r="EL63" s="646"/>
      <c r="EM63" s="646"/>
      <c r="EN63" s="646"/>
      <c r="EO63" s="646"/>
      <c r="EP63" s="646"/>
      <c r="EQ63" s="646"/>
      <c r="ER63" s="646"/>
      <c r="ES63" s="646"/>
      <c r="ET63" s="646"/>
      <c r="EU63" s="646"/>
      <c r="EV63" s="646"/>
      <c r="EW63" s="646"/>
      <c r="EX63" s="646"/>
      <c r="EY63" s="646"/>
      <c r="EZ63" s="646"/>
      <c r="FA63" s="646"/>
      <c r="FB63" s="646"/>
      <c r="FC63" s="646"/>
      <c r="FD63" s="646"/>
      <c r="FE63" s="646"/>
      <c r="FF63" s="646"/>
      <c r="FG63" s="646"/>
      <c r="FH63" s="646"/>
      <c r="FI63" s="646"/>
      <c r="FJ63" s="646"/>
      <c r="FK63" s="646"/>
      <c r="FL63" s="646"/>
      <c r="FM63" s="646"/>
      <c r="FN63" s="646"/>
      <c r="FO63" s="646"/>
      <c r="FP63" s="646"/>
      <c r="FQ63" s="646"/>
      <c r="FR63" s="646"/>
      <c r="FS63" s="646"/>
      <c r="FT63" s="646"/>
      <c r="FU63" s="646"/>
      <c r="FV63" s="646"/>
      <c r="FW63" s="646"/>
      <c r="FX63" s="646"/>
      <c r="FY63" s="646"/>
      <c r="FZ63" s="646"/>
      <c r="GA63" s="646"/>
      <c r="GB63" s="646"/>
      <c r="GC63" s="646"/>
      <c r="GD63" s="646"/>
      <c r="GE63" s="646"/>
      <c r="GF63" s="646"/>
      <c r="GG63" s="646"/>
      <c r="GH63" s="646"/>
      <c r="GI63" s="646"/>
      <c r="GJ63" s="646"/>
      <c r="GK63" s="646"/>
      <c r="GL63" s="646"/>
      <c r="GM63" s="646"/>
      <c r="GN63" s="646"/>
      <c r="GO63" s="646"/>
      <c r="GP63" s="646"/>
      <c r="GQ63" s="646"/>
      <c r="GR63" s="646"/>
      <c r="GS63" s="646"/>
      <c r="GT63" s="646"/>
      <c r="GU63" s="646"/>
      <c r="GV63" s="646"/>
      <c r="GW63" s="646"/>
      <c r="GX63" s="646"/>
      <c r="GY63" s="646"/>
      <c r="GZ63" s="646"/>
      <c r="HA63" s="646"/>
      <c r="HB63" s="646"/>
      <c r="HC63" s="646"/>
      <c r="HD63" s="646"/>
      <c r="HE63" s="646"/>
      <c r="HF63" s="646"/>
      <c r="HG63" s="646"/>
      <c r="HH63" s="646"/>
      <c r="HI63" s="646"/>
      <c r="HJ63" s="646"/>
      <c r="HK63" s="646"/>
      <c r="HL63" s="646"/>
      <c r="HM63" s="646"/>
      <c r="HN63" s="646"/>
      <c r="HO63" s="646"/>
      <c r="HP63" s="646"/>
      <c r="HQ63" s="646"/>
      <c r="HR63" s="646"/>
      <c r="HS63" s="646"/>
      <c r="HT63" s="646"/>
      <c r="HU63" s="646"/>
      <c r="HV63" s="646"/>
      <c r="HW63" s="646"/>
      <c r="HX63" s="646"/>
      <c r="HY63" s="646"/>
      <c r="HZ63" s="646"/>
      <c r="IA63" s="646"/>
      <c r="IB63" s="646"/>
      <c r="IC63" s="646"/>
      <c r="ID63" s="646"/>
      <c r="IE63" s="646"/>
      <c r="IF63" s="646"/>
      <c r="IG63" s="646"/>
      <c r="IH63" s="646"/>
      <c r="II63" s="646"/>
      <c r="IJ63" s="646"/>
      <c r="IK63" s="646"/>
      <c r="IL63" s="646"/>
      <c r="IM63" s="646"/>
      <c r="IN63" s="646"/>
      <c r="IO63" s="646"/>
      <c r="IP63" s="646"/>
      <c r="IQ63" s="646"/>
      <c r="IR63" s="646"/>
      <c r="IS63" s="646"/>
      <c r="IT63" s="646"/>
      <c r="IU63" s="646"/>
      <c r="IV63" s="646"/>
      <c r="IW63" s="646"/>
      <c r="IX63" s="646"/>
      <c r="IY63" s="646"/>
      <c r="IZ63" s="646"/>
      <c r="JA63" s="646"/>
      <c r="JB63" s="646"/>
      <c r="JC63" s="646"/>
      <c r="JD63" s="646"/>
      <c r="JE63" s="646"/>
      <c r="JF63" s="646"/>
      <c r="JG63" s="646"/>
      <c r="JH63" s="646"/>
      <c r="JI63" s="646"/>
      <c r="JJ63" s="646"/>
      <c r="JK63" s="646"/>
      <c r="JL63" s="646"/>
      <c r="JM63" s="646"/>
      <c r="JN63" s="646"/>
      <c r="JO63" s="646"/>
      <c r="JP63" s="646"/>
      <c r="JQ63" s="646"/>
      <c r="JR63" s="646"/>
      <c r="JS63" s="646"/>
      <c r="JT63" s="646"/>
      <c r="JU63" s="646"/>
      <c r="JV63" s="646"/>
      <c r="JW63" s="646"/>
      <c r="JX63" s="646"/>
      <c r="JY63" s="646"/>
      <c r="JZ63" s="646"/>
      <c r="KA63" s="646"/>
      <c r="KB63" s="646"/>
      <c r="KC63" s="646"/>
      <c r="KD63" s="646"/>
      <c r="KE63" s="646"/>
      <c r="KF63" s="646"/>
      <c r="KG63" s="646"/>
      <c r="KH63" s="646"/>
      <c r="KI63" s="646"/>
      <c r="KJ63" s="646"/>
      <c r="KK63" s="646"/>
      <c r="KL63" s="646"/>
      <c r="KM63" s="646"/>
      <c r="KN63" s="646"/>
      <c r="KO63" s="646"/>
      <c r="KP63" s="646"/>
      <c r="KQ63" s="646"/>
      <c r="KR63" s="646"/>
      <c r="KS63" s="646"/>
      <c r="KT63" s="646"/>
      <c r="KU63" s="646"/>
      <c r="KV63" s="646"/>
      <c r="KW63" s="646"/>
    </row>
    <row r="64" spans="1:309" s="748" customFormat="1" ht="20.100000000000001" customHeight="1">
      <c r="A64" s="646"/>
      <c r="B64" s="1565" t="s">
        <v>445</v>
      </c>
      <c r="C64" s="1412">
        <v>119</v>
      </c>
      <c r="D64" s="1414"/>
      <c r="E64" s="1414"/>
      <c r="F64" s="1414"/>
      <c r="G64" s="1414"/>
      <c r="H64" s="1414"/>
      <c r="I64" s="1414">
        <v>7.0000000000000001E-3</v>
      </c>
      <c r="J64" s="1414">
        <v>2E-3</v>
      </c>
      <c r="K64" s="1414"/>
      <c r="L64" s="1414"/>
      <c r="M64" s="1414"/>
      <c r="N64" s="1414"/>
      <c r="O64" s="1414"/>
      <c r="P64" s="1566">
        <f t="shared" si="8"/>
        <v>9.0000000000000011E-3</v>
      </c>
      <c r="Q64" s="646"/>
      <c r="R64" s="646"/>
      <c r="S64" s="646"/>
      <c r="T64" s="646"/>
      <c r="U64" s="646"/>
      <c r="V64" s="646"/>
      <c r="W64" s="646"/>
      <c r="X64" s="646"/>
      <c r="Y64" s="646"/>
      <c r="Z64" s="646"/>
      <c r="AA64" s="646"/>
      <c r="AB64" s="646"/>
      <c r="AC64" s="646"/>
      <c r="AD64" s="646"/>
      <c r="AE64" s="646"/>
      <c r="AF64" s="646"/>
      <c r="AG64" s="646"/>
      <c r="AH64" s="646"/>
      <c r="AI64" s="646"/>
      <c r="AJ64" s="646"/>
      <c r="AK64" s="646"/>
      <c r="AL64" s="646"/>
      <c r="AM64" s="646"/>
      <c r="AN64" s="646"/>
      <c r="AO64" s="646"/>
      <c r="AP64" s="646"/>
      <c r="AQ64" s="646"/>
      <c r="AR64" s="646"/>
      <c r="AS64" s="646"/>
      <c r="AT64" s="646"/>
      <c r="AU64" s="646"/>
      <c r="AV64" s="646"/>
      <c r="AW64" s="646"/>
      <c r="AX64" s="646"/>
      <c r="AY64" s="646"/>
      <c r="AZ64" s="646"/>
      <c r="BA64" s="646"/>
      <c r="BB64" s="646"/>
      <c r="BC64" s="646"/>
      <c r="BD64" s="646"/>
      <c r="BE64" s="646"/>
      <c r="BF64" s="646"/>
      <c r="BG64" s="646"/>
      <c r="BH64" s="646"/>
      <c r="BI64" s="646"/>
      <c r="BJ64" s="646"/>
      <c r="BK64" s="646"/>
      <c r="BL64" s="646"/>
      <c r="BM64" s="646"/>
      <c r="BN64" s="646"/>
      <c r="BO64" s="646"/>
      <c r="BP64" s="646"/>
      <c r="BQ64" s="646"/>
      <c r="BR64" s="646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  <c r="GA64" s="646"/>
      <c r="GB64" s="646"/>
      <c r="GC64" s="646"/>
      <c r="GD64" s="646"/>
      <c r="GE64" s="646"/>
      <c r="GF64" s="646"/>
      <c r="GG64" s="646"/>
      <c r="GH64" s="646"/>
      <c r="GI64" s="646"/>
      <c r="GJ64" s="646"/>
      <c r="GK64" s="646"/>
      <c r="GL64" s="646"/>
      <c r="GM64" s="646"/>
      <c r="GN64" s="646"/>
      <c r="GO64" s="646"/>
      <c r="GP64" s="646"/>
      <c r="GQ64" s="646"/>
      <c r="GR64" s="646"/>
      <c r="GS64" s="646"/>
      <c r="GT64" s="646"/>
      <c r="GU64" s="646"/>
      <c r="GV64" s="646"/>
      <c r="GW64" s="646"/>
      <c r="GX64" s="646"/>
      <c r="GY64" s="646"/>
      <c r="GZ64" s="646"/>
      <c r="HA64" s="646"/>
      <c r="HB64" s="646"/>
      <c r="HC64" s="646"/>
      <c r="HD64" s="646"/>
      <c r="HE64" s="646"/>
      <c r="HF64" s="646"/>
      <c r="HG64" s="646"/>
      <c r="HH64" s="646"/>
      <c r="HI64" s="646"/>
      <c r="HJ64" s="646"/>
      <c r="HK64" s="646"/>
      <c r="HL64" s="646"/>
      <c r="HM64" s="646"/>
      <c r="HN64" s="646"/>
      <c r="HO64" s="646"/>
      <c r="HP64" s="646"/>
      <c r="HQ64" s="646"/>
      <c r="HR64" s="646"/>
      <c r="HS64" s="646"/>
      <c r="HT64" s="646"/>
      <c r="HU64" s="646"/>
      <c r="HV64" s="646"/>
      <c r="HW64" s="646"/>
      <c r="HX64" s="646"/>
      <c r="HY64" s="646"/>
      <c r="HZ64" s="646"/>
      <c r="IA64" s="646"/>
      <c r="IB64" s="646"/>
      <c r="IC64" s="646"/>
      <c r="ID64" s="646"/>
      <c r="IE64" s="646"/>
      <c r="IF64" s="646"/>
      <c r="IG64" s="646"/>
      <c r="IH64" s="646"/>
      <c r="II64" s="646"/>
      <c r="IJ64" s="646"/>
      <c r="IK64" s="646"/>
      <c r="IL64" s="646"/>
      <c r="IM64" s="646"/>
      <c r="IN64" s="646"/>
      <c r="IO64" s="646"/>
      <c r="IP64" s="646"/>
      <c r="IQ64" s="646"/>
      <c r="IR64" s="646"/>
      <c r="IS64" s="646"/>
      <c r="IT64" s="646"/>
      <c r="IU64" s="646"/>
      <c r="IV64" s="646"/>
      <c r="IW64" s="646"/>
      <c r="IX64" s="646"/>
      <c r="IY64" s="646"/>
      <c r="IZ64" s="646"/>
      <c r="JA64" s="646"/>
      <c r="JB64" s="646"/>
      <c r="JC64" s="646"/>
      <c r="JD64" s="646"/>
      <c r="JE64" s="646"/>
      <c r="JF64" s="646"/>
      <c r="JG64" s="646"/>
      <c r="JH64" s="646"/>
      <c r="JI64" s="646"/>
      <c r="JJ64" s="646"/>
      <c r="JK64" s="646"/>
      <c r="JL64" s="646"/>
      <c r="JM64" s="646"/>
      <c r="JN64" s="646"/>
      <c r="JO64" s="646"/>
      <c r="JP64" s="646"/>
      <c r="JQ64" s="646"/>
      <c r="JR64" s="646"/>
      <c r="JS64" s="646"/>
      <c r="JT64" s="646"/>
      <c r="JU64" s="646"/>
      <c r="JV64" s="646"/>
      <c r="JW64" s="646"/>
      <c r="JX64" s="646"/>
      <c r="JY64" s="646"/>
      <c r="JZ64" s="646"/>
      <c r="KA64" s="646"/>
      <c r="KB64" s="646"/>
      <c r="KC64" s="646"/>
      <c r="KD64" s="646"/>
      <c r="KE64" s="646"/>
      <c r="KF64" s="646"/>
      <c r="KG64" s="646"/>
      <c r="KH64" s="646"/>
      <c r="KI64" s="646"/>
      <c r="KJ64" s="646"/>
      <c r="KK64" s="646"/>
      <c r="KL64" s="646"/>
      <c r="KM64" s="646"/>
      <c r="KN64" s="646"/>
      <c r="KO64" s="646"/>
      <c r="KP64" s="646"/>
      <c r="KQ64" s="646"/>
      <c r="KR64" s="646"/>
      <c r="KS64" s="646"/>
      <c r="KT64" s="646"/>
      <c r="KU64" s="646"/>
      <c r="KV64" s="646"/>
      <c r="KW64" s="646"/>
    </row>
    <row r="65" spans="1:309" s="748" customFormat="1" ht="20.100000000000001" customHeight="1">
      <c r="A65" s="646"/>
      <c r="B65" s="1565" t="s">
        <v>262</v>
      </c>
      <c r="C65" s="1412">
        <v>120</v>
      </c>
      <c r="D65" s="1414"/>
      <c r="E65" s="1414"/>
      <c r="F65" s="1414">
        <v>8.0000000000000002E-3</v>
      </c>
      <c r="G65" s="1414"/>
      <c r="H65" s="1414"/>
      <c r="I65" s="1414"/>
      <c r="J65" s="1414">
        <v>4.0000000000000001E-3</v>
      </c>
      <c r="K65" s="1414"/>
      <c r="L65" s="1414"/>
      <c r="M65" s="1414"/>
      <c r="N65" s="1414"/>
      <c r="O65" s="1414"/>
      <c r="P65" s="1566">
        <f t="shared" si="8"/>
        <v>1.2E-2</v>
      </c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46"/>
      <c r="AB65" s="646"/>
      <c r="AC65" s="646"/>
      <c r="AD65" s="646"/>
      <c r="AE65" s="646"/>
      <c r="AF65" s="646"/>
      <c r="AG65" s="646"/>
      <c r="AH65" s="646"/>
      <c r="AI65" s="646"/>
      <c r="AJ65" s="646"/>
      <c r="AK65" s="646"/>
      <c r="AL65" s="646"/>
      <c r="AM65" s="646"/>
      <c r="AN65" s="646"/>
      <c r="AO65" s="646"/>
      <c r="AP65" s="646"/>
      <c r="AQ65" s="646"/>
      <c r="AR65" s="646"/>
      <c r="AS65" s="646"/>
      <c r="AT65" s="646"/>
      <c r="AU65" s="646"/>
      <c r="AV65" s="646"/>
      <c r="AW65" s="646"/>
      <c r="AX65" s="646"/>
      <c r="AY65" s="646"/>
      <c r="AZ65" s="646"/>
      <c r="BA65" s="646"/>
      <c r="BB65" s="646"/>
      <c r="BC65" s="646"/>
      <c r="BD65" s="646"/>
      <c r="BE65" s="646"/>
      <c r="BF65" s="646"/>
      <c r="BG65" s="646"/>
      <c r="BH65" s="646"/>
      <c r="BI65" s="646"/>
      <c r="BJ65" s="646"/>
      <c r="BK65" s="646"/>
      <c r="BL65" s="646"/>
      <c r="BM65" s="646"/>
      <c r="BN65" s="646"/>
      <c r="BO65" s="646"/>
      <c r="BP65" s="646"/>
      <c r="BQ65" s="646"/>
      <c r="BR65" s="646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  <c r="GA65" s="646"/>
      <c r="GB65" s="646"/>
      <c r="GC65" s="646"/>
      <c r="GD65" s="646"/>
      <c r="GE65" s="646"/>
      <c r="GF65" s="646"/>
      <c r="GG65" s="646"/>
      <c r="GH65" s="646"/>
      <c r="GI65" s="646"/>
      <c r="GJ65" s="646"/>
      <c r="GK65" s="646"/>
      <c r="GL65" s="646"/>
      <c r="GM65" s="646"/>
      <c r="GN65" s="646"/>
      <c r="GO65" s="646"/>
      <c r="GP65" s="646"/>
      <c r="GQ65" s="646"/>
      <c r="GR65" s="646"/>
      <c r="GS65" s="646"/>
      <c r="GT65" s="646"/>
      <c r="GU65" s="646"/>
      <c r="GV65" s="646"/>
      <c r="GW65" s="646"/>
      <c r="GX65" s="646"/>
      <c r="GY65" s="646"/>
      <c r="GZ65" s="646"/>
      <c r="HA65" s="646"/>
      <c r="HB65" s="646"/>
      <c r="HC65" s="646"/>
      <c r="HD65" s="646"/>
      <c r="HE65" s="646"/>
      <c r="HF65" s="646"/>
      <c r="HG65" s="646"/>
      <c r="HH65" s="646"/>
      <c r="HI65" s="646"/>
      <c r="HJ65" s="646"/>
      <c r="HK65" s="646"/>
      <c r="HL65" s="646"/>
      <c r="HM65" s="646"/>
      <c r="HN65" s="646"/>
      <c r="HO65" s="646"/>
      <c r="HP65" s="646"/>
      <c r="HQ65" s="646"/>
      <c r="HR65" s="646"/>
      <c r="HS65" s="646"/>
      <c r="HT65" s="646"/>
      <c r="HU65" s="646"/>
      <c r="HV65" s="646"/>
      <c r="HW65" s="646"/>
      <c r="HX65" s="646"/>
      <c r="HY65" s="646"/>
      <c r="HZ65" s="646"/>
      <c r="IA65" s="646"/>
      <c r="IB65" s="646"/>
      <c r="IC65" s="646"/>
      <c r="ID65" s="646"/>
      <c r="IE65" s="646"/>
      <c r="IF65" s="646"/>
      <c r="IG65" s="646"/>
      <c r="IH65" s="646"/>
      <c r="II65" s="646"/>
      <c r="IJ65" s="646"/>
      <c r="IK65" s="646"/>
      <c r="IL65" s="646"/>
      <c r="IM65" s="646"/>
      <c r="IN65" s="646"/>
      <c r="IO65" s="646"/>
      <c r="IP65" s="646"/>
      <c r="IQ65" s="646"/>
      <c r="IR65" s="646"/>
      <c r="IS65" s="646"/>
      <c r="IT65" s="646"/>
      <c r="IU65" s="646"/>
      <c r="IV65" s="646"/>
      <c r="IW65" s="646"/>
      <c r="IX65" s="646"/>
      <c r="IY65" s="646"/>
      <c r="IZ65" s="646"/>
      <c r="JA65" s="646"/>
      <c r="JB65" s="646"/>
      <c r="JC65" s="646"/>
      <c r="JD65" s="646"/>
      <c r="JE65" s="646"/>
      <c r="JF65" s="646"/>
      <c r="JG65" s="646"/>
      <c r="JH65" s="646"/>
      <c r="JI65" s="646"/>
      <c r="JJ65" s="646"/>
      <c r="JK65" s="646"/>
      <c r="JL65" s="646"/>
      <c r="JM65" s="646"/>
      <c r="JN65" s="646"/>
      <c r="JO65" s="646"/>
      <c r="JP65" s="646"/>
      <c r="JQ65" s="646"/>
      <c r="JR65" s="646"/>
      <c r="JS65" s="646"/>
      <c r="JT65" s="646"/>
      <c r="JU65" s="646"/>
      <c r="JV65" s="646"/>
      <c r="JW65" s="646"/>
      <c r="JX65" s="646"/>
      <c r="JY65" s="646"/>
      <c r="JZ65" s="646"/>
      <c r="KA65" s="646"/>
      <c r="KB65" s="646"/>
      <c r="KC65" s="646"/>
      <c r="KD65" s="646"/>
      <c r="KE65" s="646"/>
      <c r="KF65" s="646"/>
      <c r="KG65" s="646"/>
      <c r="KH65" s="646"/>
      <c r="KI65" s="646"/>
      <c r="KJ65" s="646"/>
      <c r="KK65" s="646"/>
      <c r="KL65" s="646"/>
      <c r="KM65" s="646"/>
      <c r="KN65" s="646"/>
      <c r="KO65" s="646"/>
      <c r="KP65" s="646"/>
      <c r="KQ65" s="646"/>
      <c r="KR65" s="646"/>
      <c r="KS65" s="646"/>
      <c r="KT65" s="646"/>
      <c r="KU65" s="646"/>
      <c r="KV65" s="646"/>
      <c r="KW65" s="646"/>
    </row>
    <row r="66" spans="1:309" s="748" customFormat="1" ht="20.100000000000001" customHeight="1">
      <c r="A66" s="646"/>
      <c r="B66" s="1565" t="s">
        <v>471</v>
      </c>
      <c r="C66" s="1412">
        <v>141</v>
      </c>
      <c r="D66" s="1414"/>
      <c r="E66" s="1414"/>
      <c r="F66" s="1414"/>
      <c r="G66" s="1414"/>
      <c r="H66" s="1414"/>
      <c r="I66" s="1414"/>
      <c r="J66" s="1414">
        <v>2.113</v>
      </c>
      <c r="K66" s="1414"/>
      <c r="L66" s="1414"/>
      <c r="M66" s="1414"/>
      <c r="N66" s="1414"/>
      <c r="O66" s="1414"/>
      <c r="P66" s="1566">
        <f t="shared" si="8"/>
        <v>2.113</v>
      </c>
      <c r="Q66" s="646"/>
      <c r="R66" s="646"/>
      <c r="S66" s="646"/>
      <c r="T66" s="646"/>
      <c r="U66" s="646"/>
      <c r="V66" s="646"/>
      <c r="W66" s="646"/>
      <c r="X66" s="646"/>
      <c r="Y66" s="646"/>
      <c r="Z66" s="646"/>
      <c r="AA66" s="646"/>
      <c r="AB66" s="646"/>
      <c r="AC66" s="646"/>
      <c r="AD66" s="646"/>
      <c r="AE66" s="646"/>
      <c r="AF66" s="646"/>
      <c r="AG66" s="646"/>
      <c r="AH66" s="646"/>
      <c r="AI66" s="646"/>
      <c r="AJ66" s="646"/>
      <c r="AK66" s="646"/>
      <c r="AL66" s="646"/>
      <c r="AM66" s="646"/>
      <c r="AN66" s="646"/>
      <c r="AO66" s="646"/>
      <c r="AP66" s="646"/>
      <c r="AQ66" s="646"/>
      <c r="AR66" s="646"/>
      <c r="AS66" s="646"/>
      <c r="AT66" s="646"/>
      <c r="AU66" s="646"/>
      <c r="AV66" s="646"/>
      <c r="AW66" s="646"/>
      <c r="AX66" s="646"/>
      <c r="AY66" s="646"/>
      <c r="AZ66" s="646"/>
      <c r="BA66" s="646"/>
      <c r="BB66" s="646"/>
      <c r="BC66" s="646"/>
      <c r="BD66" s="646"/>
      <c r="BE66" s="646"/>
      <c r="BF66" s="646"/>
      <c r="BG66" s="646"/>
      <c r="BH66" s="646"/>
      <c r="BI66" s="646"/>
      <c r="BJ66" s="646"/>
      <c r="BK66" s="646"/>
      <c r="BL66" s="646"/>
      <c r="BM66" s="646"/>
      <c r="BN66" s="646"/>
      <c r="BO66" s="646"/>
      <c r="BP66" s="646"/>
      <c r="BQ66" s="646"/>
      <c r="BR66" s="646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  <c r="GA66" s="646"/>
      <c r="GB66" s="646"/>
      <c r="GC66" s="646"/>
      <c r="GD66" s="646"/>
      <c r="GE66" s="646"/>
      <c r="GF66" s="646"/>
      <c r="GG66" s="646"/>
      <c r="GH66" s="646"/>
      <c r="GI66" s="646"/>
      <c r="GJ66" s="646"/>
      <c r="GK66" s="646"/>
      <c r="GL66" s="646"/>
      <c r="GM66" s="646"/>
      <c r="GN66" s="646"/>
      <c r="GO66" s="646"/>
      <c r="GP66" s="646"/>
      <c r="GQ66" s="646"/>
      <c r="GR66" s="646"/>
      <c r="GS66" s="646"/>
      <c r="GT66" s="646"/>
      <c r="GU66" s="646"/>
      <c r="GV66" s="646"/>
      <c r="GW66" s="646"/>
      <c r="GX66" s="646"/>
      <c r="GY66" s="646"/>
      <c r="GZ66" s="646"/>
      <c r="HA66" s="646"/>
      <c r="HB66" s="646"/>
      <c r="HC66" s="646"/>
      <c r="HD66" s="646"/>
      <c r="HE66" s="646"/>
      <c r="HF66" s="646"/>
      <c r="HG66" s="646"/>
      <c r="HH66" s="646"/>
      <c r="HI66" s="646"/>
      <c r="HJ66" s="646"/>
      <c r="HK66" s="646"/>
      <c r="HL66" s="646"/>
      <c r="HM66" s="646"/>
      <c r="HN66" s="646"/>
      <c r="HO66" s="646"/>
      <c r="HP66" s="646"/>
      <c r="HQ66" s="646"/>
      <c r="HR66" s="646"/>
      <c r="HS66" s="646"/>
      <c r="HT66" s="646"/>
      <c r="HU66" s="646"/>
      <c r="HV66" s="646"/>
      <c r="HW66" s="646"/>
      <c r="HX66" s="646"/>
      <c r="HY66" s="646"/>
      <c r="HZ66" s="646"/>
      <c r="IA66" s="646"/>
      <c r="IB66" s="646"/>
      <c r="IC66" s="646"/>
      <c r="ID66" s="646"/>
      <c r="IE66" s="646"/>
      <c r="IF66" s="646"/>
      <c r="IG66" s="646"/>
      <c r="IH66" s="646"/>
      <c r="II66" s="646"/>
      <c r="IJ66" s="646"/>
      <c r="IK66" s="646"/>
      <c r="IL66" s="646"/>
      <c r="IM66" s="646"/>
      <c r="IN66" s="646"/>
      <c r="IO66" s="646"/>
      <c r="IP66" s="646"/>
      <c r="IQ66" s="646"/>
      <c r="IR66" s="646"/>
      <c r="IS66" s="646"/>
      <c r="IT66" s="646"/>
      <c r="IU66" s="646"/>
      <c r="IV66" s="646"/>
      <c r="IW66" s="646"/>
      <c r="IX66" s="646"/>
      <c r="IY66" s="646"/>
      <c r="IZ66" s="646"/>
      <c r="JA66" s="646"/>
      <c r="JB66" s="646"/>
      <c r="JC66" s="646"/>
      <c r="JD66" s="646"/>
      <c r="JE66" s="646"/>
      <c r="JF66" s="646"/>
      <c r="JG66" s="646"/>
      <c r="JH66" s="646"/>
      <c r="JI66" s="646"/>
      <c r="JJ66" s="646"/>
      <c r="JK66" s="646"/>
      <c r="JL66" s="646"/>
      <c r="JM66" s="646"/>
      <c r="JN66" s="646"/>
      <c r="JO66" s="646"/>
      <c r="JP66" s="646"/>
      <c r="JQ66" s="646"/>
      <c r="JR66" s="646"/>
      <c r="JS66" s="646"/>
      <c r="JT66" s="646"/>
      <c r="JU66" s="646"/>
      <c r="JV66" s="646"/>
      <c r="JW66" s="646"/>
      <c r="JX66" s="646"/>
      <c r="JY66" s="646"/>
      <c r="JZ66" s="646"/>
      <c r="KA66" s="646"/>
      <c r="KB66" s="646"/>
      <c r="KC66" s="646"/>
      <c r="KD66" s="646"/>
      <c r="KE66" s="646"/>
      <c r="KF66" s="646"/>
      <c r="KG66" s="646"/>
      <c r="KH66" s="646"/>
      <c r="KI66" s="646"/>
      <c r="KJ66" s="646"/>
      <c r="KK66" s="646"/>
      <c r="KL66" s="646"/>
      <c r="KM66" s="646"/>
      <c r="KN66" s="646"/>
      <c r="KO66" s="646"/>
      <c r="KP66" s="646"/>
      <c r="KQ66" s="646"/>
      <c r="KR66" s="646"/>
      <c r="KS66" s="646"/>
      <c r="KT66" s="646"/>
      <c r="KU66" s="646"/>
      <c r="KV66" s="646"/>
      <c r="KW66" s="646"/>
    </row>
    <row r="67" spans="1:309" s="748" customFormat="1" ht="20.100000000000001" customHeight="1">
      <c r="A67" s="646"/>
      <c r="B67" s="1565" t="s">
        <v>63</v>
      </c>
      <c r="C67" s="1412">
        <v>151</v>
      </c>
      <c r="D67" s="1414"/>
      <c r="E67" s="1414"/>
      <c r="F67" s="1414"/>
      <c r="G67" s="1414"/>
      <c r="H67" s="1414"/>
      <c r="I67" s="1414"/>
      <c r="J67" s="1414"/>
      <c r="K67" s="1414">
        <v>1.59</v>
      </c>
      <c r="L67" s="1414"/>
      <c r="M67" s="1414"/>
      <c r="N67" s="1414"/>
      <c r="O67" s="1414"/>
      <c r="P67" s="1566">
        <f t="shared" si="8"/>
        <v>1.59</v>
      </c>
      <c r="Q67" s="646"/>
      <c r="R67" s="646"/>
      <c r="S67" s="646"/>
      <c r="T67" s="646"/>
      <c r="U67" s="646"/>
      <c r="V67" s="646"/>
      <c r="W67" s="646"/>
      <c r="X67" s="646"/>
      <c r="Y67" s="646"/>
      <c r="Z67" s="646"/>
      <c r="AA67" s="646"/>
      <c r="AB67" s="646"/>
      <c r="AC67" s="646"/>
      <c r="AD67" s="646"/>
      <c r="AE67" s="646"/>
      <c r="AF67" s="646"/>
      <c r="AG67" s="646"/>
      <c r="AH67" s="646"/>
      <c r="AI67" s="646"/>
      <c r="AJ67" s="646"/>
      <c r="AK67" s="646"/>
      <c r="AL67" s="646"/>
      <c r="AM67" s="646"/>
      <c r="AN67" s="646"/>
      <c r="AO67" s="646"/>
      <c r="AP67" s="646"/>
      <c r="AQ67" s="646"/>
      <c r="AR67" s="646"/>
      <c r="AS67" s="646"/>
      <c r="AT67" s="646"/>
      <c r="AU67" s="646"/>
      <c r="AV67" s="646"/>
      <c r="AW67" s="646"/>
      <c r="AX67" s="646"/>
      <c r="AY67" s="646"/>
      <c r="AZ67" s="646"/>
      <c r="BA67" s="646"/>
      <c r="BB67" s="646"/>
      <c r="BC67" s="646"/>
      <c r="BD67" s="646"/>
      <c r="BE67" s="646"/>
      <c r="BF67" s="646"/>
      <c r="BG67" s="646"/>
      <c r="BH67" s="646"/>
      <c r="BI67" s="646"/>
      <c r="BJ67" s="646"/>
      <c r="BK67" s="646"/>
      <c r="BL67" s="646"/>
      <c r="BM67" s="646"/>
      <c r="BN67" s="646"/>
      <c r="BO67" s="646"/>
      <c r="BP67" s="646"/>
      <c r="BQ67" s="646"/>
      <c r="BR67" s="646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  <c r="GA67" s="646"/>
      <c r="GB67" s="646"/>
      <c r="GC67" s="646"/>
      <c r="GD67" s="646"/>
      <c r="GE67" s="646"/>
      <c r="GF67" s="646"/>
      <c r="GG67" s="646"/>
      <c r="GH67" s="646"/>
      <c r="GI67" s="646"/>
      <c r="GJ67" s="646"/>
      <c r="GK67" s="646"/>
      <c r="GL67" s="646"/>
      <c r="GM67" s="646"/>
      <c r="GN67" s="646"/>
      <c r="GO67" s="646"/>
      <c r="GP67" s="646"/>
      <c r="GQ67" s="646"/>
      <c r="GR67" s="646"/>
      <c r="GS67" s="646"/>
      <c r="GT67" s="646"/>
      <c r="GU67" s="646"/>
      <c r="GV67" s="646"/>
      <c r="GW67" s="646"/>
      <c r="GX67" s="646"/>
      <c r="GY67" s="646"/>
      <c r="GZ67" s="646"/>
      <c r="HA67" s="646"/>
      <c r="HB67" s="646"/>
      <c r="HC67" s="646"/>
      <c r="HD67" s="646"/>
      <c r="HE67" s="646"/>
      <c r="HF67" s="646"/>
      <c r="HG67" s="646"/>
      <c r="HH67" s="646"/>
      <c r="HI67" s="646"/>
      <c r="HJ67" s="646"/>
      <c r="HK67" s="646"/>
      <c r="HL67" s="646"/>
      <c r="HM67" s="646"/>
      <c r="HN67" s="646"/>
      <c r="HO67" s="646"/>
      <c r="HP67" s="646"/>
      <c r="HQ67" s="646"/>
      <c r="HR67" s="646"/>
      <c r="HS67" s="646"/>
      <c r="HT67" s="646"/>
      <c r="HU67" s="646"/>
      <c r="HV67" s="646"/>
      <c r="HW67" s="646"/>
      <c r="HX67" s="646"/>
      <c r="HY67" s="646"/>
      <c r="HZ67" s="646"/>
      <c r="IA67" s="646"/>
      <c r="IB67" s="646"/>
      <c r="IC67" s="646"/>
      <c r="ID67" s="646"/>
      <c r="IE67" s="646"/>
      <c r="IF67" s="646"/>
      <c r="IG67" s="646"/>
      <c r="IH67" s="646"/>
      <c r="II67" s="646"/>
      <c r="IJ67" s="646"/>
      <c r="IK67" s="646"/>
      <c r="IL67" s="646"/>
      <c r="IM67" s="646"/>
      <c r="IN67" s="646"/>
      <c r="IO67" s="646"/>
      <c r="IP67" s="646"/>
      <c r="IQ67" s="646"/>
      <c r="IR67" s="646"/>
      <c r="IS67" s="646"/>
      <c r="IT67" s="646"/>
      <c r="IU67" s="646"/>
      <c r="IV67" s="646"/>
      <c r="IW67" s="646"/>
      <c r="IX67" s="646"/>
      <c r="IY67" s="646"/>
      <c r="IZ67" s="646"/>
      <c r="JA67" s="646"/>
      <c r="JB67" s="646"/>
      <c r="JC67" s="646"/>
      <c r="JD67" s="646"/>
      <c r="JE67" s="646"/>
      <c r="JF67" s="646"/>
      <c r="JG67" s="646"/>
      <c r="JH67" s="646"/>
      <c r="JI67" s="646"/>
      <c r="JJ67" s="646"/>
      <c r="JK67" s="646"/>
      <c r="JL67" s="646"/>
      <c r="JM67" s="646"/>
      <c r="JN67" s="646"/>
      <c r="JO67" s="646"/>
      <c r="JP67" s="646"/>
      <c r="JQ67" s="646"/>
      <c r="JR67" s="646"/>
      <c r="JS67" s="646"/>
      <c r="JT67" s="646"/>
      <c r="JU67" s="646"/>
      <c r="JV67" s="646"/>
      <c r="JW67" s="646"/>
      <c r="JX67" s="646"/>
      <c r="JY67" s="646"/>
      <c r="JZ67" s="646"/>
      <c r="KA67" s="646"/>
      <c r="KB67" s="646"/>
      <c r="KC67" s="646"/>
      <c r="KD67" s="646"/>
      <c r="KE67" s="646"/>
      <c r="KF67" s="646"/>
      <c r="KG67" s="646"/>
      <c r="KH67" s="646"/>
      <c r="KI67" s="646"/>
      <c r="KJ67" s="646"/>
      <c r="KK67" s="646"/>
      <c r="KL67" s="646"/>
      <c r="KM67" s="646"/>
      <c r="KN67" s="646"/>
      <c r="KO67" s="646"/>
      <c r="KP67" s="646"/>
      <c r="KQ67" s="646"/>
      <c r="KR67" s="646"/>
      <c r="KS67" s="646"/>
      <c r="KT67" s="646"/>
      <c r="KU67" s="646"/>
      <c r="KV67" s="646"/>
      <c r="KW67" s="646"/>
    </row>
    <row r="68" spans="1:309" s="748" customFormat="1" ht="20.100000000000001" customHeight="1">
      <c r="A68" s="646"/>
      <c r="B68" s="1565" t="s">
        <v>65</v>
      </c>
      <c r="C68" s="1412">
        <v>153</v>
      </c>
      <c r="D68" s="1414"/>
      <c r="E68" s="1414">
        <v>1.595</v>
      </c>
      <c r="F68" s="1414"/>
      <c r="G68" s="1414"/>
      <c r="H68" s="1414">
        <v>1.3519999999999999</v>
      </c>
      <c r="I68" s="1414"/>
      <c r="J68" s="1414"/>
      <c r="K68" s="1414"/>
      <c r="L68" s="1414"/>
      <c r="M68" s="1414"/>
      <c r="N68" s="1414"/>
      <c r="O68" s="1414"/>
      <c r="P68" s="1566">
        <f t="shared" si="8"/>
        <v>2.9470000000000001</v>
      </c>
      <c r="Q68" s="646"/>
      <c r="R68" s="646"/>
      <c r="S68" s="646"/>
      <c r="T68" s="646"/>
      <c r="U68" s="646"/>
      <c r="V68" s="646"/>
      <c r="W68" s="646"/>
      <c r="X68" s="646"/>
      <c r="Y68" s="646"/>
      <c r="Z68" s="646"/>
      <c r="AA68" s="646"/>
      <c r="AB68" s="646"/>
      <c r="AC68" s="646"/>
      <c r="AD68" s="646"/>
      <c r="AE68" s="646"/>
      <c r="AF68" s="646"/>
      <c r="AG68" s="646"/>
      <c r="AH68" s="646"/>
      <c r="AI68" s="646"/>
      <c r="AJ68" s="646"/>
      <c r="AK68" s="646"/>
      <c r="AL68" s="646"/>
      <c r="AM68" s="646"/>
      <c r="AN68" s="646"/>
      <c r="AO68" s="646"/>
      <c r="AP68" s="646"/>
      <c r="AQ68" s="646"/>
      <c r="AR68" s="646"/>
      <c r="AS68" s="646"/>
      <c r="AT68" s="646"/>
      <c r="AU68" s="646"/>
      <c r="AV68" s="646"/>
      <c r="AW68" s="646"/>
      <c r="AX68" s="646"/>
      <c r="AY68" s="646"/>
      <c r="AZ68" s="646"/>
      <c r="BA68" s="646"/>
      <c r="BB68" s="646"/>
      <c r="BC68" s="646"/>
      <c r="BD68" s="646"/>
      <c r="BE68" s="646"/>
      <c r="BF68" s="646"/>
      <c r="BG68" s="646"/>
      <c r="BH68" s="646"/>
      <c r="BI68" s="646"/>
      <c r="BJ68" s="646"/>
      <c r="BK68" s="646"/>
      <c r="BL68" s="646"/>
      <c r="BM68" s="646"/>
      <c r="BN68" s="646"/>
      <c r="BO68" s="646"/>
      <c r="BP68" s="646"/>
      <c r="BQ68" s="646"/>
      <c r="BR68" s="646"/>
      <c r="BS68" s="646"/>
      <c r="BT68" s="646"/>
      <c r="BU68" s="646"/>
      <c r="BV68" s="646"/>
      <c r="BW68" s="646"/>
      <c r="BX68" s="646"/>
      <c r="BY68" s="646"/>
      <c r="BZ68" s="646"/>
      <c r="CA68" s="646"/>
      <c r="CB68" s="646"/>
      <c r="CC68" s="646"/>
      <c r="CD68" s="646"/>
      <c r="CE68" s="646"/>
      <c r="CF68" s="646"/>
      <c r="CG68" s="646"/>
      <c r="CH68" s="646"/>
      <c r="CI68" s="646"/>
      <c r="CJ68" s="646"/>
      <c r="CK68" s="646"/>
      <c r="CL68" s="646"/>
      <c r="CM68" s="646"/>
      <c r="CN68" s="646"/>
      <c r="CO68" s="646"/>
      <c r="CP68" s="646"/>
      <c r="CQ68" s="646"/>
      <c r="CR68" s="646"/>
      <c r="CS68" s="646"/>
      <c r="CT68" s="646"/>
      <c r="CU68" s="646"/>
      <c r="CV68" s="646"/>
      <c r="CW68" s="646"/>
      <c r="CX68" s="646"/>
      <c r="CY68" s="646"/>
      <c r="CZ68" s="646"/>
      <c r="DA68" s="646"/>
      <c r="DB68" s="646"/>
      <c r="DC68" s="646"/>
      <c r="DD68" s="646"/>
      <c r="DE68" s="646"/>
      <c r="DF68" s="646"/>
      <c r="DG68" s="646"/>
      <c r="DH68" s="646"/>
      <c r="DI68" s="646"/>
      <c r="DJ68" s="646"/>
      <c r="DK68" s="646"/>
      <c r="DL68" s="646"/>
      <c r="DM68" s="646"/>
      <c r="DN68" s="646"/>
      <c r="DO68" s="646"/>
      <c r="DP68" s="646"/>
      <c r="DQ68" s="646"/>
      <c r="DR68" s="646"/>
      <c r="DS68" s="646"/>
      <c r="DT68" s="646"/>
      <c r="DU68" s="646"/>
      <c r="DV68" s="646"/>
      <c r="DW68" s="646"/>
      <c r="DX68" s="646"/>
      <c r="DY68" s="646"/>
      <c r="DZ68" s="646"/>
      <c r="EA68" s="646"/>
      <c r="EB68" s="646"/>
      <c r="EC68" s="646"/>
      <c r="ED68" s="646"/>
      <c r="EE68" s="646"/>
      <c r="EF68" s="646"/>
      <c r="EG68" s="646"/>
      <c r="EH68" s="646"/>
      <c r="EI68" s="646"/>
      <c r="EJ68" s="646"/>
      <c r="EK68" s="646"/>
      <c r="EL68" s="646"/>
      <c r="EM68" s="646"/>
      <c r="EN68" s="646"/>
      <c r="EO68" s="646"/>
      <c r="EP68" s="646"/>
      <c r="EQ68" s="646"/>
      <c r="ER68" s="646"/>
      <c r="ES68" s="646"/>
      <c r="ET68" s="646"/>
      <c r="EU68" s="646"/>
      <c r="EV68" s="646"/>
      <c r="EW68" s="646"/>
      <c r="EX68" s="646"/>
      <c r="EY68" s="646"/>
      <c r="EZ68" s="646"/>
      <c r="FA68" s="646"/>
      <c r="FB68" s="646"/>
      <c r="FC68" s="646"/>
      <c r="FD68" s="646"/>
      <c r="FE68" s="646"/>
      <c r="FF68" s="646"/>
      <c r="FG68" s="646"/>
      <c r="FH68" s="646"/>
      <c r="FI68" s="646"/>
      <c r="FJ68" s="646"/>
      <c r="FK68" s="646"/>
      <c r="FL68" s="646"/>
      <c r="FM68" s="646"/>
      <c r="FN68" s="646"/>
      <c r="FO68" s="646"/>
      <c r="FP68" s="646"/>
      <c r="FQ68" s="646"/>
      <c r="FR68" s="646"/>
      <c r="FS68" s="646"/>
      <c r="FT68" s="646"/>
      <c r="FU68" s="646"/>
      <c r="FV68" s="646"/>
      <c r="FW68" s="646"/>
      <c r="FX68" s="646"/>
      <c r="FY68" s="646"/>
      <c r="FZ68" s="646"/>
      <c r="GA68" s="646"/>
      <c r="GB68" s="646"/>
      <c r="GC68" s="646"/>
      <c r="GD68" s="646"/>
      <c r="GE68" s="646"/>
      <c r="GF68" s="646"/>
      <c r="GG68" s="646"/>
      <c r="GH68" s="646"/>
      <c r="GI68" s="646"/>
      <c r="GJ68" s="646"/>
      <c r="GK68" s="646"/>
      <c r="GL68" s="646"/>
      <c r="GM68" s="646"/>
      <c r="GN68" s="646"/>
      <c r="GO68" s="646"/>
      <c r="GP68" s="646"/>
      <c r="GQ68" s="646"/>
      <c r="GR68" s="646"/>
      <c r="GS68" s="646"/>
      <c r="GT68" s="646"/>
      <c r="GU68" s="646"/>
      <c r="GV68" s="646"/>
      <c r="GW68" s="646"/>
      <c r="GX68" s="646"/>
      <c r="GY68" s="646"/>
      <c r="GZ68" s="646"/>
      <c r="HA68" s="646"/>
      <c r="HB68" s="646"/>
      <c r="HC68" s="646"/>
      <c r="HD68" s="646"/>
      <c r="HE68" s="646"/>
      <c r="HF68" s="646"/>
      <c r="HG68" s="646"/>
      <c r="HH68" s="646"/>
      <c r="HI68" s="646"/>
      <c r="HJ68" s="646"/>
      <c r="HK68" s="646"/>
      <c r="HL68" s="646"/>
      <c r="HM68" s="646"/>
      <c r="HN68" s="646"/>
      <c r="HO68" s="646"/>
      <c r="HP68" s="646"/>
      <c r="HQ68" s="646"/>
      <c r="HR68" s="646"/>
      <c r="HS68" s="646"/>
      <c r="HT68" s="646"/>
      <c r="HU68" s="646"/>
      <c r="HV68" s="646"/>
      <c r="HW68" s="646"/>
      <c r="HX68" s="646"/>
      <c r="HY68" s="646"/>
      <c r="HZ68" s="646"/>
      <c r="IA68" s="646"/>
      <c r="IB68" s="646"/>
      <c r="IC68" s="646"/>
      <c r="ID68" s="646"/>
      <c r="IE68" s="646"/>
      <c r="IF68" s="646"/>
      <c r="IG68" s="646"/>
      <c r="IH68" s="646"/>
      <c r="II68" s="646"/>
      <c r="IJ68" s="646"/>
      <c r="IK68" s="646"/>
      <c r="IL68" s="646"/>
      <c r="IM68" s="646"/>
      <c r="IN68" s="646"/>
      <c r="IO68" s="646"/>
      <c r="IP68" s="646"/>
      <c r="IQ68" s="646"/>
      <c r="IR68" s="646"/>
      <c r="IS68" s="646"/>
      <c r="IT68" s="646"/>
      <c r="IU68" s="646"/>
      <c r="IV68" s="646"/>
      <c r="IW68" s="646"/>
      <c r="IX68" s="646"/>
      <c r="IY68" s="646"/>
      <c r="IZ68" s="646"/>
      <c r="JA68" s="646"/>
      <c r="JB68" s="646"/>
      <c r="JC68" s="646"/>
      <c r="JD68" s="646"/>
      <c r="JE68" s="646"/>
      <c r="JF68" s="646"/>
      <c r="JG68" s="646"/>
      <c r="JH68" s="646"/>
      <c r="JI68" s="646"/>
      <c r="JJ68" s="646"/>
      <c r="JK68" s="646"/>
      <c r="JL68" s="646"/>
      <c r="JM68" s="646"/>
      <c r="JN68" s="646"/>
      <c r="JO68" s="646"/>
      <c r="JP68" s="646"/>
      <c r="JQ68" s="646"/>
      <c r="JR68" s="646"/>
      <c r="JS68" s="646"/>
      <c r="JT68" s="646"/>
      <c r="JU68" s="646"/>
      <c r="JV68" s="646"/>
      <c r="JW68" s="646"/>
      <c r="JX68" s="646"/>
      <c r="JY68" s="646"/>
      <c r="JZ68" s="646"/>
      <c r="KA68" s="646"/>
      <c r="KB68" s="646"/>
      <c r="KC68" s="646"/>
      <c r="KD68" s="646"/>
      <c r="KE68" s="646"/>
      <c r="KF68" s="646"/>
      <c r="KG68" s="646"/>
      <c r="KH68" s="646"/>
      <c r="KI68" s="646"/>
      <c r="KJ68" s="646"/>
      <c r="KK68" s="646"/>
      <c r="KL68" s="646"/>
      <c r="KM68" s="646"/>
      <c r="KN68" s="646"/>
      <c r="KO68" s="646"/>
      <c r="KP68" s="646"/>
      <c r="KQ68" s="646"/>
      <c r="KR68" s="646"/>
      <c r="KS68" s="646"/>
      <c r="KT68" s="646"/>
      <c r="KU68" s="646"/>
      <c r="KV68" s="646"/>
      <c r="KW68" s="646"/>
    </row>
    <row r="69" spans="1:309" s="748" customFormat="1" ht="20.100000000000001" customHeight="1">
      <c r="A69" s="646"/>
      <c r="B69" s="1565" t="s">
        <v>472</v>
      </c>
      <c r="C69" s="1412">
        <v>154</v>
      </c>
      <c r="D69" s="1414"/>
      <c r="E69" s="1414"/>
      <c r="F69" s="1414"/>
      <c r="G69" s="1414">
        <v>1.6360000000000001</v>
      </c>
      <c r="H69" s="1414"/>
      <c r="I69" s="1414"/>
      <c r="J69" s="1414"/>
      <c r="K69" s="1414"/>
      <c r="L69" s="1414"/>
      <c r="M69" s="1414"/>
      <c r="N69" s="1414"/>
      <c r="O69" s="1414"/>
      <c r="P69" s="1566">
        <f t="shared" si="8"/>
        <v>1.6360000000000001</v>
      </c>
      <c r="Q69" s="646"/>
      <c r="R69" s="646"/>
      <c r="S69" s="646"/>
      <c r="T69" s="646"/>
      <c r="U69" s="646"/>
      <c r="V69" s="646"/>
      <c r="W69" s="646"/>
      <c r="X69" s="646"/>
      <c r="Y69" s="646"/>
      <c r="Z69" s="646"/>
      <c r="AA69" s="646"/>
      <c r="AB69" s="646"/>
      <c r="AC69" s="646"/>
      <c r="AD69" s="646"/>
      <c r="AE69" s="646"/>
      <c r="AF69" s="646"/>
      <c r="AG69" s="646"/>
      <c r="AH69" s="646"/>
      <c r="AI69" s="646"/>
      <c r="AJ69" s="646"/>
      <c r="AK69" s="646"/>
      <c r="AL69" s="646"/>
      <c r="AM69" s="646"/>
      <c r="AN69" s="646"/>
      <c r="AO69" s="646"/>
      <c r="AP69" s="646"/>
      <c r="AQ69" s="646"/>
      <c r="AR69" s="646"/>
      <c r="AS69" s="646"/>
      <c r="AT69" s="646"/>
      <c r="AU69" s="646"/>
      <c r="AV69" s="646"/>
      <c r="AW69" s="646"/>
      <c r="AX69" s="646"/>
      <c r="AY69" s="646"/>
      <c r="AZ69" s="646"/>
      <c r="BA69" s="646"/>
      <c r="BB69" s="646"/>
      <c r="BC69" s="646"/>
      <c r="BD69" s="646"/>
      <c r="BE69" s="646"/>
      <c r="BF69" s="646"/>
      <c r="BG69" s="646"/>
      <c r="BH69" s="646"/>
      <c r="BI69" s="646"/>
      <c r="BJ69" s="646"/>
      <c r="BK69" s="646"/>
      <c r="BL69" s="646"/>
      <c r="BM69" s="646"/>
      <c r="BN69" s="646"/>
      <c r="BO69" s="646"/>
      <c r="BP69" s="646"/>
      <c r="BQ69" s="646"/>
      <c r="BR69" s="646"/>
      <c r="BS69" s="646"/>
      <c r="BT69" s="646"/>
      <c r="BU69" s="646"/>
      <c r="BV69" s="646"/>
      <c r="BW69" s="646"/>
      <c r="BX69" s="646"/>
      <c r="BY69" s="646"/>
      <c r="BZ69" s="646"/>
      <c r="CA69" s="646"/>
      <c r="CB69" s="646"/>
      <c r="CC69" s="646"/>
      <c r="CD69" s="646"/>
      <c r="CE69" s="646"/>
      <c r="CF69" s="646"/>
      <c r="CG69" s="646"/>
      <c r="CH69" s="646"/>
      <c r="CI69" s="646"/>
      <c r="CJ69" s="646"/>
      <c r="CK69" s="646"/>
      <c r="CL69" s="646"/>
      <c r="CM69" s="646"/>
      <c r="CN69" s="646"/>
      <c r="CO69" s="646"/>
      <c r="CP69" s="646"/>
      <c r="CQ69" s="646"/>
      <c r="CR69" s="646"/>
      <c r="CS69" s="646"/>
      <c r="CT69" s="646"/>
      <c r="CU69" s="646"/>
      <c r="CV69" s="646"/>
      <c r="CW69" s="646"/>
      <c r="CX69" s="646"/>
      <c r="CY69" s="646"/>
      <c r="CZ69" s="646"/>
      <c r="DA69" s="646"/>
      <c r="DB69" s="646"/>
      <c r="DC69" s="646"/>
      <c r="DD69" s="646"/>
      <c r="DE69" s="646"/>
      <c r="DF69" s="646"/>
      <c r="DG69" s="646"/>
      <c r="DH69" s="646"/>
      <c r="DI69" s="646"/>
      <c r="DJ69" s="646"/>
      <c r="DK69" s="646"/>
      <c r="DL69" s="646"/>
      <c r="DM69" s="646"/>
      <c r="DN69" s="646"/>
      <c r="DO69" s="646"/>
      <c r="DP69" s="646"/>
      <c r="DQ69" s="646"/>
      <c r="DR69" s="646"/>
      <c r="DS69" s="646"/>
      <c r="DT69" s="646"/>
      <c r="DU69" s="646"/>
      <c r="DV69" s="646"/>
      <c r="DW69" s="646"/>
      <c r="DX69" s="646"/>
      <c r="DY69" s="646"/>
      <c r="DZ69" s="646"/>
      <c r="EA69" s="646"/>
      <c r="EB69" s="646"/>
      <c r="EC69" s="646"/>
      <c r="ED69" s="646"/>
      <c r="EE69" s="646"/>
      <c r="EF69" s="646"/>
      <c r="EG69" s="646"/>
      <c r="EH69" s="646"/>
      <c r="EI69" s="646"/>
      <c r="EJ69" s="646"/>
      <c r="EK69" s="646"/>
      <c r="EL69" s="646"/>
      <c r="EM69" s="646"/>
      <c r="EN69" s="646"/>
      <c r="EO69" s="646"/>
      <c r="EP69" s="646"/>
      <c r="EQ69" s="646"/>
      <c r="ER69" s="646"/>
      <c r="ES69" s="646"/>
      <c r="ET69" s="646"/>
      <c r="EU69" s="646"/>
      <c r="EV69" s="646"/>
      <c r="EW69" s="646"/>
      <c r="EX69" s="646"/>
      <c r="EY69" s="646"/>
      <c r="EZ69" s="646"/>
      <c r="FA69" s="646"/>
      <c r="FB69" s="646"/>
      <c r="FC69" s="646"/>
      <c r="FD69" s="646"/>
      <c r="FE69" s="646"/>
      <c r="FF69" s="646"/>
      <c r="FG69" s="646"/>
      <c r="FH69" s="646"/>
      <c r="FI69" s="646"/>
      <c r="FJ69" s="646"/>
      <c r="FK69" s="646"/>
      <c r="FL69" s="646"/>
      <c r="FM69" s="646"/>
      <c r="FN69" s="646"/>
      <c r="FO69" s="646"/>
      <c r="FP69" s="646"/>
      <c r="FQ69" s="646"/>
      <c r="FR69" s="646"/>
      <c r="FS69" s="646"/>
      <c r="FT69" s="646"/>
      <c r="FU69" s="646"/>
      <c r="FV69" s="646"/>
      <c r="FW69" s="646"/>
      <c r="FX69" s="646"/>
      <c r="FY69" s="646"/>
      <c r="FZ69" s="646"/>
      <c r="GA69" s="646"/>
      <c r="GB69" s="646"/>
      <c r="GC69" s="646"/>
      <c r="GD69" s="646"/>
      <c r="GE69" s="646"/>
      <c r="GF69" s="646"/>
      <c r="GG69" s="646"/>
      <c r="GH69" s="646"/>
      <c r="GI69" s="646"/>
      <c r="GJ69" s="646"/>
      <c r="GK69" s="646"/>
      <c r="GL69" s="646"/>
      <c r="GM69" s="646"/>
      <c r="GN69" s="646"/>
      <c r="GO69" s="646"/>
      <c r="GP69" s="646"/>
      <c r="GQ69" s="646"/>
      <c r="GR69" s="646"/>
      <c r="GS69" s="646"/>
      <c r="GT69" s="646"/>
      <c r="GU69" s="646"/>
      <c r="GV69" s="646"/>
      <c r="GW69" s="646"/>
      <c r="GX69" s="646"/>
      <c r="GY69" s="646"/>
      <c r="GZ69" s="646"/>
      <c r="HA69" s="646"/>
      <c r="HB69" s="646"/>
      <c r="HC69" s="646"/>
      <c r="HD69" s="646"/>
      <c r="HE69" s="646"/>
      <c r="HF69" s="646"/>
      <c r="HG69" s="646"/>
      <c r="HH69" s="646"/>
      <c r="HI69" s="646"/>
      <c r="HJ69" s="646"/>
      <c r="HK69" s="646"/>
      <c r="HL69" s="646"/>
      <c r="HM69" s="646"/>
      <c r="HN69" s="646"/>
      <c r="HO69" s="646"/>
      <c r="HP69" s="646"/>
      <c r="HQ69" s="646"/>
      <c r="HR69" s="646"/>
      <c r="HS69" s="646"/>
      <c r="HT69" s="646"/>
      <c r="HU69" s="646"/>
      <c r="HV69" s="646"/>
      <c r="HW69" s="646"/>
      <c r="HX69" s="646"/>
      <c r="HY69" s="646"/>
      <c r="HZ69" s="646"/>
      <c r="IA69" s="646"/>
      <c r="IB69" s="646"/>
      <c r="IC69" s="646"/>
      <c r="ID69" s="646"/>
      <c r="IE69" s="646"/>
      <c r="IF69" s="646"/>
      <c r="IG69" s="646"/>
      <c r="IH69" s="646"/>
      <c r="II69" s="646"/>
      <c r="IJ69" s="646"/>
      <c r="IK69" s="646"/>
      <c r="IL69" s="646"/>
      <c r="IM69" s="646"/>
      <c r="IN69" s="646"/>
      <c r="IO69" s="646"/>
      <c r="IP69" s="646"/>
      <c r="IQ69" s="646"/>
      <c r="IR69" s="646"/>
      <c r="IS69" s="646"/>
      <c r="IT69" s="646"/>
      <c r="IU69" s="646"/>
      <c r="IV69" s="646"/>
      <c r="IW69" s="646"/>
      <c r="IX69" s="646"/>
      <c r="IY69" s="646"/>
      <c r="IZ69" s="646"/>
      <c r="JA69" s="646"/>
      <c r="JB69" s="646"/>
      <c r="JC69" s="646"/>
      <c r="JD69" s="646"/>
      <c r="JE69" s="646"/>
      <c r="JF69" s="646"/>
      <c r="JG69" s="646"/>
      <c r="JH69" s="646"/>
      <c r="JI69" s="646"/>
      <c r="JJ69" s="646"/>
      <c r="JK69" s="646"/>
      <c r="JL69" s="646"/>
      <c r="JM69" s="646"/>
      <c r="JN69" s="646"/>
      <c r="JO69" s="646"/>
      <c r="JP69" s="646"/>
      <c r="JQ69" s="646"/>
      <c r="JR69" s="646"/>
      <c r="JS69" s="646"/>
      <c r="JT69" s="646"/>
      <c r="JU69" s="646"/>
      <c r="JV69" s="646"/>
      <c r="JW69" s="646"/>
      <c r="JX69" s="646"/>
      <c r="JY69" s="646"/>
      <c r="JZ69" s="646"/>
      <c r="KA69" s="646"/>
      <c r="KB69" s="646"/>
      <c r="KC69" s="646"/>
      <c r="KD69" s="646"/>
      <c r="KE69" s="646"/>
      <c r="KF69" s="646"/>
      <c r="KG69" s="646"/>
      <c r="KH69" s="646"/>
      <c r="KI69" s="646"/>
      <c r="KJ69" s="646"/>
      <c r="KK69" s="646"/>
      <c r="KL69" s="646"/>
      <c r="KM69" s="646"/>
      <c r="KN69" s="646"/>
      <c r="KO69" s="646"/>
      <c r="KP69" s="646"/>
      <c r="KQ69" s="646"/>
      <c r="KR69" s="646"/>
      <c r="KS69" s="646"/>
      <c r="KT69" s="646"/>
      <c r="KU69" s="646"/>
      <c r="KV69" s="646"/>
      <c r="KW69" s="646"/>
    </row>
    <row r="70" spans="1:309" ht="20.100000000000001" customHeight="1">
      <c r="A70" s="402"/>
      <c r="B70" s="1565" t="s">
        <v>444</v>
      </c>
      <c r="C70" s="1412">
        <v>156</v>
      </c>
      <c r="D70" s="1414"/>
      <c r="E70" s="1414"/>
      <c r="F70" s="1414"/>
      <c r="G70" s="1414"/>
      <c r="H70" s="1414">
        <v>0.16</v>
      </c>
      <c r="I70" s="1414"/>
      <c r="J70" s="1414"/>
      <c r="K70" s="1414"/>
      <c r="L70" s="1414"/>
      <c r="M70" s="1414"/>
      <c r="N70" s="1414"/>
      <c r="O70" s="1414"/>
      <c r="P70" s="1566">
        <f t="shared" si="8"/>
        <v>0.16</v>
      </c>
    </row>
    <row r="71" spans="1:309" ht="20.100000000000001" customHeight="1">
      <c r="A71" s="402"/>
      <c r="B71" s="1565" t="s">
        <v>446</v>
      </c>
      <c r="C71" s="1412">
        <v>161</v>
      </c>
      <c r="D71" s="1414"/>
      <c r="E71" s="1414"/>
      <c r="F71" s="1414"/>
      <c r="G71" s="1414"/>
      <c r="H71" s="1414"/>
      <c r="I71" s="1414">
        <v>0.96299999999999997</v>
      </c>
      <c r="J71" s="1414"/>
      <c r="K71" s="1414"/>
      <c r="L71" s="1414"/>
      <c r="M71" s="1414"/>
      <c r="N71" s="1414"/>
      <c r="O71" s="1414"/>
      <c r="P71" s="1566">
        <f t="shared" si="8"/>
        <v>0.96299999999999997</v>
      </c>
    </row>
    <row r="72" spans="1:309" ht="20.100000000000001" customHeight="1">
      <c r="A72" s="402"/>
      <c r="B72" s="1565" t="s">
        <v>444</v>
      </c>
      <c r="C72" s="1412">
        <v>162</v>
      </c>
      <c r="D72" s="1414"/>
      <c r="E72" s="1414"/>
      <c r="F72" s="1414"/>
      <c r="G72" s="1414">
        <v>0.39900000000000002</v>
      </c>
      <c r="H72" s="1414"/>
      <c r="I72" s="1414"/>
      <c r="J72" s="1414"/>
      <c r="K72" s="1414"/>
      <c r="L72" s="1414"/>
      <c r="M72" s="1414"/>
      <c r="N72" s="1414"/>
      <c r="O72" s="1414"/>
      <c r="P72" s="1566">
        <f t="shared" si="8"/>
        <v>0.39900000000000002</v>
      </c>
    </row>
    <row r="73" spans="1:309" ht="20.100000000000001" customHeight="1">
      <c r="A73" s="402"/>
      <c r="B73" s="1565" t="s">
        <v>446</v>
      </c>
      <c r="C73" s="1412">
        <v>163</v>
      </c>
      <c r="D73" s="1414"/>
      <c r="E73" s="1414"/>
      <c r="F73" s="1414"/>
      <c r="G73" s="1414"/>
      <c r="H73" s="1414">
        <v>8.3000000000000004E-2</v>
      </c>
      <c r="I73" s="1414"/>
      <c r="J73" s="1414"/>
      <c r="K73" s="1414"/>
      <c r="L73" s="1414"/>
      <c r="M73" s="1414"/>
      <c r="N73" s="1414"/>
      <c r="O73" s="1414"/>
      <c r="P73" s="1566">
        <f t="shared" si="8"/>
        <v>8.3000000000000004E-2</v>
      </c>
    </row>
    <row r="74" spans="1:309" ht="20.100000000000001" customHeight="1" thickBot="1">
      <c r="A74" s="402"/>
      <c r="B74" s="1565" t="s">
        <v>444</v>
      </c>
      <c r="C74" s="1522">
        <v>164</v>
      </c>
      <c r="D74" s="1414"/>
      <c r="E74" s="1414"/>
      <c r="F74" s="1414"/>
      <c r="G74" s="1414">
        <v>0.14000000000000001</v>
      </c>
      <c r="H74" s="1414">
        <v>0.127</v>
      </c>
      <c r="I74" s="1414"/>
      <c r="J74" s="1414"/>
      <c r="K74" s="1414"/>
      <c r="L74" s="1414"/>
      <c r="M74" s="1414"/>
      <c r="N74" s="1414"/>
      <c r="O74" s="1414"/>
      <c r="P74" s="1905">
        <f>SUM(D74:O74)</f>
        <v>0.26700000000000002</v>
      </c>
    </row>
    <row r="75" spans="1:309" ht="20.100000000000001" customHeight="1" thickBot="1">
      <c r="A75" s="402"/>
      <c r="B75" s="3131" t="s">
        <v>686</v>
      </c>
      <c r="C75" s="3132"/>
      <c r="D75" s="1567">
        <f>SUM(D56:D74)</f>
        <v>5116.7179999999989</v>
      </c>
      <c r="E75" s="1567">
        <f t="shared" ref="E75:K75" si="9">SUM(E56:E74)</f>
        <v>4665.9340000000002</v>
      </c>
      <c r="F75" s="1567">
        <f t="shared" si="9"/>
        <v>5209.0269999999991</v>
      </c>
      <c r="G75" s="1567">
        <f t="shared" si="9"/>
        <v>4986.0790000000015</v>
      </c>
      <c r="H75" s="1567">
        <f t="shared" si="9"/>
        <v>5205.3419999999987</v>
      </c>
      <c r="I75" s="1567">
        <f t="shared" si="9"/>
        <v>5027.9719999999998</v>
      </c>
      <c r="J75" s="1567">
        <f t="shared" si="9"/>
        <v>4757.7690000000011</v>
      </c>
      <c r="K75" s="1567">
        <f t="shared" si="9"/>
        <v>4362.2400000000016</v>
      </c>
      <c r="L75" s="1567">
        <f>SUM(L56:L74)</f>
        <v>5.0000000000000001E-3</v>
      </c>
      <c r="M75" s="1567">
        <f t="shared" ref="M75" si="10">SUM(M56:M74)</f>
        <v>1.2E-2</v>
      </c>
      <c r="N75" s="1567">
        <f>SUM(N56:N74)</f>
        <v>5.8000000000000003E-2</v>
      </c>
      <c r="O75" s="1904">
        <f>SUM(O56:O74)</f>
        <v>4.7520000000000007</v>
      </c>
      <c r="P75" s="1906">
        <f>SUM(P56:P74)</f>
        <v>39335.907999999996</v>
      </c>
    </row>
    <row r="76" spans="1:309" ht="20.100000000000001" customHeight="1">
      <c r="A76" s="402"/>
      <c r="B76" s="844"/>
      <c r="C76" s="844"/>
      <c r="D76" s="844"/>
      <c r="E76" s="844"/>
      <c r="F76" s="844"/>
      <c r="G76" s="844"/>
      <c r="H76" s="844"/>
      <c r="I76" s="844"/>
      <c r="J76" s="844"/>
      <c r="K76" s="844"/>
      <c r="L76" s="844"/>
      <c r="M76" s="844"/>
      <c r="N76" s="844"/>
      <c r="O76" s="844"/>
    </row>
    <row r="77" spans="1:309" ht="20.100000000000001" customHeight="1" thickBot="1">
      <c r="A77" s="402"/>
      <c r="B77" s="844"/>
      <c r="C77" s="844"/>
      <c r="D77" s="844"/>
      <c r="E77" s="844"/>
      <c r="F77" s="844"/>
      <c r="G77" s="844"/>
      <c r="H77" s="844"/>
      <c r="I77" s="844"/>
      <c r="J77" s="844"/>
      <c r="K77" s="844"/>
      <c r="L77" s="844"/>
      <c r="M77" s="844"/>
      <c r="N77" s="844"/>
      <c r="O77" s="844"/>
    </row>
    <row r="78" spans="1:309" ht="20.100000000000001" customHeight="1" thickBot="1">
      <c r="A78" s="402"/>
      <c r="B78" s="3133" t="s">
        <v>706</v>
      </c>
      <c r="C78" s="3134"/>
      <c r="D78" s="3134"/>
      <c r="E78" s="3134"/>
      <c r="F78" s="3134"/>
      <c r="G78" s="3134"/>
      <c r="H78" s="3134"/>
      <c r="I78" s="3134"/>
      <c r="J78" s="3134"/>
      <c r="K78" s="3134"/>
      <c r="L78" s="3134"/>
      <c r="M78" s="3134"/>
      <c r="N78" s="3134"/>
      <c r="O78" s="3135"/>
    </row>
    <row r="79" spans="1:309" ht="20.100000000000001" customHeight="1">
      <c r="A79" s="402"/>
      <c r="B79" s="367"/>
      <c r="C79" s="367"/>
      <c r="D79" s="367"/>
      <c r="E79" s="367"/>
      <c r="F79" s="367"/>
      <c r="G79" s="367"/>
      <c r="H79" s="367"/>
      <c r="I79" s="367"/>
      <c r="J79" s="402"/>
      <c r="K79" s="402"/>
      <c r="L79" s="402"/>
      <c r="M79" s="402"/>
      <c r="N79" s="646"/>
      <c r="O79" s="272"/>
    </row>
    <row r="80" spans="1:309" ht="20.100000000000001" customHeight="1" thickBot="1">
      <c r="A80" s="402"/>
      <c r="B80" s="3125" t="s">
        <v>687</v>
      </c>
      <c r="C80" s="2986"/>
      <c r="D80" s="2986"/>
      <c r="E80" s="2986"/>
      <c r="F80" s="2986"/>
      <c r="G80" s="2986"/>
      <c r="H80" s="2986"/>
      <c r="I80" s="2986"/>
      <c r="J80" s="2986"/>
      <c r="K80" s="2986"/>
      <c r="L80" s="2986"/>
      <c r="M80" s="2986"/>
      <c r="N80" s="2986"/>
      <c r="O80" s="2986"/>
    </row>
    <row r="81" spans="1:15" ht="20.100000000000001" customHeight="1" thickBot="1">
      <c r="A81" s="402"/>
      <c r="B81" s="1347" t="s">
        <v>688</v>
      </c>
      <c r="C81" s="1348" t="s">
        <v>689</v>
      </c>
      <c r="D81" s="1349" t="s">
        <v>471</v>
      </c>
      <c r="E81" s="1350" t="s">
        <v>690</v>
      </c>
      <c r="F81" s="1350" t="s">
        <v>60</v>
      </c>
      <c r="G81" s="1350" t="s">
        <v>61</v>
      </c>
      <c r="H81" s="1774" t="s">
        <v>62</v>
      </c>
      <c r="I81" s="1350" t="s">
        <v>63</v>
      </c>
      <c r="J81" s="1350" t="s">
        <v>64</v>
      </c>
      <c r="K81" s="1350" t="s">
        <v>65</v>
      </c>
      <c r="L81" s="1350" t="s">
        <v>472</v>
      </c>
      <c r="M81" s="1350" t="s">
        <v>446</v>
      </c>
      <c r="N81" s="1351" t="s">
        <v>691</v>
      </c>
      <c r="O81" s="243" t="s">
        <v>427</v>
      </c>
    </row>
    <row r="82" spans="1:15" ht="20.100000000000001" customHeight="1">
      <c r="A82" s="402"/>
      <c r="B82" s="1348" t="s">
        <v>471</v>
      </c>
      <c r="C82" s="1411">
        <v>103</v>
      </c>
      <c r="D82" s="1412">
        <v>0.22</v>
      </c>
      <c r="E82" s="1412"/>
      <c r="F82" s="1412"/>
      <c r="G82" s="1412"/>
      <c r="H82" s="1412"/>
      <c r="I82" s="1773"/>
      <c r="J82" s="1412"/>
      <c r="K82" s="1412"/>
      <c r="L82" s="1412"/>
      <c r="M82" s="1412"/>
      <c r="N82" s="1412"/>
      <c r="O82" s="1412">
        <f>SUM(D82:N82)</f>
        <v>0.22</v>
      </c>
    </row>
    <row r="83" spans="1:15" ht="20.100000000000001" customHeight="1">
      <c r="A83" s="402"/>
      <c r="B83" s="1348" t="s">
        <v>690</v>
      </c>
      <c r="C83" s="1411">
        <v>104</v>
      </c>
      <c r="D83" s="1412"/>
      <c r="E83" s="1412">
        <v>0.11599999999999999</v>
      </c>
      <c r="F83" s="1412"/>
      <c r="G83" s="1412"/>
      <c r="H83" s="1412"/>
      <c r="I83" s="1773"/>
      <c r="J83" s="1412"/>
      <c r="K83" s="1412">
        <v>6</v>
      </c>
      <c r="L83" s="1412"/>
      <c r="M83" s="1412"/>
      <c r="N83" s="1412"/>
      <c r="O83" s="1412">
        <f t="shared" ref="O83:O109" si="11">SUM(D83:N83)</f>
        <v>6.1159999999999997</v>
      </c>
    </row>
    <row r="84" spans="1:15" ht="20.100000000000001" customHeight="1">
      <c r="A84" s="402"/>
      <c r="B84" s="1348" t="s">
        <v>690</v>
      </c>
      <c r="C84" s="1411">
        <v>105</v>
      </c>
      <c r="D84" s="1412"/>
      <c r="E84" s="1412">
        <v>0.20100000000000001</v>
      </c>
      <c r="F84" s="1412"/>
      <c r="G84" s="1412"/>
      <c r="H84" s="1412"/>
      <c r="I84" s="1773"/>
      <c r="J84" s="1412"/>
      <c r="K84" s="1412"/>
      <c r="L84" s="1412"/>
      <c r="M84" s="1412"/>
      <c r="N84" s="1412"/>
      <c r="O84" s="1412">
        <f t="shared" si="11"/>
        <v>0.20100000000000001</v>
      </c>
    </row>
    <row r="85" spans="1:15" ht="20.100000000000001" customHeight="1">
      <c r="A85" s="402"/>
      <c r="B85" s="1348" t="s">
        <v>690</v>
      </c>
      <c r="C85" s="1411">
        <v>106</v>
      </c>
      <c r="D85" s="1412"/>
      <c r="E85" s="1412">
        <v>6.4000000000000001E-2</v>
      </c>
      <c r="F85" s="1412"/>
      <c r="G85" s="1412"/>
      <c r="H85" s="1412"/>
      <c r="I85" s="1773"/>
      <c r="J85" s="1412"/>
      <c r="K85" s="1412"/>
      <c r="L85" s="1412"/>
      <c r="M85" s="1412"/>
      <c r="N85" s="1412"/>
      <c r="O85" s="1412">
        <f t="shared" si="11"/>
        <v>6.4000000000000001E-2</v>
      </c>
    </row>
    <row r="86" spans="1:15" ht="20.100000000000001" customHeight="1">
      <c r="A86" s="402"/>
      <c r="B86" s="1348" t="s">
        <v>690</v>
      </c>
      <c r="C86" s="1411">
        <v>144</v>
      </c>
      <c r="D86" s="1412"/>
      <c r="E86" s="1412"/>
      <c r="F86" s="1412"/>
      <c r="G86" s="1412"/>
      <c r="H86" s="1412"/>
      <c r="I86" s="1773"/>
      <c r="J86" s="1412"/>
      <c r="K86" s="1412">
        <v>2.7399999999999998</v>
      </c>
      <c r="L86" s="1412"/>
      <c r="M86" s="1412"/>
      <c r="N86" s="1412"/>
      <c r="O86" s="1412">
        <f t="shared" si="11"/>
        <v>2.7399999999999998</v>
      </c>
    </row>
    <row r="87" spans="1:15" ht="20.100000000000001" customHeight="1">
      <c r="A87" s="402"/>
      <c r="B87" s="1348" t="s">
        <v>690</v>
      </c>
      <c r="C87" s="1411">
        <v>145</v>
      </c>
      <c r="D87" s="1412"/>
      <c r="E87" s="1412"/>
      <c r="F87" s="1412"/>
      <c r="G87" s="1412"/>
      <c r="H87" s="1412">
        <v>1.5940000000000001</v>
      </c>
      <c r="I87" s="1773"/>
      <c r="J87" s="1412"/>
      <c r="K87" s="1412"/>
      <c r="L87" s="1412"/>
      <c r="M87" s="1412"/>
      <c r="N87" s="1412"/>
      <c r="O87" s="1412">
        <f t="shared" si="11"/>
        <v>1.5940000000000001</v>
      </c>
    </row>
    <row r="88" spans="1:15" ht="20.100000000000001" customHeight="1">
      <c r="A88" s="402"/>
      <c r="B88" s="1348" t="s">
        <v>60</v>
      </c>
      <c r="C88" s="1411">
        <v>107</v>
      </c>
      <c r="D88" s="1412"/>
      <c r="E88" s="1412"/>
      <c r="F88" s="1945">
        <v>8.8389999999999986</v>
      </c>
      <c r="G88" s="1412"/>
      <c r="H88" s="1412"/>
      <c r="I88" s="1773"/>
      <c r="J88" s="1412"/>
      <c r="K88" s="1412"/>
      <c r="L88" s="1412"/>
      <c r="M88" s="1412"/>
      <c r="N88" s="1412"/>
      <c r="O88" s="1412">
        <f t="shared" si="11"/>
        <v>8.8389999999999986</v>
      </c>
    </row>
    <row r="89" spans="1:15" ht="20.100000000000001" customHeight="1">
      <c r="A89" s="402"/>
      <c r="B89" s="1348" t="s">
        <v>60</v>
      </c>
      <c r="C89" s="1411">
        <v>108</v>
      </c>
      <c r="D89" s="1412"/>
      <c r="E89" s="1412"/>
      <c r="F89" s="1414">
        <v>6.8710000000000004</v>
      </c>
      <c r="G89" s="1414">
        <v>9.8320000000000007</v>
      </c>
      <c r="H89" s="1412"/>
      <c r="I89" s="1773"/>
      <c r="J89" s="1412"/>
      <c r="K89" s="1412"/>
      <c r="L89" s="1412"/>
      <c r="M89" s="1412"/>
      <c r="N89" s="1412"/>
      <c r="O89" s="1412">
        <f t="shared" si="11"/>
        <v>16.703000000000003</v>
      </c>
    </row>
    <row r="90" spans="1:15" ht="20.100000000000001" customHeight="1">
      <c r="A90" s="402"/>
      <c r="B90" s="1348" t="s">
        <v>61</v>
      </c>
      <c r="C90" s="1411">
        <v>109</v>
      </c>
      <c r="D90" s="1412"/>
      <c r="E90" s="1412"/>
      <c r="F90" s="1573"/>
      <c r="G90" s="1414">
        <v>19118.192999999919</v>
      </c>
      <c r="H90" s="1412"/>
      <c r="I90" s="1773"/>
      <c r="J90" s="1412"/>
      <c r="K90" s="1412"/>
      <c r="L90" s="1412"/>
      <c r="M90" s="1412"/>
      <c r="N90" s="1412"/>
      <c r="O90" s="1412">
        <f t="shared" si="11"/>
        <v>19118.192999999919</v>
      </c>
    </row>
    <row r="91" spans="1:15" ht="20.100000000000001" customHeight="1">
      <c r="A91" s="402"/>
      <c r="B91" s="1348" t="s">
        <v>61</v>
      </c>
      <c r="C91" s="1411">
        <v>110</v>
      </c>
      <c r="D91" s="1412"/>
      <c r="E91" s="1412"/>
      <c r="F91" s="1573"/>
      <c r="G91" s="1414">
        <v>2135.0229999999997</v>
      </c>
      <c r="H91" s="1412">
        <v>19.831</v>
      </c>
      <c r="I91" s="1773"/>
      <c r="J91" s="1412"/>
      <c r="K91" s="1412"/>
      <c r="L91" s="1412"/>
      <c r="M91" s="1412"/>
      <c r="N91" s="1412"/>
      <c r="O91" s="1412">
        <f t="shared" si="11"/>
        <v>2154.8539999999998</v>
      </c>
    </row>
    <row r="92" spans="1:15" ht="20.100000000000001" customHeight="1">
      <c r="A92" s="402"/>
      <c r="B92" s="1348" t="s">
        <v>61</v>
      </c>
      <c r="C92" s="1411">
        <v>149</v>
      </c>
      <c r="D92" s="1412"/>
      <c r="E92" s="1412"/>
      <c r="F92" s="1412"/>
      <c r="G92" s="1274">
        <v>3</v>
      </c>
      <c r="H92" s="1412"/>
      <c r="I92" s="1773"/>
      <c r="J92" s="1412"/>
      <c r="K92" s="1412"/>
      <c r="L92" s="1412"/>
      <c r="M92" s="1412"/>
      <c r="N92" s="1412"/>
      <c r="O92" s="1412">
        <f t="shared" si="11"/>
        <v>3</v>
      </c>
    </row>
    <row r="93" spans="1:15" ht="20.100000000000001" customHeight="1">
      <c r="A93" s="402"/>
      <c r="B93" s="1348" t="s">
        <v>62</v>
      </c>
      <c r="C93" s="1411">
        <v>111</v>
      </c>
      <c r="D93" s="1412"/>
      <c r="E93" s="1412"/>
      <c r="F93" s="1412"/>
      <c r="G93" s="1412"/>
      <c r="H93" s="1414">
        <v>68102.007000000056</v>
      </c>
      <c r="I93" s="1773"/>
      <c r="J93" s="1412"/>
      <c r="K93" s="1412"/>
      <c r="L93" s="1412"/>
      <c r="M93" s="1412"/>
      <c r="N93" s="1412"/>
      <c r="O93" s="1412">
        <f t="shared" si="11"/>
        <v>68102.007000000056</v>
      </c>
    </row>
    <row r="94" spans="1:15" ht="20.100000000000001" customHeight="1">
      <c r="A94" s="402"/>
      <c r="B94" s="1348" t="s">
        <v>62</v>
      </c>
      <c r="C94" s="1411">
        <v>130</v>
      </c>
      <c r="D94" s="1412"/>
      <c r="E94" s="1412"/>
      <c r="F94" s="1412"/>
      <c r="G94" s="1412"/>
      <c r="H94" s="1414">
        <v>14.847</v>
      </c>
      <c r="I94" s="1773"/>
      <c r="J94" s="1412"/>
      <c r="K94" s="1412"/>
      <c r="L94" s="1412"/>
      <c r="M94" s="1412"/>
      <c r="N94" s="1412"/>
      <c r="O94" s="1412">
        <f t="shared" si="11"/>
        <v>14.847</v>
      </c>
    </row>
    <row r="95" spans="1:15" ht="20.100000000000001" customHeight="1">
      <c r="A95" s="402"/>
      <c r="B95" s="1348" t="s">
        <v>62</v>
      </c>
      <c r="C95" s="1411">
        <v>131</v>
      </c>
      <c r="D95" s="1412"/>
      <c r="E95" s="1412"/>
      <c r="F95" s="1412"/>
      <c r="G95" s="1412"/>
      <c r="H95" s="1414">
        <v>1.738</v>
      </c>
      <c r="I95" s="1773"/>
      <c r="J95" s="1412"/>
      <c r="K95" s="1412"/>
      <c r="L95" s="1412"/>
      <c r="M95" s="1412"/>
      <c r="N95" s="1412"/>
      <c r="O95" s="1412">
        <f t="shared" si="11"/>
        <v>1.738</v>
      </c>
    </row>
    <row r="96" spans="1:15" ht="20.100000000000001" customHeight="1">
      <c r="A96" s="402"/>
      <c r="B96" s="1348" t="s">
        <v>62</v>
      </c>
      <c r="C96" s="1411">
        <v>132</v>
      </c>
      <c r="D96" s="1412"/>
      <c r="E96" s="1412"/>
      <c r="F96" s="1412"/>
      <c r="G96" s="1412"/>
      <c r="H96" s="1414">
        <v>2.1949999999999998</v>
      </c>
      <c r="I96" s="1773"/>
      <c r="J96" s="1412"/>
      <c r="K96" s="1412"/>
      <c r="L96" s="1412"/>
      <c r="M96" s="1412"/>
      <c r="N96" s="1412"/>
      <c r="O96" s="1412">
        <f t="shared" si="11"/>
        <v>2.1949999999999998</v>
      </c>
    </row>
    <row r="97" spans="1:15" ht="20.100000000000001" customHeight="1">
      <c r="A97" s="402"/>
      <c r="B97" s="1348" t="s">
        <v>62</v>
      </c>
      <c r="C97" s="1411">
        <v>150</v>
      </c>
      <c r="D97" s="1412"/>
      <c r="E97" s="1412"/>
      <c r="F97" s="1412"/>
      <c r="G97" s="1412"/>
      <c r="H97" s="1414">
        <v>8.7739999999999991</v>
      </c>
      <c r="I97" s="1773"/>
      <c r="J97" s="1412"/>
      <c r="K97" s="1412"/>
      <c r="L97" s="1412"/>
      <c r="M97" s="1412"/>
      <c r="N97" s="1412"/>
      <c r="O97" s="1412">
        <f t="shared" si="11"/>
        <v>8.7739999999999991</v>
      </c>
    </row>
    <row r="98" spans="1:15" ht="20.100000000000001" customHeight="1">
      <c r="A98" s="402"/>
      <c r="B98" s="1348" t="s">
        <v>63</v>
      </c>
      <c r="C98" s="1411">
        <v>112</v>
      </c>
      <c r="D98" s="1412"/>
      <c r="E98" s="1412"/>
      <c r="F98" s="1412"/>
      <c r="G98" s="1412"/>
      <c r="H98" s="1414">
        <v>5.4830000000000005</v>
      </c>
      <c r="I98" s="1945">
        <v>0.64800000000000013</v>
      </c>
      <c r="J98" s="1412"/>
      <c r="K98" s="1412"/>
      <c r="L98" s="1412"/>
      <c r="M98" s="1412"/>
      <c r="N98" s="1412"/>
      <c r="O98" s="1412">
        <f t="shared" si="11"/>
        <v>6.1310000000000002</v>
      </c>
    </row>
    <row r="99" spans="1:15" ht="20.100000000000001" customHeight="1">
      <c r="A99" s="402"/>
      <c r="B99" s="1348" t="s">
        <v>64</v>
      </c>
      <c r="C99" s="1411">
        <v>113</v>
      </c>
      <c r="D99" s="1412"/>
      <c r="E99" s="1412"/>
      <c r="F99" s="1412"/>
      <c r="G99" s="1412"/>
      <c r="H99" s="1414">
        <v>5.9669999999999996</v>
      </c>
      <c r="I99" s="1773"/>
      <c r="J99" s="1945">
        <v>136.72300000000007</v>
      </c>
      <c r="K99" s="1412"/>
      <c r="L99" s="1412"/>
      <c r="M99" s="1412"/>
      <c r="N99" s="1412"/>
      <c r="O99" s="1412">
        <f t="shared" si="11"/>
        <v>142.69000000000008</v>
      </c>
    </row>
    <row r="100" spans="1:15" ht="20.100000000000001" customHeight="1">
      <c r="A100" s="402"/>
      <c r="B100" s="1348" t="s">
        <v>65</v>
      </c>
      <c r="C100" s="1411">
        <v>114</v>
      </c>
      <c r="D100" s="1412"/>
      <c r="E100" s="1412"/>
      <c r="F100" s="1412"/>
      <c r="G100" s="1412"/>
      <c r="H100" s="1412"/>
      <c r="I100" s="1773"/>
      <c r="J100" s="1412"/>
      <c r="K100" s="1414">
        <v>54508.096000000136</v>
      </c>
      <c r="L100" s="1412"/>
      <c r="M100" s="1412"/>
      <c r="N100" s="1412"/>
      <c r="O100" s="1412">
        <f t="shared" si="11"/>
        <v>54508.096000000136</v>
      </c>
    </row>
    <row r="101" spans="1:15" ht="20.100000000000001" customHeight="1">
      <c r="A101" s="402"/>
      <c r="B101" s="1348" t="s">
        <v>65</v>
      </c>
      <c r="C101" s="1411">
        <v>153</v>
      </c>
      <c r="D101" s="1412"/>
      <c r="E101" s="1412"/>
      <c r="F101" s="1412"/>
      <c r="G101" s="1412"/>
      <c r="H101" s="1412"/>
      <c r="I101" s="1773"/>
      <c r="J101" s="1412"/>
      <c r="K101" s="1414">
        <v>3.9260000000000002</v>
      </c>
      <c r="L101" s="1412"/>
      <c r="M101" s="1412"/>
      <c r="N101" s="1412"/>
      <c r="O101" s="1412">
        <f t="shared" si="11"/>
        <v>3.9260000000000002</v>
      </c>
    </row>
    <row r="102" spans="1:15" ht="20.100000000000001" customHeight="1">
      <c r="A102" s="402"/>
      <c r="B102" s="1348" t="s">
        <v>472</v>
      </c>
      <c r="C102" s="1411">
        <v>115</v>
      </c>
      <c r="D102" s="1412"/>
      <c r="E102" s="1412"/>
      <c r="F102" s="1412"/>
      <c r="G102" s="1412"/>
      <c r="H102" s="1412"/>
      <c r="I102" s="1773"/>
      <c r="J102" s="1412"/>
      <c r="K102" s="1412">
        <v>6</v>
      </c>
      <c r="L102" s="1412">
        <v>3.5350000000000001</v>
      </c>
      <c r="M102" s="1412"/>
      <c r="N102" s="1412"/>
      <c r="O102" s="1412">
        <f t="shared" si="11"/>
        <v>9.5350000000000001</v>
      </c>
    </row>
    <row r="103" spans="1:15" ht="20.100000000000001" customHeight="1">
      <c r="A103" s="402"/>
      <c r="B103" s="1348" t="s">
        <v>444</v>
      </c>
      <c r="C103" s="1411">
        <v>117</v>
      </c>
      <c r="D103" s="1412"/>
      <c r="E103" s="1412"/>
      <c r="F103" s="1412"/>
      <c r="G103" s="1412"/>
      <c r="H103" s="1412"/>
      <c r="I103" s="1773"/>
      <c r="J103" s="1412"/>
      <c r="K103" s="1412">
        <v>7.3869999999999996</v>
      </c>
      <c r="L103" s="1412"/>
      <c r="M103" s="1412"/>
      <c r="N103" s="1412"/>
      <c r="O103" s="1412">
        <f t="shared" si="11"/>
        <v>7.3869999999999996</v>
      </c>
    </row>
    <row r="104" spans="1:15" ht="20.100000000000001" customHeight="1">
      <c r="A104" s="402"/>
      <c r="B104" s="1348" t="s">
        <v>445</v>
      </c>
      <c r="C104" s="1411">
        <v>119</v>
      </c>
      <c r="D104" s="1412"/>
      <c r="E104" s="1412"/>
      <c r="F104" s="1412"/>
      <c r="G104" s="1412">
        <v>1.5499999999999998</v>
      </c>
      <c r="H104" s="1412"/>
      <c r="I104" s="1773"/>
      <c r="J104" s="1412"/>
      <c r="K104" s="1412"/>
      <c r="L104" s="1412"/>
      <c r="M104" s="1412"/>
      <c r="N104" s="1412"/>
      <c r="O104" s="1412">
        <f t="shared" si="11"/>
        <v>1.5499999999999998</v>
      </c>
    </row>
    <row r="105" spans="1:15" ht="20.100000000000001" customHeight="1">
      <c r="A105" s="402"/>
      <c r="B105" s="1348" t="s">
        <v>446</v>
      </c>
      <c r="C105" s="1411">
        <v>116</v>
      </c>
      <c r="D105" s="1412"/>
      <c r="E105" s="1412"/>
      <c r="F105" s="1412"/>
      <c r="G105" s="1412"/>
      <c r="H105" s="1412"/>
      <c r="I105" s="1412"/>
      <c r="J105" s="1412"/>
      <c r="K105" s="1412"/>
      <c r="L105" s="1412"/>
      <c r="M105" s="1412">
        <v>0.70199999999999996</v>
      </c>
      <c r="N105" s="1412"/>
      <c r="O105" s="1412">
        <f t="shared" si="11"/>
        <v>0.70199999999999996</v>
      </c>
    </row>
    <row r="106" spans="1:15" ht="20.100000000000001" customHeight="1">
      <c r="A106" s="402"/>
      <c r="B106" s="1348" t="s">
        <v>446</v>
      </c>
      <c r="C106" s="1411">
        <v>161</v>
      </c>
      <c r="D106" s="1412"/>
      <c r="E106" s="1412"/>
      <c r="F106" s="1412"/>
      <c r="G106" s="1412"/>
      <c r="H106" s="1412"/>
      <c r="I106" s="1412"/>
      <c r="J106" s="1412"/>
      <c r="K106" s="1412"/>
      <c r="L106" s="1412"/>
      <c r="M106" s="1412">
        <v>0.78800000000000003</v>
      </c>
      <c r="N106" s="1412"/>
      <c r="O106" s="1412">
        <f t="shared" si="11"/>
        <v>0.78800000000000003</v>
      </c>
    </row>
    <row r="107" spans="1:15" ht="20.100000000000001" customHeight="1">
      <c r="A107" s="402"/>
      <c r="B107" s="1348" t="s">
        <v>691</v>
      </c>
      <c r="C107" s="1411">
        <v>140</v>
      </c>
      <c r="D107" s="1412"/>
      <c r="E107" s="1412"/>
      <c r="F107" s="1412"/>
      <c r="G107" s="1412"/>
      <c r="H107" s="1412"/>
      <c r="I107" s="1412"/>
      <c r="J107" s="1412"/>
      <c r="K107" s="1412"/>
      <c r="L107" s="1412"/>
      <c r="M107" s="1412"/>
      <c r="N107" s="1412">
        <v>0.105</v>
      </c>
      <c r="O107" s="1412">
        <f t="shared" si="11"/>
        <v>0.105</v>
      </c>
    </row>
    <row r="108" spans="1:15" ht="20.100000000000001" customHeight="1" thickBot="1">
      <c r="A108" s="402"/>
      <c r="B108" s="1348" t="s">
        <v>62</v>
      </c>
      <c r="C108" s="1411">
        <v>133</v>
      </c>
      <c r="D108" s="1412"/>
      <c r="E108" s="1412"/>
      <c r="F108" s="1412"/>
      <c r="G108" s="1412"/>
      <c r="H108" s="1412">
        <v>5.73</v>
      </c>
      <c r="I108" s="1412"/>
      <c r="J108" s="1412"/>
      <c r="K108" s="1412"/>
      <c r="L108" s="1412"/>
      <c r="M108" s="1412"/>
      <c r="N108" s="1412"/>
      <c r="O108" s="1579">
        <f t="shared" si="11"/>
        <v>5.73</v>
      </c>
    </row>
    <row r="109" spans="1:15" ht="20.100000000000001" customHeight="1" thickBot="1">
      <c r="A109" s="402"/>
      <c r="B109" s="1411" t="s">
        <v>427</v>
      </c>
      <c r="C109" s="1348"/>
      <c r="D109" s="1352">
        <v>0.22</v>
      </c>
      <c r="E109" s="1353">
        <f t="shared" ref="E109:M109" si="12">SUM(E82:E108)</f>
        <v>0.38100000000000001</v>
      </c>
      <c r="F109" s="1353">
        <f t="shared" si="12"/>
        <v>15.709999999999999</v>
      </c>
      <c r="G109" s="1353">
        <f t="shared" si="12"/>
        <v>21267.597999999918</v>
      </c>
      <c r="H109" s="1353">
        <f>SUM(H82:H108)</f>
        <v>68168.166000000056</v>
      </c>
      <c r="I109" s="1353">
        <f t="shared" si="12"/>
        <v>0.64800000000000013</v>
      </c>
      <c r="J109" s="1353">
        <f t="shared" si="12"/>
        <v>136.72300000000007</v>
      </c>
      <c r="K109" s="1353">
        <f t="shared" si="12"/>
        <v>54534.149000000136</v>
      </c>
      <c r="L109" s="1353">
        <f t="shared" si="12"/>
        <v>3.5350000000000001</v>
      </c>
      <c r="M109" s="1353">
        <f t="shared" si="12"/>
        <v>1.49</v>
      </c>
      <c r="N109" s="1353">
        <f>SUM(N82:N108)</f>
        <v>0.105</v>
      </c>
      <c r="O109" s="1903">
        <f t="shared" si="11"/>
        <v>144128.72500000012</v>
      </c>
    </row>
    <row r="110" spans="1:15" ht="20.100000000000001" customHeight="1">
      <c r="A110" s="402"/>
      <c r="B110" s="845"/>
      <c r="C110" s="1354"/>
      <c r="D110" s="1354"/>
      <c r="E110" s="1354"/>
      <c r="F110" s="1354"/>
      <c r="G110" s="1354"/>
      <c r="H110" s="1354"/>
      <c r="I110" s="1354"/>
      <c r="J110" s="1354"/>
      <c r="K110" s="1354"/>
      <c r="L110" s="1354"/>
      <c r="M110" s="1354"/>
      <c r="N110" s="1354"/>
      <c r="O110" s="646"/>
    </row>
    <row r="111" spans="1:15" ht="20.100000000000001" customHeight="1" thickBot="1">
      <c r="A111" s="402"/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</row>
    <row r="112" spans="1:15" ht="20.100000000000001" customHeight="1">
      <c r="A112" s="402"/>
      <c r="B112" s="2972" t="s">
        <v>688</v>
      </c>
      <c r="C112" s="3126" t="s">
        <v>692</v>
      </c>
      <c r="D112" s="3126"/>
      <c r="E112" s="3126"/>
      <c r="F112" s="3126"/>
      <c r="G112" s="3126"/>
      <c r="H112" s="3126"/>
      <c r="I112" s="3126"/>
      <c r="J112" s="3126"/>
      <c r="K112" s="3126"/>
      <c r="L112" s="3126"/>
      <c r="M112" s="3126"/>
      <c r="N112" s="3126"/>
      <c r="O112" s="1355"/>
    </row>
    <row r="113" spans="1:15" ht="20.100000000000001" customHeight="1">
      <c r="A113" s="402"/>
      <c r="B113" s="2973"/>
      <c r="C113" s="1356" t="s">
        <v>693</v>
      </c>
      <c r="D113" s="1413" t="s">
        <v>694</v>
      </c>
      <c r="E113" s="1413" t="s">
        <v>695</v>
      </c>
      <c r="F113" s="1413" t="s">
        <v>696</v>
      </c>
      <c r="G113" s="1413" t="s">
        <v>697</v>
      </c>
      <c r="H113" s="1413" t="s">
        <v>698</v>
      </c>
      <c r="I113" s="1413" t="s">
        <v>699</v>
      </c>
      <c r="J113" s="1413" t="s">
        <v>700</v>
      </c>
      <c r="K113" s="1413" t="s">
        <v>701</v>
      </c>
      <c r="L113" s="1413" t="s">
        <v>702</v>
      </c>
      <c r="M113" s="1413" t="s">
        <v>703</v>
      </c>
      <c r="N113" s="1357" t="s">
        <v>704</v>
      </c>
      <c r="O113" s="1358" t="s">
        <v>427</v>
      </c>
    </row>
    <row r="114" spans="1:15" ht="20.100000000000001" customHeight="1">
      <c r="A114" s="402"/>
      <c r="B114" s="1359" t="s">
        <v>471</v>
      </c>
      <c r="C114" s="1414"/>
      <c r="D114" s="1414"/>
      <c r="E114" s="1414"/>
      <c r="F114" s="1414"/>
      <c r="G114" s="1414"/>
      <c r="H114" s="1414"/>
      <c r="I114" s="1414"/>
      <c r="J114" s="1414"/>
      <c r="K114" s="1414">
        <v>0.22</v>
      </c>
      <c r="L114" s="1414"/>
      <c r="M114" s="1414"/>
      <c r="N114" s="1414"/>
      <c r="O114" s="1360">
        <f>SUM(C114:N114)</f>
        <v>0.22</v>
      </c>
    </row>
    <row r="115" spans="1:15" ht="20.100000000000001" customHeight="1">
      <c r="A115" s="402"/>
      <c r="B115" s="1359" t="s">
        <v>690</v>
      </c>
      <c r="C115" s="1414">
        <v>7.3999999999999996E-2</v>
      </c>
      <c r="D115" s="1414"/>
      <c r="E115" s="1414">
        <v>2.46</v>
      </c>
      <c r="F115" s="1414">
        <v>3.2000000000000001E-2</v>
      </c>
      <c r="G115" s="1414">
        <v>6.0640000000000001</v>
      </c>
      <c r="H115" s="1414">
        <v>0.45600000000000002</v>
      </c>
      <c r="I115" s="1414">
        <v>1.629</v>
      </c>
      <c r="J115" s="1414"/>
      <c r="K115" s="1414"/>
      <c r="L115" s="1414"/>
      <c r="M115" s="1414"/>
      <c r="N115" s="1414"/>
      <c r="O115" s="1360">
        <f t="shared" ref="O115:O127" si="13">SUM(C115:N115)</f>
        <v>10.714999999999998</v>
      </c>
    </row>
    <row r="116" spans="1:15" ht="20.100000000000001" customHeight="1">
      <c r="A116" s="402"/>
      <c r="B116" s="1359" t="s">
        <v>60</v>
      </c>
      <c r="C116" s="1414">
        <v>0.48</v>
      </c>
      <c r="D116" s="1414"/>
      <c r="E116" s="1414">
        <v>15.024999999999999</v>
      </c>
      <c r="F116" s="1414">
        <v>2.2969999999999997</v>
      </c>
      <c r="G116" s="1414">
        <v>3.5989999999999998</v>
      </c>
      <c r="H116" s="1414">
        <v>0.89300000000000002</v>
      </c>
      <c r="I116" s="1414"/>
      <c r="J116" s="1414">
        <v>0.02</v>
      </c>
      <c r="K116" s="1414"/>
      <c r="L116" s="1414"/>
      <c r="M116" s="1414">
        <v>1.236</v>
      </c>
      <c r="N116" s="1414">
        <v>1.992</v>
      </c>
      <c r="O116" s="1360">
        <f>SUM(C116:N116)</f>
        <v>25.542000000000002</v>
      </c>
    </row>
    <row r="117" spans="1:15" ht="20.100000000000001" customHeight="1">
      <c r="A117" s="402"/>
      <c r="B117" s="1359" t="s">
        <v>61</v>
      </c>
      <c r="C117" s="1414">
        <v>21.254999999999999</v>
      </c>
      <c r="D117" s="1414">
        <v>1.3360000000000001</v>
      </c>
      <c r="E117" s="1414">
        <v>2053.1839999999993</v>
      </c>
      <c r="F117" s="1414">
        <v>4345.5910000000058</v>
      </c>
      <c r="G117" s="1414">
        <v>4414.9629999999979</v>
      </c>
      <c r="H117" s="1414">
        <v>1921.0089999999996</v>
      </c>
      <c r="I117" s="1414">
        <v>3321.6280000000024</v>
      </c>
      <c r="J117" s="1414">
        <v>1755.452</v>
      </c>
      <c r="K117" s="1414">
        <v>2296.9639999999999</v>
      </c>
      <c r="L117" s="1414">
        <v>592.73599999999988</v>
      </c>
      <c r="M117" s="1414">
        <v>268.70799999999991</v>
      </c>
      <c r="N117" s="1414">
        <v>283.221</v>
      </c>
      <c r="O117" s="1360">
        <f t="shared" si="13"/>
        <v>21276.047000000006</v>
      </c>
    </row>
    <row r="118" spans="1:15" ht="20.100000000000001" customHeight="1">
      <c r="A118" s="402"/>
      <c r="B118" s="1359" t="s">
        <v>62</v>
      </c>
      <c r="C118" s="1414">
        <v>3960.58</v>
      </c>
      <c r="D118" s="1414">
        <v>4225.4779999999928</v>
      </c>
      <c r="E118" s="1414">
        <v>9004.1020000000462</v>
      </c>
      <c r="F118" s="1414">
        <v>7129.6970000000019</v>
      </c>
      <c r="G118" s="1414">
        <v>10251.646999999981</v>
      </c>
      <c r="H118" s="1414">
        <v>7109.556999999998</v>
      </c>
      <c r="I118" s="1414">
        <v>7924.6440000000102</v>
      </c>
      <c r="J118" s="1414">
        <v>5722.5930000000244</v>
      </c>
      <c r="K118" s="1414">
        <v>4943.4429999999966</v>
      </c>
      <c r="L118" s="1414">
        <v>1006.9269999999993</v>
      </c>
      <c r="M118" s="1414">
        <v>2549.9590000000017</v>
      </c>
      <c r="N118" s="1414">
        <v>4300.9340000000011</v>
      </c>
      <c r="O118" s="1360">
        <f t="shared" si="13"/>
        <v>68129.561000000045</v>
      </c>
    </row>
    <row r="119" spans="1:15" ht="20.100000000000001" customHeight="1">
      <c r="A119" s="402"/>
      <c r="B119" s="1359" t="s">
        <v>63</v>
      </c>
      <c r="C119" s="1414"/>
      <c r="D119" s="1414"/>
      <c r="E119" s="1414"/>
      <c r="F119" s="1414"/>
      <c r="G119" s="1414"/>
      <c r="H119" s="1414">
        <v>1.3169999999999999</v>
      </c>
      <c r="I119" s="1414"/>
      <c r="J119" s="1414">
        <v>0.18</v>
      </c>
      <c r="K119" s="1414"/>
      <c r="L119" s="1414">
        <v>0.26300000000000001</v>
      </c>
      <c r="M119" s="1414">
        <v>5.5E-2</v>
      </c>
      <c r="N119" s="1414">
        <v>4.3159999999999998</v>
      </c>
      <c r="O119" s="1360">
        <f t="shared" si="13"/>
        <v>6.1309999999999993</v>
      </c>
    </row>
    <row r="120" spans="1:15" ht="20.100000000000001" customHeight="1">
      <c r="A120" s="402"/>
      <c r="B120" s="1359" t="s">
        <v>64</v>
      </c>
      <c r="C120" s="1414">
        <v>1.3320000000000001</v>
      </c>
      <c r="D120" s="1414">
        <v>3.6549999999999994</v>
      </c>
      <c r="E120" s="1414">
        <v>34.082999999999998</v>
      </c>
      <c r="F120" s="1414">
        <v>2.08</v>
      </c>
      <c r="G120" s="1414">
        <v>10.082999999999997</v>
      </c>
      <c r="H120" s="1414">
        <v>3.9059999999999993</v>
      </c>
      <c r="I120" s="1414">
        <v>1.302</v>
      </c>
      <c r="J120" s="1414">
        <v>3.2659999999999991</v>
      </c>
      <c r="K120" s="1414"/>
      <c r="L120" s="1414">
        <v>0.93900000000000017</v>
      </c>
      <c r="M120" s="1414">
        <v>5.0609999999999982</v>
      </c>
      <c r="N120" s="1414">
        <v>76.983000000000018</v>
      </c>
      <c r="O120" s="1360">
        <f t="shared" si="13"/>
        <v>142.69</v>
      </c>
    </row>
    <row r="121" spans="1:15" ht="20.100000000000001" customHeight="1">
      <c r="A121" s="402"/>
      <c r="B121" s="1359" t="s">
        <v>65</v>
      </c>
      <c r="C121" s="1414">
        <v>5526.345000000003</v>
      </c>
      <c r="D121" s="1414">
        <v>5145.8620000000055</v>
      </c>
      <c r="E121" s="1414">
        <v>4977.0820000000022</v>
      </c>
      <c r="F121" s="1414">
        <v>3160.7990000000027</v>
      </c>
      <c r="G121" s="1414">
        <v>15014.251999999969</v>
      </c>
      <c r="H121" s="1414">
        <v>9620.5359999999819</v>
      </c>
      <c r="I121" s="1414">
        <v>3916.4149999999991</v>
      </c>
      <c r="J121" s="1414">
        <v>2842.6609999999991</v>
      </c>
      <c r="K121" s="1414">
        <v>1273.6660000000002</v>
      </c>
      <c r="L121" s="1414">
        <v>1514.2949999999998</v>
      </c>
      <c r="M121" s="1414">
        <v>85.39500000000001</v>
      </c>
      <c r="N121" s="1414">
        <v>1434.7140000000006</v>
      </c>
      <c r="O121" s="1360">
        <f t="shared" si="13"/>
        <v>54512.021999999954</v>
      </c>
    </row>
    <row r="122" spans="1:15" ht="20.100000000000001" customHeight="1">
      <c r="A122" s="402"/>
      <c r="B122" s="1359" t="s">
        <v>472</v>
      </c>
      <c r="C122" s="1414"/>
      <c r="D122" s="1414"/>
      <c r="E122" s="1414">
        <v>0.25</v>
      </c>
      <c r="F122" s="1414"/>
      <c r="G122" s="1414"/>
      <c r="H122" s="1414"/>
      <c r="I122" s="1414">
        <v>3.2050000000000001</v>
      </c>
      <c r="J122" s="1414"/>
      <c r="K122" s="1414"/>
      <c r="L122" s="1414">
        <v>6.08</v>
      </c>
      <c r="M122" s="1414"/>
      <c r="N122" s="1414"/>
      <c r="O122" s="1360">
        <f t="shared" si="13"/>
        <v>9.5350000000000001</v>
      </c>
    </row>
    <row r="123" spans="1:15" ht="20.100000000000001" customHeight="1">
      <c r="A123" s="402"/>
      <c r="B123" s="1359" t="s">
        <v>444</v>
      </c>
      <c r="C123" s="1414"/>
      <c r="D123" s="1414"/>
      <c r="E123" s="1414"/>
      <c r="F123" s="1414"/>
      <c r="G123" s="1414">
        <v>7.3869999999999996</v>
      </c>
      <c r="H123" s="1414"/>
      <c r="I123" s="1414"/>
      <c r="J123" s="1414"/>
      <c r="K123" s="1414"/>
      <c r="L123" s="1414"/>
      <c r="M123" s="1414"/>
      <c r="N123" s="1414"/>
      <c r="O123" s="1360">
        <f t="shared" si="13"/>
        <v>7.3869999999999996</v>
      </c>
    </row>
    <row r="124" spans="1:15" ht="20.100000000000001" customHeight="1">
      <c r="A124" s="402"/>
      <c r="B124" s="1359" t="s">
        <v>445</v>
      </c>
      <c r="C124" s="1414"/>
      <c r="D124" s="1414"/>
      <c r="E124" s="1414"/>
      <c r="F124" s="1414">
        <v>0.55000000000000004</v>
      </c>
      <c r="G124" s="1414">
        <v>0.4</v>
      </c>
      <c r="H124" s="1414"/>
      <c r="I124" s="1414">
        <v>0.6</v>
      </c>
      <c r="J124" s="1414"/>
      <c r="K124" s="1414"/>
      <c r="L124" s="1414"/>
      <c r="M124" s="1414"/>
      <c r="N124" s="1414"/>
      <c r="O124" s="1360">
        <f t="shared" si="13"/>
        <v>1.55</v>
      </c>
    </row>
    <row r="125" spans="1:15" ht="20.100000000000001" customHeight="1">
      <c r="A125" s="402"/>
      <c r="B125" s="1359" t="s">
        <v>446</v>
      </c>
      <c r="C125" s="1414">
        <v>0.379</v>
      </c>
      <c r="D125" s="1414">
        <v>0.25</v>
      </c>
      <c r="E125" s="1414">
        <v>7.5999999999999998E-2</v>
      </c>
      <c r="F125" s="1414">
        <v>0.46100000000000002</v>
      </c>
      <c r="G125" s="1414">
        <v>7.4999999999999997E-2</v>
      </c>
      <c r="H125" s="1414"/>
      <c r="I125" s="1414">
        <v>0.182</v>
      </c>
      <c r="J125" s="1414">
        <v>6.7000000000000004E-2</v>
      </c>
      <c r="K125" s="1414"/>
      <c r="L125" s="1414"/>
      <c r="M125" s="1414"/>
      <c r="N125" s="1414"/>
      <c r="O125" s="1360">
        <f t="shared" si="13"/>
        <v>1.4899999999999998</v>
      </c>
    </row>
    <row r="126" spans="1:15" ht="20.100000000000001" customHeight="1">
      <c r="A126" s="402"/>
      <c r="B126" s="1359" t="s">
        <v>691</v>
      </c>
      <c r="C126" s="1414"/>
      <c r="D126" s="1414">
        <v>0.105</v>
      </c>
      <c r="E126" s="1414"/>
      <c r="F126" s="1414"/>
      <c r="G126" s="1414"/>
      <c r="H126" s="1414"/>
      <c r="I126" s="1414"/>
      <c r="J126" s="1414"/>
      <c r="K126" s="1414"/>
      <c r="L126" s="1414"/>
      <c r="M126" s="1414"/>
      <c r="N126" s="1414"/>
      <c r="O126" s="1360">
        <f t="shared" si="13"/>
        <v>0.105</v>
      </c>
    </row>
    <row r="127" spans="1:15" ht="20.100000000000001" customHeight="1" thickBot="1">
      <c r="A127" s="402"/>
      <c r="B127" s="1415" t="s">
        <v>705</v>
      </c>
      <c r="C127" s="1897"/>
      <c r="D127" s="1897"/>
      <c r="E127" s="1897"/>
      <c r="F127" s="1897"/>
      <c r="G127" s="1897">
        <v>2.98</v>
      </c>
      <c r="H127" s="1897"/>
      <c r="I127" s="1897">
        <v>2.75</v>
      </c>
      <c r="J127" s="1897"/>
      <c r="K127" s="1897"/>
      <c r="L127" s="1897"/>
      <c r="M127" s="1897"/>
      <c r="N127" s="1897"/>
      <c r="O127" s="1908">
        <f t="shared" si="13"/>
        <v>5.73</v>
      </c>
    </row>
    <row r="128" spans="1:15" ht="20.100000000000001" customHeight="1" thickBot="1">
      <c r="A128" s="402"/>
      <c r="B128" s="243" t="s">
        <v>427</v>
      </c>
      <c r="C128" s="1353">
        <f t="shared" ref="C128:M128" si="14">SUM(C114:C127)</f>
        <v>9510.4450000000033</v>
      </c>
      <c r="D128" s="1353">
        <f t="shared" si="14"/>
        <v>9376.6859999999979</v>
      </c>
      <c r="E128" s="1353">
        <f t="shared" si="14"/>
        <v>16086.262000000048</v>
      </c>
      <c r="F128" s="1353">
        <f t="shared" si="14"/>
        <v>14641.507000000009</v>
      </c>
      <c r="G128" s="1353">
        <f t="shared" si="14"/>
        <v>29711.44999999995</v>
      </c>
      <c r="H128" s="1353">
        <f t="shared" si="14"/>
        <v>18657.673999999977</v>
      </c>
      <c r="I128" s="1353">
        <f t="shared" si="14"/>
        <v>15172.355000000012</v>
      </c>
      <c r="J128" s="1353">
        <f t="shared" si="14"/>
        <v>10324.239000000023</v>
      </c>
      <c r="K128" s="1353">
        <f t="shared" si="14"/>
        <v>8514.2929999999978</v>
      </c>
      <c r="L128" s="1353">
        <f t="shared" si="14"/>
        <v>3121.2399999999989</v>
      </c>
      <c r="M128" s="1353">
        <f t="shared" si="14"/>
        <v>2910.4140000000016</v>
      </c>
      <c r="N128" s="1353">
        <f>SUM(N114:N127)</f>
        <v>6102.1600000000017</v>
      </c>
      <c r="O128" s="1907">
        <f>SUM(C128:N128)</f>
        <v>144128.72500000001</v>
      </c>
    </row>
    <row r="129" s="402" customFormat="1" ht="20.100000000000001" customHeight="1"/>
    <row r="130" s="402" customFormat="1" ht="20.100000000000001" customHeight="1"/>
    <row r="131" s="402" customFormat="1" ht="20.100000000000001" customHeight="1"/>
    <row r="132" s="402" customFormat="1" ht="20.100000000000001" customHeight="1"/>
    <row r="133" s="402" customFormat="1" ht="20.100000000000001" customHeight="1"/>
    <row r="134" s="402" customFormat="1" ht="20.100000000000001" customHeight="1"/>
    <row r="135" s="402" customFormat="1" ht="20.100000000000001" customHeight="1"/>
    <row r="136" s="402" customFormat="1" ht="20.100000000000001" customHeight="1"/>
    <row r="137" s="402" customFormat="1" ht="20.100000000000001" customHeight="1"/>
    <row r="138" s="402" customFormat="1" ht="20.100000000000001" customHeight="1"/>
    <row r="139" s="402" customFormat="1" ht="20.100000000000001" customHeight="1"/>
    <row r="140" s="402" customFormat="1" ht="20.100000000000001" customHeight="1"/>
    <row r="141" s="402" customFormat="1" ht="20.100000000000001" customHeight="1"/>
    <row r="142" s="402" customFormat="1" ht="20.100000000000001" customHeight="1"/>
    <row r="143" s="402" customFormat="1" ht="20.100000000000001" customHeight="1"/>
    <row r="144" s="402" customFormat="1" ht="20.100000000000001" customHeight="1"/>
    <row r="145" s="402" customFormat="1" ht="20.100000000000001" customHeight="1"/>
    <row r="146" s="402" customFormat="1" ht="20.100000000000001" customHeight="1"/>
    <row r="147" s="402" customFormat="1" ht="20.100000000000001" customHeight="1"/>
    <row r="148" s="402" customFormat="1" ht="20.100000000000001" customHeight="1"/>
    <row r="149" s="402" customFormat="1" ht="20.100000000000001" customHeight="1"/>
    <row r="150" s="402" customFormat="1" ht="20.100000000000001" customHeight="1"/>
    <row r="151" s="402" customFormat="1" ht="20.100000000000001" customHeight="1"/>
    <row r="152" s="402" customFormat="1" ht="20.100000000000001" customHeight="1"/>
    <row r="153" s="402" customFormat="1" ht="20.100000000000001" customHeight="1"/>
    <row r="154" s="402" customFormat="1" ht="20.100000000000001" customHeight="1"/>
    <row r="155" s="402" customFormat="1" ht="20.100000000000001" customHeight="1"/>
    <row r="156" s="402" customFormat="1" ht="20.100000000000001" customHeight="1"/>
    <row r="157" s="402" customFormat="1" ht="20.100000000000001" customHeight="1"/>
    <row r="158" s="402" customFormat="1" ht="20.100000000000001" customHeight="1"/>
    <row r="159" s="402" customFormat="1" ht="20.100000000000001" customHeight="1"/>
    <row r="160" s="402" customFormat="1" ht="20.100000000000001" customHeight="1"/>
    <row r="161" s="402" customFormat="1" ht="20.100000000000001" customHeight="1"/>
    <row r="162" s="402" customFormat="1" ht="20.100000000000001" customHeight="1"/>
    <row r="163" s="402" customFormat="1" ht="20.100000000000001" customHeight="1"/>
    <row r="164" s="402" customFormat="1" ht="20.100000000000001" customHeight="1"/>
    <row r="165" s="402" customFormat="1" ht="20.100000000000001" customHeight="1"/>
    <row r="166" s="402" customFormat="1" ht="20.100000000000001" customHeight="1"/>
    <row r="167" s="402" customFormat="1" ht="20.100000000000001" customHeight="1"/>
    <row r="168" s="402" customFormat="1" ht="20.100000000000001" customHeight="1"/>
    <row r="169" s="402" customFormat="1" ht="20.100000000000001" customHeight="1"/>
    <row r="170" s="402" customFormat="1" ht="20.100000000000001" customHeight="1"/>
    <row r="171" s="402" customFormat="1" ht="20.100000000000001" customHeight="1"/>
    <row r="172" s="402" customFormat="1" ht="20.100000000000001" customHeight="1"/>
    <row r="173" s="402" customFormat="1" ht="20.100000000000001" customHeight="1"/>
    <row r="174" s="402" customFormat="1" ht="20.100000000000001" customHeight="1"/>
    <row r="175" s="402" customFormat="1" ht="20.100000000000001" customHeight="1"/>
    <row r="176" s="402" customFormat="1" ht="20.100000000000001" customHeight="1"/>
    <row r="177" s="402" customFormat="1" ht="20.100000000000001" customHeight="1"/>
    <row r="178" s="402" customFormat="1" ht="20.100000000000001" customHeight="1"/>
    <row r="179" s="402" customFormat="1" ht="20.100000000000001" customHeight="1"/>
    <row r="180" s="402" customFormat="1" ht="20.100000000000001" customHeight="1"/>
    <row r="181" s="402" customFormat="1" ht="20.100000000000001" customHeight="1"/>
    <row r="182" s="402" customFormat="1" ht="20.100000000000001" customHeight="1"/>
    <row r="183" s="402" customFormat="1" ht="20.100000000000001" customHeight="1"/>
    <row r="184" s="402" customFormat="1" ht="20.100000000000001" customHeight="1"/>
    <row r="185" s="402" customFormat="1" ht="20.100000000000001" customHeight="1"/>
    <row r="186" s="402" customFormat="1" ht="20.100000000000001" customHeight="1"/>
    <row r="187" s="402" customFormat="1" ht="20.100000000000001" customHeight="1"/>
    <row r="188" s="402" customFormat="1" ht="20.100000000000001" customHeight="1"/>
    <row r="189" s="402" customFormat="1" ht="20.100000000000001" customHeight="1"/>
    <row r="190" s="402" customFormat="1" ht="20.100000000000001" customHeight="1"/>
    <row r="191" s="402" customFormat="1" ht="20.100000000000001" customHeight="1"/>
    <row r="192" s="402" customFormat="1" ht="20.100000000000001" customHeight="1"/>
    <row r="193" spans="1:1" s="402" customFormat="1" ht="20.100000000000001" customHeight="1"/>
    <row r="194" spans="1:1" ht="20.100000000000001" customHeight="1">
      <c r="A194" s="402"/>
    </row>
    <row r="195" spans="1:1" ht="20.100000000000001" customHeight="1">
      <c r="A195" s="402"/>
    </row>
    <row r="196" spans="1:1" ht="20.100000000000001" customHeight="1">
      <c r="A196" s="402"/>
    </row>
    <row r="197" spans="1:1" ht="20.100000000000001" customHeight="1">
      <c r="A197" s="402"/>
    </row>
    <row r="198" spans="1:1" ht="20.100000000000001" customHeight="1">
      <c r="A198" s="402"/>
    </row>
    <row r="199" spans="1:1" ht="20.100000000000001" customHeight="1">
      <c r="A199" s="402"/>
    </row>
    <row r="200" spans="1:1" ht="20.100000000000001" customHeight="1">
      <c r="A200" s="402"/>
    </row>
    <row r="201" spans="1:1" ht="20.100000000000001" customHeight="1">
      <c r="A201" s="402"/>
    </row>
    <row r="202" spans="1:1" ht="20.100000000000001" customHeight="1">
      <c r="A202" s="402"/>
    </row>
    <row r="203" spans="1:1" ht="20.100000000000001" customHeight="1">
      <c r="A203" s="402"/>
    </row>
    <row r="204" spans="1:1" ht="20.100000000000001" customHeight="1">
      <c r="A204" s="402"/>
    </row>
    <row r="205" spans="1:1" ht="20.100000000000001" customHeight="1">
      <c r="A205" s="402"/>
    </row>
    <row r="206" spans="1:1" ht="20.100000000000001" customHeight="1">
      <c r="A206" s="402"/>
    </row>
    <row r="207" spans="1:1" ht="20.100000000000001" customHeight="1">
      <c r="A207" s="402"/>
    </row>
    <row r="208" spans="1:1" ht="20.100000000000001" customHeight="1">
      <c r="A208" s="402"/>
    </row>
    <row r="209" spans="1:1" ht="20.100000000000001" customHeight="1">
      <c r="A209" s="402"/>
    </row>
    <row r="210" spans="1:1" ht="20.100000000000001" customHeight="1">
      <c r="A210" s="402"/>
    </row>
    <row r="211" spans="1:1" ht="20.100000000000001" customHeight="1">
      <c r="A211" s="402"/>
    </row>
    <row r="212" spans="1:1" ht="20.100000000000001" customHeight="1">
      <c r="A212" s="402"/>
    </row>
    <row r="213" spans="1:1" ht="20.100000000000001" customHeight="1">
      <c r="A213" s="402"/>
    </row>
    <row r="214" spans="1:1" ht="20.100000000000001" customHeight="1">
      <c r="A214" s="402"/>
    </row>
    <row r="215" spans="1:1" ht="20.100000000000001" customHeight="1">
      <c r="A215" s="402"/>
    </row>
    <row r="216" spans="1:1" ht="20.100000000000001" customHeight="1">
      <c r="A216" s="402"/>
    </row>
    <row r="217" spans="1:1" ht="20.100000000000001" customHeight="1">
      <c r="A217" s="402"/>
    </row>
    <row r="218" spans="1:1" ht="20.100000000000001" customHeight="1">
      <c r="A218" s="402"/>
    </row>
    <row r="219" spans="1:1" ht="20.100000000000001" customHeight="1">
      <c r="A219" s="402"/>
    </row>
    <row r="220" spans="1:1" ht="20.100000000000001" customHeight="1">
      <c r="A220" s="402"/>
    </row>
    <row r="221" spans="1:1" ht="20.100000000000001" customHeight="1">
      <c r="A221" s="402"/>
    </row>
    <row r="222" spans="1:1" ht="20.100000000000001" customHeight="1">
      <c r="A222" s="402"/>
    </row>
    <row r="223" spans="1:1" ht="20.100000000000001" customHeight="1">
      <c r="A223" s="402"/>
    </row>
    <row r="224" spans="1:1" ht="20.100000000000001" customHeight="1">
      <c r="A224" s="402"/>
    </row>
    <row r="225" spans="1:1" ht="20.100000000000001" customHeight="1">
      <c r="A225" s="402"/>
    </row>
    <row r="226" spans="1:1" ht="20.100000000000001" customHeight="1">
      <c r="A226" s="402"/>
    </row>
    <row r="227" spans="1:1" ht="20.100000000000001" customHeight="1">
      <c r="A227" s="402"/>
    </row>
    <row r="228" spans="1:1" ht="20.100000000000001" customHeight="1">
      <c r="A228" s="402"/>
    </row>
    <row r="229" spans="1:1" ht="20.100000000000001" customHeight="1">
      <c r="A229" s="402"/>
    </row>
    <row r="230" spans="1:1" ht="20.100000000000001" customHeight="1">
      <c r="A230" s="402"/>
    </row>
    <row r="231" spans="1:1" ht="20.100000000000001" customHeight="1">
      <c r="A231" s="402"/>
    </row>
    <row r="232" spans="1:1" ht="20.100000000000001" customHeight="1">
      <c r="A232" s="402"/>
    </row>
    <row r="233" spans="1:1" ht="20.100000000000001" customHeight="1">
      <c r="A233" s="402"/>
    </row>
    <row r="234" spans="1:1" ht="20.100000000000001" customHeight="1">
      <c r="A234" s="402"/>
    </row>
    <row r="235" spans="1:1" ht="20.100000000000001" customHeight="1">
      <c r="A235" s="402"/>
    </row>
    <row r="236" spans="1:1" ht="20.100000000000001" customHeight="1">
      <c r="A236" s="402"/>
    </row>
    <row r="237" spans="1:1" ht="20.100000000000001" customHeight="1">
      <c r="A237" s="402"/>
    </row>
    <row r="238" spans="1:1" ht="20.100000000000001" customHeight="1">
      <c r="A238" s="402"/>
    </row>
    <row r="239" spans="1:1" ht="20.100000000000001" customHeight="1">
      <c r="A239" s="402"/>
    </row>
    <row r="240" spans="1:1" ht="20.100000000000001" customHeight="1">
      <c r="A240" s="402"/>
    </row>
    <row r="241" spans="1:1" ht="20.100000000000001" customHeight="1">
      <c r="A241" s="402"/>
    </row>
    <row r="242" spans="1:1" ht="20.100000000000001" customHeight="1">
      <c r="A242" s="402"/>
    </row>
    <row r="243" spans="1:1" ht="20.100000000000001" customHeight="1">
      <c r="A243" s="402"/>
    </row>
    <row r="244" spans="1:1" ht="20.100000000000001" customHeight="1">
      <c r="A244" s="402"/>
    </row>
    <row r="245" spans="1:1" ht="20.100000000000001" customHeight="1">
      <c r="A245" s="402"/>
    </row>
    <row r="246" spans="1:1" ht="20.100000000000001" customHeight="1">
      <c r="A246" s="402"/>
    </row>
    <row r="247" spans="1:1" ht="20.100000000000001" customHeight="1">
      <c r="A247" s="402"/>
    </row>
    <row r="248" spans="1:1" ht="20.100000000000001" customHeight="1">
      <c r="A248" s="402"/>
    </row>
    <row r="249" spans="1:1" ht="20.100000000000001" customHeight="1">
      <c r="A249" s="402"/>
    </row>
    <row r="250" spans="1:1" ht="20.100000000000001" customHeight="1">
      <c r="A250" s="402"/>
    </row>
    <row r="251" spans="1:1" ht="20.100000000000001" customHeight="1">
      <c r="A251" s="402"/>
    </row>
    <row r="252" spans="1:1" ht="20.100000000000001" customHeight="1">
      <c r="A252" s="402"/>
    </row>
    <row r="253" spans="1:1" ht="20.100000000000001" customHeight="1">
      <c r="A253" s="402"/>
    </row>
    <row r="254" spans="1:1" ht="20.100000000000001" customHeight="1">
      <c r="A254" s="402"/>
    </row>
    <row r="255" spans="1:1" ht="20.100000000000001" customHeight="1">
      <c r="A255" s="402"/>
    </row>
    <row r="256" spans="1:1" ht="20.100000000000001" customHeight="1">
      <c r="A256" s="402"/>
    </row>
    <row r="257" spans="1:1" ht="20.100000000000001" customHeight="1">
      <c r="A257" s="402"/>
    </row>
    <row r="258" spans="1:1" ht="20.100000000000001" customHeight="1">
      <c r="A258" s="402"/>
    </row>
    <row r="259" spans="1:1" ht="20.100000000000001" customHeight="1">
      <c r="A259" s="402"/>
    </row>
    <row r="260" spans="1:1" ht="20.100000000000001" customHeight="1">
      <c r="A260" s="402"/>
    </row>
    <row r="261" spans="1:1" ht="20.100000000000001" customHeight="1">
      <c r="A261" s="402"/>
    </row>
    <row r="262" spans="1:1" ht="20.100000000000001" customHeight="1">
      <c r="A262" s="402"/>
    </row>
    <row r="263" spans="1:1" ht="20.100000000000001" customHeight="1">
      <c r="A263" s="402"/>
    </row>
  </sheetData>
  <sortState ref="B31:I49">
    <sortCondition ref="B31"/>
  </sortState>
  <mergeCells count="16">
    <mergeCell ref="B80:O80"/>
    <mergeCell ref="B112:B113"/>
    <mergeCell ref="C112:N112"/>
    <mergeCell ref="Q29:Q30"/>
    <mergeCell ref="M29:P29"/>
    <mergeCell ref="B53:P53"/>
    <mergeCell ref="B75:C75"/>
    <mergeCell ref="B78:O78"/>
    <mergeCell ref="D29:H29"/>
    <mergeCell ref="A2:K2"/>
    <mergeCell ref="A4:K4"/>
    <mergeCell ref="B27:I27"/>
    <mergeCell ref="B12:B23"/>
    <mergeCell ref="A8:A24"/>
    <mergeCell ref="A3:K3"/>
    <mergeCell ref="K27:Q27"/>
  </mergeCells>
  <conditionalFormatting sqref="Q39">
    <cfRule type="dataBar" priority="44">
      <dataBar>
        <cfvo type="min" val="0"/>
        <cfvo type="max" val="0"/>
        <color rgb="FF008AEF"/>
      </dataBar>
    </cfRule>
  </conditionalFormatting>
  <conditionalFormatting sqref="Q31:Q38">
    <cfRule type="dataBar" priority="43">
      <dataBar>
        <cfvo type="min" val="0"/>
        <cfvo type="max" val="0"/>
        <color rgb="FF008AEF"/>
      </dataBar>
    </cfRule>
  </conditionalFormatting>
  <conditionalFormatting sqref="I31:I49">
    <cfRule type="dataBar" priority="60">
      <dataBar>
        <cfvo type="min" val="0"/>
        <cfvo type="max" val="0"/>
        <color rgb="FF008AEF"/>
      </dataBar>
    </cfRule>
  </conditionalFormatting>
  <conditionalFormatting sqref="D50:H50">
    <cfRule type="dataBar" priority="19">
      <dataBar>
        <cfvo type="min" val="0"/>
        <cfvo type="max" val="0"/>
        <color rgb="FF008AEF"/>
      </dataBar>
    </cfRule>
  </conditionalFormatting>
  <conditionalFormatting sqref="D75:O75">
    <cfRule type="dataBar" priority="18">
      <dataBar>
        <cfvo type="min" val="0"/>
        <cfvo type="max" val="0"/>
        <color rgb="FF008AEF"/>
      </dataBar>
    </cfRule>
  </conditionalFormatting>
  <conditionalFormatting sqref="N56:O57 N59:N73 O59:O62 O64:O73">
    <cfRule type="dataBar" priority="17">
      <dataBar>
        <cfvo type="min" val="0"/>
        <cfvo type="max" val="0"/>
        <color rgb="FF008AEF"/>
      </dataBar>
    </cfRule>
  </conditionalFormatting>
  <conditionalFormatting sqref="P56:P75">
    <cfRule type="dataBar" priority="16">
      <dataBar>
        <cfvo type="min" val="0"/>
        <cfvo type="max" val="0"/>
        <color rgb="FF008AEF"/>
      </dataBar>
    </cfRule>
  </conditionalFormatting>
  <conditionalFormatting sqref="M79">
    <cfRule type="dataBar" priority="15">
      <dataBar>
        <cfvo type="min" val="0"/>
        <cfvo type="max" val="0"/>
        <color rgb="FF008AEF"/>
      </dataBar>
    </cfRule>
  </conditionalFormatting>
  <conditionalFormatting sqref="C128:N128">
    <cfRule type="dataBar" priority="14">
      <dataBar>
        <cfvo type="min" val="0"/>
        <cfvo type="max" val="0"/>
        <color rgb="FF008AEF"/>
      </dataBar>
    </cfRule>
  </conditionalFormatting>
  <conditionalFormatting sqref="O114:O127">
    <cfRule type="dataBar" priority="13">
      <dataBar>
        <cfvo type="min" val="0"/>
        <cfvo type="max" val="0"/>
        <color rgb="FF008AEF"/>
      </dataBar>
    </cfRule>
  </conditionalFormatting>
  <conditionalFormatting sqref="C110:M110 D109:N109">
    <cfRule type="dataBar" priority="12">
      <dataBar>
        <cfvo type="min" val="0"/>
        <cfvo type="max" val="0"/>
        <color rgb="FF008AEF"/>
      </dataBar>
    </cfRule>
  </conditionalFormatting>
  <conditionalFormatting sqref="O82:O108">
    <cfRule type="dataBar" priority="11">
      <dataBar>
        <cfvo type="min" val="0"/>
        <cfvo type="max" val="0"/>
        <color rgb="FF008AEF"/>
      </dataBar>
    </cfRule>
  </conditionalFormatting>
  <conditionalFormatting sqref="D109:N109">
    <cfRule type="dataBar" priority="10">
      <dataBar>
        <cfvo type="min" val="0"/>
        <cfvo type="max" val="0"/>
        <color rgb="FF008AEF"/>
      </dataBar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FFCC"/>
    <pageSetUpPr fitToPage="1"/>
  </sheetPr>
  <dimension ref="A1:AH92"/>
  <sheetViews>
    <sheetView zoomScale="75" zoomScaleNormal="75" workbookViewId="0">
      <selection activeCell="G9" sqref="G9"/>
    </sheetView>
  </sheetViews>
  <sheetFormatPr baseColWidth="10" defaultColWidth="11.42578125" defaultRowHeight="15"/>
  <cols>
    <col min="1" max="1" width="9.7109375" style="402" customWidth="1"/>
    <col min="2" max="2" width="39.140625" style="6" customWidth="1"/>
    <col min="3" max="3" width="24.28515625" style="6" customWidth="1"/>
    <col min="4" max="4" width="19.5703125" style="6" customWidth="1"/>
    <col min="5" max="5" width="20.5703125" style="6" customWidth="1"/>
    <col min="6" max="6" width="18.28515625" style="6" customWidth="1"/>
    <col min="7" max="7" width="15.28515625" style="6" customWidth="1"/>
    <col min="8" max="8" width="14.140625" style="6" customWidth="1"/>
    <col min="9" max="9" width="13.42578125" style="6" customWidth="1"/>
    <col min="10" max="10" width="12.85546875" style="6" customWidth="1"/>
    <col min="11" max="11" width="13.5703125" style="6" customWidth="1"/>
    <col min="12" max="12" width="17.140625" style="6" customWidth="1"/>
    <col min="13" max="13" width="16.28515625" style="6" customWidth="1"/>
    <col min="14" max="14" width="12.140625" style="19" customWidth="1"/>
    <col min="15" max="15" width="13.28515625" style="19" customWidth="1"/>
    <col min="16" max="17" width="11.42578125" style="19"/>
    <col min="18" max="18" width="19.28515625" style="19" bestFit="1" customWidth="1"/>
    <col min="19" max="34" width="11.42578125" style="19"/>
    <col min="35" max="16384" width="11.42578125" style="6"/>
  </cols>
  <sheetData>
    <row r="1" spans="1:34" ht="20.100000000000001" customHeight="1" thickBot="1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34" ht="20.100000000000001" customHeight="1">
      <c r="B2" s="3089" t="s">
        <v>276</v>
      </c>
      <c r="C2" s="3090"/>
      <c r="D2" s="3090"/>
      <c r="E2" s="3090"/>
      <c r="F2" s="3090"/>
      <c r="G2" s="3090"/>
      <c r="H2" s="3090"/>
      <c r="I2" s="3090"/>
      <c r="J2" s="3090"/>
      <c r="K2" s="3091"/>
      <c r="L2" s="19"/>
      <c r="M2" s="19"/>
    </row>
    <row r="3" spans="1:34" ht="20.100000000000001" customHeight="1" thickBot="1">
      <c r="B3" s="2189" t="s">
        <v>754</v>
      </c>
      <c r="C3" s="2190"/>
      <c r="D3" s="2190"/>
      <c r="E3" s="2190"/>
      <c r="F3" s="2190"/>
      <c r="G3" s="2190"/>
      <c r="H3" s="2190"/>
      <c r="I3" s="2190"/>
      <c r="J3" s="2190"/>
      <c r="K3" s="2191"/>
      <c r="L3" s="19"/>
      <c r="M3" s="19"/>
    </row>
    <row r="4" spans="1:34" s="7" customFormat="1" ht="20.100000000000001" customHeight="1">
      <c r="A4" s="402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ht="20.100000000000001" customHeight="1" thickBot="1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34" ht="20.100000000000001" customHeight="1">
      <c r="B6" s="3138" t="s">
        <v>52</v>
      </c>
      <c r="C6" s="3140" t="s">
        <v>281</v>
      </c>
      <c r="D6" s="3150" t="s">
        <v>56</v>
      </c>
      <c r="E6" s="3144" t="s">
        <v>144</v>
      </c>
      <c r="F6" s="3146" t="s">
        <v>110</v>
      </c>
      <c r="G6" s="3147"/>
      <c r="H6" s="3152" t="s">
        <v>88</v>
      </c>
      <c r="I6" s="3142" t="s">
        <v>3</v>
      </c>
      <c r="J6" s="3140" t="s">
        <v>200</v>
      </c>
      <c r="K6" s="3148" t="s">
        <v>76</v>
      </c>
      <c r="L6" s="19"/>
      <c r="M6" s="19"/>
      <c r="AH6" s="6"/>
    </row>
    <row r="7" spans="1:34" ht="20.100000000000001" customHeight="1" thickBot="1">
      <c r="B7" s="3139"/>
      <c r="C7" s="3141"/>
      <c r="D7" s="3151"/>
      <c r="E7" s="3145"/>
      <c r="F7" s="46" t="s">
        <v>84</v>
      </c>
      <c r="G7" s="46" t="s">
        <v>83</v>
      </c>
      <c r="H7" s="3153"/>
      <c r="I7" s="3143"/>
      <c r="J7" s="3141"/>
      <c r="K7" s="3149"/>
      <c r="L7" s="19"/>
      <c r="M7" s="19"/>
      <c r="AH7" s="6"/>
    </row>
    <row r="8" spans="1:34" ht="20.100000000000001" customHeight="1" thickBot="1">
      <c r="B8" s="1222" t="s">
        <v>252</v>
      </c>
      <c r="C8" s="755" t="s">
        <v>288</v>
      </c>
      <c r="D8" s="755" t="s">
        <v>162</v>
      </c>
      <c r="E8" s="756">
        <v>40</v>
      </c>
      <c r="F8" s="1942">
        <v>0</v>
      </c>
      <c r="G8" s="1865">
        <v>1.421</v>
      </c>
      <c r="H8" s="1940">
        <f>+F8+G8</f>
        <v>1.421</v>
      </c>
      <c r="I8" s="757">
        <f>+E8-H8</f>
        <v>38.579000000000001</v>
      </c>
      <c r="J8" s="82">
        <f>H8/E8</f>
        <v>3.5525000000000001E-2</v>
      </c>
      <c r="K8" s="758"/>
      <c r="L8" s="19"/>
      <c r="M8" s="19"/>
      <c r="AH8" s="6"/>
    </row>
    <row r="9" spans="1:34" ht="20.100000000000001" customHeight="1" thickBot="1">
      <c r="B9" s="1222" t="s">
        <v>207</v>
      </c>
      <c r="C9" s="755" t="s">
        <v>288</v>
      </c>
      <c r="D9" s="755" t="s">
        <v>162</v>
      </c>
      <c r="E9" s="756">
        <v>108</v>
      </c>
      <c r="F9" s="1941">
        <v>310.33300000000003</v>
      </c>
      <c r="G9" s="1525">
        <v>0.28000000000000003</v>
      </c>
      <c r="H9" s="1940">
        <f t="shared" ref="H9:H10" si="0">+F9+G9</f>
        <v>310.613</v>
      </c>
      <c r="I9" s="757">
        <f t="shared" ref="I9:I13" si="1">+E9-H9</f>
        <v>-202.613</v>
      </c>
      <c r="J9" s="759">
        <f t="shared" ref="J9:J13" si="2">H9/E9</f>
        <v>2.8760462962962965</v>
      </c>
      <c r="K9" s="47">
        <v>42390</v>
      </c>
      <c r="L9" s="19"/>
      <c r="M9" s="19"/>
      <c r="AH9" s="6"/>
    </row>
    <row r="10" spans="1:34" ht="20.100000000000001" customHeight="1" thickBot="1">
      <c r="B10" s="3154" t="s">
        <v>208</v>
      </c>
      <c r="C10" s="39" t="s">
        <v>120</v>
      </c>
      <c r="D10" s="1851" t="s">
        <v>162</v>
      </c>
      <c r="E10" s="760">
        <v>2</v>
      </c>
      <c r="F10" s="595"/>
      <c r="G10" s="1867"/>
      <c r="H10" s="1863">
        <f t="shared" si="0"/>
        <v>0</v>
      </c>
      <c r="I10" s="761">
        <f t="shared" si="1"/>
        <v>2</v>
      </c>
      <c r="J10" s="2110">
        <f t="shared" si="2"/>
        <v>0</v>
      </c>
      <c r="K10" s="762"/>
      <c r="L10" s="19"/>
      <c r="M10" s="19"/>
      <c r="AH10" s="6"/>
    </row>
    <row r="11" spans="1:34" ht="20.100000000000001" customHeight="1" thickBot="1">
      <c r="B11" s="3155"/>
      <c r="C11" s="3157" t="s">
        <v>288</v>
      </c>
      <c r="D11" s="755" t="s">
        <v>201</v>
      </c>
      <c r="E11" s="756">
        <v>52</v>
      </c>
      <c r="F11" s="1860"/>
      <c r="G11" s="1866">
        <f>53.263-6.65</f>
        <v>46.613</v>
      </c>
      <c r="H11" s="1940">
        <f>+F11+G11</f>
        <v>46.613</v>
      </c>
      <c r="I11" s="757">
        <f t="shared" si="1"/>
        <v>5.3870000000000005</v>
      </c>
      <c r="J11" s="82">
        <f t="shared" si="2"/>
        <v>0.89640384615384616</v>
      </c>
      <c r="K11" s="47">
        <v>42487</v>
      </c>
      <c r="L11" s="19"/>
      <c r="M11" s="19"/>
      <c r="AH11" s="6"/>
    </row>
    <row r="12" spans="1:34" ht="20.100000000000001" customHeight="1" thickBot="1">
      <c r="B12" s="3155"/>
      <c r="C12" s="3158"/>
      <c r="D12" s="1852" t="s">
        <v>202</v>
      </c>
      <c r="E12" s="1938">
        <v>53</v>
      </c>
      <c r="F12" s="1861"/>
      <c r="G12" s="1866">
        <f>43.513-3.709</f>
        <v>39.803999999999995</v>
      </c>
      <c r="H12" s="1940">
        <f>+F12+G12</f>
        <v>39.803999999999995</v>
      </c>
      <c r="I12" s="757">
        <f t="shared" si="1"/>
        <v>13.196000000000005</v>
      </c>
      <c r="J12" s="82">
        <f t="shared" si="2"/>
        <v>0.75101886792452821</v>
      </c>
      <c r="K12" s="78"/>
      <c r="L12" s="19"/>
      <c r="M12" s="19"/>
      <c r="AH12" s="6"/>
    </row>
    <row r="13" spans="1:34" ht="20.100000000000001" customHeight="1" thickBot="1">
      <c r="B13" s="3156"/>
      <c r="C13" s="185" t="s">
        <v>203</v>
      </c>
      <c r="D13" s="1436" t="s">
        <v>162</v>
      </c>
      <c r="E13" s="760">
        <v>11</v>
      </c>
      <c r="F13" s="598">
        <v>0</v>
      </c>
      <c r="G13" s="1827">
        <v>10.359</v>
      </c>
      <c r="H13" s="1864">
        <f>+F13+G13</f>
        <v>10.359</v>
      </c>
      <c r="I13" s="1857">
        <f t="shared" si="1"/>
        <v>0.64100000000000001</v>
      </c>
      <c r="J13" s="1858">
        <f t="shared" si="2"/>
        <v>0.94172727272727275</v>
      </c>
      <c r="K13" s="1859"/>
      <c r="L13" s="19"/>
      <c r="M13" s="19"/>
      <c r="AH13" s="6"/>
    </row>
    <row r="14" spans="1:34" ht="20.100000000000001" customHeight="1" thickBot="1">
      <c r="B14" s="81" t="s">
        <v>289</v>
      </c>
      <c r="C14" s="80" t="s">
        <v>290</v>
      </c>
      <c r="D14" s="755"/>
      <c r="E14" s="1437"/>
      <c r="F14" s="1862">
        <v>12.157999999999999</v>
      </c>
      <c r="G14" s="11"/>
      <c r="H14" s="78">
        <f>+F14+G14</f>
        <v>12.157999999999999</v>
      </c>
      <c r="I14" s="79"/>
      <c r="J14" s="82"/>
      <c r="K14" s="78"/>
      <c r="L14" s="19"/>
      <c r="M14" s="19"/>
      <c r="AH14" s="6"/>
    </row>
    <row r="15" spans="1:34" ht="19.5" customHeight="1">
      <c r="B15" s="41"/>
      <c r="C15" s="41"/>
      <c r="D15" s="41"/>
      <c r="E15" s="42"/>
      <c r="F15" s="43"/>
      <c r="G15" s="43"/>
      <c r="H15" s="43"/>
      <c r="I15" s="44"/>
      <c r="J15" s="45"/>
      <c r="K15" s="43"/>
      <c r="L15" s="19"/>
      <c r="M15" s="19"/>
      <c r="AH15" s="6"/>
    </row>
    <row r="16" spans="1:34" s="19" customFormat="1" ht="20.100000000000001" customHeight="1">
      <c r="A16" s="402"/>
    </row>
    <row r="17" spans="1:34" s="19" customFormat="1" ht="20.100000000000001" customHeight="1" thickBot="1">
      <c r="A17" s="402"/>
    </row>
    <row r="18" spans="1:34" s="19" customFormat="1" ht="20.100000000000001" customHeight="1">
      <c r="A18" s="402"/>
      <c r="B18" s="3089" t="s">
        <v>277</v>
      </c>
      <c r="C18" s="3090"/>
      <c r="D18" s="3090"/>
      <c r="E18" s="3090"/>
      <c r="F18" s="3090"/>
      <c r="G18" s="3090"/>
      <c r="H18" s="3090"/>
      <c r="I18" s="3090"/>
      <c r="J18" s="3090"/>
      <c r="K18" s="3091"/>
      <c r="L18" s="24"/>
    </row>
    <row r="19" spans="1:34" s="19" customFormat="1" ht="20.100000000000001" customHeight="1" thickBot="1">
      <c r="A19" s="402"/>
      <c r="B19" s="2189"/>
      <c r="C19" s="2190"/>
      <c r="D19" s="2190"/>
      <c r="E19" s="2190"/>
      <c r="F19" s="2190"/>
      <c r="G19" s="2190"/>
      <c r="H19" s="2190"/>
      <c r="I19" s="2190"/>
      <c r="J19" s="2190"/>
      <c r="K19" s="2191"/>
      <c r="L19" s="24"/>
    </row>
    <row r="20" spans="1:34" s="19" customFormat="1" ht="20.100000000000001" customHeight="1" thickBot="1">
      <c r="A20" s="402"/>
      <c r="L20" s="24"/>
    </row>
    <row r="21" spans="1:34" ht="20.100000000000001" customHeight="1" thickBot="1">
      <c r="B21" s="688" t="s">
        <v>52</v>
      </c>
      <c r="C21" s="687" t="s">
        <v>80</v>
      </c>
      <c r="D21" s="745" t="s">
        <v>56</v>
      </c>
      <c r="E21" s="773" t="s">
        <v>81</v>
      </c>
      <c r="F21" s="3165" t="s">
        <v>82</v>
      </c>
      <c r="G21" s="3166"/>
      <c r="H21" s="48"/>
      <c r="I21" s="21"/>
      <c r="J21" s="20"/>
      <c r="K21" s="19"/>
      <c r="L21" s="19"/>
      <c r="M21" s="19"/>
      <c r="AF21" s="6"/>
      <c r="AG21" s="6"/>
      <c r="AH21" s="6"/>
    </row>
    <row r="22" spans="1:34" ht="20.100000000000001" customHeight="1">
      <c r="B22" s="743" t="s">
        <v>578</v>
      </c>
      <c r="C22" s="1440" t="s">
        <v>580</v>
      </c>
      <c r="D22" s="1438" t="s">
        <v>581</v>
      </c>
      <c r="E22" s="1526">
        <v>301.62899999999991</v>
      </c>
      <c r="F22" s="3163">
        <f>+E22+E23</f>
        <v>7598.5740000000023</v>
      </c>
      <c r="G22" s="3164"/>
      <c r="H22" s="49"/>
      <c r="I22" s="22"/>
      <c r="J22" s="20"/>
      <c r="K22" s="19"/>
      <c r="L22" s="19"/>
      <c r="M22" s="19"/>
      <c r="AF22" s="6"/>
      <c r="AG22" s="6"/>
      <c r="AH22" s="6"/>
    </row>
    <row r="23" spans="1:34" ht="20.100000000000001" customHeight="1" thickBot="1">
      <c r="B23" s="744" t="s">
        <v>578</v>
      </c>
      <c r="C23" s="1441" t="s">
        <v>83</v>
      </c>
      <c r="D23" s="1439" t="s">
        <v>581</v>
      </c>
      <c r="E23" s="1527">
        <v>7296.9450000000024</v>
      </c>
      <c r="F23" s="3161"/>
      <c r="G23" s="3162"/>
      <c r="H23" s="49"/>
      <c r="I23" s="23"/>
      <c r="J23" s="20"/>
      <c r="K23" s="19"/>
      <c r="L23" s="19"/>
      <c r="M23" s="19"/>
      <c r="AF23" s="6"/>
      <c r="AG23" s="6"/>
      <c r="AH23" s="6"/>
    </row>
    <row r="24" spans="1:34" ht="20.100000000000001" customHeight="1">
      <c r="B24" s="743" t="s">
        <v>577</v>
      </c>
      <c r="C24" s="1440" t="s">
        <v>580</v>
      </c>
      <c r="D24" s="1438" t="s">
        <v>581</v>
      </c>
      <c r="E24" s="1892">
        <v>31718.648000000052</v>
      </c>
      <c r="F24" s="3163">
        <f>+E24+E25</f>
        <v>56798.062000000005</v>
      </c>
      <c r="G24" s="3164"/>
      <c r="H24" s="49"/>
      <c r="I24" s="22"/>
      <c r="J24" s="20"/>
      <c r="K24" s="19"/>
      <c r="L24" s="19"/>
      <c r="M24" s="19"/>
      <c r="AF24" s="6"/>
      <c r="AG24" s="6"/>
      <c r="AH24" s="6"/>
    </row>
    <row r="25" spans="1:34" ht="20.100000000000001" customHeight="1" thickBot="1">
      <c r="B25" s="744" t="s">
        <v>577</v>
      </c>
      <c r="C25" s="1441" t="s">
        <v>83</v>
      </c>
      <c r="D25" s="1439" t="s">
        <v>581</v>
      </c>
      <c r="E25" s="1527">
        <v>25079.413999999957</v>
      </c>
      <c r="F25" s="3161"/>
      <c r="G25" s="3162"/>
      <c r="H25" s="49"/>
      <c r="I25" s="22"/>
      <c r="J25" s="20"/>
      <c r="K25" s="19"/>
      <c r="L25" s="19"/>
      <c r="AF25" s="6"/>
      <c r="AG25" s="6"/>
      <c r="AH25" s="6"/>
    </row>
    <row r="26" spans="1:34" ht="20.100000000000001" customHeight="1">
      <c r="B26" s="743" t="s">
        <v>579</v>
      </c>
      <c r="C26" s="1440" t="s">
        <v>580</v>
      </c>
      <c r="D26" s="1438" t="s">
        <v>581</v>
      </c>
      <c r="E26" s="1892">
        <v>2588.8939999999998</v>
      </c>
      <c r="F26" s="3159">
        <f>+E26+E27</f>
        <v>27607.597000000027</v>
      </c>
      <c r="G26" s="3160"/>
      <c r="H26" s="49"/>
      <c r="I26" s="22"/>
      <c r="J26" s="20"/>
      <c r="K26" s="19"/>
      <c r="L26" s="19"/>
      <c r="M26" s="19"/>
      <c r="AF26" s="6"/>
      <c r="AG26" s="6"/>
      <c r="AH26" s="6"/>
    </row>
    <row r="27" spans="1:34" ht="20.100000000000001" customHeight="1" thickBot="1">
      <c r="B27" s="744" t="s">
        <v>579</v>
      </c>
      <c r="C27" s="1441" t="s">
        <v>83</v>
      </c>
      <c r="D27" s="1439" t="s">
        <v>581</v>
      </c>
      <c r="E27" s="1853">
        <v>25018.703000000027</v>
      </c>
      <c r="F27" s="3161"/>
      <c r="G27" s="3162"/>
      <c r="H27" s="49"/>
      <c r="I27" s="19"/>
      <c r="J27" s="19"/>
      <c r="K27" s="19"/>
      <c r="L27" s="19"/>
      <c r="M27" s="19"/>
      <c r="AF27" s="6"/>
      <c r="AG27" s="6"/>
      <c r="AH27" s="6"/>
    </row>
    <row r="28" spans="1:34" s="19" customFormat="1">
      <c r="A28" s="402"/>
    </row>
    <row r="29" spans="1:34" s="363" customFormat="1">
      <c r="A29" s="402"/>
    </row>
    <row r="30" spans="1:34" s="363" customFormat="1">
      <c r="A30" s="402"/>
    </row>
    <row r="31" spans="1:34" s="363" customFormat="1">
      <c r="A31" s="402"/>
    </row>
    <row r="32" spans="1:34" s="363" customFormat="1">
      <c r="A32" s="402"/>
    </row>
    <row r="33" spans="1:1" s="363" customFormat="1">
      <c r="A33" s="402"/>
    </row>
    <row r="34" spans="1:1" s="363" customFormat="1">
      <c r="A34" s="402"/>
    </row>
    <row r="35" spans="1:1" s="363" customFormat="1">
      <c r="A35" s="402"/>
    </row>
    <row r="36" spans="1:1" s="363" customFormat="1">
      <c r="A36" s="402"/>
    </row>
    <row r="37" spans="1:1" s="646" customFormat="1"/>
    <row r="38" spans="1:1" s="646" customFormat="1"/>
    <row r="39" spans="1:1" s="646" customFormat="1"/>
    <row r="40" spans="1:1" s="646" customFormat="1"/>
    <row r="41" spans="1:1" s="646" customFormat="1"/>
    <row r="42" spans="1:1" s="646" customFormat="1"/>
    <row r="43" spans="1:1" s="646" customFormat="1"/>
    <row r="44" spans="1:1" s="646" customFormat="1"/>
    <row r="45" spans="1:1" s="646" customFormat="1"/>
    <row r="46" spans="1:1" s="646" customFormat="1"/>
    <row r="47" spans="1:1" s="646" customFormat="1"/>
    <row r="48" spans="1:1" s="646" customFormat="1"/>
    <row r="49" s="646" customFormat="1"/>
    <row r="50" s="646" customFormat="1"/>
    <row r="51" s="646" customFormat="1"/>
    <row r="52" s="646" customFormat="1"/>
    <row r="53" s="646" customFormat="1"/>
    <row r="54" s="646" customFormat="1"/>
    <row r="55" s="646" customFormat="1"/>
    <row r="56" s="646" customFormat="1"/>
    <row r="57" s="646" customFormat="1"/>
    <row r="58" s="646" customFormat="1"/>
    <row r="59" s="646" customFormat="1"/>
    <row r="60" s="646" customFormat="1"/>
    <row r="61" s="646" customFormat="1"/>
    <row r="62" s="646" customFormat="1"/>
    <row r="63" s="646" customFormat="1"/>
    <row r="64" s="646" customFormat="1"/>
    <row r="65" spans="1:34" s="646" customFormat="1"/>
    <row r="66" spans="1:34" s="646" customFormat="1"/>
    <row r="67" spans="1:34" s="646" customFormat="1"/>
    <row r="68" spans="1:34" s="646" customFormat="1"/>
    <row r="69" spans="1:34" s="646" customFormat="1"/>
    <row r="70" spans="1:34" s="646" customFormat="1"/>
    <row r="71" spans="1:34" s="646" customFormat="1"/>
    <row r="72" spans="1:34" s="646" customFormat="1"/>
    <row r="73" spans="1:34" s="646" customFormat="1"/>
    <row r="74" spans="1:34" s="646" customFormat="1"/>
    <row r="75" spans="1:34" s="646" customFormat="1"/>
    <row r="76" spans="1:34" s="646" customFormat="1"/>
    <row r="77" spans="1:34" s="646" customFormat="1"/>
    <row r="78" spans="1:34" s="646" customFormat="1"/>
    <row r="79" spans="1:34" s="646" customFormat="1"/>
    <row r="80" spans="1:34" s="748" customFormat="1">
      <c r="A80" s="646"/>
      <c r="N80" s="646"/>
      <c r="O80" s="646"/>
      <c r="P80" s="646"/>
      <c r="Q80" s="646"/>
      <c r="R80" s="646"/>
      <c r="S80" s="646"/>
      <c r="T80" s="646"/>
      <c r="U80" s="646"/>
      <c r="V80" s="646"/>
      <c r="W80" s="646"/>
      <c r="X80" s="646"/>
      <c r="Y80" s="646"/>
      <c r="Z80" s="646"/>
      <c r="AA80" s="646"/>
      <c r="AB80" s="646"/>
      <c r="AC80" s="646"/>
      <c r="AD80" s="646"/>
      <c r="AE80" s="646"/>
      <c r="AF80" s="646"/>
      <c r="AG80" s="646"/>
      <c r="AH80" s="646"/>
    </row>
    <row r="81" spans="1:34" s="748" customFormat="1">
      <c r="A81" s="646"/>
      <c r="N81" s="646"/>
      <c r="O81" s="646"/>
      <c r="P81" s="646"/>
      <c r="Q81" s="646"/>
      <c r="R81" s="646"/>
      <c r="S81" s="646"/>
      <c r="T81" s="646"/>
      <c r="U81" s="646"/>
      <c r="V81" s="646"/>
      <c r="W81" s="646"/>
      <c r="X81" s="646"/>
      <c r="Y81" s="646"/>
      <c r="Z81" s="646"/>
      <c r="AA81" s="646"/>
      <c r="AB81" s="646"/>
      <c r="AC81" s="646"/>
      <c r="AD81" s="646"/>
      <c r="AE81" s="646"/>
      <c r="AF81" s="646"/>
      <c r="AG81" s="646"/>
      <c r="AH81" s="646"/>
    </row>
    <row r="82" spans="1:34" s="748" customFormat="1">
      <c r="A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46"/>
      <c r="AB82" s="646"/>
      <c r="AC82" s="646"/>
      <c r="AD82" s="646"/>
      <c r="AE82" s="646"/>
      <c r="AF82" s="646"/>
      <c r="AG82" s="646"/>
      <c r="AH82" s="646"/>
    </row>
    <row r="83" spans="1:34" s="748" customFormat="1">
      <c r="A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46"/>
      <c r="AB83" s="646"/>
      <c r="AC83" s="646"/>
      <c r="AD83" s="646"/>
      <c r="AE83" s="646"/>
      <c r="AF83" s="646"/>
      <c r="AG83" s="646"/>
      <c r="AH83" s="646"/>
    </row>
    <row r="84" spans="1:34" s="748" customFormat="1">
      <c r="A84" s="646"/>
      <c r="N84" s="646"/>
      <c r="O84" s="646"/>
      <c r="P84" s="646"/>
      <c r="Q84" s="646"/>
      <c r="R84" s="646"/>
      <c r="S84" s="646"/>
      <c r="T84" s="646"/>
      <c r="U84" s="646"/>
      <c r="V84" s="646"/>
      <c r="W84" s="646"/>
      <c r="X84" s="646"/>
      <c r="Y84" s="646"/>
      <c r="Z84" s="646"/>
      <c r="AA84" s="646"/>
      <c r="AB84" s="646"/>
      <c r="AC84" s="646"/>
      <c r="AD84" s="646"/>
      <c r="AE84" s="646"/>
      <c r="AF84" s="646"/>
      <c r="AG84" s="646"/>
      <c r="AH84" s="646"/>
    </row>
    <row r="85" spans="1:34" s="748" customFormat="1">
      <c r="A85" s="646"/>
      <c r="N85" s="646"/>
      <c r="O85" s="646"/>
      <c r="P85" s="646"/>
      <c r="Q85" s="646"/>
      <c r="R85" s="646"/>
      <c r="S85" s="646"/>
      <c r="T85" s="646"/>
      <c r="U85" s="646"/>
      <c r="V85" s="646"/>
      <c r="W85" s="646"/>
      <c r="X85" s="646"/>
      <c r="Y85" s="646"/>
      <c r="Z85" s="646"/>
      <c r="AA85" s="646"/>
      <c r="AB85" s="646"/>
      <c r="AC85" s="646"/>
      <c r="AD85" s="646"/>
      <c r="AE85" s="646"/>
      <c r="AF85" s="646"/>
      <c r="AG85" s="646"/>
      <c r="AH85" s="646"/>
    </row>
    <row r="86" spans="1:34" s="748" customFormat="1">
      <c r="A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46"/>
      <c r="AB86" s="646"/>
      <c r="AC86" s="646"/>
      <c r="AD86" s="646"/>
      <c r="AE86" s="646"/>
      <c r="AF86" s="646"/>
      <c r="AG86" s="646"/>
      <c r="AH86" s="646"/>
    </row>
    <row r="87" spans="1:34" s="748" customFormat="1">
      <c r="A87" s="646"/>
      <c r="N87" s="646"/>
      <c r="O87" s="646"/>
      <c r="P87" s="646"/>
      <c r="Q87" s="646"/>
      <c r="R87" s="646"/>
      <c r="S87" s="646"/>
      <c r="T87" s="646"/>
      <c r="U87" s="646"/>
      <c r="V87" s="646"/>
      <c r="W87" s="646"/>
      <c r="X87" s="646"/>
      <c r="Y87" s="646"/>
      <c r="Z87" s="646"/>
      <c r="AA87" s="646"/>
      <c r="AB87" s="646"/>
      <c r="AC87" s="646"/>
      <c r="AD87" s="646"/>
      <c r="AE87" s="646"/>
      <c r="AF87" s="646"/>
      <c r="AG87" s="646"/>
      <c r="AH87" s="646"/>
    </row>
    <row r="88" spans="1:34" s="748" customFormat="1">
      <c r="A88" s="646"/>
      <c r="N88" s="646"/>
      <c r="O88" s="646"/>
      <c r="P88" s="646"/>
      <c r="Q88" s="646"/>
      <c r="R88" s="646"/>
      <c r="S88" s="646"/>
      <c r="T88" s="646"/>
      <c r="U88" s="646"/>
      <c r="V88" s="646"/>
      <c r="W88" s="646"/>
      <c r="X88" s="646"/>
      <c r="Y88" s="646"/>
      <c r="Z88" s="646"/>
      <c r="AA88" s="646"/>
      <c r="AB88" s="646"/>
      <c r="AC88" s="646"/>
      <c r="AD88" s="646"/>
      <c r="AE88" s="646"/>
      <c r="AF88" s="646"/>
      <c r="AG88" s="646"/>
      <c r="AH88" s="646"/>
    </row>
    <row r="89" spans="1:34" s="748" customFormat="1">
      <c r="A89" s="646"/>
      <c r="N89" s="646"/>
      <c r="O89" s="646"/>
      <c r="P89" s="646"/>
      <c r="Q89" s="646"/>
      <c r="R89" s="646"/>
      <c r="S89" s="646"/>
      <c r="T89" s="646"/>
      <c r="U89" s="646"/>
      <c r="V89" s="646"/>
      <c r="W89" s="646"/>
      <c r="X89" s="646"/>
      <c r="Y89" s="646"/>
      <c r="Z89" s="646"/>
      <c r="AA89" s="646"/>
      <c r="AB89" s="646"/>
      <c r="AC89" s="646"/>
      <c r="AD89" s="646"/>
      <c r="AE89" s="646"/>
      <c r="AF89" s="646"/>
      <c r="AG89" s="646"/>
      <c r="AH89" s="646"/>
    </row>
    <row r="90" spans="1:34" s="748" customFormat="1">
      <c r="A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46"/>
      <c r="AB90" s="646"/>
      <c r="AC90" s="646"/>
      <c r="AD90" s="646"/>
      <c r="AE90" s="646"/>
      <c r="AF90" s="646"/>
      <c r="AG90" s="646"/>
      <c r="AH90" s="646"/>
    </row>
    <row r="91" spans="1:34" s="748" customFormat="1">
      <c r="A91" s="646"/>
      <c r="N91" s="646"/>
      <c r="O91" s="646"/>
      <c r="P91" s="646"/>
      <c r="Q91" s="646"/>
      <c r="R91" s="646"/>
      <c r="S91" s="646"/>
      <c r="T91" s="646"/>
      <c r="U91" s="646"/>
      <c r="V91" s="646"/>
      <c r="W91" s="646"/>
      <c r="X91" s="646"/>
      <c r="Y91" s="646"/>
      <c r="Z91" s="646"/>
      <c r="AA91" s="646"/>
      <c r="AB91" s="646"/>
      <c r="AC91" s="646"/>
      <c r="AD91" s="646"/>
      <c r="AE91" s="646"/>
      <c r="AF91" s="646"/>
      <c r="AG91" s="646"/>
      <c r="AH91" s="646"/>
    </row>
    <row r="92" spans="1:34" s="748" customFormat="1">
      <c r="A92" s="646"/>
      <c r="N92" s="646"/>
      <c r="O92" s="646"/>
      <c r="P92" s="646"/>
      <c r="Q92" s="646"/>
      <c r="R92" s="646"/>
      <c r="S92" s="646"/>
      <c r="T92" s="646"/>
      <c r="U92" s="646"/>
      <c r="V92" s="646"/>
      <c r="W92" s="646"/>
      <c r="X92" s="646"/>
      <c r="Y92" s="646"/>
      <c r="Z92" s="646"/>
      <c r="AA92" s="646"/>
      <c r="AB92" s="646"/>
      <c r="AC92" s="646"/>
      <c r="AD92" s="646"/>
      <c r="AE92" s="646"/>
      <c r="AF92" s="646"/>
      <c r="AG92" s="646"/>
      <c r="AH92" s="646"/>
    </row>
  </sheetData>
  <sortState ref="B36:F41">
    <sortCondition ref="B35"/>
  </sortState>
  <mergeCells count="19">
    <mergeCell ref="B10:B13"/>
    <mergeCell ref="C11:C12"/>
    <mergeCell ref="B18:K18"/>
    <mergeCell ref="B19:K19"/>
    <mergeCell ref="F26:G27"/>
    <mergeCell ref="F24:G25"/>
    <mergeCell ref="F22:G23"/>
    <mergeCell ref="F21:G21"/>
    <mergeCell ref="B2:K2"/>
    <mergeCell ref="B3:K3"/>
    <mergeCell ref="B6:B7"/>
    <mergeCell ref="C6:C7"/>
    <mergeCell ref="I6:I7"/>
    <mergeCell ref="E6:E7"/>
    <mergeCell ref="F6:G6"/>
    <mergeCell ref="K6:K7"/>
    <mergeCell ref="J6:J7"/>
    <mergeCell ref="D6:D7"/>
    <mergeCell ref="H6:H7"/>
  </mergeCells>
  <pageMargins left="0.70866141732283472" right="0.70866141732283472" top="0.74803149606299213" bottom="0.74803149606299213" header="0.31496062992125984" footer="0.31496062992125984"/>
  <pageSetup paperSize="119" scale="25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CC"/>
  </sheetPr>
  <dimension ref="A1:BW752"/>
  <sheetViews>
    <sheetView zoomScale="76" zoomScaleNormal="76" workbookViewId="0">
      <selection activeCell="B45" sqref="B45"/>
    </sheetView>
  </sheetViews>
  <sheetFormatPr baseColWidth="10" defaultColWidth="11.42578125" defaultRowHeight="15"/>
  <cols>
    <col min="1" max="1" width="24.28515625" style="5" customWidth="1"/>
    <col min="2" max="2" width="25.85546875" style="5" customWidth="1"/>
    <col min="3" max="3" width="11.85546875" style="5" customWidth="1"/>
    <col min="4" max="4" width="23.42578125" style="5" customWidth="1"/>
    <col min="5" max="5" width="11.85546875" style="5" customWidth="1"/>
    <col min="6" max="6" width="14.140625" style="5" customWidth="1"/>
    <col min="7" max="7" width="16.7109375" style="74" customWidth="1"/>
    <col min="8" max="9" width="11.42578125" style="5"/>
    <col min="10" max="10" width="11.5703125" style="5" bestFit="1" customWidth="1"/>
    <col min="11" max="12" width="11.42578125" style="5"/>
    <col min="13" max="13" width="14.28515625" style="140" customWidth="1"/>
    <col min="14" max="75" width="11.42578125" style="140"/>
    <col min="76" max="16384" width="11.42578125" style="5"/>
  </cols>
  <sheetData>
    <row r="1" spans="1:12" s="140" customFormat="1" ht="15.75" thickBot="1">
      <c r="G1" s="77"/>
    </row>
    <row r="2" spans="1:12" ht="18.75">
      <c r="A2" s="3034" t="s">
        <v>273</v>
      </c>
      <c r="B2" s="3035"/>
      <c r="C2" s="3035"/>
      <c r="D2" s="3035"/>
      <c r="E2" s="3035"/>
      <c r="F2" s="3035"/>
      <c r="G2" s="3035"/>
      <c r="H2" s="3035"/>
      <c r="I2" s="3035"/>
      <c r="J2" s="3035"/>
      <c r="K2" s="3035"/>
      <c r="L2" s="3036"/>
    </row>
    <row r="3" spans="1:12" ht="19.5" thickBot="1">
      <c r="A3" s="2189" t="s">
        <v>737</v>
      </c>
      <c r="B3" s="2190"/>
      <c r="C3" s="2190"/>
      <c r="D3" s="2190"/>
      <c r="E3" s="2190"/>
      <c r="F3" s="2190"/>
      <c r="G3" s="2190"/>
      <c r="H3" s="2190"/>
      <c r="I3" s="2190"/>
      <c r="J3" s="2190"/>
      <c r="K3" s="2190"/>
      <c r="L3" s="2191"/>
    </row>
    <row r="4" spans="1:12" s="140" customFormat="1">
      <c r="G4" s="77"/>
    </row>
    <row r="5" spans="1:12" s="140" customFormat="1">
      <c r="G5" s="77"/>
    </row>
    <row r="6" spans="1:12" s="140" customFormat="1" ht="15.75" thickBot="1">
      <c r="G6" s="77"/>
    </row>
    <row r="7" spans="1:12" ht="30.75" thickBot="1">
      <c r="A7" s="73" t="s">
        <v>52</v>
      </c>
      <c r="B7" s="30" t="s">
        <v>264</v>
      </c>
      <c r="C7" s="31" t="s">
        <v>56</v>
      </c>
      <c r="D7" s="31" t="s">
        <v>263</v>
      </c>
      <c r="E7" s="36" t="s">
        <v>139</v>
      </c>
      <c r="F7" s="535" t="s">
        <v>206</v>
      </c>
      <c r="G7" s="33" t="s">
        <v>2</v>
      </c>
      <c r="H7" s="32" t="s">
        <v>3</v>
      </c>
      <c r="I7" s="35" t="s">
        <v>143</v>
      </c>
      <c r="J7" s="8" t="s">
        <v>85</v>
      </c>
      <c r="K7" s="30" t="s">
        <v>199</v>
      </c>
      <c r="L7" s="30" t="s">
        <v>205</v>
      </c>
    </row>
    <row r="8" spans="1:12">
      <c r="A8" s="3170" t="s">
        <v>286</v>
      </c>
      <c r="B8" s="3175" t="s">
        <v>256</v>
      </c>
      <c r="C8" s="3167" t="s">
        <v>572</v>
      </c>
      <c r="D8" s="96" t="s">
        <v>257</v>
      </c>
      <c r="E8" s="97">
        <v>0.2</v>
      </c>
      <c r="F8" s="530">
        <f>E8</f>
        <v>0.2</v>
      </c>
      <c r="G8" s="524"/>
      <c r="H8" s="523">
        <f t="shared" ref="H8:H22" si="0">F8-G8</f>
        <v>0.2</v>
      </c>
      <c r="I8" s="99">
        <f t="shared" ref="I8:I23" si="1">G8/F8</f>
        <v>0</v>
      </c>
      <c r="J8" s="100"/>
      <c r="K8" s="100"/>
      <c r="L8" s="101"/>
    </row>
    <row r="9" spans="1:12">
      <c r="A9" s="3171"/>
      <c r="B9" s="3176"/>
      <c r="C9" s="3168"/>
      <c r="D9" s="102" t="s">
        <v>203</v>
      </c>
      <c r="E9" s="103">
        <v>0.8</v>
      </c>
      <c r="F9" s="526">
        <f>E9</f>
        <v>0.8</v>
      </c>
      <c r="G9" s="528">
        <v>3.2000000000000001E-2</v>
      </c>
      <c r="H9" s="103">
        <f t="shared" si="0"/>
        <v>0.76800000000000002</v>
      </c>
      <c r="I9" s="105">
        <f t="shared" si="1"/>
        <v>0.04</v>
      </c>
      <c r="J9" s="106"/>
      <c r="K9" s="106"/>
      <c r="L9" s="107"/>
    </row>
    <row r="10" spans="1:12" ht="15.75" thickBot="1">
      <c r="A10" s="3171"/>
      <c r="B10" s="3177"/>
      <c r="C10" s="3169"/>
      <c r="D10" s="702" t="s">
        <v>258</v>
      </c>
      <c r="E10" s="326">
        <v>9</v>
      </c>
      <c r="F10" s="525">
        <f>E10</f>
        <v>9</v>
      </c>
      <c r="G10" s="529">
        <v>9.407</v>
      </c>
      <c r="H10" s="527">
        <f t="shared" si="0"/>
        <v>-0.40700000000000003</v>
      </c>
      <c r="I10" s="322">
        <f>G10/F10</f>
        <v>1.0452222222222223</v>
      </c>
      <c r="J10" s="323">
        <v>42507</v>
      </c>
      <c r="K10" s="110"/>
      <c r="L10" s="111"/>
    </row>
    <row r="11" spans="1:12">
      <c r="A11" s="3171"/>
      <c r="B11" s="3175" t="s">
        <v>259</v>
      </c>
      <c r="C11" s="3167" t="s">
        <v>572</v>
      </c>
      <c r="D11" s="96" t="s">
        <v>257</v>
      </c>
      <c r="E11" s="97">
        <v>0.6</v>
      </c>
      <c r="F11" s="534">
        <f>E11</f>
        <v>0.6</v>
      </c>
      <c r="G11" s="524"/>
      <c r="H11" s="523">
        <f t="shared" si="0"/>
        <v>0.6</v>
      </c>
      <c r="I11" s="99">
        <f t="shared" si="1"/>
        <v>0</v>
      </c>
      <c r="J11" s="100"/>
      <c r="K11" s="100"/>
      <c r="L11" s="101"/>
    </row>
    <row r="12" spans="1:12">
      <c r="A12" s="3171"/>
      <c r="B12" s="3176"/>
      <c r="C12" s="3168"/>
      <c r="D12" s="328" t="s">
        <v>203</v>
      </c>
      <c r="E12" s="329">
        <v>1.4</v>
      </c>
      <c r="F12" s="533">
        <f t="shared" ref="F12:F20" si="2">E12</f>
        <v>1.4</v>
      </c>
      <c r="G12" s="521">
        <v>2.0960000000000001</v>
      </c>
      <c r="H12" s="522">
        <f t="shared" si="0"/>
        <v>-0.69600000000000017</v>
      </c>
      <c r="I12" s="330">
        <f t="shared" si="1"/>
        <v>1.4971428571428573</v>
      </c>
      <c r="J12" s="331">
        <v>42495</v>
      </c>
      <c r="K12" s="106"/>
      <c r="L12" s="107"/>
    </row>
    <row r="13" spans="1:12" ht="15.75" thickBot="1">
      <c r="A13" s="3171"/>
      <c r="B13" s="3177"/>
      <c r="C13" s="3169"/>
      <c r="D13" s="702" t="s">
        <v>258</v>
      </c>
      <c r="E13" s="326">
        <v>28</v>
      </c>
      <c r="F13" s="525">
        <f t="shared" si="2"/>
        <v>28</v>
      </c>
      <c r="G13" s="532">
        <v>6.6740000000000004</v>
      </c>
      <c r="H13" s="326">
        <f t="shared" si="0"/>
        <v>21.326000000000001</v>
      </c>
      <c r="I13" s="327">
        <f t="shared" si="1"/>
        <v>0.23835714285714288</v>
      </c>
      <c r="J13" s="320"/>
      <c r="K13" s="108"/>
      <c r="L13" s="109"/>
    </row>
    <row r="14" spans="1:12" ht="19.5" customHeight="1">
      <c r="A14" s="3171"/>
      <c r="B14" s="3178" t="s">
        <v>260</v>
      </c>
      <c r="C14" s="3167" t="s">
        <v>572</v>
      </c>
      <c r="D14" s="96" t="s">
        <v>257</v>
      </c>
      <c r="E14" s="97">
        <v>0.18</v>
      </c>
      <c r="F14" s="534">
        <f t="shared" si="2"/>
        <v>0.18</v>
      </c>
      <c r="G14" s="524"/>
      <c r="H14" s="523">
        <f t="shared" si="0"/>
        <v>0.18</v>
      </c>
      <c r="I14" s="99">
        <f t="shared" si="1"/>
        <v>0</v>
      </c>
      <c r="J14" s="100"/>
      <c r="K14" s="100"/>
      <c r="L14" s="101"/>
    </row>
    <row r="15" spans="1:12">
      <c r="A15" s="3171"/>
      <c r="B15" s="3179"/>
      <c r="C15" s="3168"/>
      <c r="D15" s="102" t="s">
        <v>203</v>
      </c>
      <c r="E15" s="103">
        <v>1</v>
      </c>
      <c r="F15" s="526">
        <f t="shared" si="2"/>
        <v>1</v>
      </c>
      <c r="G15" s="528"/>
      <c r="H15" s="103">
        <f t="shared" si="0"/>
        <v>1</v>
      </c>
      <c r="I15" s="105">
        <f t="shared" si="1"/>
        <v>0</v>
      </c>
      <c r="J15" s="106"/>
      <c r="K15" s="106"/>
      <c r="L15" s="107"/>
    </row>
    <row r="16" spans="1:12" ht="15.75" thickBot="1">
      <c r="A16" s="3171"/>
      <c r="B16" s="3180"/>
      <c r="C16" s="3169"/>
      <c r="D16" s="702" t="s">
        <v>258</v>
      </c>
      <c r="E16" s="326">
        <v>7.82</v>
      </c>
      <c r="F16" s="525">
        <f>E16</f>
        <v>7.82</v>
      </c>
      <c r="G16" s="529">
        <v>9.3659999999999997</v>
      </c>
      <c r="H16" s="527">
        <f t="shared" si="0"/>
        <v>-1.5459999999999994</v>
      </c>
      <c r="I16" s="322">
        <f t="shared" si="1"/>
        <v>1.1976982097186699</v>
      </c>
      <c r="J16" s="323">
        <v>42465</v>
      </c>
      <c r="K16" s="108"/>
      <c r="L16" s="109"/>
    </row>
    <row r="17" spans="1:12">
      <c r="A17" s="3171"/>
      <c r="B17" s="3175" t="s">
        <v>261</v>
      </c>
      <c r="C17" s="3167" t="s">
        <v>572</v>
      </c>
      <c r="D17" s="96" t="s">
        <v>257</v>
      </c>
      <c r="E17" s="97">
        <v>0.13</v>
      </c>
      <c r="F17" s="534">
        <f t="shared" si="2"/>
        <v>0.13</v>
      </c>
      <c r="G17" s="524"/>
      <c r="H17" s="523">
        <f t="shared" si="0"/>
        <v>0.13</v>
      </c>
      <c r="I17" s="99">
        <f t="shared" si="1"/>
        <v>0</v>
      </c>
      <c r="J17" s="100"/>
      <c r="K17" s="100"/>
      <c r="L17" s="101"/>
    </row>
    <row r="18" spans="1:12">
      <c r="A18" s="3171"/>
      <c r="B18" s="3176"/>
      <c r="C18" s="3168"/>
      <c r="D18" s="102" t="s">
        <v>203</v>
      </c>
      <c r="E18" s="103">
        <v>1</v>
      </c>
      <c r="F18" s="526">
        <f t="shared" si="2"/>
        <v>1</v>
      </c>
      <c r="G18" s="528"/>
      <c r="H18" s="103">
        <f t="shared" si="0"/>
        <v>1</v>
      </c>
      <c r="I18" s="105">
        <f t="shared" si="1"/>
        <v>0</v>
      </c>
      <c r="J18" s="106"/>
      <c r="K18" s="106"/>
      <c r="L18" s="107"/>
    </row>
    <row r="19" spans="1:12" ht="15.75" thickBot="1">
      <c r="A19" s="3171"/>
      <c r="B19" s="3177"/>
      <c r="C19" s="3169"/>
      <c r="D19" s="702" t="s">
        <v>258</v>
      </c>
      <c r="E19" s="326">
        <v>5.47</v>
      </c>
      <c r="F19" s="525">
        <f t="shared" si="2"/>
        <v>5.47</v>
      </c>
      <c r="G19" s="529">
        <v>0.60599999999999998</v>
      </c>
      <c r="H19" s="326">
        <f t="shared" si="0"/>
        <v>4.8639999999999999</v>
      </c>
      <c r="I19" s="327">
        <f t="shared" si="1"/>
        <v>0.11078610603290677</v>
      </c>
      <c r="J19" s="323">
        <v>42468</v>
      </c>
      <c r="K19" s="108"/>
      <c r="L19" s="109"/>
    </row>
    <row r="20" spans="1:12" ht="0.75" customHeight="1">
      <c r="A20" s="3171"/>
      <c r="B20" s="3175" t="s">
        <v>262</v>
      </c>
      <c r="C20" s="3167" t="s">
        <v>572</v>
      </c>
      <c r="D20" s="96" t="s">
        <v>257</v>
      </c>
      <c r="E20" s="97">
        <v>0</v>
      </c>
      <c r="F20" s="534">
        <f t="shared" si="2"/>
        <v>0</v>
      </c>
      <c r="G20" s="524"/>
      <c r="H20" s="523">
        <f t="shared" si="0"/>
        <v>0</v>
      </c>
      <c r="I20" s="99" t="e">
        <f t="shared" si="1"/>
        <v>#DIV/0!</v>
      </c>
      <c r="J20" s="100"/>
      <c r="K20" s="100"/>
      <c r="L20" s="101"/>
    </row>
    <row r="21" spans="1:12">
      <c r="A21" s="3171"/>
      <c r="B21" s="3176"/>
      <c r="C21" s="3168"/>
      <c r="D21" s="102" t="s">
        <v>203</v>
      </c>
      <c r="E21" s="103">
        <v>0.4</v>
      </c>
      <c r="F21" s="526">
        <f>E21</f>
        <v>0.4</v>
      </c>
      <c r="G21" s="528"/>
      <c r="H21" s="103">
        <f t="shared" si="0"/>
        <v>0.4</v>
      </c>
      <c r="I21" s="105">
        <f t="shared" si="1"/>
        <v>0</v>
      </c>
      <c r="J21" s="106"/>
      <c r="K21" s="106"/>
      <c r="L21" s="107"/>
    </row>
    <row r="22" spans="1:12" ht="15.75" thickBot="1">
      <c r="A22" s="3172"/>
      <c r="B22" s="3177"/>
      <c r="C22" s="3169"/>
      <c r="D22" s="702" t="s">
        <v>258</v>
      </c>
      <c r="E22" s="696">
        <v>4</v>
      </c>
      <c r="F22" s="697">
        <f>E22</f>
        <v>4</v>
      </c>
      <c r="G22" s="529">
        <v>4.4800000000000004</v>
      </c>
      <c r="H22" s="527">
        <f t="shared" si="0"/>
        <v>-0.48000000000000043</v>
      </c>
      <c r="I22" s="322">
        <f>G22/F22</f>
        <v>1.1200000000000001</v>
      </c>
      <c r="J22" s="323">
        <v>42489</v>
      </c>
      <c r="K22" s="108"/>
      <c r="L22" s="109"/>
    </row>
    <row r="23" spans="1:12" s="140" customFormat="1" ht="15.75" thickBot="1">
      <c r="A23" s="136"/>
      <c r="B23" s="136"/>
      <c r="C23" s="41"/>
      <c r="D23" s="139"/>
      <c r="E23" s="700">
        <f>SUM(E8:E22)</f>
        <v>60</v>
      </c>
      <c r="F23" s="700">
        <f>SUM(F8:F22)</f>
        <v>60</v>
      </c>
      <c r="G23" s="695">
        <f>SUM(G8:G22)</f>
        <v>32.661000000000001</v>
      </c>
      <c r="H23" s="138"/>
      <c r="I23" s="701">
        <f t="shared" si="1"/>
        <v>0.54435</v>
      </c>
      <c r="J23" s="139"/>
      <c r="K23" s="139"/>
      <c r="L23" s="139"/>
    </row>
    <row r="24" spans="1:12" ht="15.75" thickBot="1">
      <c r="H24" s="75"/>
    </row>
    <row r="25" spans="1:12" ht="30.75" thickBot="1">
      <c r="A25" s="27" t="s">
        <v>52</v>
      </c>
      <c r="B25" s="8" t="s">
        <v>264</v>
      </c>
      <c r="C25" s="26" t="s">
        <v>56</v>
      </c>
      <c r="D25" s="26" t="s">
        <v>263</v>
      </c>
      <c r="E25" s="37" t="s">
        <v>139</v>
      </c>
      <c r="F25" s="535" t="s">
        <v>206</v>
      </c>
      <c r="G25" s="25" t="s">
        <v>2</v>
      </c>
      <c r="H25" s="76" t="s">
        <v>3</v>
      </c>
      <c r="I25" s="38" t="s">
        <v>143</v>
      </c>
      <c r="J25" s="8" t="s">
        <v>85</v>
      </c>
      <c r="K25" s="8" t="s">
        <v>199</v>
      </c>
      <c r="L25" s="8" t="s">
        <v>205</v>
      </c>
    </row>
    <row r="26" spans="1:12">
      <c r="A26" s="3173" t="s">
        <v>287</v>
      </c>
      <c r="B26" s="3047" t="s">
        <v>256</v>
      </c>
      <c r="C26" s="3167" t="s">
        <v>572</v>
      </c>
      <c r="D26" s="100" t="s">
        <v>257</v>
      </c>
      <c r="E26" s="98">
        <v>0.6</v>
      </c>
      <c r="F26" s="534">
        <f>E26</f>
        <v>0.6</v>
      </c>
      <c r="G26" s="524"/>
      <c r="H26" s="523">
        <f t="shared" ref="H26:H40" si="3">F26-G26</f>
        <v>0.6</v>
      </c>
      <c r="I26" s="99">
        <f t="shared" ref="I26:I41" si="4">G26/F26</f>
        <v>0</v>
      </c>
      <c r="J26" s="100"/>
      <c r="K26" s="100"/>
      <c r="L26" s="101"/>
    </row>
    <row r="27" spans="1:12">
      <c r="A27" s="3174"/>
      <c r="B27" s="3048"/>
      <c r="C27" s="3168"/>
      <c r="D27" s="106" t="s">
        <v>203</v>
      </c>
      <c r="E27" s="104">
        <v>1.4</v>
      </c>
      <c r="F27" s="526">
        <f>E27</f>
        <v>1.4</v>
      </c>
      <c r="G27" s="528">
        <v>0.06</v>
      </c>
      <c r="H27" s="103">
        <f t="shared" si="3"/>
        <v>1.3399999999999999</v>
      </c>
      <c r="I27" s="105">
        <f t="shared" si="4"/>
        <v>4.2857142857142858E-2</v>
      </c>
      <c r="J27" s="292"/>
      <c r="K27" s="106"/>
      <c r="L27" s="107"/>
    </row>
    <row r="28" spans="1:12" ht="15.75" thickBot="1">
      <c r="A28" s="3174"/>
      <c r="B28" s="3049"/>
      <c r="C28" s="3169"/>
      <c r="D28" s="703" t="s">
        <v>258</v>
      </c>
      <c r="E28" s="321">
        <v>28</v>
      </c>
      <c r="F28" s="525">
        <f>E28</f>
        <v>28</v>
      </c>
      <c r="G28" s="529">
        <f>31.296+0.119</f>
        <v>31.414999999999999</v>
      </c>
      <c r="H28" s="326">
        <f t="shared" si="3"/>
        <v>-3.4149999999999991</v>
      </c>
      <c r="I28" s="325">
        <f t="shared" si="4"/>
        <v>1.1219642857142857</v>
      </c>
      <c r="J28" s="323">
        <v>42545</v>
      </c>
      <c r="K28" s="320"/>
      <c r="L28" s="324"/>
    </row>
    <row r="29" spans="1:12">
      <c r="A29" s="3174"/>
      <c r="B29" s="3047" t="s">
        <v>259</v>
      </c>
      <c r="C29" s="3167" t="s">
        <v>572</v>
      </c>
      <c r="D29" s="100" t="s">
        <v>257</v>
      </c>
      <c r="E29" s="98">
        <v>3</v>
      </c>
      <c r="F29" s="534">
        <f>E29</f>
        <v>3</v>
      </c>
      <c r="G29" s="524"/>
      <c r="H29" s="523">
        <f t="shared" si="3"/>
        <v>3</v>
      </c>
      <c r="I29" s="99">
        <f t="shared" si="4"/>
        <v>0</v>
      </c>
      <c r="J29" s="100"/>
      <c r="K29" s="100"/>
      <c r="L29" s="101"/>
    </row>
    <row r="30" spans="1:12">
      <c r="A30" s="3174"/>
      <c r="B30" s="3048"/>
      <c r="C30" s="3168"/>
      <c r="D30" s="106" t="s">
        <v>203</v>
      </c>
      <c r="E30" s="104">
        <v>10</v>
      </c>
      <c r="F30" s="526">
        <f t="shared" ref="F30:F40" si="5">E30</f>
        <v>10</v>
      </c>
      <c r="G30" s="528">
        <v>1.232</v>
      </c>
      <c r="H30" s="103">
        <f t="shared" si="3"/>
        <v>8.7680000000000007</v>
      </c>
      <c r="I30" s="105">
        <f t="shared" si="4"/>
        <v>0.1232</v>
      </c>
      <c r="J30" s="292"/>
      <c r="K30" s="106"/>
      <c r="L30" s="107"/>
    </row>
    <row r="31" spans="1:12" ht="15.75" thickBot="1">
      <c r="A31" s="3174"/>
      <c r="B31" s="3049"/>
      <c r="C31" s="3169"/>
      <c r="D31" s="703" t="s">
        <v>258</v>
      </c>
      <c r="E31" s="321">
        <v>146</v>
      </c>
      <c r="F31" s="525">
        <f t="shared" si="5"/>
        <v>146</v>
      </c>
      <c r="G31" s="529">
        <v>245.13900000000001</v>
      </c>
      <c r="H31" s="527">
        <f t="shared" si="3"/>
        <v>-99.13900000000001</v>
      </c>
      <c r="I31" s="322">
        <f t="shared" si="4"/>
        <v>1.6790342465753425</v>
      </c>
      <c r="J31" s="323">
        <v>42479</v>
      </c>
      <c r="K31" s="320"/>
      <c r="L31" s="324"/>
    </row>
    <row r="32" spans="1:12">
      <c r="A32" s="3174"/>
      <c r="B32" s="3181" t="s">
        <v>260</v>
      </c>
      <c r="C32" s="3167" t="s">
        <v>572</v>
      </c>
      <c r="D32" s="100" t="s">
        <v>257</v>
      </c>
      <c r="E32" s="98">
        <v>0.5</v>
      </c>
      <c r="F32" s="534">
        <f t="shared" si="5"/>
        <v>0.5</v>
      </c>
      <c r="G32" s="524"/>
      <c r="H32" s="523">
        <f t="shared" si="3"/>
        <v>0.5</v>
      </c>
      <c r="I32" s="99">
        <f t="shared" si="4"/>
        <v>0</v>
      </c>
      <c r="J32" s="100"/>
      <c r="K32" s="100"/>
      <c r="L32" s="101"/>
    </row>
    <row r="33" spans="1:12">
      <c r="A33" s="3174"/>
      <c r="B33" s="3182"/>
      <c r="C33" s="3168"/>
      <c r="D33" s="106" t="s">
        <v>203</v>
      </c>
      <c r="E33" s="104">
        <v>2</v>
      </c>
      <c r="F33" s="526">
        <f t="shared" si="5"/>
        <v>2</v>
      </c>
      <c r="G33" s="528">
        <v>0.02</v>
      </c>
      <c r="H33" s="103">
        <f t="shared" si="3"/>
        <v>1.98</v>
      </c>
      <c r="I33" s="105">
        <f t="shared" si="4"/>
        <v>0.01</v>
      </c>
      <c r="J33" s="292"/>
      <c r="K33" s="106"/>
      <c r="L33" s="107"/>
    </row>
    <row r="34" spans="1:12" ht="15.75" thickBot="1">
      <c r="A34" s="3174"/>
      <c r="B34" s="3183"/>
      <c r="C34" s="3169"/>
      <c r="D34" s="703" t="s">
        <v>258</v>
      </c>
      <c r="E34" s="321">
        <v>44.3</v>
      </c>
      <c r="F34" s="525">
        <f>E34</f>
        <v>44.3</v>
      </c>
      <c r="G34" s="532">
        <v>235.34899999999999</v>
      </c>
      <c r="H34" s="527">
        <f t="shared" si="3"/>
        <v>-191.04899999999998</v>
      </c>
      <c r="I34" s="322">
        <f t="shared" si="4"/>
        <v>5.3126185101580132</v>
      </c>
      <c r="J34" s="323">
        <v>42465</v>
      </c>
      <c r="K34" s="320"/>
      <c r="L34" s="324"/>
    </row>
    <row r="35" spans="1:12">
      <c r="A35" s="3174"/>
      <c r="B35" s="3047" t="s">
        <v>261</v>
      </c>
      <c r="C35" s="3167" t="s">
        <v>572</v>
      </c>
      <c r="D35" s="100" t="s">
        <v>257</v>
      </c>
      <c r="E35" s="98">
        <v>0.32</v>
      </c>
      <c r="F35" s="534">
        <f t="shared" si="5"/>
        <v>0.32</v>
      </c>
      <c r="G35" s="524"/>
      <c r="H35" s="523">
        <f t="shared" si="3"/>
        <v>0.32</v>
      </c>
      <c r="I35" s="99">
        <f>G35/F35</f>
        <v>0</v>
      </c>
      <c r="J35" s="100"/>
      <c r="K35" s="100"/>
      <c r="L35" s="101"/>
    </row>
    <row r="36" spans="1:12">
      <c r="A36" s="3174"/>
      <c r="B36" s="3048"/>
      <c r="C36" s="3168"/>
      <c r="D36" s="106" t="s">
        <v>203</v>
      </c>
      <c r="E36" s="104">
        <v>2</v>
      </c>
      <c r="F36" s="526">
        <f t="shared" si="5"/>
        <v>2</v>
      </c>
      <c r="G36" s="528">
        <v>4.4999999999999998E-2</v>
      </c>
      <c r="H36" s="103">
        <f t="shared" si="3"/>
        <v>1.9550000000000001</v>
      </c>
      <c r="I36" s="105">
        <f t="shared" si="4"/>
        <v>2.2499999999999999E-2</v>
      </c>
      <c r="J36" s="292"/>
      <c r="K36" s="106"/>
      <c r="L36" s="107"/>
    </row>
    <row r="37" spans="1:12" ht="15.75" thickBot="1">
      <c r="A37" s="3174"/>
      <c r="B37" s="3049"/>
      <c r="C37" s="3169"/>
      <c r="D37" s="703" t="s">
        <v>258</v>
      </c>
      <c r="E37" s="566">
        <v>32</v>
      </c>
      <c r="F37" s="567">
        <f t="shared" si="5"/>
        <v>32</v>
      </c>
      <c r="G37" s="568">
        <v>47.8</v>
      </c>
      <c r="H37" s="569">
        <f t="shared" si="3"/>
        <v>-15.799999999999997</v>
      </c>
      <c r="I37" s="570">
        <f t="shared" si="4"/>
        <v>1.4937499999999999</v>
      </c>
      <c r="J37" s="571">
        <v>42468</v>
      </c>
      <c r="K37" s="565"/>
      <c r="L37" s="572"/>
    </row>
    <row r="38" spans="1:12">
      <c r="A38" s="3174"/>
      <c r="B38" s="3047" t="s">
        <v>262</v>
      </c>
      <c r="C38" s="3167" t="s">
        <v>255</v>
      </c>
      <c r="D38" s="100" t="s">
        <v>257</v>
      </c>
      <c r="E38" s="98">
        <v>0</v>
      </c>
      <c r="F38" s="534">
        <f t="shared" si="5"/>
        <v>0</v>
      </c>
      <c r="G38" s="524"/>
      <c r="H38" s="523">
        <f t="shared" si="3"/>
        <v>0</v>
      </c>
      <c r="I38" s="105">
        <v>0</v>
      </c>
      <c r="J38" s="100"/>
      <c r="K38" s="100"/>
      <c r="L38" s="101"/>
    </row>
    <row r="39" spans="1:12">
      <c r="A39" s="3174"/>
      <c r="B39" s="3048"/>
      <c r="C39" s="3168"/>
      <c r="D39" s="704" t="s">
        <v>203</v>
      </c>
      <c r="E39" s="104">
        <v>1</v>
      </c>
      <c r="F39" s="526">
        <f t="shared" si="5"/>
        <v>1</v>
      </c>
      <c r="G39" s="528"/>
      <c r="H39" s="103">
        <f t="shared" si="3"/>
        <v>1</v>
      </c>
      <c r="I39" s="105">
        <f t="shared" si="4"/>
        <v>0</v>
      </c>
      <c r="J39" s="292"/>
      <c r="K39" s="106"/>
      <c r="L39" s="107"/>
    </row>
    <row r="40" spans="1:12" ht="15.75" thickBot="1">
      <c r="A40" s="3174"/>
      <c r="B40" s="3049"/>
      <c r="C40" s="3169"/>
      <c r="D40" s="703" t="s">
        <v>258</v>
      </c>
      <c r="E40" s="566">
        <v>21.88</v>
      </c>
      <c r="F40" s="567">
        <f t="shared" si="5"/>
        <v>21.88</v>
      </c>
      <c r="G40" s="568">
        <v>25.452000000000002</v>
      </c>
      <c r="H40" s="569">
        <f t="shared" si="3"/>
        <v>-3.5720000000000027</v>
      </c>
      <c r="I40" s="698">
        <f t="shared" si="4"/>
        <v>1.1632541133455212</v>
      </c>
      <c r="J40" s="571">
        <v>42489</v>
      </c>
      <c r="K40" s="320"/>
      <c r="L40" s="324"/>
    </row>
    <row r="41" spans="1:12" s="140" customFormat="1" ht="15.75" thickBot="1">
      <c r="E41" s="699">
        <f>SUM(E26:E40)</f>
        <v>293</v>
      </c>
      <c r="F41" s="700">
        <f>SUM(F26:F40)</f>
        <v>293</v>
      </c>
      <c r="G41" s="695">
        <f>SUM(G26:G40)</f>
        <v>586.51199999999983</v>
      </c>
      <c r="H41" s="138"/>
      <c r="I41" s="701">
        <f t="shared" si="4"/>
        <v>2.0017474402730371</v>
      </c>
    </row>
    <row r="42" spans="1:12" s="140" customFormat="1">
      <c r="D42" s="361"/>
      <c r="G42" s="77"/>
    </row>
    <row r="43" spans="1:12" s="140" customFormat="1">
      <c r="G43" s="352"/>
    </row>
    <row r="44" spans="1:12" s="140" customFormat="1">
      <c r="G44" s="77"/>
    </row>
    <row r="45" spans="1:12" s="140" customFormat="1">
      <c r="G45" s="77"/>
      <c r="I45" s="693"/>
    </row>
    <row r="46" spans="1:12" s="140" customFormat="1">
      <c r="G46" s="77"/>
    </row>
    <row r="47" spans="1:12" s="140" customFormat="1">
      <c r="G47" s="77"/>
    </row>
    <row r="48" spans="1:12" s="140" customFormat="1">
      <c r="G48" s="77"/>
    </row>
    <row r="49" spans="7:7" s="140" customFormat="1">
      <c r="G49" s="77"/>
    </row>
    <row r="50" spans="7:7" s="140" customFormat="1">
      <c r="G50" s="77"/>
    </row>
    <row r="51" spans="7:7" s="140" customFormat="1">
      <c r="G51" s="77"/>
    </row>
    <row r="52" spans="7:7" s="140" customFormat="1">
      <c r="G52" s="77"/>
    </row>
    <row r="53" spans="7:7" s="140" customFormat="1">
      <c r="G53" s="77"/>
    </row>
    <row r="54" spans="7:7" s="140" customFormat="1">
      <c r="G54" s="77"/>
    </row>
    <row r="55" spans="7:7" s="140" customFormat="1">
      <c r="G55" s="77"/>
    </row>
    <row r="56" spans="7:7" s="140" customFormat="1">
      <c r="G56" s="77"/>
    </row>
    <row r="57" spans="7:7" s="140" customFormat="1">
      <c r="G57" s="77"/>
    </row>
    <row r="58" spans="7:7" s="140" customFormat="1">
      <c r="G58" s="77"/>
    </row>
    <row r="59" spans="7:7" s="140" customFormat="1">
      <c r="G59" s="77"/>
    </row>
    <row r="60" spans="7:7" s="140" customFormat="1">
      <c r="G60" s="77"/>
    </row>
    <row r="61" spans="7:7" s="140" customFormat="1">
      <c r="G61" s="77"/>
    </row>
    <row r="62" spans="7:7" s="140" customFormat="1">
      <c r="G62" s="77"/>
    </row>
    <row r="63" spans="7:7" s="140" customFormat="1">
      <c r="G63" s="77"/>
    </row>
    <row r="64" spans="7:7" s="140" customFormat="1">
      <c r="G64" s="77"/>
    </row>
    <row r="65" spans="7:7" s="140" customFormat="1">
      <c r="G65" s="77"/>
    </row>
    <row r="66" spans="7:7" s="140" customFormat="1">
      <c r="G66" s="77"/>
    </row>
    <row r="67" spans="7:7" s="140" customFormat="1">
      <c r="G67" s="77"/>
    </row>
    <row r="68" spans="7:7" s="140" customFormat="1">
      <c r="G68" s="77"/>
    </row>
    <row r="69" spans="7:7" s="140" customFormat="1">
      <c r="G69" s="77"/>
    </row>
    <row r="70" spans="7:7" s="140" customFormat="1">
      <c r="G70" s="77"/>
    </row>
    <row r="71" spans="7:7" s="140" customFormat="1">
      <c r="G71" s="77"/>
    </row>
    <row r="72" spans="7:7" s="140" customFormat="1">
      <c r="G72" s="77"/>
    </row>
    <row r="73" spans="7:7" s="140" customFormat="1">
      <c r="G73" s="77"/>
    </row>
    <row r="74" spans="7:7" s="140" customFormat="1">
      <c r="G74" s="77"/>
    </row>
    <row r="75" spans="7:7" s="140" customFormat="1">
      <c r="G75" s="77"/>
    </row>
    <row r="76" spans="7:7" s="140" customFormat="1">
      <c r="G76" s="77"/>
    </row>
    <row r="77" spans="7:7" s="140" customFormat="1">
      <c r="G77" s="77"/>
    </row>
    <row r="78" spans="7:7" s="140" customFormat="1">
      <c r="G78" s="77"/>
    </row>
    <row r="79" spans="7:7" s="140" customFormat="1">
      <c r="G79" s="77"/>
    </row>
    <row r="80" spans="7:7" s="140" customFormat="1">
      <c r="G80" s="77"/>
    </row>
    <row r="81" spans="7:7" s="140" customFormat="1">
      <c r="G81" s="77"/>
    </row>
    <row r="82" spans="7:7" s="140" customFormat="1">
      <c r="G82" s="77"/>
    </row>
    <row r="83" spans="7:7" s="140" customFormat="1">
      <c r="G83" s="77"/>
    </row>
    <row r="84" spans="7:7" s="140" customFormat="1">
      <c r="G84" s="77"/>
    </row>
    <row r="85" spans="7:7" s="140" customFormat="1">
      <c r="G85" s="77"/>
    </row>
    <row r="86" spans="7:7" s="140" customFormat="1">
      <c r="G86" s="77"/>
    </row>
    <row r="87" spans="7:7" s="140" customFormat="1">
      <c r="G87" s="77"/>
    </row>
    <row r="88" spans="7:7" s="140" customFormat="1">
      <c r="G88" s="77"/>
    </row>
    <row r="89" spans="7:7" s="140" customFormat="1">
      <c r="G89" s="77"/>
    </row>
    <row r="90" spans="7:7" s="140" customFormat="1">
      <c r="G90" s="77"/>
    </row>
    <row r="91" spans="7:7" s="140" customFormat="1">
      <c r="G91" s="77"/>
    </row>
    <row r="92" spans="7:7" s="140" customFormat="1">
      <c r="G92" s="77"/>
    </row>
    <row r="93" spans="7:7" s="140" customFormat="1">
      <c r="G93" s="77"/>
    </row>
    <row r="94" spans="7:7" s="140" customFormat="1">
      <c r="G94" s="77"/>
    </row>
    <row r="95" spans="7:7" s="140" customFormat="1">
      <c r="G95" s="77"/>
    </row>
    <row r="96" spans="7:7" s="140" customFormat="1">
      <c r="G96" s="77"/>
    </row>
    <row r="97" spans="7:7" s="140" customFormat="1">
      <c r="G97" s="77"/>
    </row>
    <row r="98" spans="7:7" s="140" customFormat="1">
      <c r="G98" s="77"/>
    </row>
    <row r="99" spans="7:7" s="140" customFormat="1">
      <c r="G99" s="77"/>
    </row>
    <row r="100" spans="7:7" s="140" customFormat="1">
      <c r="G100" s="77"/>
    </row>
    <row r="101" spans="7:7" s="140" customFormat="1">
      <c r="G101" s="77"/>
    </row>
    <row r="102" spans="7:7" s="140" customFormat="1">
      <c r="G102" s="77"/>
    </row>
    <row r="103" spans="7:7" s="140" customFormat="1">
      <c r="G103" s="77"/>
    </row>
    <row r="104" spans="7:7" s="140" customFormat="1">
      <c r="G104" s="77"/>
    </row>
    <row r="105" spans="7:7" s="140" customFormat="1">
      <c r="G105" s="77"/>
    </row>
    <row r="106" spans="7:7" s="140" customFormat="1">
      <c r="G106" s="77"/>
    </row>
    <row r="107" spans="7:7" s="140" customFormat="1">
      <c r="G107" s="77"/>
    </row>
    <row r="108" spans="7:7" s="140" customFormat="1">
      <c r="G108" s="77"/>
    </row>
    <row r="109" spans="7:7" s="140" customFormat="1">
      <c r="G109" s="77"/>
    </row>
    <row r="110" spans="7:7" s="140" customFormat="1">
      <c r="G110" s="77"/>
    </row>
    <row r="111" spans="7:7" s="140" customFormat="1">
      <c r="G111" s="77"/>
    </row>
    <row r="112" spans="7:7" s="140" customFormat="1">
      <c r="G112" s="77"/>
    </row>
    <row r="113" spans="7:7" s="140" customFormat="1">
      <c r="G113" s="77"/>
    </row>
    <row r="114" spans="7:7" s="140" customFormat="1">
      <c r="G114" s="77"/>
    </row>
    <row r="115" spans="7:7" s="140" customFormat="1">
      <c r="G115" s="77"/>
    </row>
    <row r="116" spans="7:7" s="140" customFormat="1">
      <c r="G116" s="77"/>
    </row>
    <row r="117" spans="7:7" s="140" customFormat="1">
      <c r="G117" s="77"/>
    </row>
    <row r="118" spans="7:7" s="140" customFormat="1">
      <c r="G118" s="77"/>
    </row>
    <row r="119" spans="7:7" s="140" customFormat="1">
      <c r="G119" s="77"/>
    </row>
    <row r="120" spans="7:7" s="140" customFormat="1">
      <c r="G120" s="77"/>
    </row>
    <row r="121" spans="7:7" s="140" customFormat="1">
      <c r="G121" s="77"/>
    </row>
    <row r="122" spans="7:7" s="140" customFormat="1">
      <c r="G122" s="77"/>
    </row>
    <row r="123" spans="7:7" s="140" customFormat="1">
      <c r="G123" s="77"/>
    </row>
    <row r="124" spans="7:7" s="140" customFormat="1">
      <c r="G124" s="77"/>
    </row>
    <row r="125" spans="7:7" s="140" customFormat="1">
      <c r="G125" s="77"/>
    </row>
    <row r="126" spans="7:7" s="140" customFormat="1">
      <c r="G126" s="77"/>
    </row>
    <row r="127" spans="7:7" s="140" customFormat="1">
      <c r="G127" s="77"/>
    </row>
    <row r="128" spans="7:7" s="140" customFormat="1">
      <c r="G128" s="77"/>
    </row>
    <row r="129" spans="7:7" s="140" customFormat="1">
      <c r="G129" s="77"/>
    </row>
    <row r="130" spans="7:7" s="140" customFormat="1">
      <c r="G130" s="77"/>
    </row>
    <row r="131" spans="7:7" s="140" customFormat="1">
      <c r="G131" s="77"/>
    </row>
    <row r="132" spans="7:7" s="140" customFormat="1">
      <c r="G132" s="77"/>
    </row>
    <row r="133" spans="7:7" s="140" customFormat="1">
      <c r="G133" s="77"/>
    </row>
    <row r="134" spans="7:7" s="140" customFormat="1">
      <c r="G134" s="77"/>
    </row>
    <row r="135" spans="7:7" s="140" customFormat="1">
      <c r="G135" s="77"/>
    </row>
    <row r="136" spans="7:7" s="140" customFormat="1">
      <c r="G136" s="77"/>
    </row>
    <row r="137" spans="7:7" s="140" customFormat="1">
      <c r="G137" s="77"/>
    </row>
    <row r="138" spans="7:7" s="140" customFormat="1">
      <c r="G138" s="77"/>
    </row>
    <row r="139" spans="7:7" s="140" customFormat="1">
      <c r="G139" s="77"/>
    </row>
    <row r="140" spans="7:7" s="140" customFormat="1">
      <c r="G140" s="77"/>
    </row>
    <row r="141" spans="7:7" s="140" customFormat="1">
      <c r="G141" s="77"/>
    </row>
    <row r="142" spans="7:7" s="140" customFormat="1">
      <c r="G142" s="77"/>
    </row>
    <row r="143" spans="7:7" s="140" customFormat="1">
      <c r="G143" s="77"/>
    </row>
    <row r="144" spans="7:7" s="140" customFormat="1">
      <c r="G144" s="77"/>
    </row>
    <row r="145" spans="7:7" s="140" customFormat="1">
      <c r="G145" s="77"/>
    </row>
    <row r="146" spans="7:7" s="140" customFormat="1">
      <c r="G146" s="77"/>
    </row>
    <row r="147" spans="7:7" s="140" customFormat="1">
      <c r="G147" s="77"/>
    </row>
    <row r="148" spans="7:7" s="140" customFormat="1">
      <c r="G148" s="77"/>
    </row>
    <row r="149" spans="7:7" s="140" customFormat="1">
      <c r="G149" s="77"/>
    </row>
    <row r="150" spans="7:7" s="140" customFormat="1">
      <c r="G150" s="77"/>
    </row>
    <row r="151" spans="7:7" s="140" customFormat="1">
      <c r="G151" s="77"/>
    </row>
    <row r="152" spans="7:7" s="140" customFormat="1">
      <c r="G152" s="77"/>
    </row>
    <row r="153" spans="7:7" s="140" customFormat="1">
      <c r="G153" s="77"/>
    </row>
    <row r="154" spans="7:7" s="140" customFormat="1">
      <c r="G154" s="77"/>
    </row>
    <row r="155" spans="7:7" s="140" customFormat="1">
      <c r="G155" s="77"/>
    </row>
    <row r="156" spans="7:7" s="140" customFormat="1">
      <c r="G156" s="77"/>
    </row>
    <row r="157" spans="7:7" s="140" customFormat="1">
      <c r="G157" s="77"/>
    </row>
    <row r="158" spans="7:7" s="140" customFormat="1">
      <c r="G158" s="77"/>
    </row>
    <row r="159" spans="7:7" s="140" customFormat="1">
      <c r="G159" s="77"/>
    </row>
    <row r="160" spans="7:7" s="140" customFormat="1">
      <c r="G160" s="77"/>
    </row>
    <row r="161" spans="7:7" s="140" customFormat="1">
      <c r="G161" s="77"/>
    </row>
    <row r="162" spans="7:7" s="140" customFormat="1">
      <c r="G162" s="77"/>
    </row>
    <row r="163" spans="7:7" s="140" customFormat="1">
      <c r="G163" s="77"/>
    </row>
    <row r="164" spans="7:7" s="140" customFormat="1">
      <c r="G164" s="77"/>
    </row>
    <row r="165" spans="7:7" s="140" customFormat="1">
      <c r="G165" s="77"/>
    </row>
    <row r="166" spans="7:7" s="140" customFormat="1">
      <c r="G166" s="77"/>
    </row>
    <row r="167" spans="7:7" s="140" customFormat="1">
      <c r="G167" s="77"/>
    </row>
    <row r="168" spans="7:7" s="140" customFormat="1">
      <c r="G168" s="77"/>
    </row>
    <row r="169" spans="7:7" s="140" customFormat="1">
      <c r="G169" s="77"/>
    </row>
    <row r="170" spans="7:7" s="140" customFormat="1">
      <c r="G170" s="77"/>
    </row>
    <row r="171" spans="7:7" s="140" customFormat="1">
      <c r="G171" s="77"/>
    </row>
    <row r="172" spans="7:7" s="140" customFormat="1">
      <c r="G172" s="77"/>
    </row>
    <row r="173" spans="7:7" s="140" customFormat="1">
      <c r="G173" s="77"/>
    </row>
    <row r="174" spans="7:7" s="140" customFormat="1">
      <c r="G174" s="77"/>
    </row>
    <row r="175" spans="7:7" s="140" customFormat="1">
      <c r="G175" s="77"/>
    </row>
    <row r="176" spans="7:7" s="140" customFormat="1">
      <c r="G176" s="77"/>
    </row>
    <row r="177" spans="7:7" s="140" customFormat="1">
      <c r="G177" s="77"/>
    </row>
    <row r="178" spans="7:7" s="140" customFormat="1">
      <c r="G178" s="77"/>
    </row>
    <row r="179" spans="7:7" s="140" customFormat="1">
      <c r="G179" s="77"/>
    </row>
    <row r="180" spans="7:7" s="140" customFormat="1">
      <c r="G180" s="77"/>
    </row>
    <row r="181" spans="7:7" s="140" customFormat="1">
      <c r="G181" s="77"/>
    </row>
    <row r="182" spans="7:7" s="140" customFormat="1">
      <c r="G182" s="77"/>
    </row>
    <row r="183" spans="7:7" s="140" customFormat="1">
      <c r="G183" s="77"/>
    </row>
    <row r="184" spans="7:7" s="140" customFormat="1">
      <c r="G184" s="77"/>
    </row>
    <row r="185" spans="7:7" s="140" customFormat="1">
      <c r="G185" s="77"/>
    </row>
    <row r="186" spans="7:7" s="140" customFormat="1">
      <c r="G186" s="77"/>
    </row>
    <row r="187" spans="7:7" s="140" customFormat="1">
      <c r="G187" s="77"/>
    </row>
    <row r="188" spans="7:7" s="140" customFormat="1">
      <c r="G188" s="77"/>
    </row>
    <row r="189" spans="7:7" s="140" customFormat="1">
      <c r="G189" s="77"/>
    </row>
    <row r="190" spans="7:7" s="140" customFormat="1">
      <c r="G190" s="77"/>
    </row>
    <row r="191" spans="7:7" s="140" customFormat="1">
      <c r="G191" s="77"/>
    </row>
    <row r="192" spans="7:7" s="140" customFormat="1">
      <c r="G192" s="77"/>
    </row>
    <row r="193" spans="7:7" s="140" customFormat="1">
      <c r="G193" s="77"/>
    </row>
    <row r="194" spans="7:7" s="140" customFormat="1">
      <c r="G194" s="77"/>
    </row>
    <row r="195" spans="7:7" s="140" customFormat="1">
      <c r="G195" s="77"/>
    </row>
    <row r="196" spans="7:7" s="140" customFormat="1">
      <c r="G196" s="77"/>
    </row>
    <row r="197" spans="7:7" s="140" customFormat="1">
      <c r="G197" s="77"/>
    </row>
    <row r="198" spans="7:7" s="140" customFormat="1">
      <c r="G198" s="77"/>
    </row>
    <row r="199" spans="7:7" s="140" customFormat="1">
      <c r="G199" s="77"/>
    </row>
    <row r="200" spans="7:7" s="140" customFormat="1">
      <c r="G200" s="77"/>
    </row>
    <row r="201" spans="7:7" s="140" customFormat="1">
      <c r="G201" s="77"/>
    </row>
    <row r="202" spans="7:7" s="140" customFormat="1">
      <c r="G202" s="77"/>
    </row>
    <row r="203" spans="7:7" s="140" customFormat="1">
      <c r="G203" s="77"/>
    </row>
    <row r="204" spans="7:7" s="140" customFormat="1">
      <c r="G204" s="77"/>
    </row>
    <row r="205" spans="7:7" s="140" customFormat="1">
      <c r="G205" s="77"/>
    </row>
    <row r="206" spans="7:7" s="140" customFormat="1">
      <c r="G206" s="77"/>
    </row>
    <row r="207" spans="7:7" s="140" customFormat="1">
      <c r="G207" s="77"/>
    </row>
    <row r="208" spans="7:7" s="140" customFormat="1">
      <c r="G208" s="77"/>
    </row>
    <row r="209" spans="7:7" s="140" customFormat="1">
      <c r="G209" s="77"/>
    </row>
    <row r="210" spans="7:7" s="140" customFormat="1">
      <c r="G210" s="77"/>
    </row>
    <row r="211" spans="7:7" s="140" customFormat="1">
      <c r="G211" s="77"/>
    </row>
    <row r="212" spans="7:7" s="140" customFormat="1">
      <c r="G212" s="77"/>
    </row>
    <row r="213" spans="7:7" s="140" customFormat="1">
      <c r="G213" s="77"/>
    </row>
    <row r="214" spans="7:7" s="140" customFormat="1">
      <c r="G214" s="77"/>
    </row>
    <row r="215" spans="7:7" s="140" customFormat="1">
      <c r="G215" s="77"/>
    </row>
    <row r="216" spans="7:7" s="140" customFormat="1">
      <c r="G216" s="77"/>
    </row>
    <row r="217" spans="7:7" s="140" customFormat="1">
      <c r="G217" s="77"/>
    </row>
    <row r="218" spans="7:7" s="140" customFormat="1">
      <c r="G218" s="77"/>
    </row>
    <row r="219" spans="7:7" s="140" customFormat="1">
      <c r="G219" s="77"/>
    </row>
    <row r="220" spans="7:7" s="140" customFormat="1">
      <c r="G220" s="77"/>
    </row>
    <row r="221" spans="7:7" s="140" customFormat="1">
      <c r="G221" s="77"/>
    </row>
    <row r="222" spans="7:7" s="140" customFormat="1">
      <c r="G222" s="77"/>
    </row>
    <row r="223" spans="7:7" s="140" customFormat="1">
      <c r="G223" s="77"/>
    </row>
    <row r="224" spans="7:7" s="140" customFormat="1">
      <c r="G224" s="77"/>
    </row>
    <row r="225" spans="7:7" s="140" customFormat="1">
      <c r="G225" s="77"/>
    </row>
    <row r="226" spans="7:7" s="140" customFormat="1">
      <c r="G226" s="77"/>
    </row>
    <row r="227" spans="7:7" s="140" customFormat="1">
      <c r="G227" s="77"/>
    </row>
    <row r="228" spans="7:7" s="140" customFormat="1">
      <c r="G228" s="77"/>
    </row>
    <row r="229" spans="7:7" s="140" customFormat="1">
      <c r="G229" s="77"/>
    </row>
    <row r="230" spans="7:7" s="140" customFormat="1">
      <c r="G230" s="77"/>
    </row>
    <row r="231" spans="7:7" s="140" customFormat="1">
      <c r="G231" s="77"/>
    </row>
    <row r="232" spans="7:7" s="140" customFormat="1">
      <c r="G232" s="77"/>
    </row>
    <row r="233" spans="7:7" s="140" customFormat="1">
      <c r="G233" s="77"/>
    </row>
    <row r="234" spans="7:7" s="140" customFormat="1">
      <c r="G234" s="77"/>
    </row>
    <row r="235" spans="7:7" s="140" customFormat="1">
      <c r="G235" s="77"/>
    </row>
    <row r="236" spans="7:7" s="140" customFormat="1">
      <c r="G236" s="77"/>
    </row>
    <row r="237" spans="7:7" s="140" customFormat="1">
      <c r="G237" s="77"/>
    </row>
    <row r="238" spans="7:7" s="140" customFormat="1">
      <c r="G238" s="77"/>
    </row>
    <row r="239" spans="7:7" s="140" customFormat="1">
      <c r="G239" s="77"/>
    </row>
    <row r="240" spans="7:7" s="140" customFormat="1">
      <c r="G240" s="77"/>
    </row>
    <row r="241" spans="7:7" s="140" customFormat="1">
      <c r="G241" s="77"/>
    </row>
    <row r="242" spans="7:7" s="140" customFormat="1">
      <c r="G242" s="77"/>
    </row>
    <row r="243" spans="7:7" s="140" customFormat="1">
      <c r="G243" s="77"/>
    </row>
    <row r="244" spans="7:7" s="140" customFormat="1">
      <c r="G244" s="77"/>
    </row>
    <row r="245" spans="7:7" s="140" customFormat="1">
      <c r="G245" s="77"/>
    </row>
    <row r="246" spans="7:7" s="140" customFormat="1">
      <c r="G246" s="77"/>
    </row>
    <row r="247" spans="7:7" s="140" customFormat="1">
      <c r="G247" s="77"/>
    </row>
    <row r="248" spans="7:7" s="140" customFormat="1">
      <c r="G248" s="77"/>
    </row>
    <row r="249" spans="7:7" s="140" customFormat="1">
      <c r="G249" s="77"/>
    </row>
    <row r="250" spans="7:7" s="140" customFormat="1">
      <c r="G250" s="77"/>
    </row>
    <row r="251" spans="7:7" s="140" customFormat="1">
      <c r="G251" s="77"/>
    </row>
    <row r="252" spans="7:7" s="140" customFormat="1">
      <c r="G252" s="77"/>
    </row>
    <row r="253" spans="7:7" s="140" customFormat="1">
      <c r="G253" s="77"/>
    </row>
    <row r="254" spans="7:7" s="140" customFormat="1">
      <c r="G254" s="77"/>
    </row>
    <row r="255" spans="7:7" s="140" customFormat="1">
      <c r="G255" s="77"/>
    </row>
    <row r="256" spans="7:7" s="140" customFormat="1">
      <c r="G256" s="77"/>
    </row>
    <row r="257" spans="7:7" s="140" customFormat="1">
      <c r="G257" s="77"/>
    </row>
    <row r="258" spans="7:7" s="140" customFormat="1">
      <c r="G258" s="77"/>
    </row>
    <row r="259" spans="7:7" s="140" customFormat="1">
      <c r="G259" s="77"/>
    </row>
    <row r="260" spans="7:7" s="140" customFormat="1">
      <c r="G260" s="77"/>
    </row>
    <row r="261" spans="7:7" s="140" customFormat="1">
      <c r="G261" s="77"/>
    </row>
    <row r="262" spans="7:7" s="140" customFormat="1">
      <c r="G262" s="77"/>
    </row>
    <row r="263" spans="7:7" s="140" customFormat="1">
      <c r="G263" s="77"/>
    </row>
    <row r="264" spans="7:7" s="140" customFormat="1">
      <c r="G264" s="77"/>
    </row>
    <row r="265" spans="7:7" s="140" customFormat="1">
      <c r="G265" s="77"/>
    </row>
    <row r="266" spans="7:7" s="140" customFormat="1">
      <c r="G266" s="77"/>
    </row>
    <row r="267" spans="7:7" s="140" customFormat="1">
      <c r="G267" s="77"/>
    </row>
    <row r="268" spans="7:7" s="140" customFormat="1">
      <c r="G268" s="77"/>
    </row>
    <row r="269" spans="7:7" s="140" customFormat="1">
      <c r="G269" s="77"/>
    </row>
    <row r="270" spans="7:7" s="140" customFormat="1">
      <c r="G270" s="77"/>
    </row>
    <row r="271" spans="7:7" s="140" customFormat="1">
      <c r="G271" s="77"/>
    </row>
    <row r="272" spans="7:7" s="140" customFormat="1">
      <c r="G272" s="77"/>
    </row>
    <row r="273" spans="7:7" s="140" customFormat="1">
      <c r="G273" s="77"/>
    </row>
    <row r="274" spans="7:7" s="140" customFormat="1">
      <c r="G274" s="77"/>
    </row>
    <row r="275" spans="7:7" s="140" customFormat="1">
      <c r="G275" s="77"/>
    </row>
    <row r="276" spans="7:7" s="140" customFormat="1">
      <c r="G276" s="77"/>
    </row>
    <row r="277" spans="7:7" s="140" customFormat="1">
      <c r="G277" s="77"/>
    </row>
    <row r="278" spans="7:7" s="140" customFormat="1">
      <c r="G278" s="77"/>
    </row>
    <row r="279" spans="7:7" s="140" customFormat="1">
      <c r="G279" s="77"/>
    </row>
    <row r="280" spans="7:7" s="140" customFormat="1">
      <c r="G280" s="77"/>
    </row>
    <row r="281" spans="7:7" s="140" customFormat="1">
      <c r="G281" s="77"/>
    </row>
    <row r="282" spans="7:7" s="140" customFormat="1">
      <c r="G282" s="77"/>
    </row>
    <row r="283" spans="7:7" s="140" customFormat="1">
      <c r="G283" s="77"/>
    </row>
    <row r="284" spans="7:7" s="140" customFormat="1">
      <c r="G284" s="77"/>
    </row>
    <row r="285" spans="7:7" s="140" customFormat="1">
      <c r="G285" s="77"/>
    </row>
    <row r="286" spans="7:7" s="140" customFormat="1">
      <c r="G286" s="77"/>
    </row>
    <row r="287" spans="7:7" s="140" customFormat="1">
      <c r="G287" s="77"/>
    </row>
    <row r="288" spans="7:7" s="140" customFormat="1">
      <c r="G288" s="77"/>
    </row>
    <row r="289" spans="7:7" s="140" customFormat="1">
      <c r="G289" s="77"/>
    </row>
    <row r="290" spans="7:7" s="140" customFormat="1">
      <c r="G290" s="77"/>
    </row>
    <row r="291" spans="7:7" s="140" customFormat="1">
      <c r="G291" s="77"/>
    </row>
    <row r="292" spans="7:7" s="140" customFormat="1">
      <c r="G292" s="77"/>
    </row>
    <row r="293" spans="7:7" s="140" customFormat="1">
      <c r="G293" s="77"/>
    </row>
    <row r="294" spans="7:7" s="140" customFormat="1">
      <c r="G294" s="77"/>
    </row>
    <row r="295" spans="7:7" s="140" customFormat="1">
      <c r="G295" s="77"/>
    </row>
    <row r="296" spans="7:7" s="140" customFormat="1">
      <c r="G296" s="77"/>
    </row>
    <row r="297" spans="7:7" s="140" customFormat="1">
      <c r="G297" s="77"/>
    </row>
    <row r="298" spans="7:7" s="140" customFormat="1">
      <c r="G298" s="77"/>
    </row>
    <row r="299" spans="7:7" s="140" customFormat="1">
      <c r="G299" s="77"/>
    </row>
    <row r="300" spans="7:7" s="140" customFormat="1">
      <c r="G300" s="77"/>
    </row>
    <row r="301" spans="7:7" s="140" customFormat="1">
      <c r="G301" s="77"/>
    </row>
    <row r="302" spans="7:7" s="140" customFormat="1">
      <c r="G302" s="77"/>
    </row>
    <row r="303" spans="7:7" s="140" customFormat="1">
      <c r="G303" s="77"/>
    </row>
    <row r="304" spans="7:7" s="140" customFormat="1">
      <c r="G304" s="77"/>
    </row>
    <row r="305" spans="7:7" s="140" customFormat="1">
      <c r="G305" s="77"/>
    </row>
    <row r="306" spans="7:7" s="140" customFormat="1">
      <c r="G306" s="77"/>
    </row>
    <row r="307" spans="7:7" s="140" customFormat="1">
      <c r="G307" s="77"/>
    </row>
    <row r="308" spans="7:7" s="140" customFormat="1">
      <c r="G308" s="77"/>
    </row>
    <row r="309" spans="7:7" s="140" customFormat="1">
      <c r="G309" s="77"/>
    </row>
    <row r="310" spans="7:7" s="140" customFormat="1">
      <c r="G310" s="77"/>
    </row>
    <row r="311" spans="7:7" s="140" customFormat="1">
      <c r="G311" s="77"/>
    </row>
    <row r="312" spans="7:7" s="140" customFormat="1">
      <c r="G312" s="77"/>
    </row>
    <row r="313" spans="7:7" s="140" customFormat="1">
      <c r="G313" s="77"/>
    </row>
    <row r="314" spans="7:7" s="140" customFormat="1">
      <c r="G314" s="77"/>
    </row>
    <row r="315" spans="7:7" s="140" customFormat="1">
      <c r="G315" s="77"/>
    </row>
    <row r="316" spans="7:7" s="140" customFormat="1">
      <c r="G316" s="77"/>
    </row>
    <row r="317" spans="7:7" s="140" customFormat="1">
      <c r="G317" s="77"/>
    </row>
    <row r="318" spans="7:7" s="140" customFormat="1">
      <c r="G318" s="77"/>
    </row>
    <row r="319" spans="7:7" s="140" customFormat="1">
      <c r="G319" s="77"/>
    </row>
    <row r="320" spans="7:7" s="140" customFormat="1">
      <c r="G320" s="77"/>
    </row>
    <row r="321" spans="7:7" s="140" customFormat="1">
      <c r="G321" s="77"/>
    </row>
    <row r="322" spans="7:7" s="140" customFormat="1">
      <c r="G322" s="77"/>
    </row>
    <row r="323" spans="7:7" s="140" customFormat="1">
      <c r="G323" s="77"/>
    </row>
    <row r="324" spans="7:7" s="140" customFormat="1">
      <c r="G324" s="77"/>
    </row>
    <row r="325" spans="7:7" s="140" customFormat="1">
      <c r="G325" s="77"/>
    </row>
    <row r="326" spans="7:7" s="140" customFormat="1">
      <c r="G326" s="77"/>
    </row>
    <row r="327" spans="7:7" s="140" customFormat="1">
      <c r="G327" s="77"/>
    </row>
    <row r="328" spans="7:7" s="140" customFormat="1">
      <c r="G328" s="77"/>
    </row>
    <row r="329" spans="7:7" s="140" customFormat="1">
      <c r="G329" s="77"/>
    </row>
    <row r="330" spans="7:7" s="140" customFormat="1">
      <c r="G330" s="77"/>
    </row>
    <row r="331" spans="7:7" s="140" customFormat="1">
      <c r="G331" s="77"/>
    </row>
    <row r="332" spans="7:7" s="140" customFormat="1">
      <c r="G332" s="77"/>
    </row>
    <row r="333" spans="7:7" s="140" customFormat="1">
      <c r="G333" s="77"/>
    </row>
    <row r="334" spans="7:7" s="140" customFormat="1">
      <c r="G334" s="77"/>
    </row>
    <row r="335" spans="7:7" s="140" customFormat="1">
      <c r="G335" s="77"/>
    </row>
    <row r="336" spans="7:7" s="140" customFormat="1">
      <c r="G336" s="77"/>
    </row>
    <row r="337" spans="7:7" s="140" customFormat="1">
      <c r="G337" s="77"/>
    </row>
    <row r="338" spans="7:7" s="140" customFormat="1">
      <c r="G338" s="77"/>
    </row>
    <row r="339" spans="7:7" s="140" customFormat="1">
      <c r="G339" s="77"/>
    </row>
    <row r="340" spans="7:7" s="140" customFormat="1">
      <c r="G340" s="77"/>
    </row>
    <row r="341" spans="7:7" s="140" customFormat="1">
      <c r="G341" s="77"/>
    </row>
    <row r="342" spans="7:7" s="140" customFormat="1">
      <c r="G342" s="77"/>
    </row>
    <row r="343" spans="7:7" s="140" customFormat="1">
      <c r="G343" s="77"/>
    </row>
    <row r="344" spans="7:7" s="140" customFormat="1">
      <c r="G344" s="77"/>
    </row>
    <row r="345" spans="7:7" s="140" customFormat="1">
      <c r="G345" s="77"/>
    </row>
    <row r="346" spans="7:7" s="140" customFormat="1">
      <c r="G346" s="77"/>
    </row>
    <row r="347" spans="7:7" s="140" customFormat="1">
      <c r="G347" s="77"/>
    </row>
    <row r="348" spans="7:7" s="140" customFormat="1">
      <c r="G348" s="77"/>
    </row>
    <row r="349" spans="7:7" s="140" customFormat="1">
      <c r="G349" s="77"/>
    </row>
    <row r="350" spans="7:7" s="140" customFormat="1">
      <c r="G350" s="77"/>
    </row>
    <row r="351" spans="7:7" s="140" customFormat="1">
      <c r="G351" s="77"/>
    </row>
    <row r="352" spans="7:7" s="140" customFormat="1">
      <c r="G352" s="77"/>
    </row>
    <row r="353" spans="7:7" s="140" customFormat="1">
      <c r="G353" s="77"/>
    </row>
    <row r="354" spans="7:7" s="140" customFormat="1">
      <c r="G354" s="77"/>
    </row>
    <row r="355" spans="7:7" s="140" customFormat="1">
      <c r="G355" s="77"/>
    </row>
    <row r="356" spans="7:7" s="140" customFormat="1">
      <c r="G356" s="77"/>
    </row>
    <row r="357" spans="7:7" s="140" customFormat="1">
      <c r="G357" s="77"/>
    </row>
    <row r="358" spans="7:7" s="140" customFormat="1">
      <c r="G358" s="77"/>
    </row>
    <row r="359" spans="7:7" s="140" customFormat="1">
      <c r="G359" s="77"/>
    </row>
    <row r="360" spans="7:7" s="140" customFormat="1">
      <c r="G360" s="77"/>
    </row>
    <row r="361" spans="7:7" s="140" customFormat="1">
      <c r="G361" s="77"/>
    </row>
    <row r="362" spans="7:7" s="140" customFormat="1">
      <c r="G362" s="77"/>
    </row>
    <row r="363" spans="7:7" s="140" customFormat="1">
      <c r="G363" s="77"/>
    </row>
    <row r="364" spans="7:7" s="140" customFormat="1">
      <c r="G364" s="77"/>
    </row>
    <row r="365" spans="7:7" s="140" customFormat="1">
      <c r="G365" s="77"/>
    </row>
    <row r="366" spans="7:7" s="140" customFormat="1">
      <c r="G366" s="77"/>
    </row>
    <row r="367" spans="7:7" s="140" customFormat="1">
      <c r="G367" s="77"/>
    </row>
    <row r="368" spans="7:7" s="140" customFormat="1">
      <c r="G368" s="77"/>
    </row>
    <row r="369" spans="7:7" s="140" customFormat="1">
      <c r="G369" s="77"/>
    </row>
    <row r="370" spans="7:7" s="140" customFormat="1">
      <c r="G370" s="77"/>
    </row>
    <row r="371" spans="7:7" s="140" customFormat="1">
      <c r="G371" s="77"/>
    </row>
    <row r="372" spans="7:7" s="140" customFormat="1">
      <c r="G372" s="77"/>
    </row>
    <row r="373" spans="7:7" s="140" customFormat="1">
      <c r="G373" s="77"/>
    </row>
    <row r="374" spans="7:7" s="140" customFormat="1">
      <c r="G374" s="77"/>
    </row>
    <row r="375" spans="7:7" s="140" customFormat="1">
      <c r="G375" s="77"/>
    </row>
    <row r="376" spans="7:7" s="140" customFormat="1">
      <c r="G376" s="77"/>
    </row>
    <row r="377" spans="7:7" s="140" customFormat="1">
      <c r="G377" s="77"/>
    </row>
    <row r="378" spans="7:7" s="140" customFormat="1">
      <c r="G378" s="77"/>
    </row>
    <row r="379" spans="7:7" s="140" customFormat="1">
      <c r="G379" s="77"/>
    </row>
    <row r="380" spans="7:7" s="140" customFormat="1">
      <c r="G380" s="77"/>
    </row>
    <row r="381" spans="7:7" s="140" customFormat="1">
      <c r="G381" s="77"/>
    </row>
    <row r="382" spans="7:7" s="140" customFormat="1">
      <c r="G382" s="77"/>
    </row>
    <row r="383" spans="7:7" s="140" customFormat="1">
      <c r="G383" s="77"/>
    </row>
    <row r="384" spans="7:7" s="140" customFormat="1">
      <c r="G384" s="77"/>
    </row>
    <row r="385" spans="7:7" s="140" customFormat="1">
      <c r="G385" s="77"/>
    </row>
    <row r="386" spans="7:7" s="140" customFormat="1">
      <c r="G386" s="77"/>
    </row>
    <row r="387" spans="7:7" s="140" customFormat="1">
      <c r="G387" s="77"/>
    </row>
    <row r="388" spans="7:7" s="140" customFormat="1">
      <c r="G388" s="77"/>
    </row>
    <row r="389" spans="7:7" s="140" customFormat="1">
      <c r="G389" s="77"/>
    </row>
    <row r="390" spans="7:7" s="140" customFormat="1">
      <c r="G390" s="77"/>
    </row>
    <row r="391" spans="7:7" s="140" customFormat="1">
      <c r="G391" s="77"/>
    </row>
    <row r="392" spans="7:7" s="140" customFormat="1">
      <c r="G392" s="77"/>
    </row>
    <row r="393" spans="7:7" s="140" customFormat="1">
      <c r="G393" s="77"/>
    </row>
    <row r="394" spans="7:7" s="140" customFormat="1">
      <c r="G394" s="77"/>
    </row>
    <row r="395" spans="7:7" s="140" customFormat="1">
      <c r="G395" s="77"/>
    </row>
    <row r="396" spans="7:7" s="140" customFormat="1">
      <c r="G396" s="77"/>
    </row>
    <row r="397" spans="7:7" s="140" customFormat="1">
      <c r="G397" s="77"/>
    </row>
    <row r="398" spans="7:7" s="140" customFormat="1">
      <c r="G398" s="77"/>
    </row>
    <row r="399" spans="7:7" s="140" customFormat="1">
      <c r="G399" s="77"/>
    </row>
    <row r="400" spans="7:7" s="140" customFormat="1">
      <c r="G400" s="77"/>
    </row>
    <row r="401" spans="7:7" s="140" customFormat="1">
      <c r="G401" s="77"/>
    </row>
    <row r="402" spans="7:7" s="140" customFormat="1">
      <c r="G402" s="77"/>
    </row>
    <row r="403" spans="7:7" s="140" customFormat="1">
      <c r="G403" s="77"/>
    </row>
    <row r="404" spans="7:7" s="140" customFormat="1">
      <c r="G404" s="77"/>
    </row>
    <row r="405" spans="7:7" s="140" customFormat="1">
      <c r="G405" s="77"/>
    </row>
    <row r="406" spans="7:7" s="140" customFormat="1">
      <c r="G406" s="77"/>
    </row>
    <row r="407" spans="7:7" s="140" customFormat="1">
      <c r="G407" s="77"/>
    </row>
    <row r="408" spans="7:7" s="140" customFormat="1">
      <c r="G408" s="77"/>
    </row>
    <row r="409" spans="7:7" s="140" customFormat="1">
      <c r="G409" s="77"/>
    </row>
    <row r="410" spans="7:7" s="140" customFormat="1">
      <c r="G410" s="77"/>
    </row>
    <row r="411" spans="7:7" s="140" customFormat="1">
      <c r="G411" s="77"/>
    </row>
    <row r="412" spans="7:7" s="140" customFormat="1">
      <c r="G412" s="77"/>
    </row>
    <row r="413" spans="7:7" s="140" customFormat="1">
      <c r="G413" s="77"/>
    </row>
    <row r="414" spans="7:7" s="140" customFormat="1">
      <c r="G414" s="77"/>
    </row>
    <row r="415" spans="7:7" s="140" customFormat="1">
      <c r="G415" s="77"/>
    </row>
    <row r="416" spans="7:7" s="140" customFormat="1">
      <c r="G416" s="77"/>
    </row>
    <row r="417" spans="7:7" s="140" customFormat="1">
      <c r="G417" s="77"/>
    </row>
    <row r="418" spans="7:7" s="140" customFormat="1">
      <c r="G418" s="77"/>
    </row>
    <row r="419" spans="7:7" s="140" customFormat="1">
      <c r="G419" s="77"/>
    </row>
    <row r="420" spans="7:7" s="140" customFormat="1">
      <c r="G420" s="77"/>
    </row>
    <row r="421" spans="7:7" s="140" customFormat="1">
      <c r="G421" s="77"/>
    </row>
    <row r="422" spans="7:7" s="140" customFormat="1">
      <c r="G422" s="77"/>
    </row>
    <row r="423" spans="7:7" s="140" customFormat="1">
      <c r="G423" s="77"/>
    </row>
    <row r="424" spans="7:7" s="140" customFormat="1">
      <c r="G424" s="77"/>
    </row>
    <row r="425" spans="7:7" s="140" customFormat="1">
      <c r="G425" s="77"/>
    </row>
    <row r="426" spans="7:7" s="140" customFormat="1">
      <c r="G426" s="77"/>
    </row>
    <row r="427" spans="7:7" s="140" customFormat="1">
      <c r="G427" s="77"/>
    </row>
    <row r="428" spans="7:7" s="140" customFormat="1">
      <c r="G428" s="77"/>
    </row>
    <row r="429" spans="7:7" s="140" customFormat="1">
      <c r="G429" s="77"/>
    </row>
    <row r="430" spans="7:7" s="140" customFormat="1">
      <c r="G430" s="77"/>
    </row>
    <row r="431" spans="7:7" s="140" customFormat="1">
      <c r="G431" s="77"/>
    </row>
    <row r="432" spans="7:7" s="140" customFormat="1">
      <c r="G432" s="77"/>
    </row>
    <row r="433" spans="7:7" s="140" customFormat="1">
      <c r="G433" s="77"/>
    </row>
    <row r="434" spans="7:7" s="140" customFormat="1">
      <c r="G434" s="77"/>
    </row>
    <row r="435" spans="7:7" s="140" customFormat="1">
      <c r="G435" s="77"/>
    </row>
    <row r="436" spans="7:7" s="140" customFormat="1">
      <c r="G436" s="77"/>
    </row>
    <row r="437" spans="7:7" s="140" customFormat="1">
      <c r="G437" s="77"/>
    </row>
    <row r="438" spans="7:7" s="140" customFormat="1">
      <c r="G438" s="77"/>
    </row>
    <row r="439" spans="7:7" s="140" customFormat="1">
      <c r="G439" s="77"/>
    </row>
    <row r="440" spans="7:7" s="140" customFormat="1">
      <c r="G440" s="77"/>
    </row>
    <row r="441" spans="7:7" s="140" customFormat="1">
      <c r="G441" s="77"/>
    </row>
    <row r="442" spans="7:7" s="140" customFormat="1">
      <c r="G442" s="77"/>
    </row>
    <row r="443" spans="7:7" s="140" customFormat="1">
      <c r="G443" s="77"/>
    </row>
    <row r="444" spans="7:7" s="140" customFormat="1">
      <c r="G444" s="77"/>
    </row>
    <row r="445" spans="7:7" s="140" customFormat="1">
      <c r="G445" s="77"/>
    </row>
    <row r="446" spans="7:7" s="140" customFormat="1">
      <c r="G446" s="77"/>
    </row>
    <row r="447" spans="7:7" s="140" customFormat="1">
      <c r="G447" s="77"/>
    </row>
    <row r="448" spans="7:7" s="140" customFormat="1">
      <c r="G448" s="77"/>
    </row>
    <row r="449" spans="7:7" s="140" customFormat="1">
      <c r="G449" s="77"/>
    </row>
    <row r="450" spans="7:7" s="140" customFormat="1">
      <c r="G450" s="77"/>
    </row>
    <row r="451" spans="7:7" s="140" customFormat="1">
      <c r="G451" s="77"/>
    </row>
    <row r="452" spans="7:7" s="140" customFormat="1">
      <c r="G452" s="77"/>
    </row>
    <row r="453" spans="7:7" s="140" customFormat="1">
      <c r="G453" s="77"/>
    </row>
    <row r="454" spans="7:7" s="140" customFormat="1">
      <c r="G454" s="77"/>
    </row>
    <row r="455" spans="7:7" s="140" customFormat="1">
      <c r="G455" s="77"/>
    </row>
    <row r="456" spans="7:7" s="140" customFormat="1">
      <c r="G456" s="77"/>
    </row>
    <row r="457" spans="7:7" s="140" customFormat="1">
      <c r="G457" s="77"/>
    </row>
    <row r="458" spans="7:7" s="140" customFormat="1">
      <c r="G458" s="77"/>
    </row>
    <row r="459" spans="7:7" s="140" customFormat="1">
      <c r="G459" s="77"/>
    </row>
    <row r="460" spans="7:7" s="140" customFormat="1">
      <c r="G460" s="77"/>
    </row>
    <row r="461" spans="7:7" s="140" customFormat="1">
      <c r="G461" s="77"/>
    </row>
    <row r="462" spans="7:7" s="140" customFormat="1">
      <c r="G462" s="77"/>
    </row>
    <row r="463" spans="7:7" s="140" customFormat="1">
      <c r="G463" s="77"/>
    </row>
    <row r="464" spans="7:7" s="140" customFormat="1">
      <c r="G464" s="77"/>
    </row>
    <row r="465" spans="7:7" s="140" customFormat="1">
      <c r="G465" s="77"/>
    </row>
    <row r="466" spans="7:7" s="140" customFormat="1">
      <c r="G466" s="77"/>
    </row>
    <row r="467" spans="7:7" s="140" customFormat="1">
      <c r="G467" s="77"/>
    </row>
    <row r="468" spans="7:7" s="140" customFormat="1">
      <c r="G468" s="77"/>
    </row>
    <row r="469" spans="7:7" s="140" customFormat="1">
      <c r="G469" s="77"/>
    </row>
    <row r="470" spans="7:7" s="140" customFormat="1">
      <c r="G470" s="77"/>
    </row>
    <row r="471" spans="7:7" s="140" customFormat="1">
      <c r="G471" s="77"/>
    </row>
    <row r="472" spans="7:7" s="140" customFormat="1">
      <c r="G472" s="77"/>
    </row>
    <row r="473" spans="7:7" s="140" customFormat="1">
      <c r="G473" s="77"/>
    </row>
    <row r="474" spans="7:7" s="140" customFormat="1">
      <c r="G474" s="77"/>
    </row>
    <row r="475" spans="7:7" s="140" customFormat="1">
      <c r="G475" s="77"/>
    </row>
    <row r="476" spans="7:7" s="140" customFormat="1">
      <c r="G476" s="77"/>
    </row>
    <row r="477" spans="7:7" s="140" customFormat="1">
      <c r="G477" s="77"/>
    </row>
    <row r="478" spans="7:7" s="140" customFormat="1">
      <c r="G478" s="77"/>
    </row>
    <row r="479" spans="7:7" s="140" customFormat="1">
      <c r="G479" s="77"/>
    </row>
    <row r="480" spans="7:7" s="140" customFormat="1">
      <c r="G480" s="77"/>
    </row>
    <row r="481" spans="7:7" s="140" customFormat="1">
      <c r="G481" s="77"/>
    </row>
    <row r="482" spans="7:7" s="140" customFormat="1">
      <c r="G482" s="77"/>
    </row>
    <row r="483" spans="7:7" s="140" customFormat="1">
      <c r="G483" s="77"/>
    </row>
    <row r="484" spans="7:7" s="140" customFormat="1">
      <c r="G484" s="77"/>
    </row>
    <row r="485" spans="7:7" s="140" customFormat="1">
      <c r="G485" s="77"/>
    </row>
    <row r="486" spans="7:7" s="140" customFormat="1">
      <c r="G486" s="77"/>
    </row>
    <row r="487" spans="7:7" s="140" customFormat="1">
      <c r="G487" s="77"/>
    </row>
    <row r="488" spans="7:7" s="140" customFormat="1">
      <c r="G488" s="77"/>
    </row>
    <row r="489" spans="7:7" s="140" customFormat="1">
      <c r="G489" s="77"/>
    </row>
    <row r="490" spans="7:7" s="140" customFormat="1">
      <c r="G490" s="77"/>
    </row>
    <row r="491" spans="7:7" s="140" customFormat="1">
      <c r="G491" s="77"/>
    </row>
    <row r="492" spans="7:7" s="140" customFormat="1">
      <c r="G492" s="77"/>
    </row>
    <row r="493" spans="7:7" s="140" customFormat="1">
      <c r="G493" s="77"/>
    </row>
    <row r="494" spans="7:7" s="140" customFormat="1">
      <c r="G494" s="77"/>
    </row>
    <row r="495" spans="7:7" s="140" customFormat="1">
      <c r="G495" s="77"/>
    </row>
    <row r="496" spans="7:7" s="140" customFormat="1">
      <c r="G496" s="77"/>
    </row>
    <row r="497" spans="7:7" s="140" customFormat="1">
      <c r="G497" s="77"/>
    </row>
    <row r="498" spans="7:7" s="140" customFormat="1">
      <c r="G498" s="77"/>
    </row>
    <row r="499" spans="7:7" s="140" customFormat="1">
      <c r="G499" s="77"/>
    </row>
    <row r="500" spans="7:7" s="140" customFormat="1">
      <c r="G500" s="77"/>
    </row>
    <row r="501" spans="7:7" s="140" customFormat="1">
      <c r="G501" s="77"/>
    </row>
    <row r="502" spans="7:7" s="140" customFormat="1">
      <c r="G502" s="77"/>
    </row>
    <row r="503" spans="7:7" s="140" customFormat="1">
      <c r="G503" s="77"/>
    </row>
    <row r="504" spans="7:7" s="140" customFormat="1">
      <c r="G504" s="77"/>
    </row>
    <row r="505" spans="7:7" s="140" customFormat="1">
      <c r="G505" s="77"/>
    </row>
    <row r="506" spans="7:7" s="140" customFormat="1">
      <c r="G506" s="77"/>
    </row>
    <row r="507" spans="7:7" s="140" customFormat="1">
      <c r="G507" s="77"/>
    </row>
    <row r="508" spans="7:7" s="140" customFormat="1">
      <c r="G508" s="77"/>
    </row>
    <row r="509" spans="7:7" s="140" customFormat="1">
      <c r="G509" s="77"/>
    </row>
    <row r="510" spans="7:7" s="140" customFormat="1">
      <c r="G510" s="77"/>
    </row>
    <row r="511" spans="7:7" s="140" customFormat="1">
      <c r="G511" s="77"/>
    </row>
    <row r="512" spans="7:7" s="140" customFormat="1">
      <c r="G512" s="77"/>
    </row>
    <row r="513" spans="7:7" s="140" customFormat="1">
      <c r="G513" s="77"/>
    </row>
    <row r="514" spans="7:7" s="140" customFormat="1">
      <c r="G514" s="77"/>
    </row>
    <row r="515" spans="7:7" s="140" customFormat="1">
      <c r="G515" s="77"/>
    </row>
    <row r="516" spans="7:7" s="140" customFormat="1">
      <c r="G516" s="77"/>
    </row>
    <row r="517" spans="7:7" s="140" customFormat="1">
      <c r="G517" s="77"/>
    </row>
    <row r="518" spans="7:7" s="140" customFormat="1">
      <c r="G518" s="77"/>
    </row>
    <row r="519" spans="7:7" s="140" customFormat="1">
      <c r="G519" s="77"/>
    </row>
    <row r="520" spans="7:7" s="140" customFormat="1">
      <c r="G520" s="77"/>
    </row>
    <row r="521" spans="7:7" s="140" customFormat="1">
      <c r="G521" s="77"/>
    </row>
    <row r="522" spans="7:7" s="140" customFormat="1">
      <c r="G522" s="77"/>
    </row>
    <row r="523" spans="7:7" s="140" customFormat="1">
      <c r="G523" s="77"/>
    </row>
    <row r="524" spans="7:7" s="140" customFormat="1">
      <c r="G524" s="77"/>
    </row>
    <row r="525" spans="7:7" s="140" customFormat="1">
      <c r="G525" s="77"/>
    </row>
    <row r="526" spans="7:7" s="140" customFormat="1">
      <c r="G526" s="77"/>
    </row>
    <row r="527" spans="7:7" s="140" customFormat="1">
      <c r="G527" s="77"/>
    </row>
    <row r="528" spans="7:7" s="140" customFormat="1">
      <c r="G528" s="77"/>
    </row>
    <row r="529" spans="7:7" s="140" customFormat="1">
      <c r="G529" s="77"/>
    </row>
    <row r="530" spans="7:7" s="140" customFormat="1">
      <c r="G530" s="77"/>
    </row>
    <row r="531" spans="7:7" s="140" customFormat="1">
      <c r="G531" s="77"/>
    </row>
    <row r="532" spans="7:7" s="140" customFormat="1">
      <c r="G532" s="77"/>
    </row>
    <row r="533" spans="7:7" s="140" customFormat="1">
      <c r="G533" s="77"/>
    </row>
    <row r="534" spans="7:7" s="140" customFormat="1">
      <c r="G534" s="77"/>
    </row>
    <row r="535" spans="7:7" s="140" customFormat="1">
      <c r="G535" s="77"/>
    </row>
    <row r="536" spans="7:7" s="140" customFormat="1">
      <c r="G536" s="77"/>
    </row>
    <row r="537" spans="7:7" s="140" customFormat="1">
      <c r="G537" s="77"/>
    </row>
    <row r="538" spans="7:7" s="140" customFormat="1">
      <c r="G538" s="77"/>
    </row>
    <row r="539" spans="7:7" s="140" customFormat="1">
      <c r="G539" s="77"/>
    </row>
    <row r="540" spans="7:7" s="140" customFormat="1">
      <c r="G540" s="77"/>
    </row>
    <row r="541" spans="7:7" s="140" customFormat="1">
      <c r="G541" s="77"/>
    </row>
    <row r="542" spans="7:7" s="140" customFormat="1">
      <c r="G542" s="77"/>
    </row>
    <row r="543" spans="7:7" s="140" customFormat="1">
      <c r="G543" s="77"/>
    </row>
    <row r="544" spans="7:7" s="140" customFormat="1">
      <c r="G544" s="77"/>
    </row>
    <row r="545" spans="7:7" s="140" customFormat="1">
      <c r="G545" s="77"/>
    </row>
    <row r="546" spans="7:7" s="140" customFormat="1">
      <c r="G546" s="77"/>
    </row>
    <row r="547" spans="7:7" s="140" customFormat="1">
      <c r="G547" s="77"/>
    </row>
    <row r="548" spans="7:7" s="140" customFormat="1">
      <c r="G548" s="77"/>
    </row>
    <row r="549" spans="7:7" s="140" customFormat="1">
      <c r="G549" s="77"/>
    </row>
    <row r="550" spans="7:7" s="140" customFormat="1">
      <c r="G550" s="77"/>
    </row>
    <row r="551" spans="7:7" s="140" customFormat="1">
      <c r="G551" s="77"/>
    </row>
    <row r="552" spans="7:7" s="140" customFormat="1">
      <c r="G552" s="77"/>
    </row>
    <row r="553" spans="7:7" s="140" customFormat="1">
      <c r="G553" s="77"/>
    </row>
    <row r="554" spans="7:7" s="140" customFormat="1">
      <c r="G554" s="77"/>
    </row>
    <row r="555" spans="7:7" s="140" customFormat="1">
      <c r="G555" s="77"/>
    </row>
    <row r="556" spans="7:7" s="140" customFormat="1">
      <c r="G556" s="77"/>
    </row>
    <row r="557" spans="7:7" s="140" customFormat="1">
      <c r="G557" s="77"/>
    </row>
    <row r="558" spans="7:7" s="140" customFormat="1">
      <c r="G558" s="77"/>
    </row>
    <row r="559" spans="7:7" s="140" customFormat="1">
      <c r="G559" s="77"/>
    </row>
    <row r="560" spans="7:7" s="140" customFormat="1">
      <c r="G560" s="77"/>
    </row>
    <row r="561" spans="7:7" s="140" customFormat="1">
      <c r="G561" s="77"/>
    </row>
    <row r="562" spans="7:7" s="140" customFormat="1">
      <c r="G562" s="77"/>
    </row>
    <row r="563" spans="7:7" s="140" customFormat="1">
      <c r="G563" s="77"/>
    </row>
    <row r="564" spans="7:7" s="140" customFormat="1">
      <c r="G564" s="77"/>
    </row>
    <row r="565" spans="7:7" s="140" customFormat="1">
      <c r="G565" s="77"/>
    </row>
    <row r="566" spans="7:7" s="140" customFormat="1">
      <c r="G566" s="77"/>
    </row>
    <row r="567" spans="7:7" s="140" customFormat="1">
      <c r="G567" s="77"/>
    </row>
    <row r="568" spans="7:7" s="140" customFormat="1">
      <c r="G568" s="77"/>
    </row>
    <row r="569" spans="7:7" s="140" customFormat="1">
      <c r="G569" s="77"/>
    </row>
    <row r="570" spans="7:7" s="140" customFormat="1">
      <c r="G570" s="77"/>
    </row>
    <row r="571" spans="7:7" s="140" customFormat="1">
      <c r="G571" s="77"/>
    </row>
    <row r="572" spans="7:7" s="140" customFormat="1">
      <c r="G572" s="77"/>
    </row>
    <row r="573" spans="7:7" s="140" customFormat="1">
      <c r="G573" s="77"/>
    </row>
    <row r="574" spans="7:7" s="140" customFormat="1">
      <c r="G574" s="77"/>
    </row>
    <row r="575" spans="7:7" s="140" customFormat="1">
      <c r="G575" s="77"/>
    </row>
    <row r="576" spans="7:7" s="140" customFormat="1">
      <c r="G576" s="77"/>
    </row>
    <row r="577" spans="7:7" s="140" customFormat="1">
      <c r="G577" s="77"/>
    </row>
    <row r="578" spans="7:7" s="140" customFormat="1">
      <c r="G578" s="77"/>
    </row>
    <row r="579" spans="7:7" s="140" customFormat="1">
      <c r="G579" s="77"/>
    </row>
    <row r="580" spans="7:7" s="140" customFormat="1">
      <c r="G580" s="77"/>
    </row>
    <row r="581" spans="7:7" s="140" customFormat="1">
      <c r="G581" s="77"/>
    </row>
    <row r="582" spans="7:7" s="140" customFormat="1">
      <c r="G582" s="77"/>
    </row>
    <row r="583" spans="7:7" s="140" customFormat="1">
      <c r="G583" s="77"/>
    </row>
    <row r="584" spans="7:7" s="140" customFormat="1">
      <c r="G584" s="77"/>
    </row>
    <row r="585" spans="7:7" s="140" customFormat="1">
      <c r="G585" s="77"/>
    </row>
    <row r="586" spans="7:7" s="140" customFormat="1">
      <c r="G586" s="77"/>
    </row>
    <row r="587" spans="7:7" s="140" customFormat="1">
      <c r="G587" s="77"/>
    </row>
    <row r="588" spans="7:7" s="140" customFormat="1">
      <c r="G588" s="77"/>
    </row>
    <row r="589" spans="7:7" s="140" customFormat="1">
      <c r="G589" s="77"/>
    </row>
    <row r="590" spans="7:7" s="140" customFormat="1">
      <c r="G590" s="77"/>
    </row>
    <row r="591" spans="7:7" s="140" customFormat="1">
      <c r="G591" s="77"/>
    </row>
    <row r="592" spans="7:7" s="140" customFormat="1">
      <c r="G592" s="77"/>
    </row>
    <row r="593" spans="7:7" s="140" customFormat="1">
      <c r="G593" s="77"/>
    </row>
    <row r="594" spans="7:7" s="140" customFormat="1">
      <c r="G594" s="77"/>
    </row>
    <row r="595" spans="7:7" s="140" customFormat="1">
      <c r="G595" s="77"/>
    </row>
    <row r="596" spans="7:7" s="140" customFormat="1">
      <c r="G596" s="77"/>
    </row>
    <row r="597" spans="7:7" s="140" customFormat="1">
      <c r="G597" s="77"/>
    </row>
    <row r="598" spans="7:7" s="140" customFormat="1">
      <c r="G598" s="77"/>
    </row>
    <row r="599" spans="7:7" s="140" customFormat="1">
      <c r="G599" s="77"/>
    </row>
    <row r="600" spans="7:7" s="140" customFormat="1">
      <c r="G600" s="77"/>
    </row>
    <row r="601" spans="7:7" s="140" customFormat="1">
      <c r="G601" s="77"/>
    </row>
    <row r="602" spans="7:7" s="140" customFormat="1">
      <c r="G602" s="77"/>
    </row>
    <row r="603" spans="7:7" s="140" customFormat="1">
      <c r="G603" s="77"/>
    </row>
    <row r="604" spans="7:7" s="140" customFormat="1">
      <c r="G604" s="77"/>
    </row>
    <row r="605" spans="7:7" s="140" customFormat="1">
      <c r="G605" s="77"/>
    </row>
    <row r="606" spans="7:7" s="140" customFormat="1">
      <c r="G606" s="77"/>
    </row>
    <row r="607" spans="7:7" s="140" customFormat="1">
      <c r="G607" s="77"/>
    </row>
    <row r="608" spans="7:7" s="140" customFormat="1">
      <c r="G608" s="77"/>
    </row>
    <row r="609" spans="7:7" s="140" customFormat="1">
      <c r="G609" s="77"/>
    </row>
    <row r="610" spans="7:7" s="140" customFormat="1">
      <c r="G610" s="77"/>
    </row>
    <row r="611" spans="7:7" s="140" customFormat="1">
      <c r="G611" s="77"/>
    </row>
    <row r="612" spans="7:7" s="140" customFormat="1">
      <c r="G612" s="77"/>
    </row>
    <row r="613" spans="7:7" s="140" customFormat="1">
      <c r="G613" s="77"/>
    </row>
    <row r="614" spans="7:7" s="140" customFormat="1">
      <c r="G614" s="77"/>
    </row>
    <row r="615" spans="7:7" s="140" customFormat="1">
      <c r="G615" s="77"/>
    </row>
    <row r="616" spans="7:7" s="140" customFormat="1">
      <c r="G616" s="77"/>
    </row>
    <row r="617" spans="7:7" s="140" customFormat="1">
      <c r="G617" s="77"/>
    </row>
    <row r="618" spans="7:7" s="140" customFormat="1">
      <c r="G618" s="77"/>
    </row>
    <row r="619" spans="7:7" s="140" customFormat="1">
      <c r="G619" s="77"/>
    </row>
    <row r="620" spans="7:7" s="140" customFormat="1">
      <c r="G620" s="77"/>
    </row>
    <row r="621" spans="7:7" s="140" customFormat="1">
      <c r="G621" s="77"/>
    </row>
    <row r="622" spans="7:7" s="140" customFormat="1">
      <c r="G622" s="77"/>
    </row>
    <row r="623" spans="7:7" s="140" customFormat="1">
      <c r="G623" s="77"/>
    </row>
    <row r="624" spans="7:7" s="140" customFormat="1">
      <c r="G624" s="77"/>
    </row>
    <row r="625" spans="7:7" s="140" customFormat="1">
      <c r="G625" s="77"/>
    </row>
    <row r="626" spans="7:7" s="140" customFormat="1">
      <c r="G626" s="77"/>
    </row>
    <row r="627" spans="7:7" s="140" customFormat="1">
      <c r="G627" s="77"/>
    </row>
    <row r="628" spans="7:7" s="140" customFormat="1">
      <c r="G628" s="77"/>
    </row>
    <row r="629" spans="7:7" s="140" customFormat="1">
      <c r="G629" s="77"/>
    </row>
    <row r="630" spans="7:7" s="140" customFormat="1">
      <c r="G630" s="77"/>
    </row>
    <row r="631" spans="7:7" s="140" customFormat="1">
      <c r="G631" s="77"/>
    </row>
    <row r="632" spans="7:7" s="140" customFormat="1">
      <c r="G632" s="77"/>
    </row>
    <row r="633" spans="7:7" s="140" customFormat="1">
      <c r="G633" s="77"/>
    </row>
    <row r="634" spans="7:7" s="140" customFormat="1">
      <c r="G634" s="77"/>
    </row>
    <row r="635" spans="7:7" s="140" customFormat="1">
      <c r="G635" s="77"/>
    </row>
    <row r="636" spans="7:7" s="140" customFormat="1">
      <c r="G636" s="77"/>
    </row>
    <row r="637" spans="7:7" s="140" customFormat="1">
      <c r="G637" s="77"/>
    </row>
    <row r="638" spans="7:7" s="140" customFormat="1">
      <c r="G638" s="77"/>
    </row>
    <row r="639" spans="7:7" s="140" customFormat="1">
      <c r="G639" s="77"/>
    </row>
    <row r="640" spans="7:7" s="140" customFormat="1">
      <c r="G640" s="77"/>
    </row>
    <row r="641" spans="7:7" s="140" customFormat="1">
      <c r="G641" s="77"/>
    </row>
    <row r="642" spans="7:7" s="140" customFormat="1">
      <c r="G642" s="77"/>
    </row>
    <row r="643" spans="7:7" s="140" customFormat="1">
      <c r="G643" s="77"/>
    </row>
    <row r="644" spans="7:7" s="140" customFormat="1">
      <c r="G644" s="77"/>
    </row>
    <row r="645" spans="7:7" s="140" customFormat="1">
      <c r="G645" s="77"/>
    </row>
    <row r="646" spans="7:7" s="140" customFormat="1">
      <c r="G646" s="77"/>
    </row>
    <row r="647" spans="7:7" s="140" customFormat="1">
      <c r="G647" s="77"/>
    </row>
    <row r="648" spans="7:7" s="140" customFormat="1">
      <c r="G648" s="77"/>
    </row>
    <row r="649" spans="7:7" s="140" customFormat="1">
      <c r="G649" s="77"/>
    </row>
    <row r="650" spans="7:7" s="140" customFormat="1">
      <c r="G650" s="77"/>
    </row>
    <row r="651" spans="7:7" s="140" customFormat="1">
      <c r="G651" s="77"/>
    </row>
    <row r="652" spans="7:7" s="140" customFormat="1">
      <c r="G652" s="77"/>
    </row>
    <row r="653" spans="7:7" s="140" customFormat="1">
      <c r="G653" s="77"/>
    </row>
    <row r="654" spans="7:7" s="140" customFormat="1">
      <c r="G654" s="77"/>
    </row>
    <row r="655" spans="7:7" s="140" customFormat="1">
      <c r="G655" s="77"/>
    </row>
    <row r="656" spans="7:7" s="140" customFormat="1">
      <c r="G656" s="77"/>
    </row>
    <row r="657" spans="7:7" s="140" customFormat="1">
      <c r="G657" s="77"/>
    </row>
    <row r="658" spans="7:7" s="140" customFormat="1">
      <c r="G658" s="77"/>
    </row>
    <row r="659" spans="7:7" s="140" customFormat="1">
      <c r="G659" s="77"/>
    </row>
    <row r="660" spans="7:7" s="140" customFormat="1">
      <c r="G660" s="77"/>
    </row>
    <row r="661" spans="7:7" s="140" customFormat="1">
      <c r="G661" s="77"/>
    </row>
    <row r="662" spans="7:7" s="140" customFormat="1">
      <c r="G662" s="77"/>
    </row>
    <row r="663" spans="7:7" s="140" customFormat="1">
      <c r="G663" s="77"/>
    </row>
    <row r="664" spans="7:7" s="140" customFormat="1">
      <c r="G664" s="77"/>
    </row>
    <row r="665" spans="7:7" s="140" customFormat="1">
      <c r="G665" s="77"/>
    </row>
    <row r="666" spans="7:7" s="140" customFormat="1">
      <c r="G666" s="77"/>
    </row>
    <row r="667" spans="7:7" s="140" customFormat="1">
      <c r="G667" s="77"/>
    </row>
    <row r="668" spans="7:7" s="140" customFormat="1">
      <c r="G668" s="77"/>
    </row>
    <row r="669" spans="7:7" s="140" customFormat="1">
      <c r="G669" s="77"/>
    </row>
    <row r="670" spans="7:7" s="140" customFormat="1">
      <c r="G670" s="77"/>
    </row>
    <row r="671" spans="7:7" s="140" customFormat="1">
      <c r="G671" s="77"/>
    </row>
    <row r="672" spans="7:7" s="140" customFormat="1">
      <c r="G672" s="77"/>
    </row>
    <row r="673" spans="7:7" s="140" customFormat="1">
      <c r="G673" s="77"/>
    </row>
    <row r="674" spans="7:7" s="140" customFormat="1">
      <c r="G674" s="77"/>
    </row>
    <row r="675" spans="7:7" s="140" customFormat="1">
      <c r="G675" s="77"/>
    </row>
    <row r="676" spans="7:7" s="140" customFormat="1">
      <c r="G676" s="77"/>
    </row>
    <row r="677" spans="7:7" s="140" customFormat="1">
      <c r="G677" s="77"/>
    </row>
    <row r="678" spans="7:7" s="140" customFormat="1">
      <c r="G678" s="77"/>
    </row>
    <row r="679" spans="7:7" s="140" customFormat="1">
      <c r="G679" s="77"/>
    </row>
    <row r="680" spans="7:7" s="140" customFormat="1">
      <c r="G680" s="77"/>
    </row>
    <row r="681" spans="7:7" s="140" customFormat="1">
      <c r="G681" s="77"/>
    </row>
    <row r="682" spans="7:7" s="140" customFormat="1">
      <c r="G682" s="77"/>
    </row>
    <row r="683" spans="7:7" s="140" customFormat="1">
      <c r="G683" s="77"/>
    </row>
    <row r="684" spans="7:7" s="140" customFormat="1">
      <c r="G684" s="77"/>
    </row>
    <row r="685" spans="7:7" s="140" customFormat="1">
      <c r="G685" s="77"/>
    </row>
    <row r="686" spans="7:7" s="140" customFormat="1">
      <c r="G686" s="77"/>
    </row>
    <row r="687" spans="7:7" s="140" customFormat="1">
      <c r="G687" s="77"/>
    </row>
    <row r="688" spans="7:7" s="140" customFormat="1">
      <c r="G688" s="77"/>
    </row>
    <row r="689" spans="7:7" s="140" customFormat="1">
      <c r="G689" s="77"/>
    </row>
    <row r="690" spans="7:7" s="140" customFormat="1">
      <c r="G690" s="77"/>
    </row>
    <row r="691" spans="7:7" s="140" customFormat="1">
      <c r="G691" s="77"/>
    </row>
    <row r="692" spans="7:7" s="140" customFormat="1">
      <c r="G692" s="77"/>
    </row>
    <row r="693" spans="7:7" s="140" customFormat="1">
      <c r="G693" s="77"/>
    </row>
    <row r="694" spans="7:7" s="140" customFormat="1">
      <c r="G694" s="77"/>
    </row>
    <row r="695" spans="7:7" s="140" customFormat="1">
      <c r="G695" s="77"/>
    </row>
    <row r="696" spans="7:7" s="140" customFormat="1">
      <c r="G696" s="77"/>
    </row>
    <row r="697" spans="7:7" s="140" customFormat="1">
      <c r="G697" s="77"/>
    </row>
    <row r="698" spans="7:7" s="140" customFormat="1">
      <c r="G698" s="77"/>
    </row>
    <row r="699" spans="7:7" s="140" customFormat="1">
      <c r="G699" s="77"/>
    </row>
    <row r="700" spans="7:7" s="140" customFormat="1">
      <c r="G700" s="77"/>
    </row>
    <row r="701" spans="7:7" s="140" customFormat="1">
      <c r="G701" s="77"/>
    </row>
    <row r="702" spans="7:7" s="140" customFormat="1">
      <c r="G702" s="77"/>
    </row>
    <row r="703" spans="7:7" s="140" customFormat="1">
      <c r="G703" s="77"/>
    </row>
    <row r="704" spans="7:7" s="140" customFormat="1">
      <c r="G704" s="77"/>
    </row>
    <row r="705" spans="7:7" s="140" customFormat="1">
      <c r="G705" s="77"/>
    </row>
    <row r="706" spans="7:7" s="140" customFormat="1">
      <c r="G706" s="77"/>
    </row>
    <row r="707" spans="7:7" s="140" customFormat="1">
      <c r="G707" s="77"/>
    </row>
    <row r="708" spans="7:7" s="140" customFormat="1">
      <c r="G708" s="77"/>
    </row>
    <row r="709" spans="7:7" s="140" customFormat="1">
      <c r="G709" s="77"/>
    </row>
    <row r="710" spans="7:7" s="140" customFormat="1">
      <c r="G710" s="77"/>
    </row>
    <row r="711" spans="7:7" s="140" customFormat="1">
      <c r="G711" s="77"/>
    </row>
    <row r="712" spans="7:7" s="140" customFormat="1">
      <c r="G712" s="77"/>
    </row>
    <row r="713" spans="7:7" s="140" customFormat="1">
      <c r="G713" s="77"/>
    </row>
    <row r="714" spans="7:7" s="140" customFormat="1">
      <c r="G714" s="77"/>
    </row>
    <row r="715" spans="7:7" s="140" customFormat="1">
      <c r="G715" s="77"/>
    </row>
    <row r="716" spans="7:7" s="140" customFormat="1">
      <c r="G716" s="77"/>
    </row>
    <row r="717" spans="7:7" s="140" customFormat="1">
      <c r="G717" s="77"/>
    </row>
    <row r="718" spans="7:7" s="140" customFormat="1">
      <c r="G718" s="77"/>
    </row>
    <row r="719" spans="7:7" s="140" customFormat="1">
      <c r="G719" s="77"/>
    </row>
    <row r="720" spans="7:7" s="140" customFormat="1">
      <c r="G720" s="77"/>
    </row>
    <row r="721" spans="7:7" s="140" customFormat="1">
      <c r="G721" s="77"/>
    </row>
    <row r="722" spans="7:7" s="140" customFormat="1">
      <c r="G722" s="77"/>
    </row>
    <row r="723" spans="7:7" s="140" customFormat="1">
      <c r="G723" s="77"/>
    </row>
    <row r="724" spans="7:7" s="140" customFormat="1">
      <c r="G724" s="77"/>
    </row>
    <row r="725" spans="7:7" s="140" customFormat="1">
      <c r="G725" s="77"/>
    </row>
    <row r="726" spans="7:7" s="140" customFormat="1">
      <c r="G726" s="77"/>
    </row>
    <row r="727" spans="7:7" s="140" customFormat="1">
      <c r="G727" s="77"/>
    </row>
    <row r="728" spans="7:7" s="140" customFormat="1">
      <c r="G728" s="77"/>
    </row>
    <row r="729" spans="7:7" s="140" customFormat="1">
      <c r="G729" s="77"/>
    </row>
    <row r="730" spans="7:7" s="140" customFormat="1">
      <c r="G730" s="77"/>
    </row>
    <row r="731" spans="7:7" s="140" customFormat="1">
      <c r="G731" s="77"/>
    </row>
    <row r="732" spans="7:7" s="140" customFormat="1">
      <c r="G732" s="77"/>
    </row>
    <row r="733" spans="7:7" s="140" customFormat="1">
      <c r="G733" s="77"/>
    </row>
    <row r="734" spans="7:7" s="140" customFormat="1">
      <c r="G734" s="77"/>
    </row>
    <row r="735" spans="7:7" s="140" customFormat="1">
      <c r="G735" s="77"/>
    </row>
    <row r="736" spans="7:7" s="140" customFormat="1">
      <c r="G736" s="77"/>
    </row>
    <row r="737" spans="7:7" s="140" customFormat="1">
      <c r="G737" s="77"/>
    </row>
    <row r="738" spans="7:7" s="140" customFormat="1">
      <c r="G738" s="77"/>
    </row>
    <row r="739" spans="7:7" s="140" customFormat="1">
      <c r="G739" s="77"/>
    </row>
    <row r="740" spans="7:7" s="140" customFormat="1">
      <c r="G740" s="77"/>
    </row>
    <row r="741" spans="7:7" s="140" customFormat="1">
      <c r="G741" s="77"/>
    </row>
    <row r="742" spans="7:7" s="140" customFormat="1">
      <c r="G742" s="77"/>
    </row>
    <row r="743" spans="7:7" s="140" customFormat="1">
      <c r="G743" s="77"/>
    </row>
    <row r="744" spans="7:7" s="140" customFormat="1">
      <c r="G744" s="77"/>
    </row>
    <row r="745" spans="7:7" s="140" customFormat="1">
      <c r="G745" s="77"/>
    </row>
    <row r="746" spans="7:7" s="140" customFormat="1">
      <c r="G746" s="77"/>
    </row>
    <row r="747" spans="7:7" s="140" customFormat="1">
      <c r="G747" s="77"/>
    </row>
    <row r="748" spans="7:7" s="140" customFormat="1">
      <c r="G748" s="77"/>
    </row>
    <row r="749" spans="7:7" s="140" customFormat="1">
      <c r="G749" s="77"/>
    </row>
    <row r="750" spans="7:7" s="140" customFormat="1">
      <c r="G750" s="77"/>
    </row>
    <row r="751" spans="7:7" s="140" customFormat="1">
      <c r="G751" s="77"/>
    </row>
    <row r="752" spans="7:7" s="140" customFormat="1">
      <c r="G752" s="77"/>
    </row>
  </sheetData>
  <mergeCells count="24">
    <mergeCell ref="C29:C31"/>
    <mergeCell ref="C32:C34"/>
    <mergeCell ref="C35:C37"/>
    <mergeCell ref="C11:C13"/>
    <mergeCell ref="C14:C16"/>
    <mergeCell ref="C17:C19"/>
    <mergeCell ref="C20:C22"/>
    <mergeCell ref="C26:C28"/>
    <mergeCell ref="A2:L2"/>
    <mergeCell ref="A3:L3"/>
    <mergeCell ref="C38:C40"/>
    <mergeCell ref="A8:A22"/>
    <mergeCell ref="A26:A40"/>
    <mergeCell ref="B8:B10"/>
    <mergeCell ref="B11:B13"/>
    <mergeCell ref="B14:B16"/>
    <mergeCell ref="B17:B19"/>
    <mergeCell ref="B20:B22"/>
    <mergeCell ref="B26:B28"/>
    <mergeCell ref="B29:B31"/>
    <mergeCell ref="B32:B34"/>
    <mergeCell ref="B35:B37"/>
    <mergeCell ref="B38:B40"/>
    <mergeCell ref="C8:C10"/>
  </mergeCells>
  <pageMargins left="0.31496062992125984" right="0.70866141732283472" top="0.15748031496062992" bottom="0.15748031496062992" header="0.15748031496062992" footer="0.19685039370078741"/>
  <pageSetup paperSize="5" scale="75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2:D10"/>
  <sheetViews>
    <sheetView workbookViewId="0">
      <selection activeCell="D19" sqref="D19"/>
    </sheetView>
  </sheetViews>
  <sheetFormatPr baseColWidth="10" defaultRowHeight="15"/>
  <sheetData>
    <row r="2" spans="1:4">
      <c r="A2" s="3184" t="s">
        <v>307</v>
      </c>
      <c r="B2" s="3184"/>
      <c r="C2" s="3184"/>
      <c r="D2" s="3184"/>
    </row>
    <row r="3" spans="1:4">
      <c r="A3" s="3184" t="s">
        <v>308</v>
      </c>
      <c r="B3" s="3184"/>
      <c r="C3" s="3184"/>
      <c r="D3" s="3184"/>
    </row>
    <row r="5" spans="1:4">
      <c r="B5" s="89" t="s">
        <v>309</v>
      </c>
      <c r="C5" s="34">
        <v>148</v>
      </c>
    </row>
    <row r="6" spans="1:4">
      <c r="B6" s="89" t="s">
        <v>310</v>
      </c>
      <c r="C6" s="34">
        <v>82</v>
      </c>
    </row>
    <row r="7" spans="1:4">
      <c r="B7" s="89" t="s">
        <v>311</v>
      </c>
      <c r="C7" s="34">
        <v>41</v>
      </c>
    </row>
    <row r="8" spans="1:4">
      <c r="B8" s="89" t="s">
        <v>312</v>
      </c>
      <c r="C8" s="34">
        <v>66</v>
      </c>
    </row>
    <row r="9" spans="1:4" ht="15.75" thickBot="1">
      <c r="B9" s="90" t="s">
        <v>313</v>
      </c>
      <c r="C9" s="90">
        <v>337</v>
      </c>
    </row>
    <row r="10" spans="1:4" ht="15.75" thickTop="1"/>
  </sheetData>
  <mergeCells count="2"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 LTP-PEP</vt:lpstr>
      <vt:lpstr>Pelagicos LTP </vt:lpstr>
      <vt:lpstr>Demersales LTP </vt:lpstr>
      <vt:lpstr>DATOS BIO BIO EXCESOS</vt:lpstr>
      <vt:lpstr>Crustaceos  LTP</vt:lpstr>
      <vt:lpstr>ORP-PS</vt:lpstr>
      <vt:lpstr>Cuotas Regionales Crustaceos</vt:lpstr>
      <vt:lpstr>Cuotas Licitadas  </vt:lpstr>
      <vt:lpstr>Pesca de Investigación</vt:lpstr>
      <vt:lpstr>Cuota Bacalao XV-47° L.S</vt:lpstr>
      <vt:lpstr>Cuota Jibia</vt:lpstr>
      <vt:lpstr>Cuotas Fuera UP </vt:lpstr>
      <vt:lpstr>Cuota Rayas</vt:lpstr>
      <vt:lpstr>CUANTIFICACIÓN CUOTAS IND-ART</vt:lpstr>
    </vt:vector>
  </TitlesOfParts>
  <Company>sernapesca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dcatalan</dc:creator>
  <cp:lastModifiedBy>rgarcia</cp:lastModifiedBy>
  <cp:lastPrinted>2016-07-19T17:12:00Z</cp:lastPrinted>
  <dcterms:created xsi:type="dcterms:W3CDTF">2013-07-18T15:01:42Z</dcterms:created>
  <dcterms:modified xsi:type="dcterms:W3CDTF">2017-06-19T22:13:57Z</dcterms:modified>
</cp:coreProperties>
</file>