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EBB34D8A-F8AB-CC48-9EF5-23692C8A36BD}" xr6:coauthVersionLast="47" xr6:coauthVersionMax="47" xr10:uidLastSave="{00000000-0000-0000-0000-000000000000}"/>
  <bookViews>
    <workbookView xWindow="0" yWindow="700" windowWidth="27040" windowHeight="15840" activeTab="7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4">#REF!</definedName>
    <definedName name="CONC">#REF!</definedName>
    <definedName name="conc1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K71" i="9" l="1"/>
  <c r="K72" i="9"/>
  <c r="K73" i="9"/>
  <c r="K74" i="9"/>
  <c r="K75" i="9"/>
  <c r="K76" i="9"/>
  <c r="K77" i="9"/>
  <c r="K78" i="9"/>
  <c r="K79" i="9"/>
  <c r="K80" i="9"/>
  <c r="K70" i="9"/>
  <c r="C4" i="9"/>
  <c r="M78" i="9"/>
  <c r="M76" i="9"/>
  <c r="M72" i="9"/>
  <c r="M71" i="9"/>
  <c r="M70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24" i="9"/>
  <c r="AD24" i="9" s="1"/>
  <c r="AE23" i="9"/>
  <c r="AD23" i="9" s="1"/>
  <c r="AE22" i="9"/>
  <c r="AE41" i="9" s="1"/>
  <c r="AE21" i="9"/>
  <c r="AD21" i="9" s="1"/>
  <c r="AE14" i="9"/>
  <c r="AD14" i="9" s="1"/>
  <c r="AE13" i="9"/>
  <c r="AD13" i="9" s="1"/>
  <c r="AE12" i="9"/>
  <c r="AD12" i="9" s="1"/>
  <c r="AE11" i="9"/>
  <c r="AD11" i="9" s="1"/>
  <c r="AE9" i="9"/>
  <c r="AD9" i="9" s="1"/>
  <c r="AD15" i="9"/>
  <c r="AE7" i="9"/>
  <c r="AD7" i="9" s="1"/>
  <c r="AE8" i="9"/>
  <c r="AD8" i="9" s="1"/>
  <c r="AE10" i="9"/>
  <c r="E93" i="9" s="1"/>
  <c r="AE15" i="9"/>
  <c r="AE16" i="9"/>
  <c r="AD16" i="9" s="1"/>
  <c r="AE17" i="9"/>
  <c r="AD17" i="9" s="1"/>
  <c r="AE18" i="9"/>
  <c r="AD18" i="9" s="1"/>
  <c r="AE19" i="9"/>
  <c r="AD19" i="9" s="1"/>
  <c r="AE20" i="9"/>
  <c r="AD20" i="9" s="1"/>
  <c r="AE25" i="9"/>
  <c r="AE35" i="9" s="1"/>
  <c r="AE26" i="9"/>
  <c r="AD26" i="9" s="1"/>
  <c r="AE27" i="9"/>
  <c r="AD27" i="9" s="1"/>
  <c r="AE28" i="9"/>
  <c r="AD28" i="9" s="1"/>
  <c r="AE6" i="9"/>
  <c r="AI6" i="9" s="1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25" i="9" l="1"/>
  <c r="AD35" i="9" s="1"/>
  <c r="E94" i="9"/>
  <c r="AD10" i="9"/>
  <c r="AD6" i="9"/>
  <c r="AD22" i="9"/>
  <c r="AD41" i="9" s="1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M77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34" i="9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E36" i="9"/>
  <c r="J5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I5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P57" i="9" l="1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D36" i="9"/>
  <c r="E37" i="9" s="1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s="1"/>
  <c r="L72" i="9" s="1"/>
  <c r="N72" i="9" s="1"/>
  <c r="P72" i="9" s="1"/>
  <c r="I70" i="9" l="1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O57" i="9"/>
  <c r="P58" i="9" s="1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H20" i="5" s="1"/>
  <c r="N124" i="6"/>
  <c r="Q123" i="6"/>
  <c r="O123" i="6"/>
  <c r="N123" i="6"/>
  <c r="Q122" i="6"/>
  <c r="O122" i="6"/>
  <c r="H16" i="5" s="1"/>
  <c r="N122" i="6"/>
  <c r="G16" i="5" s="1"/>
  <c r="Q121" i="6"/>
  <c r="O121" i="6"/>
  <c r="N121" i="6"/>
  <c r="Q120" i="6"/>
  <c r="O120" i="6"/>
  <c r="H19" i="5" s="1"/>
  <c r="N120" i="6"/>
  <c r="G19" i="5" s="1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H18" i="5" s="1"/>
  <c r="N105" i="6"/>
  <c r="P105" i="6" s="1"/>
  <c r="Q104" i="6"/>
  <c r="O104" i="6"/>
  <c r="N104" i="6"/>
  <c r="Q103" i="6"/>
  <c r="O103" i="6"/>
  <c r="N11" i="5" s="1"/>
  <c r="N103" i="6"/>
  <c r="Q102" i="6"/>
  <c r="O102" i="6"/>
  <c r="N102" i="6"/>
  <c r="Q101" i="6"/>
  <c r="O101" i="6"/>
  <c r="N12" i="5" s="1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H17" i="5" s="1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10" i="5" s="1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16" i="5" s="1"/>
  <c r="N75" i="6"/>
  <c r="Q74" i="6"/>
  <c r="O74" i="6"/>
  <c r="N74" i="6"/>
  <c r="Q73" i="6"/>
  <c r="O73" i="6"/>
  <c r="N73" i="6"/>
  <c r="Q72" i="6"/>
  <c r="O72" i="6"/>
  <c r="N72" i="6"/>
  <c r="Q71" i="6"/>
  <c r="O71" i="6"/>
  <c r="H10" i="5" s="1"/>
  <c r="N71" i="6"/>
  <c r="G10" i="5" s="1"/>
  <c r="Q70" i="6"/>
  <c r="O70" i="6"/>
  <c r="N70" i="6"/>
  <c r="Q69" i="6"/>
  <c r="O69" i="6"/>
  <c r="Q68" i="6"/>
  <c r="O68" i="6"/>
  <c r="N13" i="5" s="1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M16" i="5"/>
  <c r="M17" i="5" s="1"/>
  <c r="I11" i="5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J60" i="3" s="1"/>
  <c r="K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F22" i="1"/>
  <c r="D22" i="1"/>
  <c r="G22" i="1" s="1"/>
  <c r="C22" i="1"/>
  <c r="F21" i="1"/>
  <c r="D21" i="1"/>
  <c r="G21" i="1" s="1"/>
  <c r="C21" i="1"/>
  <c r="F20" i="1"/>
  <c r="D20" i="1"/>
  <c r="G20" i="1" s="1"/>
  <c r="C20" i="1"/>
  <c r="G19" i="1"/>
  <c r="F19" i="1"/>
  <c r="D19" i="1"/>
  <c r="E19" i="1" s="1"/>
  <c r="C19" i="1"/>
  <c r="F18" i="1"/>
  <c r="D18" i="1"/>
  <c r="E18" i="1" s="1"/>
  <c r="C18" i="1"/>
  <c r="F17" i="1"/>
  <c r="D17" i="1"/>
  <c r="G17" i="1" s="1"/>
  <c r="C17" i="1"/>
  <c r="G16" i="1"/>
  <c r="F16" i="1"/>
  <c r="D16" i="1"/>
  <c r="E16" i="1" s="1"/>
  <c r="F15" i="1"/>
  <c r="D15" i="1"/>
  <c r="G15" i="1" s="1"/>
  <c r="G14" i="1"/>
  <c r="F14" i="1"/>
  <c r="E14" i="1"/>
  <c r="D14" i="1"/>
  <c r="C14" i="1"/>
  <c r="F13" i="1"/>
  <c r="D13" i="1"/>
  <c r="G13" i="1" s="1"/>
  <c r="C13" i="1"/>
  <c r="F12" i="1"/>
  <c r="D12" i="1"/>
  <c r="G12" i="1" s="1"/>
  <c r="C12" i="1"/>
  <c r="F11" i="1"/>
  <c r="E11" i="1"/>
  <c r="D11" i="1"/>
  <c r="G11" i="1" s="1"/>
  <c r="C11" i="1"/>
  <c r="F10" i="1"/>
  <c r="D10" i="1"/>
  <c r="G10" i="1" s="1"/>
  <c r="C10" i="1"/>
  <c r="G9" i="1"/>
  <c r="T25" i="2" s="1"/>
  <c r="F9" i="1"/>
  <c r="F67" i="2" s="1"/>
  <c r="D9" i="1"/>
  <c r="D67" i="2" s="1"/>
  <c r="G67" i="2" s="1"/>
  <c r="F8" i="1"/>
  <c r="F62" i="2" s="1"/>
  <c r="K62" i="2" s="1"/>
  <c r="D8" i="1"/>
  <c r="G8" i="1" s="1"/>
  <c r="Q20" i="2" s="1"/>
  <c r="F6" i="1"/>
  <c r="F53" i="2" s="1"/>
  <c r="D6" i="1"/>
  <c r="G6" i="1" s="1"/>
  <c r="N11" i="2" s="1"/>
  <c r="G5" i="1"/>
  <c r="J7" i="2" s="1"/>
  <c r="F5" i="1"/>
  <c r="F49" i="2" s="1"/>
  <c r="K49" i="2" s="1"/>
  <c r="D5" i="1"/>
  <c r="E5" i="1" s="1"/>
  <c r="E49" i="2" s="1"/>
  <c r="J49" i="2" s="1"/>
  <c r="P93" i="6" l="1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H14" i="5"/>
  <c r="I10" i="5"/>
  <c r="I14" i="5" s="1"/>
  <c r="M12" i="7"/>
  <c r="M19" i="7"/>
  <c r="N19" i="7"/>
  <c r="J7" i="7"/>
  <c r="J9" i="7"/>
  <c r="M9" i="7" s="1"/>
  <c r="J28" i="7"/>
  <c r="N28" i="7" s="1"/>
  <c r="O16" i="5"/>
  <c r="K9" i="7"/>
  <c r="J17" i="7"/>
  <c r="M17" i="7" s="1"/>
  <c r="J10" i="7"/>
  <c r="M10" i="7" s="1"/>
  <c r="K23" i="7"/>
  <c r="N23" i="7" s="1"/>
  <c r="N27" i="7"/>
  <c r="E21" i="1"/>
  <c r="K24" i="7"/>
  <c r="E17" i="1"/>
  <c r="J24" i="7"/>
  <c r="P125" i="6"/>
  <c r="P114" i="6"/>
  <c r="P107" i="6"/>
  <c r="P104" i="6"/>
  <c r="P116" i="6"/>
  <c r="P102" i="6"/>
  <c r="P103" i="6"/>
  <c r="P112" i="6"/>
  <c r="G20" i="5"/>
  <c r="I20" i="5" s="1"/>
  <c r="P113" i="6"/>
  <c r="I19" i="5"/>
  <c r="G14" i="5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6" i="1"/>
  <c r="E53" i="2" s="1"/>
  <c r="J53" i="2" s="1"/>
  <c r="E8" i="1"/>
  <c r="E13" i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E10" i="1"/>
  <c r="E15" i="1"/>
  <c r="G18" i="1"/>
  <c r="E20" i="1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M12" i="5"/>
  <c r="O12" i="5" s="1"/>
  <c r="D7" i="1"/>
  <c r="E12" i="1"/>
  <c r="E22" i="1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G17" i="5"/>
  <c r="I17" i="5" s="1"/>
  <c r="P126" i="6"/>
  <c r="M81" i="2"/>
  <c r="J108" i="2" s="1"/>
  <c r="R54" i="2"/>
  <c r="T54" i="2" s="1"/>
  <c r="E9" i="1"/>
  <c r="E67" i="2" s="1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I16" i="5"/>
  <c r="P87" i="6"/>
  <c r="M10" i="5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N17" i="5"/>
  <c r="O17" i="5" s="1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D36" i="5"/>
  <c r="M7" i="7"/>
  <c r="G18" i="5"/>
  <c r="I18" i="5" s="1"/>
  <c r="I21" i="5" s="1"/>
  <c r="M13" i="5"/>
  <c r="O13" i="5" s="1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F7" i="1"/>
  <c r="K56" i="2"/>
  <c r="O10" i="5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7" i="1"/>
  <c r="E56" i="2" s="1"/>
  <c r="J56" i="2" s="1"/>
  <c r="G7" i="1"/>
  <c r="M14" i="2" s="1"/>
  <c r="W3" i="2" s="1" a="1"/>
  <c r="G21" i="5" l="1"/>
  <c r="H21" i="5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B45" i="2" s="1" a="1"/>
  <c r="AB45" i="2" s="1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M11" i="5"/>
  <c r="S52" i="2" l="1"/>
  <c r="V52" i="2" s="1"/>
  <c r="N79" i="2"/>
  <c r="K106" i="2" s="1"/>
  <c r="O11" i="5"/>
  <c r="M14" i="5"/>
  <c r="N14" i="5" s="1"/>
  <c r="O14" i="5" l="1"/>
  <c r="J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cPuU94NggqODqq2QBB3hsdE1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ID#AAAAkqiZkt4
Marco Arru    (2022-12-01 22:37:35)
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<sst xmlns="http://schemas.openxmlformats.org/spreadsheetml/2006/main" count="601" uniqueCount="289">
  <si>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</si>
  <si>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</si>
  <si>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</si>
  <si>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</si>
  <si>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</si>
  <si>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</si>
  <si>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</si>
  <si>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</si>
  <si>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</si>
  <si>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</si>
  <si>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</si>
  <si>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</si>
  <si>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</si>
  <si>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</si>
  <si>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</si>
  <si>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</si>
  <si>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</si>
  <si>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</si>
  <si>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</si>
  <si>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</si>
  <si>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</si>
  <si>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</si>
  <si>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</si>
  <si>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</si>
  <si>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</si>
  <si>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</si>
  <si>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</si>
  <si>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</si>
  <si>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</si>
  <si>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</si>
  <si>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</si>
  <si>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</si>
  <si>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</si>
  <si>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</si>
  <si>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</si>
  <si>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</si>
  <si>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</si>
  <si>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</si>
  <si>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</si>
  <si>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</si>
  <si>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</si>
  <si>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</si>
  <si>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</si>
  <si>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</si>
  <si>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</si>
  <si>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</si>
  <si>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</si>
  <si>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</si>
  <si>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</si>
  <si>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</si>
  <si>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</si>
  <si>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</si>
  <si>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</si>
  <si>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</si>
  <si>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</si>
  <si>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</si>
  <si>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</si>
  <si>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</si>
  <si>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</si>
  <si>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</si>
  <si>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</si>
  <si>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</si>
  <si>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</si>
  <si>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</si>
  <si>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</si>
  <si>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</si>
  <si>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</si>
  <si>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</si>
  <si>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</si>
  <si>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</si>
  <si>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</si>
  <si>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</si>
  <si>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</si>
  <si>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</si>
  <si>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</si>
  <si>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</si>
  <si>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</si>
  <si>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</si>
  <si>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</si>
  <si>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</si>
  <si>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</si>
  <si>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</si>
  <si>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</si>
  <si>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</si>
  <si>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</si>
  <si>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</si>
  <si>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</si>
  <si>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</si>
  <si>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</si>
  <si>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</si>
  <si>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</si>
  <si>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</si>
  <si>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</si>
  <si>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</si>
  <si>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</si>
  <si>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</si>
  <si>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</si>
  <si>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</si>
  <si>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</si>
  <si>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</si>
  <si>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</si>
  <si>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</si>
  <si>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</si>
  <si>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</si>
  <si>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</si>
  <si>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</si>
  <si>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</si>
  <si>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</si>
  <si>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</si>
  <si>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</si>
  <si>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</si>
  <si>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</si>
  <si>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</si>
  <si>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</si>
  <si>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</si>
  <si>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</si>
  <si>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</si>
  <si>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</si>
  <si>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</si>
  <si>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</si>
  <si>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</si>
  <si>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</si>
  <si>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</si>
  <si>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</si>
  <si>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</si>
  <si>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</si>
  <si>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</si>
  <si>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</si>
  <si>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</si>
  <si>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</si>
  <si>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</si>
  <si>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</si>
  <si>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</si>
  <si>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</si>
  <si>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</si>
  <si>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</si>
  <si>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</si>
  <si>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</si>
  <si>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</si>
  <si>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</si>
  <si>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</si>
  <si>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</si>
  <si>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</si>
  <si>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</si>
  <si>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</si>
  <si>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</si>
  <si>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</si>
  <si>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</si>
  <si>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</si>
  <si>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</si>
  <si>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</si>
  <si>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</si>
  <si>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</si>
  <si>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</si>
  <si>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</si>
  <si>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</si>
  <si>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</si>
  <si>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</si>
  <si>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</si>
  <si>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</si>
  <si>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</si>
  <si>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</si>
  <si>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</si>
  <si>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</si>
  <si>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</si>
  <si>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</si>
  <si>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</si>
  <si>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</si>
  <si>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</si>
  <si>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</si>
  <si>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</si>
  <si>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</si>
  <si>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</si>
  <si>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</si>
  <si>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</si>
  <si>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</si>
  <si>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</si>
  <si>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</si>
  <si>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</si>
  <si>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</si>
  <si>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</si>
  <si>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</si>
  <si>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</si>
  <si>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</si>
  <si>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</si>
  <si>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</si>
  <si>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</si>
  <si>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</si>
  <si>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</si>
  <si>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</si>
  <si>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</si>
  <si>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</si>
  <si>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</si>
  <si>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</si>
  <si>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</si>
  <si>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</si>
  <si>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</si>
  <si>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</si>
  <si>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</si>
  <si>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</si>
  <si>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</si>
  <si>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</si>
  <si>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</si>
  <si>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</si>
  <si>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</si>
  <si>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</si>
  <si>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</si>
  <si>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</si>
  <si>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</si>
  <si>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</si>
  <si>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</si>
  <si>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</si>
  <si>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</si>
  <si>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</si>
  <si>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</si>
  <si>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</si>
  <si>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</si>
  <si>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</si>
  <si>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</si>
  <si>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</si>
  <si>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</si>
  <si>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</si>
  <si>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</si>
  <si>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</si>
  <si>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</si>
  <si>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</si>
  <si>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</si>
  <si>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</si>
  <si>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</si>
  <si>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</si>
  <si>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</si>
  <si>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</si>
  <si>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</si>
  <si>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</si>
  <si>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</si>
  <si>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</si>
  <si>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</si>
  <si>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</si>
  <si>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</si>
  <si>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</si>
  <si>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</si>
  <si>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</si>
  <si>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</si>
  <si>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</si>
  <si>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</si>
  <si>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</si>
  <si>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</si>
  <si>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</si>
  <si>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</si>
  <si>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</si>
  <si>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</si>
  <si>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</si>
  <si>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</si>
  <si>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</si>
  <si>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</si>
  <si>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</si>
  <si>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</si>
  <si>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</si>
  <si>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</si>
  <si>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</si>
  <si>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</si>
  <si>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</si>
  <si>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</si>
  <si>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</si>
  <si>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</si>
  <si>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</si>
  <si>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</si>
  <si>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</si>
  <si>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</si>
  <si>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</si>
  <si>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</si>
  <si>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</si>
  <si>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</si>
  <si>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</si>
  <si>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</si>
  <si>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</si>
  <si>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</si>
  <si>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</si>
  <si>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</si>
  <si>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</si>
  <si>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Nombres</t>
  </si>
  <si>
    <t>FeT</t>
  </si>
  <si>
    <t>Datos</t>
  </si>
  <si>
    <t>TMS Ajustados</t>
  </si>
  <si>
    <t>TMH Entrada</t>
  </si>
  <si>
    <t>TMH Ajustados</t>
  </si>
  <si>
    <t>ar-seco</t>
  </si>
  <si>
    <t>am-humedo</t>
  </si>
  <si>
    <t>ao-humedad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</si>
</sst>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41" fillId="0" borderId="0" applyFont="0" applyFill="0" applyBorder="0" applyAlignment="0" applyProtection="0"/>
    <xf numFmtId="0" fontId="40" fillId="0" borderId="77"/>
    <xf numFmtId="174" fontId="40" fillId="0" borderId="77" applyFont="0" applyFill="0" applyBorder="0" applyAlignment="0" applyProtection="0"/>
    <xf numFmtId="9" fontId="40" fillId="0" borderId="77" applyFont="0" applyFill="0" applyBorder="0" applyAlignment="0" applyProtection="0"/>
    <xf numFmtId="0" fontId="40" fillId="0" borderId="77"/>
    <xf numFmtId="9" fontId="40" fillId="0" borderId="77" applyFont="0" applyFill="0" applyBorder="0" applyAlignment="0" applyProtection="0"/>
  </cellStyleXfs>
  <cellXfs count="59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4" borderId="3" xfId="0" applyFont="1" applyFill="1" applyBorder="1" applyAlignment="1">
      <alignment vertical="center"/>
    </xf>
    <xf numFmtId="0" fontId="1" fillId="0" borderId="4" xfId="0" applyFont="1" applyBorder="1"/>
    <xf numFmtId="3" fontId="4" fillId="4" borderId="1" xfId="0" applyNumberFormat="1" applyFont="1" applyFill="1" applyBorder="1"/>
    <xf numFmtId="10" fontId="4" fillId="4" borderId="1" xfId="0" applyNumberFormat="1" applyFont="1" applyFill="1" applyBorder="1"/>
    <xf numFmtId="3" fontId="1" fillId="0" borderId="0" xfId="0" applyNumberFormat="1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7" fillId="0" borderId="0" xfId="0" applyFont="1"/>
    <xf numFmtId="3" fontId="1" fillId="0" borderId="0" xfId="0" applyNumberFormat="1" applyFont="1" applyAlignment="1">
      <alignment horizontal="center"/>
    </xf>
    <xf numFmtId="0" fontId="8" fillId="4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9" borderId="5" xfId="0" applyFont="1" applyFill="1" applyBorder="1"/>
    <xf numFmtId="0" fontId="1" fillId="10" borderId="5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8" fillId="4" borderId="5" xfId="0" applyNumberFormat="1" applyFont="1" applyFill="1" applyBorder="1"/>
    <xf numFmtId="3" fontId="12" fillId="0" borderId="1" xfId="0" applyNumberFormat="1" applyFont="1" applyBorder="1"/>
    <xf numFmtId="10" fontId="12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3" fillId="0" borderId="1" xfId="0" applyNumberFormat="1" applyFont="1" applyBorder="1"/>
    <xf numFmtId="164" fontId="1" fillId="0" borderId="1" xfId="0" applyNumberFormat="1" applyFont="1" applyBorder="1"/>
    <xf numFmtId="0" fontId="14" fillId="2" borderId="1" xfId="0" applyFont="1" applyFill="1" applyBorder="1"/>
    <xf numFmtId="0" fontId="15" fillId="0" borderId="0" xfId="0" applyFont="1"/>
    <xf numFmtId="3" fontId="8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5" xfId="0" applyNumberFormat="1" applyFont="1" applyFill="1" applyBorder="1"/>
    <xf numFmtId="0" fontId="14" fillId="2" borderId="2" xfId="0" applyFont="1" applyFill="1" applyBorder="1"/>
    <xf numFmtId="3" fontId="12" fillId="0" borderId="15" xfId="0" applyNumberFormat="1" applyFont="1" applyBorder="1"/>
    <xf numFmtId="10" fontId="12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164" fontId="1" fillId="0" borderId="15" xfId="0" applyNumberFormat="1" applyFont="1" applyBorder="1"/>
    <xf numFmtId="0" fontId="8" fillId="4" borderId="16" xfId="0" applyFont="1" applyFill="1" applyBorder="1"/>
    <xf numFmtId="3" fontId="12" fillId="0" borderId="17" xfId="0" applyNumberFormat="1" applyFont="1" applyBorder="1"/>
    <xf numFmtId="10" fontId="12" fillId="0" borderId="17" xfId="0" applyNumberFormat="1" applyFont="1" applyBorder="1"/>
    <xf numFmtId="3" fontId="1" fillId="0" borderId="17" xfId="0" applyNumberFormat="1" applyFont="1" applyBorder="1"/>
    <xf numFmtId="10" fontId="1" fillId="0" borderId="17" xfId="0" applyNumberFormat="1" applyFont="1" applyBorder="1"/>
    <xf numFmtId="3" fontId="1" fillId="0" borderId="7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4" fillId="2" borderId="5" xfId="0" applyFont="1" applyFill="1" applyBorder="1"/>
    <xf numFmtId="0" fontId="14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10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left"/>
    </xf>
    <xf numFmtId="0" fontId="19" fillId="12" borderId="1" xfId="0" applyFont="1" applyFill="1" applyBorder="1"/>
    <xf numFmtId="10" fontId="19" fillId="12" borderId="1" xfId="0" applyNumberFormat="1" applyFont="1" applyFill="1" applyBorder="1" applyAlignment="1">
      <alignment horizontal="center"/>
    </xf>
    <xf numFmtId="3" fontId="1" fillId="0" borderId="21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1" fillId="0" borderId="0" xfId="0" applyFont="1"/>
    <xf numFmtId="0" fontId="1" fillId="0" borderId="1" xfId="0" applyFont="1" applyBorder="1" applyAlignment="1">
      <alignment horizontal="left"/>
    </xf>
    <xf numFmtId="3" fontId="20" fillId="0" borderId="1" xfId="0" applyNumberFormat="1" applyFont="1" applyBorder="1"/>
    <xf numFmtId="3" fontId="17" fillId="0" borderId="1" xfId="0" applyNumberFormat="1" applyFont="1" applyBorder="1" applyAlignment="1">
      <alignment horizontal="left"/>
    </xf>
    <xf numFmtId="0" fontId="11" fillId="0" borderId="8" xfId="0" applyFont="1" applyBorder="1"/>
    <xf numFmtId="0" fontId="10" fillId="0" borderId="9" xfId="0" applyFont="1" applyBorder="1"/>
    <xf numFmtId="0" fontId="10" fillId="0" borderId="8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23" fillId="13" borderId="6" xfId="0" applyFont="1" applyFill="1" applyBorder="1" applyAlignment="1">
      <alignment horizontal="center" vertical="center"/>
    </xf>
    <xf numFmtId="0" fontId="23" fillId="13" borderId="32" xfId="0" applyFont="1" applyFill="1" applyBorder="1" applyAlignment="1">
      <alignment horizontal="center" vertical="center"/>
    </xf>
    <xf numFmtId="0" fontId="23" fillId="0" borderId="7" xfId="0" applyFont="1" applyBorder="1"/>
    <xf numFmtId="0" fontId="23" fillId="0" borderId="20" xfId="0" applyFont="1" applyBorder="1"/>
    <xf numFmtId="0" fontId="23" fillId="13" borderId="33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0" borderId="22" xfId="0" applyFont="1" applyBorder="1"/>
    <xf numFmtId="0" fontId="23" fillId="13" borderId="5" xfId="0" applyFont="1" applyFill="1" applyBorder="1"/>
    <xf numFmtId="14" fontId="23" fillId="13" borderId="5" xfId="0" applyNumberFormat="1" applyFont="1" applyFill="1" applyBorder="1"/>
    <xf numFmtId="0" fontId="23" fillId="0" borderId="21" xfId="0" applyFont="1" applyBorder="1"/>
    <xf numFmtId="0" fontId="25" fillId="0" borderId="0" xfId="0" applyFont="1"/>
    <xf numFmtId="0" fontId="26" fillId="13" borderId="17" xfId="0" applyFont="1" applyFill="1" applyBorder="1" applyAlignment="1">
      <alignment horizontal="center" vertical="center"/>
    </xf>
    <xf numFmtId="0" fontId="26" fillId="13" borderId="18" xfId="0" applyFont="1" applyFill="1" applyBorder="1" applyAlignment="1">
      <alignment horizontal="center" vertical="center"/>
    </xf>
    <xf numFmtId="0" fontId="26" fillId="13" borderId="29" xfId="0" applyFont="1" applyFill="1" applyBorder="1" applyAlignment="1">
      <alignment horizontal="center" vertical="center"/>
    </xf>
    <xf numFmtId="0" fontId="26" fillId="13" borderId="48" xfId="0" applyFont="1" applyFill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0" fontId="25" fillId="0" borderId="1" xfId="0" applyNumberFormat="1" applyFont="1" applyBorder="1" applyAlignment="1">
      <alignment horizontal="center" vertical="center"/>
    </xf>
    <xf numFmtId="166" fontId="25" fillId="13" borderId="14" xfId="0" applyNumberFormat="1" applyFont="1" applyFill="1" applyBorder="1" applyAlignment="1">
      <alignment horizontal="center" vertical="center"/>
    </xf>
    <xf numFmtId="166" fontId="25" fillId="0" borderId="17" xfId="0" applyNumberFormat="1" applyFont="1" applyBorder="1" applyAlignment="1">
      <alignment horizontal="center" vertical="center"/>
    </xf>
    <xf numFmtId="10" fontId="25" fillId="0" borderId="17" xfId="0" applyNumberFormat="1" applyFont="1" applyBorder="1" applyAlignment="1">
      <alignment horizontal="center" vertical="center"/>
    </xf>
    <xf numFmtId="166" fontId="25" fillId="0" borderId="15" xfId="0" applyNumberFormat="1" applyFont="1" applyBorder="1" applyAlignment="1">
      <alignment horizontal="center" vertical="center"/>
    </xf>
    <xf numFmtId="10" fontId="25" fillId="0" borderId="15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44" xfId="0" applyFont="1" applyBorder="1" applyAlignment="1">
      <alignment horizontal="left" vertical="center"/>
    </xf>
    <xf numFmtId="166" fontId="25" fillId="0" borderId="57" xfId="0" applyNumberFormat="1" applyFont="1" applyBorder="1" applyAlignment="1">
      <alignment horizontal="center" vertical="center"/>
    </xf>
    <xf numFmtId="167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 wrapText="1"/>
    </xf>
    <xf numFmtId="10" fontId="26" fillId="11" borderId="61" xfId="0" applyNumberFormat="1" applyFont="1" applyFill="1" applyBorder="1" applyAlignment="1">
      <alignment horizontal="center" vertical="center" wrapText="1"/>
    </xf>
    <xf numFmtId="168" fontId="23" fillId="0" borderId="0" xfId="0" applyNumberFormat="1" applyFont="1"/>
    <xf numFmtId="0" fontId="25" fillId="0" borderId="2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9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/>
    </xf>
    <xf numFmtId="10" fontId="26" fillId="11" borderId="61" xfId="0" applyNumberFormat="1" applyFont="1" applyFill="1" applyBorder="1" applyAlignment="1">
      <alignment horizontal="center" vertical="center"/>
    </xf>
    <xf numFmtId="166" fontId="26" fillId="11" borderId="64" xfId="0" applyNumberFormat="1" applyFont="1" applyFill="1" applyBorder="1" applyAlignment="1">
      <alignment horizontal="center" vertical="center"/>
    </xf>
    <xf numFmtId="0" fontId="28" fillId="0" borderId="0" xfId="0" applyFont="1"/>
    <xf numFmtId="0" fontId="6" fillId="0" borderId="0" xfId="0" applyFont="1"/>
    <xf numFmtId="170" fontId="29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6" fontId="30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166" fontId="27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15" borderId="61" xfId="0" applyFont="1" applyFill="1" applyBorder="1" applyAlignment="1">
      <alignment horizontal="center" vertical="center"/>
    </xf>
    <xf numFmtId="0" fontId="27" fillId="15" borderId="64" xfId="0" applyFont="1" applyFill="1" applyBorder="1" applyAlignment="1">
      <alignment horizontal="center" vertical="center"/>
    </xf>
    <xf numFmtId="0" fontId="27" fillId="15" borderId="65" xfId="0" applyFont="1" applyFill="1" applyBorder="1" applyAlignment="1">
      <alignment horizontal="center" vertical="center"/>
    </xf>
    <xf numFmtId="0" fontId="27" fillId="15" borderId="66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3" fillId="0" borderId="22" xfId="0" applyNumberFormat="1" applyFont="1" applyBorder="1"/>
    <xf numFmtId="166" fontId="25" fillId="0" borderId="67" xfId="0" applyNumberFormat="1" applyFont="1" applyBorder="1" applyAlignment="1">
      <alignment horizontal="center" vertical="center"/>
    </xf>
    <xf numFmtId="10" fontId="25" fillId="0" borderId="68" xfId="0" applyNumberFormat="1" applyFont="1" applyBorder="1" applyAlignment="1">
      <alignment horizontal="center" vertical="center"/>
    </xf>
    <xf numFmtId="166" fontId="25" fillId="13" borderId="69" xfId="0" applyNumberFormat="1" applyFont="1" applyFill="1" applyBorder="1" applyAlignment="1">
      <alignment horizontal="center" vertical="center"/>
    </xf>
    <xf numFmtId="166" fontId="25" fillId="0" borderId="13" xfId="0" applyNumberFormat="1" applyFont="1" applyBorder="1" applyAlignment="1">
      <alignment horizontal="center" vertical="center"/>
    </xf>
    <xf numFmtId="166" fontId="25" fillId="6" borderId="70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71" fontId="23" fillId="0" borderId="0" xfId="0" applyNumberFormat="1" applyFont="1"/>
    <xf numFmtId="0" fontId="25" fillId="0" borderId="52" xfId="0" applyFont="1" applyBorder="1" applyAlignment="1">
      <alignment vertical="center"/>
    </xf>
    <xf numFmtId="166" fontId="25" fillId="13" borderId="3" xfId="0" applyNumberFormat="1" applyFont="1" applyFill="1" applyBorder="1" applyAlignment="1">
      <alignment horizontal="center" vertical="center"/>
    </xf>
    <xf numFmtId="166" fontId="25" fillId="6" borderId="14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166" fontId="25" fillId="0" borderId="40" xfId="0" applyNumberFormat="1" applyFont="1" applyBorder="1" applyAlignment="1">
      <alignment horizontal="center" vertical="center"/>
    </xf>
    <xf numFmtId="166" fontId="25" fillId="0" borderId="71" xfId="0" applyNumberFormat="1" applyFont="1" applyBorder="1" applyAlignment="1">
      <alignment horizontal="center" vertical="center"/>
    </xf>
    <xf numFmtId="166" fontId="25" fillId="6" borderId="72" xfId="0" applyNumberFormat="1" applyFont="1" applyFill="1" applyBorder="1" applyAlignment="1">
      <alignment horizontal="center" vertical="center"/>
    </xf>
    <xf numFmtId="166" fontId="25" fillId="0" borderId="29" xfId="0" applyNumberFormat="1" applyFont="1" applyBorder="1" applyAlignment="1">
      <alignment horizontal="center" vertical="center"/>
    </xf>
    <xf numFmtId="10" fontId="25" fillId="0" borderId="29" xfId="0" applyNumberFormat="1" applyFont="1" applyBorder="1" applyAlignment="1">
      <alignment horizontal="center" vertical="center"/>
    </xf>
    <xf numFmtId="166" fontId="25" fillId="13" borderId="73" xfId="0" applyNumberFormat="1" applyFont="1" applyFill="1" applyBorder="1" applyAlignment="1">
      <alignment horizontal="center" vertical="center"/>
    </xf>
    <xf numFmtId="166" fontId="26" fillId="11" borderId="74" xfId="0" applyNumberFormat="1" applyFont="1" applyFill="1" applyBorder="1" applyAlignment="1">
      <alignment horizontal="center" vertical="center"/>
    </xf>
    <xf numFmtId="166" fontId="26" fillId="11" borderId="30" xfId="0" applyNumberFormat="1" applyFont="1" applyFill="1" applyBorder="1" applyAlignment="1">
      <alignment horizontal="center" vertical="center"/>
    </xf>
    <xf numFmtId="0" fontId="23" fillId="0" borderId="59" xfId="0" applyFont="1" applyBorder="1"/>
    <xf numFmtId="3" fontId="32" fillId="0" borderId="0" xfId="0" applyNumberFormat="1" applyFont="1" applyAlignment="1">
      <alignment horizontal="right" vertical="center"/>
    </xf>
    <xf numFmtId="3" fontId="32" fillId="0" borderId="0" xfId="0" applyNumberFormat="1" applyFont="1" applyAlignment="1">
      <alignment horizontal="right"/>
    </xf>
    <xf numFmtId="172" fontId="32" fillId="0" borderId="0" xfId="0" applyNumberFormat="1" applyFont="1" applyAlignment="1">
      <alignment horizontal="center" vertical="center"/>
    </xf>
    <xf numFmtId="9" fontId="32" fillId="12" borderId="5" xfId="0" applyNumberFormat="1" applyFont="1" applyFill="1" applyBorder="1" applyAlignment="1">
      <alignment horizontal="center"/>
    </xf>
    <xf numFmtId="0" fontId="32" fillId="12" borderId="5" xfId="0" applyFont="1" applyFill="1" applyBorder="1" applyAlignment="1">
      <alignment horizontal="center"/>
    </xf>
    <xf numFmtId="9" fontId="23" fillId="12" borderId="5" xfId="0" applyNumberFormat="1" applyFont="1" applyFill="1" applyBorder="1" applyAlignment="1">
      <alignment horizontal="center"/>
    </xf>
    <xf numFmtId="2" fontId="23" fillId="12" borderId="5" xfId="0" applyNumberFormat="1" applyFont="1" applyFill="1" applyBorder="1" applyAlignment="1">
      <alignment horizontal="center"/>
    </xf>
    <xf numFmtId="166" fontId="23" fillId="12" borderId="5" xfId="0" applyNumberFormat="1" applyFont="1" applyFill="1" applyBorder="1" applyAlignment="1">
      <alignment horizontal="center"/>
    </xf>
    <xf numFmtId="168" fontId="23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23" xfId="0" applyFont="1" applyBorder="1"/>
    <xf numFmtId="0" fontId="23" fillId="0" borderId="24" xfId="0" applyFont="1" applyBorder="1"/>
    <xf numFmtId="0" fontId="23" fillId="0" borderId="25" xfId="0" applyFont="1" applyBorder="1"/>
    <xf numFmtId="10" fontId="23" fillId="0" borderId="0" xfId="0" applyNumberFormat="1" applyFont="1"/>
    <xf numFmtId="0" fontId="35" fillId="0" borderId="0" xfId="0" applyFont="1"/>
    <xf numFmtId="10" fontId="1" fillId="12" borderId="5" xfId="0" applyNumberFormat="1" applyFont="1" applyFill="1" applyBorder="1"/>
    <xf numFmtId="0" fontId="35" fillId="12" borderId="5" xfId="0" applyFont="1" applyFill="1" applyBorder="1"/>
    <xf numFmtId="0" fontId="36" fillId="12" borderId="5" xfId="0" applyFont="1" applyFill="1" applyBorder="1"/>
    <xf numFmtId="0" fontId="36" fillId="12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0" fontId="35" fillId="12" borderId="5" xfId="0" applyNumberFormat="1" applyFont="1" applyFill="1" applyBorder="1"/>
    <xf numFmtId="0" fontId="1" fillId="12" borderId="5" xfId="0" applyFont="1" applyFill="1" applyBorder="1"/>
    <xf numFmtId="0" fontId="1" fillId="0" borderId="0" xfId="0" applyFont="1" applyAlignment="1">
      <alignment wrapText="1"/>
    </xf>
    <xf numFmtId="0" fontId="1" fillId="12" borderId="5" xfId="0" applyFont="1" applyFill="1" applyBorder="1" applyAlignment="1">
      <alignment horizontal="center"/>
    </xf>
    <xf numFmtId="1" fontId="1" fillId="1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8" fillId="0" borderId="0" xfId="0" applyNumberFormat="1" applyFont="1"/>
    <xf numFmtId="3" fontId="8" fillId="12" borderId="5" xfId="0" applyNumberFormat="1" applyFont="1" applyFill="1" applyBorder="1"/>
    <xf numFmtId="10" fontId="8" fillId="12" borderId="5" xfId="0" applyNumberFormat="1" applyFont="1" applyFill="1" applyBorder="1"/>
    <xf numFmtId="1" fontId="1" fillId="12" borderId="5" xfId="0" applyNumberFormat="1" applyFont="1" applyFill="1" applyBorder="1"/>
    <xf numFmtId="9" fontId="1" fillId="12" borderId="5" xfId="0" applyNumberFormat="1" applyFont="1" applyFill="1" applyBorder="1"/>
    <xf numFmtId="164" fontId="1" fillId="0" borderId="0" xfId="0" applyNumberFormat="1" applyFont="1"/>
    <xf numFmtId="10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5" xfId="0" applyNumberFormat="1" applyFont="1" applyFill="1" applyBorder="1"/>
    <xf numFmtId="3" fontId="35" fillId="12" borderId="5" xfId="0" applyNumberFormat="1" applyFont="1" applyFill="1" applyBorder="1"/>
    <xf numFmtId="164" fontId="35" fillId="12" borderId="5" xfId="0" applyNumberFormat="1" applyFont="1" applyFill="1" applyBorder="1"/>
    <xf numFmtId="3" fontId="37" fillId="12" borderId="5" xfId="0" applyNumberFormat="1" applyFont="1" applyFill="1" applyBorder="1" applyAlignment="1">
      <alignment horizontal="center" vertical="center"/>
    </xf>
    <xf numFmtId="0" fontId="38" fillId="0" borderId="0" xfId="0" applyFont="1"/>
    <xf numFmtId="10" fontId="1" fillId="12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5" fillId="12" borderId="5" xfId="0" applyFont="1" applyFill="1" applyBorder="1" applyAlignment="1">
      <alignment horizontal="center"/>
    </xf>
    <xf numFmtId="0" fontId="1" fillId="0" borderId="38" xfId="0" applyFont="1" applyBorder="1"/>
    <xf numFmtId="0" fontId="10" fillId="0" borderId="4" xfId="0" applyFont="1" applyBorder="1" applyAlignment="1">
      <alignment wrapText="1"/>
    </xf>
    <xf numFmtId="0" fontId="10" fillId="9" borderId="1" xfId="0" applyFont="1" applyFill="1" applyBorder="1"/>
    <xf numFmtId="0" fontId="10" fillId="10" borderId="1" xfId="0" applyFont="1" applyFill="1" applyBorder="1" applyAlignment="1">
      <alignment wrapText="1"/>
    </xf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0" fontId="10" fillId="4" borderId="1" xfId="0" applyNumberFormat="1" applyFont="1" applyFill="1" applyBorder="1"/>
    <xf numFmtId="1" fontId="21" fillId="0" borderId="1" xfId="0" applyNumberFormat="1" applyFont="1" applyBorder="1"/>
    <xf numFmtId="10" fontId="21" fillId="0" borderId="1" xfId="0" applyNumberFormat="1" applyFont="1" applyBorder="1"/>
    <xf numFmtId="164" fontId="20" fillId="0" borderId="1" xfId="0" applyNumberFormat="1" applyFont="1" applyBorder="1"/>
    <xf numFmtId="164" fontId="20" fillId="0" borderId="0" xfId="0" applyNumberFormat="1" applyFont="1"/>
    <xf numFmtId="10" fontId="20" fillId="0" borderId="1" xfId="0" applyNumberFormat="1" applyFont="1" applyBorder="1"/>
    <xf numFmtId="0" fontId="1" fillId="0" borderId="19" xfId="2" applyFont="1" applyBorder="1"/>
    <xf numFmtId="0" fontId="1" fillId="0" borderId="50" xfId="2" applyFont="1" applyBorder="1"/>
    <xf numFmtId="0" fontId="1" fillId="0" borderId="51" xfId="2" applyFont="1" applyBorder="1"/>
    <xf numFmtId="0" fontId="40" fillId="0" borderId="77" xfId="2"/>
    <xf numFmtId="0" fontId="1" fillId="0" borderId="33" xfId="2" applyFont="1" applyBorder="1"/>
    <xf numFmtId="0" fontId="1" fillId="0" borderId="77" xfId="2" applyFont="1"/>
    <xf numFmtId="0" fontId="8" fillId="0" borderId="77" xfId="2" applyFont="1"/>
    <xf numFmtId="0" fontId="8" fillId="0" borderId="82" xfId="2" applyFont="1" applyBorder="1"/>
    <xf numFmtId="174" fontId="8" fillId="0" borderId="82" xfId="3" applyFont="1" applyBorder="1"/>
    <xf numFmtId="0" fontId="1" fillId="0" borderId="22" xfId="2" applyFont="1" applyBorder="1"/>
    <xf numFmtId="0" fontId="1" fillId="18" borderId="33" xfId="2" applyFont="1" applyFill="1" applyBorder="1"/>
    <xf numFmtId="14" fontId="10" fillId="18" borderId="77" xfId="2" applyNumberFormat="1" applyFont="1" applyFill="1"/>
    <xf numFmtId="0" fontId="1" fillId="18" borderId="77" xfId="2" applyFont="1" applyFill="1"/>
    <xf numFmtId="3" fontId="11" fillId="0" borderId="77" xfId="2" applyNumberFormat="1" applyFont="1" applyAlignment="1">
      <alignment horizontal="left"/>
    </xf>
    <xf numFmtId="0" fontId="5" fillId="0" borderId="82" xfId="2" applyFont="1" applyBorder="1" applyAlignment="1">
      <alignment horizontal="center"/>
    </xf>
    <xf numFmtId="3" fontId="11" fillId="0" borderId="77" xfId="2" applyNumberFormat="1" applyFont="1"/>
    <xf numFmtId="0" fontId="42" fillId="0" borderId="77" xfId="2" applyFont="1" applyAlignment="1">
      <alignment horizontal="center"/>
    </xf>
    <xf numFmtId="10" fontId="17" fillId="0" borderId="77" xfId="2" applyNumberFormat="1" applyFont="1" applyAlignment="1">
      <alignment horizontal="left"/>
    </xf>
    <xf numFmtId="3" fontId="16" fillId="0" borderId="82" xfId="2" applyNumberFormat="1" applyFont="1" applyBorder="1" applyAlignment="1">
      <alignment horizontal="center"/>
    </xf>
    <xf numFmtId="10" fontId="17" fillId="0" borderId="77" xfId="2" applyNumberFormat="1" applyFont="1"/>
    <xf numFmtId="0" fontId="42" fillId="0" borderId="82" xfId="2" applyFont="1" applyBorder="1" applyAlignment="1">
      <alignment horizontal="center"/>
    </xf>
    <xf numFmtId="0" fontId="8" fillId="0" borderId="77" xfId="2" applyFont="1" applyAlignment="1">
      <alignment horizontal="center"/>
    </xf>
    <xf numFmtId="3" fontId="18" fillId="0" borderId="77" xfId="2" applyNumberFormat="1" applyFont="1" applyAlignment="1">
      <alignment horizontal="left"/>
    </xf>
    <xf numFmtId="3" fontId="44" fillId="0" borderId="77" xfId="2" applyNumberFormat="1" applyFont="1"/>
    <xf numFmtId="3" fontId="18" fillId="0" borderId="77" xfId="2" applyNumberFormat="1" applyFont="1"/>
    <xf numFmtId="174" fontId="45" fillId="0" borderId="77" xfId="2" applyNumberFormat="1" applyFont="1"/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174" fontId="0" fillId="0" borderId="82" xfId="3" applyFont="1" applyFill="1" applyBorder="1" applyAlignment="1">
      <alignment horizontal="center"/>
    </xf>
    <xf numFmtId="10" fontId="0" fillId="0" borderId="82" xfId="4" applyNumberFormat="1" applyFont="1" applyFill="1" applyBorder="1" applyAlignment="1">
      <alignment horizontal="center"/>
    </xf>
    <xf numFmtId="174" fontId="0" fillId="0" borderId="82" xfId="3" applyFont="1" applyBorder="1" applyAlignment="1">
      <alignment horizontal="center"/>
    </xf>
    <xf numFmtId="10" fontId="0" fillId="19" borderId="82" xfId="4" applyNumberFormat="1" applyFont="1" applyFill="1" applyBorder="1" applyAlignment="1">
      <alignment horizontal="center"/>
    </xf>
    <xf numFmtId="174" fontId="0" fillId="19" borderId="82" xfId="3" applyFont="1" applyFill="1" applyBorder="1" applyAlignment="1">
      <alignment horizontal="center"/>
    </xf>
    <xf numFmtId="0" fontId="40" fillId="0" borderId="82" xfId="2" applyBorder="1"/>
    <xf numFmtId="174" fontId="0" fillId="19" borderId="82" xfId="3" applyFont="1" applyFill="1" applyBorder="1"/>
    <xf numFmtId="174" fontId="0" fillId="0" borderId="82" xfId="3" applyFont="1" applyBorder="1"/>
    <xf numFmtId="3" fontId="11" fillId="0" borderId="77" xfId="2" applyNumberFormat="1" applyFont="1" applyAlignment="1">
      <alignment horizontal="right"/>
    </xf>
    <xf numFmtId="10" fontId="17" fillId="0" borderId="77" xfId="2" applyNumberFormat="1" applyFont="1" applyAlignment="1">
      <alignment horizontal="right"/>
    </xf>
    <xf numFmtId="174" fontId="1" fillId="0" borderId="82" xfId="2" applyNumberFormat="1" applyFont="1" applyBorder="1"/>
    <xf numFmtId="3" fontId="18" fillId="0" borderId="77" xfId="2" applyNumberFormat="1" applyFont="1" applyAlignment="1">
      <alignment horizontal="right"/>
    </xf>
    <xf numFmtId="0" fontId="1" fillId="20" borderId="77" xfId="2" applyFont="1" applyFill="1" applyAlignment="1">
      <alignment horizontal="right"/>
    </xf>
    <xf numFmtId="1" fontId="8" fillId="0" borderId="77" xfId="2" applyNumberFormat="1" applyFont="1" applyAlignment="1">
      <alignment horizontal="left"/>
    </xf>
    <xf numFmtId="0" fontId="5" fillId="0" borderId="77" xfId="2" applyFont="1"/>
    <xf numFmtId="174" fontId="8" fillId="0" borderId="77" xfId="2" applyNumberFormat="1" applyFont="1" applyAlignment="1">
      <alignment horizontal="left" vertical="center"/>
    </xf>
    <xf numFmtId="0" fontId="52" fillId="0" borderId="77" xfId="2" applyFont="1" applyAlignment="1">
      <alignment horizontal="right" indent="1"/>
    </xf>
    <xf numFmtId="3" fontId="53" fillId="0" borderId="82" xfId="2" applyNumberFormat="1" applyFont="1" applyBorder="1" applyAlignment="1">
      <alignment horizontal="center"/>
    </xf>
    <xf numFmtId="174" fontId="8" fillId="0" borderId="77" xfId="2" applyNumberFormat="1" applyFont="1" applyAlignment="1">
      <alignment horizontal="left" indent="3"/>
    </xf>
    <xf numFmtId="1" fontId="8" fillId="0" borderId="77" xfId="2" applyNumberFormat="1" applyFont="1" applyAlignment="1">
      <alignment horizontal="left" indent="3"/>
    </xf>
    <xf numFmtId="174" fontId="1" fillId="0" borderId="77" xfId="2" applyNumberFormat="1" applyFont="1"/>
    <xf numFmtId="3" fontId="54" fillId="0" borderId="77" xfId="2" applyNumberFormat="1" applyFont="1"/>
    <xf numFmtId="0" fontId="42" fillId="0" borderId="82" xfId="2" applyFont="1" applyBorder="1"/>
    <xf numFmtId="0" fontId="8" fillId="0" borderId="82" xfId="2" applyFont="1" applyBorder="1" applyAlignment="1">
      <alignment horizontal="center"/>
    </xf>
    <xf numFmtId="3" fontId="16" fillId="0" borderId="77" xfId="2" applyNumberFormat="1" applyFont="1"/>
    <xf numFmtId="1" fontId="8" fillId="0" borderId="77" xfId="2" applyNumberFormat="1" applyFont="1" applyAlignment="1">
      <alignment horizontal="center"/>
    </xf>
    <xf numFmtId="0" fontId="42" fillId="0" borderId="77" xfId="2" applyFont="1"/>
    <xf numFmtId="0" fontId="42" fillId="0" borderId="77" xfId="2" applyFont="1" applyAlignment="1">
      <alignment horizontal="right"/>
    </xf>
    <xf numFmtId="174" fontId="0" fillId="0" borderId="77" xfId="3" applyFont="1"/>
    <xf numFmtId="3" fontId="1" fillId="0" borderId="82" xfId="2" applyNumberFormat="1" applyFont="1" applyBorder="1"/>
    <xf numFmtId="10" fontId="1" fillId="0" borderId="82" xfId="4" applyNumberFormat="1" applyFont="1" applyBorder="1" applyAlignment="1">
      <alignment horizontal="center"/>
    </xf>
    <xf numFmtId="174" fontId="42" fillId="0" borderId="77" xfId="2" applyNumberFormat="1" applyFont="1"/>
    <xf numFmtId="3" fontId="40" fillId="0" borderId="77" xfId="2" applyNumberFormat="1"/>
    <xf numFmtId="10" fontId="1" fillId="0" borderId="77" xfId="2" applyNumberFormat="1" applyFont="1"/>
    <xf numFmtId="0" fontId="40" fillId="20" borderId="77" xfId="2" applyFill="1"/>
    <xf numFmtId="164" fontId="1" fillId="0" borderId="82" xfId="4" applyNumberFormat="1" applyFont="1" applyBorder="1" applyAlignment="1">
      <alignment horizontal="center"/>
    </xf>
    <xf numFmtId="3" fontId="53" fillId="0" borderId="77" xfId="2" applyNumberFormat="1" applyFont="1" applyAlignment="1">
      <alignment horizontal="right"/>
    </xf>
    <xf numFmtId="0" fontId="1" fillId="0" borderId="82" xfId="2" applyFont="1" applyBorder="1"/>
    <xf numFmtId="174" fontId="40" fillId="0" borderId="77" xfId="2" applyNumberFormat="1"/>
    <xf numFmtId="3" fontId="55" fillId="0" borderId="77" xfId="2" applyNumberFormat="1" applyFont="1" applyAlignment="1">
      <alignment horizontal="right"/>
    </xf>
    <xf numFmtId="176" fontId="1" fillId="0" borderId="82" xfId="2" applyNumberFormat="1" applyFont="1" applyBorder="1"/>
    <xf numFmtId="3" fontId="1" fillId="0" borderId="77" xfId="2" applyNumberFormat="1" applyFont="1"/>
    <xf numFmtId="1" fontId="40" fillId="0" borderId="77" xfId="2" applyNumberFormat="1"/>
    <xf numFmtId="3" fontId="46" fillId="0" borderId="77" xfId="2" applyNumberFormat="1" applyFont="1" applyAlignment="1">
      <alignment horizontal="center"/>
    </xf>
    <xf numFmtId="174" fontId="8" fillId="0" borderId="77" xfId="2" applyNumberFormat="1" applyFont="1"/>
    <xf numFmtId="10" fontId="56" fillId="0" borderId="77" xfId="2" applyNumberFormat="1" applyFont="1" applyAlignment="1">
      <alignment horizontal="left"/>
    </xf>
    <xf numFmtId="174" fontId="8" fillId="0" borderId="77" xfId="3" applyFont="1"/>
    <xf numFmtId="0" fontId="40" fillId="0" borderId="87" xfId="2" applyBorder="1" applyAlignment="1">
      <alignment horizontal="left"/>
    </xf>
    <xf numFmtId="0" fontId="40" fillId="0" borderId="88" xfId="2" applyBorder="1" applyAlignment="1">
      <alignment horizontal="left"/>
    </xf>
    <xf numFmtId="0" fontId="40" fillId="0" borderId="89" xfId="2" applyBorder="1" applyAlignment="1">
      <alignment horizontal="left"/>
    </xf>
    <xf numFmtId="174" fontId="0" fillId="19" borderId="90" xfId="3" applyFont="1" applyFill="1" applyBorder="1" applyAlignment="1">
      <alignment horizontal="center"/>
    </xf>
    <xf numFmtId="3" fontId="11" fillId="0" borderId="77" xfId="2" applyNumberFormat="1" applyFont="1" applyAlignment="1">
      <alignment horizontal="center"/>
    </xf>
    <xf numFmtId="3" fontId="57" fillId="0" borderId="77" xfId="2" applyNumberFormat="1" applyFont="1" applyAlignment="1">
      <alignment horizontal="center"/>
    </xf>
    <xf numFmtId="164" fontId="1" fillId="0" borderId="77" xfId="4" applyNumberFormat="1" applyFont="1"/>
    <xf numFmtId="0" fontId="42" fillId="0" borderId="93" xfId="2" applyFont="1" applyBorder="1" applyAlignment="1">
      <alignment horizontal="center"/>
    </xf>
    <xf numFmtId="10" fontId="17" fillId="21" borderId="77" xfId="2" applyNumberFormat="1" applyFont="1" applyFill="1" applyAlignment="1">
      <alignment horizontal="center"/>
    </xf>
    <xf numFmtId="177" fontId="40" fillId="0" borderId="77" xfId="2" applyNumberFormat="1"/>
    <xf numFmtId="0" fontId="40" fillId="0" borderId="94" xfId="2" applyBorder="1" applyAlignment="1">
      <alignment horizontal="left"/>
    </xf>
    <xf numFmtId="0" fontId="40" fillId="0" borderId="83" xfId="2" applyBorder="1" applyAlignment="1">
      <alignment horizontal="left"/>
    </xf>
    <xf numFmtId="0" fontId="40" fillId="0" borderId="95" xfId="2" applyBorder="1" applyAlignment="1">
      <alignment horizontal="left"/>
    </xf>
    <xf numFmtId="174" fontId="0" fillId="19" borderId="96" xfId="3" applyFont="1" applyFill="1" applyBorder="1" applyAlignment="1">
      <alignment horizontal="center"/>
    </xf>
    <xf numFmtId="10" fontId="0" fillId="19" borderId="96" xfId="4" applyNumberFormat="1" applyFont="1" applyFill="1" applyBorder="1" applyAlignment="1">
      <alignment horizontal="center"/>
    </xf>
    <xf numFmtId="174" fontId="0" fillId="0" borderId="96" xfId="3" applyFont="1" applyBorder="1" applyAlignment="1">
      <alignment horizontal="center"/>
    </xf>
    <xf numFmtId="3" fontId="18" fillId="0" borderId="77" xfId="2" applyNumberFormat="1" applyFont="1" applyAlignment="1">
      <alignment horizontal="center"/>
    </xf>
    <xf numFmtId="0" fontId="40" fillId="0" borderId="77" xfId="2" applyAlignment="1">
      <alignment horizontal="center"/>
    </xf>
    <xf numFmtId="3" fontId="53" fillId="0" borderId="77" xfId="2" applyNumberFormat="1" applyFont="1" applyAlignment="1">
      <alignment horizontal="center"/>
    </xf>
    <xf numFmtId="3" fontId="55" fillId="0" borderId="77" xfId="2" applyNumberFormat="1" applyFont="1" applyAlignment="1">
      <alignment horizontal="center"/>
    </xf>
    <xf numFmtId="3" fontId="46" fillId="0" borderId="77" xfId="2" applyNumberFormat="1" applyFont="1" applyAlignment="1">
      <alignment horizontal="left"/>
    </xf>
    <xf numFmtId="1" fontId="40" fillId="0" borderId="82" xfId="2" applyNumberFormat="1" applyBorder="1"/>
    <xf numFmtId="1" fontId="58" fillId="0" borderId="77" xfId="3" applyNumberFormat="1" applyFont="1" applyAlignment="1">
      <alignment horizontal="left"/>
    </xf>
    <xf numFmtId="2" fontId="40" fillId="0" borderId="77" xfId="2" applyNumberFormat="1" applyAlignment="1">
      <alignment horizontal="center"/>
    </xf>
    <xf numFmtId="10" fontId="0" fillId="19" borderId="82" xfId="3" applyNumberFormat="1" applyFont="1" applyFill="1" applyBorder="1" applyAlignment="1">
      <alignment horizontal="center"/>
    </xf>
    <xf numFmtId="1" fontId="40" fillId="19" borderId="82" xfId="2" applyNumberFormat="1" applyFill="1" applyBorder="1"/>
    <xf numFmtId="1" fontId="0" fillId="0" borderId="77" xfId="3" applyNumberFormat="1" applyFont="1" applyAlignment="1">
      <alignment horizontal="left"/>
    </xf>
    <xf numFmtId="0" fontId="40" fillId="19" borderId="82" xfId="2" applyFill="1" applyBorder="1"/>
    <xf numFmtId="3" fontId="16" fillId="0" borderId="77" xfId="2" applyNumberFormat="1" applyFont="1" applyAlignment="1">
      <alignment horizontal="left"/>
    </xf>
    <xf numFmtId="10" fontId="0" fillId="0" borderId="77" xfId="4" applyNumberFormat="1" applyFont="1"/>
    <xf numFmtId="1" fontId="40" fillId="0" borderId="77" xfId="2" applyNumberFormat="1" applyAlignment="1">
      <alignment horizontal="left"/>
    </xf>
    <xf numFmtId="3" fontId="42" fillId="0" borderId="77" xfId="2" applyNumberFormat="1" applyFont="1"/>
    <xf numFmtId="10" fontId="17" fillId="0" borderId="77" xfId="2" applyNumberFormat="1" applyFont="1" applyAlignment="1">
      <alignment horizontal="center"/>
    </xf>
    <xf numFmtId="10" fontId="40" fillId="0" borderId="77" xfId="2" applyNumberFormat="1"/>
    <xf numFmtId="174" fontId="40" fillId="0" borderId="82" xfId="2" applyNumberFormat="1" applyBorder="1"/>
    <xf numFmtId="174" fontId="40" fillId="0" borderId="82" xfId="3" applyFont="1" applyBorder="1"/>
    <xf numFmtId="1" fontId="58" fillId="0" borderId="77" xfId="2" applyNumberFormat="1" applyFont="1" applyAlignment="1">
      <alignment horizontal="left"/>
    </xf>
    <xf numFmtId="9" fontId="11" fillId="0" borderId="77" xfId="4" applyFont="1" applyAlignment="1">
      <alignment horizontal="left"/>
    </xf>
    <xf numFmtId="0" fontId="1" fillId="0" borderId="23" xfId="2" applyFont="1" applyBorder="1"/>
    <xf numFmtId="0" fontId="1" fillId="0" borderId="24" xfId="2" applyFont="1" applyBorder="1"/>
    <xf numFmtId="0" fontId="1" fillId="0" borderId="25" xfId="2" applyFont="1" applyBorder="1"/>
    <xf numFmtId="0" fontId="40" fillId="18" borderId="77" xfId="2" applyFill="1"/>
    <xf numFmtId="0" fontId="11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0" fillId="17" borderId="1" xfId="2" applyFont="1" applyFill="1" applyBorder="1" applyAlignment="1">
      <alignment horizontal="center" vertical="center" wrapText="1"/>
    </xf>
    <xf numFmtId="0" fontId="60" fillId="17" borderId="16" xfId="2" applyFont="1" applyFill="1" applyBorder="1" applyAlignment="1">
      <alignment horizontal="center" vertical="center" wrapText="1"/>
    </xf>
    <xf numFmtId="0" fontId="60" fillId="17" borderId="18" xfId="2" applyFont="1" applyFill="1" applyBorder="1" applyAlignment="1">
      <alignment horizontal="center" vertical="center" wrapText="1"/>
    </xf>
    <xf numFmtId="0" fontId="60" fillId="17" borderId="9" xfId="2" applyFont="1" applyFill="1" applyBorder="1" applyAlignment="1">
      <alignment horizontal="center" vertical="center" wrapText="1"/>
    </xf>
    <xf numFmtId="0" fontId="60" fillId="17" borderId="82" xfId="2" applyFont="1" applyFill="1" applyBorder="1" applyAlignment="1">
      <alignment horizontal="center" vertical="center" wrapText="1"/>
    </xf>
    <xf numFmtId="174" fontId="8" fillId="0" borderId="8" xfId="3" applyFont="1" applyBorder="1" applyAlignment="1">
      <alignment horizontal="left"/>
    </xf>
    <xf numFmtId="174" fontId="1" fillId="0" borderId="81" xfId="3" applyFont="1" applyFill="1" applyBorder="1" applyAlignment="1">
      <alignment horizontal="center"/>
    </xf>
    <xf numFmtId="174" fontId="39" fillId="0" borderId="81" xfId="3" applyFont="1" applyFill="1" applyBorder="1" applyAlignment="1">
      <alignment horizontal="center"/>
    </xf>
    <xf numFmtId="3" fontId="1" fillId="0" borderId="81" xfId="2" applyNumberFormat="1" applyFont="1" applyBorder="1" applyAlignment="1">
      <alignment horizontal="center"/>
    </xf>
    <xf numFmtId="3" fontId="1" fillId="0" borderId="78" xfId="2" applyNumberFormat="1" applyFont="1" applyBorder="1" applyAlignment="1">
      <alignment horizontal="center"/>
    </xf>
    <xf numFmtId="3" fontId="1" fillId="0" borderId="31" xfId="2" applyNumberFormat="1" applyFont="1" applyBorder="1" applyAlignment="1">
      <alignment horizontal="center"/>
    </xf>
    <xf numFmtId="3" fontId="1" fillId="0" borderId="70" xfId="2" applyNumberFormat="1" applyFont="1" applyBorder="1" applyAlignment="1">
      <alignment horizontal="center"/>
    </xf>
    <xf numFmtId="3" fontId="39" fillId="19" borderId="80" xfId="2" applyNumberFormat="1" applyFont="1" applyFill="1" applyBorder="1" applyAlignment="1">
      <alignment horizontal="center"/>
    </xf>
    <xf numFmtId="3" fontId="39" fillId="0" borderId="81" xfId="2" applyNumberFormat="1" applyFont="1" applyBorder="1" applyAlignment="1">
      <alignment horizontal="center"/>
    </xf>
    <xf numFmtId="3" fontId="8" fillId="0" borderId="1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center"/>
    </xf>
    <xf numFmtId="1" fontId="8" fillId="0" borderId="82" xfId="2" applyNumberFormat="1" applyFont="1" applyBorder="1" applyAlignment="1">
      <alignment horizontal="center"/>
    </xf>
    <xf numFmtId="10" fontId="12" fillId="0" borderId="77" xfId="2" applyNumberFormat="1" applyFont="1"/>
    <xf numFmtId="1" fontId="1" fillId="0" borderId="77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8" xfId="2" applyNumberFormat="1" applyFont="1" applyBorder="1" applyAlignment="1">
      <alignment horizontal="center"/>
    </xf>
    <xf numFmtId="174" fontId="1" fillId="0" borderId="70" xfId="3" applyFont="1" applyFill="1" applyBorder="1" applyAlignment="1">
      <alignment horizontal="center"/>
    </xf>
    <xf numFmtId="3" fontId="7" fillId="0" borderId="70" xfId="2" applyNumberFormat="1" applyFont="1" applyBorder="1" applyAlignment="1">
      <alignment horizontal="center"/>
    </xf>
    <xf numFmtId="174" fontId="12" fillId="0" borderId="77" xfId="3" applyFont="1"/>
    <xf numFmtId="3" fontId="1" fillId="19" borderId="8" xfId="2" applyNumberFormat="1" applyFont="1" applyFill="1" applyBorder="1" applyAlignment="1">
      <alignment horizontal="center"/>
    </xf>
    <xf numFmtId="3" fontId="1" fillId="22" borderId="31" xfId="2" applyNumberFormat="1" applyFont="1" applyFill="1" applyBorder="1" applyAlignment="1">
      <alignment horizontal="center"/>
    </xf>
    <xf numFmtId="3" fontId="1" fillId="22" borderId="70" xfId="2" applyNumberFormat="1" applyFont="1" applyFill="1" applyBorder="1" applyAlignment="1">
      <alignment horizontal="center"/>
    </xf>
    <xf numFmtId="3" fontId="1" fillId="22" borderId="1" xfId="2" applyNumberFormat="1" applyFont="1" applyFill="1" applyBorder="1" applyAlignment="1">
      <alignment horizontal="center"/>
    </xf>
    <xf numFmtId="3" fontId="1" fillId="22" borderId="81" xfId="2" applyNumberFormat="1" applyFont="1" applyFill="1" applyBorder="1" applyAlignment="1">
      <alignment horizontal="center"/>
    </xf>
    <xf numFmtId="3" fontId="8" fillId="22" borderId="1" xfId="2" applyNumberFormat="1" applyFont="1" applyFill="1" applyBorder="1" applyAlignment="1">
      <alignment horizontal="center"/>
    </xf>
    <xf numFmtId="2" fontId="1" fillId="22" borderId="8" xfId="2" applyNumberFormat="1" applyFont="1" applyFill="1" applyBorder="1" applyAlignment="1">
      <alignment horizontal="center"/>
    </xf>
    <xf numFmtId="1" fontId="8" fillId="22" borderId="82" xfId="2" applyNumberFormat="1" applyFont="1" applyFill="1" applyBorder="1" applyAlignment="1">
      <alignment horizontal="center"/>
    </xf>
    <xf numFmtId="174" fontId="1" fillId="0" borderId="77" xfId="3" applyFont="1"/>
    <xf numFmtId="174" fontId="1" fillId="0" borderId="31" xfId="3" applyFont="1" applyFill="1" applyBorder="1" applyAlignment="1">
      <alignment horizontal="center"/>
    </xf>
    <xf numFmtId="3" fontId="1" fillId="19" borderId="1" xfId="2" applyNumberFormat="1" applyFont="1" applyFill="1" applyBorder="1" applyAlignment="1">
      <alignment horizontal="center"/>
    </xf>
    <xf numFmtId="3" fontId="1" fillId="19" borderId="81" xfId="2" applyNumberFormat="1" applyFont="1" applyFill="1" applyBorder="1" applyAlignment="1">
      <alignment horizontal="center"/>
    </xf>
    <xf numFmtId="0" fontId="1" fillId="0" borderId="77" xfId="2" applyFont="1" applyAlignment="1">
      <alignment horizontal="left"/>
    </xf>
    <xf numFmtId="3" fontId="8" fillId="0" borderId="28" xfId="2" applyNumberFormat="1" applyFont="1" applyBorder="1" applyAlignment="1">
      <alignment horizontal="center"/>
    </xf>
    <xf numFmtId="3" fontId="8" fillId="0" borderId="48" xfId="2" applyNumberFormat="1" applyFont="1" applyBorder="1" applyAlignment="1">
      <alignment horizontal="center"/>
    </xf>
    <xf numFmtId="0" fontId="1" fillId="0" borderId="77" xfId="2" applyFont="1" applyAlignment="1">
      <alignment horizontal="center"/>
    </xf>
    <xf numFmtId="3" fontId="1" fillId="0" borderId="77" xfId="2" applyNumberFormat="1" applyFont="1" applyAlignment="1">
      <alignment horizontal="center"/>
    </xf>
    <xf numFmtId="3" fontId="8" fillId="0" borderId="82" xfId="2" applyNumberFormat="1" applyFont="1" applyBorder="1" applyAlignment="1">
      <alignment horizontal="center"/>
    </xf>
    <xf numFmtId="3" fontId="7" fillId="0" borderId="77" xfId="2" applyNumberFormat="1" applyFont="1" applyAlignment="1">
      <alignment horizontal="center"/>
    </xf>
    <xf numFmtId="0" fontId="47" fillId="23" borderId="82" xfId="2" applyFont="1" applyFill="1" applyBorder="1" applyAlignment="1">
      <alignment horizontal="center"/>
    </xf>
    <xf numFmtId="0" fontId="47" fillId="23" borderId="82" xfId="2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174" fontId="1" fillId="0" borderId="82" xfId="3" applyFont="1" applyBorder="1"/>
    <xf numFmtId="177" fontId="1" fillId="0" borderId="77" xfId="2" applyNumberFormat="1" applyFont="1"/>
    <xf numFmtId="178" fontId="8" fillId="0" borderId="82" xfId="3" applyNumberFormat="1" applyFont="1" applyBorder="1"/>
    <xf numFmtId="164" fontId="0" fillId="0" borderId="82" xfId="3" applyNumberFormat="1" applyFont="1" applyBorder="1"/>
    <xf numFmtId="2" fontId="40" fillId="0" borderId="77" xfId="2" applyNumberFormat="1" applyAlignment="1">
      <alignment horizontal="right"/>
    </xf>
    <xf numFmtId="164" fontId="0" fillId="0" borderId="82" xfId="4" applyNumberFormat="1" applyFont="1" applyBorder="1"/>
    <xf numFmtId="9" fontId="0" fillId="0" borderId="82" xfId="4" applyFont="1" applyBorder="1"/>
    <xf numFmtId="0" fontId="8" fillId="0" borderId="77" xfId="2" applyFont="1" applyAlignment="1">
      <alignment horizontal="right"/>
    </xf>
    <xf numFmtId="179" fontId="8" fillId="0" borderId="82" xfId="2" applyNumberFormat="1" applyFont="1" applyBorder="1"/>
    <xf numFmtId="2" fontId="1" fillId="0" borderId="77" xfId="2" applyNumberFormat="1" applyFont="1"/>
    <xf numFmtId="0" fontId="62" fillId="24" borderId="0" xfId="0" applyFont="1" applyFill="1"/>
    <xf numFmtId="10" fontId="62" fillId="24" borderId="0" xfId="0" applyNumberFormat="1" applyFont="1" applyFill="1"/>
    <xf numFmtId="10" fontId="62" fillId="12" borderId="5" xfId="0" applyNumberFormat="1" applyFont="1" applyFill="1" applyBorder="1"/>
    <xf numFmtId="0" fontId="62" fillId="12" borderId="5" xfId="0" applyFont="1" applyFill="1" applyBorder="1"/>
    <xf numFmtId="0" fontId="63" fillId="12" borderId="5" xfId="0" applyFont="1" applyFill="1" applyBorder="1"/>
    <xf numFmtId="3" fontId="62" fillId="12" borderId="5" xfId="0" applyNumberFormat="1" applyFont="1" applyFill="1" applyBorder="1"/>
    <xf numFmtId="164" fontId="62" fillId="12" borderId="5" xfId="0" applyNumberFormat="1" applyFont="1" applyFill="1" applyBorder="1"/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82" xfId="0" applyFont="1" applyBorder="1" applyAlignment="1">
      <alignment horizontal="left"/>
    </xf>
    <xf numFmtId="10" fontId="64" fillId="0" borderId="82" xfId="0" applyNumberFormat="1" applyFont="1" applyBorder="1"/>
    <xf numFmtId="10" fontId="64" fillId="18" borderId="82" xfId="0" applyNumberFormat="1" applyFont="1" applyFill="1" applyBorder="1"/>
    <xf numFmtId="10" fontId="0" fillId="19" borderId="82" xfId="1" applyNumberFormat="1" applyFont="1" applyFill="1" applyBorder="1" applyAlignment="1">
      <alignment horizontal="center"/>
    </xf>
    <xf numFmtId="10" fontId="0" fillId="0" borderId="82" xfId="1" applyNumberFormat="1" applyFont="1" applyFill="1" applyBorder="1" applyAlignment="1">
      <alignment horizontal="center"/>
    </xf>
    <xf numFmtId="10" fontId="40" fillId="0" borderId="90" xfId="1" applyNumberFormat="1" applyFont="1" applyFill="1" applyBorder="1" applyAlignment="1">
      <alignment horizontal="center"/>
    </xf>
    <xf numFmtId="10" fontId="64" fillId="0" borderId="90" xfId="0" applyNumberFormat="1" applyFont="1" applyBorder="1"/>
    <xf numFmtId="0" fontId="22" fillId="16" borderId="15" xfId="0" applyFont="1" applyFill="1" applyBorder="1"/>
    <xf numFmtId="1" fontId="21" fillId="0" borderId="15" xfId="0" applyNumberFormat="1" applyFont="1" applyBorder="1"/>
    <xf numFmtId="10" fontId="21" fillId="0" borderId="15" xfId="0" applyNumberFormat="1" applyFont="1" applyBorder="1"/>
    <xf numFmtId="0" fontId="0" fillId="0" borderId="77" xfId="0" applyBorder="1"/>
    <xf numFmtId="164" fontId="20" fillId="0" borderId="15" xfId="0" applyNumberFormat="1" applyFont="1" applyBorder="1"/>
    <xf numFmtId="0" fontId="1" fillId="0" borderId="77" xfId="0" applyFont="1" applyBorder="1"/>
    <xf numFmtId="10" fontId="20" fillId="0" borderId="15" xfId="0" applyNumberFormat="1" applyFont="1" applyBorder="1"/>
    <xf numFmtId="0" fontId="22" fillId="0" borderId="77" xfId="0" applyFont="1" applyBorder="1"/>
    <xf numFmtId="1" fontId="21" fillId="0" borderId="77" xfId="0" applyNumberFormat="1" applyFont="1" applyBorder="1"/>
    <xf numFmtId="10" fontId="21" fillId="0" borderId="77" xfId="0" applyNumberFormat="1" applyFont="1" applyBorder="1"/>
    <xf numFmtId="164" fontId="20" fillId="0" borderId="77" xfId="0" applyNumberFormat="1" applyFont="1" applyBorder="1"/>
    <xf numFmtId="10" fontId="20" fillId="0" borderId="77" xfId="0" applyNumberFormat="1" applyFont="1" applyBorder="1"/>
    <xf numFmtId="0" fontId="22" fillId="16" borderId="82" xfId="0" applyFont="1" applyFill="1" applyBorder="1"/>
    <xf numFmtId="1" fontId="21" fillId="0" borderId="82" xfId="0" applyNumberFormat="1" applyFont="1" applyBorder="1"/>
    <xf numFmtId="10" fontId="21" fillId="0" borderId="82" xfId="0" applyNumberFormat="1" applyFont="1" applyBorder="1"/>
    <xf numFmtId="0" fontId="0" fillId="0" borderId="82" xfId="0" applyBorder="1"/>
    <xf numFmtId="164" fontId="20" fillId="0" borderId="82" xfId="0" applyNumberFormat="1" applyFont="1" applyBorder="1"/>
    <xf numFmtId="0" fontId="1" fillId="0" borderId="82" xfId="0" applyFont="1" applyBorder="1"/>
    <xf numFmtId="10" fontId="20" fillId="0" borderId="82" xfId="0" applyNumberFormat="1" applyFont="1" applyBorder="1"/>
    <xf numFmtId="10" fontId="0" fillId="0" borderId="82" xfId="3" applyNumberFormat="1" applyFont="1" applyBorder="1" applyAlignment="1">
      <alignment horizontal="center"/>
    </xf>
    <xf numFmtId="3" fontId="8" fillId="0" borderId="77" xfId="0" applyNumberFormat="1" applyFont="1" applyBorder="1"/>
    <xf numFmtId="0" fontId="65" fillId="18" borderId="82" xfId="0" applyFont="1" applyFill="1" applyBorder="1"/>
    <xf numFmtId="10" fontId="65" fillId="18" borderId="82" xfId="0" applyNumberFormat="1" applyFont="1" applyFill="1" applyBorder="1"/>
    <xf numFmtId="10" fontId="65" fillId="18" borderId="84" xfId="0" applyNumberFormat="1" applyFont="1" applyFill="1" applyBorder="1"/>
    <xf numFmtId="0" fontId="66" fillId="0" borderId="82" xfId="2" applyFont="1" applyBorder="1" applyAlignment="1">
      <alignment horizontal="right"/>
    </xf>
    <xf numFmtId="0" fontId="66" fillId="0" borderId="82" xfId="0" applyFont="1" applyBorder="1" applyAlignment="1">
      <alignment horizontal="right"/>
    </xf>
    <xf numFmtId="10" fontId="66" fillId="0" borderId="82" xfId="2" applyNumberFormat="1" applyFont="1" applyBorder="1" applyAlignment="1">
      <alignment horizontal="right"/>
    </xf>
    <xf numFmtId="0" fontId="66" fillId="0" borderId="82" xfId="5" applyFont="1" applyBorder="1" applyAlignment="1">
      <alignment horizontal="right"/>
    </xf>
    <xf numFmtId="3" fontId="67" fillId="0" borderId="82" xfId="0" applyNumberFormat="1" applyFont="1" applyBorder="1" applyAlignment="1">
      <alignment horizontal="right"/>
    </xf>
    <xf numFmtId="10" fontId="66" fillId="0" borderId="82" xfId="0" applyNumberFormat="1" applyFont="1" applyBorder="1" applyAlignment="1">
      <alignment horizontal="right"/>
    </xf>
    <xf numFmtId="10" fontId="0" fillId="19" borderId="82" xfId="3" applyNumberFormat="1" applyFont="1" applyFill="1" applyBorder="1"/>
    <xf numFmtId="167" fontId="0" fillId="19" borderId="82" xfId="3" applyNumberFormat="1" applyFont="1" applyFill="1" applyBorder="1"/>
    <xf numFmtId="0" fontId="66" fillId="18" borderId="82" xfId="5" applyFont="1" applyFill="1" applyBorder="1"/>
    <xf numFmtId="3" fontId="68" fillId="18" borderId="82" xfId="5" applyNumberFormat="1" applyFont="1" applyFill="1" applyBorder="1" applyAlignment="1">
      <alignment horizontal="center"/>
    </xf>
    <xf numFmtId="10" fontId="66" fillId="18" borderId="82" xfId="0" applyNumberFormat="1" applyFont="1" applyFill="1" applyBorder="1"/>
    <xf numFmtId="0" fontId="69" fillId="25" borderId="82" xfId="5" applyFont="1" applyFill="1" applyBorder="1"/>
    <xf numFmtId="174" fontId="66" fillId="25" borderId="82" xfId="3" applyFont="1" applyFill="1" applyBorder="1"/>
    <xf numFmtId="9" fontId="66" fillId="25" borderId="82" xfId="6" applyFont="1" applyFill="1" applyBorder="1"/>
    <xf numFmtId="178" fontId="66" fillId="25" borderId="82" xfId="3" applyNumberFormat="1" applyFont="1" applyFill="1" applyBorder="1" applyAlignment="1"/>
    <xf numFmtId="0" fontId="69" fillId="25" borderId="82" xfId="5" applyFont="1" applyFill="1" applyBorder="1" applyAlignment="1">
      <alignment horizontal="left"/>
    </xf>
    <xf numFmtId="2" fontId="66" fillId="25" borderId="82" xfId="5" applyNumberFormat="1" applyFont="1" applyFill="1" applyBorder="1"/>
    <xf numFmtId="10" fontId="66" fillId="25" borderId="82" xfId="0" applyNumberFormat="1" applyFont="1" applyFill="1" applyBorder="1"/>
    <xf numFmtId="2" fontId="66" fillId="25" borderId="82" xfId="5" applyNumberFormat="1" applyFont="1" applyFill="1" applyBorder="1" applyAlignment="1">
      <alignment horizontal="right"/>
    </xf>
    <xf numFmtId="1" fontId="46" fillId="0" borderId="77" xfId="2" applyNumberFormat="1" applyFont="1" applyAlignment="1">
      <alignment horizontal="left"/>
    </xf>
    <xf numFmtId="0" fontId="47" fillId="0" borderId="77" xfId="2" applyFont="1" applyAlignment="1">
      <alignment horizontal="center" vertical="center"/>
    </xf>
    <xf numFmtId="0" fontId="48" fillId="0" borderId="77" xfId="2" applyFont="1" applyAlignment="1">
      <alignment horizontal="left" vertical="center"/>
    </xf>
    <xf numFmtId="3" fontId="49" fillId="0" borderId="77" xfId="2" applyNumberFormat="1" applyFont="1" applyProtection="1">
      <protection locked="0"/>
    </xf>
    <xf numFmtId="3" fontId="50" fillId="0" borderId="77" xfId="2" applyNumberFormat="1" applyFont="1"/>
    <xf numFmtId="0" fontId="48" fillId="0" borderId="77" xfId="2" applyFont="1"/>
    <xf numFmtId="0" fontId="48" fillId="0" borderId="77" xfId="2" applyFont="1" applyAlignment="1">
      <alignment horizontal="right"/>
    </xf>
    <xf numFmtId="3" fontId="51" fillId="0" borderId="77" xfId="2" applyNumberFormat="1" applyFont="1"/>
    <xf numFmtId="0" fontId="48" fillId="0" borderId="77" xfId="2" applyFont="1" applyAlignment="1">
      <alignment horizontal="center"/>
    </xf>
    <xf numFmtId="174" fontId="0" fillId="0" borderId="77" xfId="3" applyFont="1" applyFill="1" applyBorder="1"/>
    <xf numFmtId="10" fontId="0" fillId="0" borderId="77" xfId="4" applyNumberFormat="1" applyFont="1" applyFill="1" applyBorder="1"/>
    <xf numFmtId="174" fontId="40" fillId="0" borderId="77" xfId="3" applyFont="1" applyFill="1" applyBorder="1"/>
    <xf numFmtId="175" fontId="40" fillId="0" borderId="77" xfId="2" applyNumberFormat="1"/>
    <xf numFmtId="0" fontId="8" fillId="8" borderId="8" xfId="0" applyFont="1" applyFill="1" applyBorder="1" applyAlignment="1">
      <alignment horizontal="center"/>
    </xf>
    <xf numFmtId="0" fontId="9" fillId="0" borderId="9" xfId="0" applyFont="1" applyBorder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1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1" fillId="12" borderId="8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center" vertical="center"/>
    </xf>
    <xf numFmtId="0" fontId="9" fillId="0" borderId="26" xfId="0" applyFont="1" applyBorder="1"/>
    <xf numFmtId="0" fontId="10" fillId="7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9" fillId="0" borderId="27" xfId="0" applyFont="1" applyBorder="1"/>
    <xf numFmtId="0" fontId="10" fillId="0" borderId="8" xfId="0" applyFont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/>
    </xf>
    <xf numFmtId="0" fontId="9" fillId="0" borderId="34" xfId="0" applyFont="1" applyBorder="1"/>
    <xf numFmtId="0" fontId="9" fillId="0" borderId="21" xfId="0" applyFont="1" applyBorder="1"/>
    <xf numFmtId="0" fontId="9" fillId="0" borderId="36" xfId="0" applyFont="1" applyBorder="1"/>
    <xf numFmtId="0" fontId="9" fillId="0" borderId="23" xfId="0" applyFont="1" applyBorder="1"/>
    <xf numFmtId="0" fontId="9" fillId="0" borderId="44" xfId="0" applyFont="1" applyBorder="1"/>
    <xf numFmtId="49" fontId="24" fillId="14" borderId="35" xfId="0" applyNumberFormat="1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0" xfId="0" applyFont="1" applyBorder="1"/>
    <xf numFmtId="0" fontId="9" fillId="0" borderId="37" xfId="0" applyFont="1" applyBorder="1"/>
    <xf numFmtId="0" fontId="9" fillId="0" borderId="38" xfId="0" applyFont="1" applyBorder="1"/>
    <xf numFmtId="0" fontId="9" fillId="0" borderId="39" xfId="0" applyFont="1" applyBorder="1"/>
    <xf numFmtId="49" fontId="24" fillId="14" borderId="40" xfId="0" applyNumberFormat="1" applyFont="1" applyFill="1" applyBorder="1" applyAlignment="1">
      <alignment horizontal="center" vertical="center" wrapText="1"/>
    </xf>
    <xf numFmtId="0" fontId="9" fillId="0" borderId="41" xfId="0" applyFont="1" applyBorder="1"/>
    <xf numFmtId="0" fontId="9" fillId="0" borderId="42" xfId="0" applyFont="1" applyBorder="1"/>
    <xf numFmtId="0" fontId="9" fillId="0" borderId="45" xfId="0" applyFont="1" applyBorder="1"/>
    <xf numFmtId="0" fontId="9" fillId="0" borderId="24" xfId="0" applyFont="1" applyBorder="1"/>
    <xf numFmtId="165" fontId="24" fillId="14" borderId="40" xfId="0" applyNumberFormat="1" applyFont="1" applyFill="1" applyBorder="1" applyAlignment="1">
      <alignment horizontal="center" vertical="center" wrapText="1"/>
    </xf>
    <xf numFmtId="0" fontId="9" fillId="0" borderId="43" xfId="0" applyFont="1" applyBorder="1"/>
    <xf numFmtId="0" fontId="9" fillId="0" borderId="25" xfId="0" applyFont="1" applyBorder="1"/>
    <xf numFmtId="0" fontId="25" fillId="0" borderId="19" xfId="0" applyFont="1" applyBorder="1" applyAlignment="1">
      <alignment horizontal="center" vertical="center"/>
    </xf>
    <xf numFmtId="0" fontId="9" fillId="0" borderId="46" xfId="0" applyFont="1" applyBorder="1"/>
    <xf numFmtId="0" fontId="9" fillId="0" borderId="47" xfId="0" applyFont="1" applyBorder="1"/>
    <xf numFmtId="0" fontId="25" fillId="0" borderId="7" xfId="0" applyFont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27" fillId="15" borderId="49" xfId="0" applyFont="1" applyFill="1" applyBorder="1" applyAlignment="1">
      <alignment horizontal="center" vertical="center"/>
    </xf>
    <xf numFmtId="0" fontId="9" fillId="0" borderId="50" xfId="0" applyFont="1" applyBorder="1"/>
    <xf numFmtId="0" fontId="9" fillId="0" borderId="51" xfId="0" applyFont="1" applyBorder="1"/>
    <xf numFmtId="0" fontId="25" fillId="0" borderId="52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9" fillId="0" borderId="53" xfId="0" applyFont="1" applyBorder="1"/>
    <xf numFmtId="0" fontId="25" fillId="0" borderId="54" xfId="0" applyFont="1" applyBorder="1" applyAlignment="1">
      <alignment horizontal="left" vertical="center"/>
    </xf>
    <xf numFmtId="0" fontId="9" fillId="0" borderId="55" xfId="0" applyFont="1" applyBorder="1"/>
    <xf numFmtId="0" fontId="9" fillId="0" borderId="56" xfId="0" applyFont="1" applyBorder="1"/>
    <xf numFmtId="0" fontId="26" fillId="11" borderId="58" xfId="0" applyFont="1" applyFill="1" applyBorder="1" applyAlignment="1">
      <alignment horizontal="left" vertical="center" wrapText="1"/>
    </xf>
    <xf numFmtId="0" fontId="9" fillId="0" borderId="59" xfId="0" applyFont="1" applyBorder="1"/>
    <xf numFmtId="0" fontId="9" fillId="0" borderId="60" xfId="0" applyFont="1" applyBorder="1"/>
    <xf numFmtId="0" fontId="26" fillId="11" borderId="62" xfId="0" applyFont="1" applyFill="1" applyBorder="1" applyAlignment="1">
      <alignment horizontal="left" vertical="center" wrapText="1"/>
    </xf>
    <xf numFmtId="0" fontId="27" fillId="15" borderId="62" xfId="0" applyFont="1" applyFill="1" applyBorder="1" applyAlignment="1">
      <alignment horizontal="center" vertical="center"/>
    </xf>
    <xf numFmtId="0" fontId="9" fillId="0" borderId="63" xfId="0" applyFont="1" applyBorder="1"/>
    <xf numFmtId="0" fontId="26" fillId="0" borderId="0" xfId="0" applyFont="1" applyAlignment="1">
      <alignment horizontal="left" vertical="center" wrapText="1"/>
    </xf>
    <xf numFmtId="0" fontId="0" fillId="0" borderId="0" xfId="0"/>
    <xf numFmtId="0" fontId="25" fillId="0" borderId="0" xfId="0" applyFont="1" applyAlignment="1">
      <alignment horizontal="left" vertical="center"/>
    </xf>
    <xf numFmtId="10" fontId="23" fillId="0" borderId="19" xfId="0" applyNumberFormat="1" applyFont="1" applyBorder="1" applyAlignment="1">
      <alignment horizontal="center" vertical="center"/>
    </xf>
    <xf numFmtId="10" fontId="9" fillId="0" borderId="7" xfId="0" applyNumberFormat="1" applyFont="1" applyBorder="1"/>
    <xf numFmtId="10" fontId="9" fillId="0" borderId="20" xfId="0" applyNumberFormat="1" applyFont="1" applyBorder="1"/>
    <xf numFmtId="10" fontId="9" fillId="0" borderId="23" xfId="0" applyNumberFormat="1" applyFont="1" applyBorder="1"/>
    <xf numFmtId="10" fontId="9" fillId="0" borderId="24" xfId="0" applyNumberFormat="1" applyFont="1" applyBorder="1"/>
    <xf numFmtId="10" fontId="9" fillId="0" borderId="25" xfId="0" applyNumberFormat="1" applyFont="1" applyBorder="1"/>
    <xf numFmtId="0" fontId="27" fillId="15" borderId="58" xfId="0" applyFont="1" applyFill="1" applyBorder="1" applyAlignment="1">
      <alignment horizontal="center" vertical="center"/>
    </xf>
    <xf numFmtId="0" fontId="25" fillId="0" borderId="46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54" xfId="0" applyFont="1" applyBorder="1" applyAlignment="1">
      <alignment vertical="center"/>
    </xf>
    <xf numFmtId="0" fontId="26" fillId="11" borderId="58" xfId="0" applyFont="1" applyFill="1" applyBorder="1" applyAlignment="1">
      <alignment horizontal="left" vertical="center"/>
    </xf>
    <xf numFmtId="0" fontId="33" fillId="15" borderId="58" xfId="0" applyFont="1" applyFill="1" applyBorder="1" applyAlignment="1">
      <alignment horizontal="center" vertical="center"/>
    </xf>
    <xf numFmtId="0" fontId="33" fillId="12" borderId="75" xfId="0" applyFont="1" applyFill="1" applyBorder="1" applyAlignment="1">
      <alignment horizontal="center"/>
    </xf>
    <xf numFmtId="0" fontId="9" fillId="0" borderId="76" xfId="0" applyFont="1" applyBorder="1"/>
    <xf numFmtId="0" fontId="34" fillId="15" borderId="58" xfId="0" applyFont="1" applyFill="1" applyBorder="1" applyAlignment="1">
      <alignment horizontal="center"/>
    </xf>
    <xf numFmtId="0" fontId="8" fillId="12" borderId="75" xfId="0" applyFont="1" applyFill="1" applyBorder="1" applyAlignment="1">
      <alignment horizontal="center"/>
    </xf>
    <xf numFmtId="0" fontId="10" fillId="12" borderId="75" xfId="0" applyFont="1" applyFill="1" applyBorder="1" applyAlignment="1">
      <alignment horizontal="center"/>
    </xf>
    <xf numFmtId="0" fontId="9" fillId="0" borderId="77" xfId="0" applyFont="1" applyBorder="1"/>
    <xf numFmtId="0" fontId="11" fillId="0" borderId="0" xfId="0" applyFont="1" applyAlignment="1">
      <alignment horizontal="center" wrapText="1"/>
    </xf>
    <xf numFmtId="0" fontId="35" fillId="12" borderId="75" xfId="0" applyFont="1" applyFill="1" applyBorder="1" applyAlignment="1">
      <alignment horizontal="center"/>
    </xf>
    <xf numFmtId="0" fontId="22" fillId="16" borderId="78" xfId="0" applyFont="1" applyFill="1" applyBorder="1" applyAlignment="1">
      <alignment horizontal="center"/>
    </xf>
    <xf numFmtId="0" fontId="9" fillId="0" borderId="79" xfId="0" applyFont="1" applyBorder="1"/>
    <xf numFmtId="0" fontId="9" fillId="0" borderId="80" xfId="0" applyFont="1" applyBorder="1"/>
    <xf numFmtId="0" fontId="10" fillId="6" borderId="8" xfId="0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0" fontId="1" fillId="0" borderId="77" xfId="2" applyFont="1" applyAlignment="1">
      <alignment horizontal="center"/>
    </xf>
    <xf numFmtId="0" fontId="40" fillId="0" borderId="77" xfId="2"/>
    <xf numFmtId="0" fontId="42" fillId="23" borderId="84" xfId="2" applyFont="1" applyFill="1" applyBorder="1" applyAlignment="1">
      <alignment horizontal="center"/>
    </xf>
    <xf numFmtId="0" fontId="42" fillId="23" borderId="85" xfId="2" applyFont="1" applyFill="1" applyBorder="1" applyAlignment="1">
      <alignment horizontal="center"/>
    </xf>
    <xf numFmtId="0" fontId="42" fillId="23" borderId="86" xfId="2" applyFont="1" applyFill="1" applyBorder="1" applyAlignment="1">
      <alignment horizontal="center"/>
    </xf>
    <xf numFmtId="0" fontId="1" fillId="0" borderId="8" xfId="2" applyFont="1" applyBorder="1" applyAlignment="1">
      <alignment horizontal="left"/>
    </xf>
    <xf numFmtId="0" fontId="9" fillId="0" borderId="9" xfId="2" applyFont="1" applyBorder="1"/>
    <xf numFmtId="0" fontId="8" fillId="0" borderId="79" xfId="2" applyFont="1" applyBorder="1" applyAlignment="1">
      <alignment horizontal="center"/>
    </xf>
    <xf numFmtId="0" fontId="59" fillId="0" borderId="79" xfId="2" applyFont="1" applyBorder="1"/>
    <xf numFmtId="0" fontId="59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1" fillId="0" borderId="9" xfId="2" applyFont="1" applyBorder="1"/>
    <xf numFmtId="0" fontId="40" fillId="0" borderId="84" xfId="2" applyBorder="1" applyAlignment="1">
      <alignment horizontal="center"/>
    </xf>
    <xf numFmtId="0" fontId="40" fillId="0" borderId="86" xfId="2" applyBorder="1" applyAlignment="1">
      <alignment horizontal="center"/>
    </xf>
    <xf numFmtId="0" fontId="42" fillId="0" borderId="84" xfId="2" applyFont="1" applyBorder="1" applyAlignment="1">
      <alignment horizontal="center"/>
    </xf>
    <xf numFmtId="0" fontId="42" fillId="0" borderId="86" xfId="2" applyFont="1" applyBorder="1" applyAlignment="1">
      <alignment horizontal="center"/>
    </xf>
    <xf numFmtId="0" fontId="42" fillId="0" borderId="77" xfId="2" applyFont="1" applyAlignment="1">
      <alignment horizontal="center"/>
    </xf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0" fontId="43" fillId="0" borderId="77" xfId="2" applyFont="1" applyAlignment="1">
      <alignment horizontal="center"/>
    </xf>
    <xf numFmtId="0" fontId="42" fillId="0" borderId="91" xfId="2" applyFont="1" applyBorder="1" applyAlignment="1">
      <alignment horizontal="center"/>
    </xf>
    <xf numFmtId="0" fontId="42" fillId="0" borderId="92" xfId="2" applyFont="1" applyBorder="1" applyAlignment="1">
      <alignment horizontal="center"/>
    </xf>
    <xf numFmtId="0" fontId="42" fillId="0" borderId="83" xfId="2" applyFont="1" applyBorder="1" applyAlignment="1">
      <alignment horizontal="center"/>
    </xf>
    <xf numFmtId="0" fontId="42" fillId="0" borderId="85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>
      <selection activeCell="F36" sqref="F36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29.1640625" customWidth="1"/>
    <col min="3" max="3" width="16.6640625" customWidth="1"/>
    <col min="4" max="4" width="15.5" customWidth="1"/>
    <col min="5" max="26" width="10.6640625" customWidth="1"/>
  </cols>
  <sheetData>
    <row r="1" spans="2:9" x14ac:dyDescent="0.2">
      <c r="C1" s="1"/>
    </row>
    <row r="2" spans="2:9" x14ac:dyDescent="0.2">
      <c r="C2" s="1"/>
    </row>
    <row r="3" spans="2:9" x14ac:dyDescent="0.2">
      <c r="C3" s="1"/>
    </row>
    <row r="4" spans="2:9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9" hidden="1" outlineLevel="1" x14ac:dyDescent="0.2">
      <c r="B5" s="2" t="s">
        <v>4</v>
      </c>
      <c r="C5" s="2"/>
      <c r="D5" s="3" t="e">
        <f t="shared" ref="D5:D6" si="0">+#REF!</f>
        <v>#REF!</v>
      </c>
      <c r="E5" s="4" t="e">
        <f t="shared" ref="E5:E22" si="1">+ABS(D5)</f>
        <v>#REF!</v>
      </c>
      <c r="F5" s="5" t="e">
        <f t="shared" ref="F5:F6" si="2">+#REF!</f>
        <v>#REF!</v>
      </c>
      <c r="G5" s="6" t="e">
        <f t="shared" ref="G5:G22" si="3">+IF(D5=0,0,IF(D5&lt;0,1,-1))</f>
        <v>#REF!</v>
      </c>
      <c r="H5" s="2"/>
      <c r="I5" s="1"/>
    </row>
    <row r="6" spans="2:9" hidden="1" outlineLevel="1" x14ac:dyDescent="0.2">
      <c r="B6" s="2" t="s">
        <v>5</v>
      </c>
      <c r="C6" s="2"/>
      <c r="D6" s="3" t="e">
        <f t="shared" si="0"/>
        <v>#REF!</v>
      </c>
      <c r="E6" s="4" t="e">
        <f t="shared" si="1"/>
        <v>#REF!</v>
      </c>
      <c r="F6" s="5" t="e">
        <f t="shared" si="2"/>
        <v>#REF!</v>
      </c>
      <c r="G6" s="6" t="e">
        <f t="shared" si="3"/>
        <v>#REF!</v>
      </c>
      <c r="H6" s="2"/>
      <c r="I6" s="1"/>
    </row>
    <row r="7" spans="2:9" hidden="1" outlineLevel="1" x14ac:dyDescent="0.2">
      <c r="B7" s="2" t="s">
        <v>6</v>
      </c>
      <c r="C7" s="2"/>
      <c r="D7" s="7" t="e">
        <f>+'Bal Los Colorados'!D56</f>
        <v>#REF!</v>
      </c>
      <c r="E7" s="4" t="e">
        <f t="shared" si="1"/>
        <v>#REF!</v>
      </c>
      <c r="F7" s="5" t="e">
        <f>+'Bal Los Colorados'!F56</f>
        <v>#REF!</v>
      </c>
      <c r="G7" s="6" t="e">
        <f t="shared" si="3"/>
        <v>#REF!</v>
      </c>
      <c r="H7" s="2"/>
      <c r="I7" s="1"/>
    </row>
    <row r="8" spans="2:9" hidden="1" outlineLevel="1" x14ac:dyDescent="0.2">
      <c r="B8" s="8" t="s">
        <v>7</v>
      </c>
      <c r="C8" s="8"/>
      <c r="D8" s="7" t="e">
        <f t="shared" ref="D8:D9" si="4">+#REF!</f>
        <v>#REF!</v>
      </c>
      <c r="E8" s="4" t="e">
        <f t="shared" si="1"/>
        <v>#REF!</v>
      </c>
      <c r="F8" s="5" t="e">
        <f t="shared" ref="F8:F16" si="5">+#REF!</f>
        <v>#REF!</v>
      </c>
      <c r="G8" s="6" t="e">
        <f t="shared" si="3"/>
        <v>#REF!</v>
      </c>
      <c r="H8" s="2"/>
      <c r="I8" s="1"/>
    </row>
    <row r="9" spans="2:9" hidden="1" outlineLevel="1" x14ac:dyDescent="0.2">
      <c r="B9" s="2" t="s">
        <v>8</v>
      </c>
      <c r="C9" s="2"/>
      <c r="D9" s="3" t="e">
        <f t="shared" si="4"/>
        <v>#REF!</v>
      </c>
      <c r="E9" s="4" t="e">
        <f t="shared" si="1"/>
        <v>#REF!</v>
      </c>
      <c r="F9" s="5" t="e">
        <f t="shared" si="5"/>
        <v>#REF!</v>
      </c>
      <c r="G9" s="6" t="e">
        <f t="shared" si="3"/>
        <v>#REF!</v>
      </c>
      <c r="H9" s="9"/>
      <c r="I9" s="1"/>
    </row>
    <row r="10" spans="2:9" collapsed="1" x14ac:dyDescent="0.2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15" t="e">
        <f t="shared" si="3"/>
        <v>#REF!</v>
      </c>
      <c r="H10" s="16"/>
      <c r="I10" s="1"/>
    </row>
    <row r="11" spans="2:9" x14ac:dyDescent="0.2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15" t="e">
        <f t="shared" si="3"/>
        <v>#REF!</v>
      </c>
      <c r="H11" s="16"/>
      <c r="I11" s="1"/>
    </row>
    <row r="12" spans="2:9" x14ac:dyDescent="0.2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15" t="e">
        <f t="shared" si="3"/>
        <v>#REF!</v>
      </c>
      <c r="H12" s="16"/>
      <c r="I12" s="1"/>
    </row>
    <row r="13" spans="2:9" x14ac:dyDescent="0.2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15" t="e">
        <f t="shared" si="3"/>
        <v>#REF!</v>
      </c>
      <c r="H13" s="16"/>
      <c r="I13" s="1"/>
    </row>
    <row r="14" spans="2:9" x14ac:dyDescent="0.2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15" t="e">
        <f t="shared" si="3"/>
        <v>#REF!</v>
      </c>
      <c r="H14" s="16"/>
      <c r="I14" s="1"/>
    </row>
    <row r="15" spans="2:9" x14ac:dyDescent="0.2">
      <c r="B15" s="10" t="s">
        <v>14</v>
      </c>
      <c r="C15" s="11"/>
      <c r="D15" s="17">
        <f>+Utilidad!D95</f>
        <v>0</v>
      </c>
      <c r="E15" s="13">
        <f t="shared" si="1"/>
        <v>0</v>
      </c>
      <c r="F15" s="14" t="e">
        <f t="shared" si="5"/>
        <v>#REF!</v>
      </c>
      <c r="G15" s="15">
        <f t="shared" si="3"/>
        <v>0</v>
      </c>
      <c r="H15" s="16"/>
      <c r="I15" s="1"/>
    </row>
    <row r="16" spans="2:9" x14ac:dyDescent="0.2">
      <c r="B16" s="10" t="s">
        <v>15</v>
      </c>
      <c r="C16" s="11"/>
      <c r="D16" s="17">
        <f>+Utilidad!D93</f>
        <v>0</v>
      </c>
      <c r="E16" s="13">
        <f t="shared" si="1"/>
        <v>0</v>
      </c>
      <c r="F16" s="14" t="e">
        <f t="shared" si="5"/>
        <v>#REF!</v>
      </c>
      <c r="G16" s="15">
        <f t="shared" si="3"/>
        <v>0</v>
      </c>
      <c r="H16" s="16"/>
      <c r="I16" s="1"/>
    </row>
    <row r="17" spans="2:9" x14ac:dyDescent="0.2">
      <c r="B17" s="10" t="s">
        <v>16</v>
      </c>
      <c r="C17" s="11" t="e">
        <f t="shared" ref="C17:C22" si="11">+#REF!</f>
        <v>#REF!</v>
      </c>
      <c r="D17" s="17">
        <f>+Utilidad!D100</f>
        <v>0</v>
      </c>
      <c r="E17" s="13">
        <f t="shared" si="1"/>
        <v>0</v>
      </c>
      <c r="F17" s="18">
        <f>+Utilidad!F100</f>
        <v>0</v>
      </c>
      <c r="G17" s="15">
        <f t="shared" si="3"/>
        <v>0</v>
      </c>
      <c r="H17" s="16"/>
      <c r="I17" s="1"/>
    </row>
    <row r="18" spans="2:9" x14ac:dyDescent="0.2">
      <c r="B18" s="10" t="s">
        <v>17</v>
      </c>
      <c r="C18" s="11" t="e">
        <f t="shared" si="11"/>
        <v>#REF!</v>
      </c>
      <c r="D18" s="17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15">
        <f t="shared" si="3"/>
        <v>0</v>
      </c>
      <c r="H18" s="16"/>
      <c r="I18" s="1"/>
    </row>
    <row r="19" spans="2:9" x14ac:dyDescent="0.2">
      <c r="B19" s="10" t="s">
        <v>18</v>
      </c>
      <c r="C19" s="11" t="e">
        <f t="shared" si="11"/>
        <v>#REF!</v>
      </c>
      <c r="D19" s="17">
        <f>+Utilidad!D104</f>
        <v>0</v>
      </c>
      <c r="E19" s="13">
        <f t="shared" si="1"/>
        <v>0</v>
      </c>
      <c r="F19" s="14" t="e">
        <f t="shared" si="12"/>
        <v>#REF!</v>
      </c>
      <c r="G19" s="15">
        <f t="shared" si="3"/>
        <v>0</v>
      </c>
      <c r="H19" s="16"/>
      <c r="I19" s="1"/>
    </row>
    <row r="20" spans="2:9" x14ac:dyDescent="0.2">
      <c r="B20" s="10" t="s">
        <v>19</v>
      </c>
      <c r="C20" s="11" t="e">
        <f t="shared" si="11"/>
        <v>#REF!</v>
      </c>
      <c r="D20" s="17">
        <f>+Utilidad!D121</f>
        <v>0</v>
      </c>
      <c r="E20" s="13">
        <f t="shared" si="1"/>
        <v>0</v>
      </c>
      <c r="F20" s="18">
        <f>+Utilidad!F121</f>
        <v>0</v>
      </c>
      <c r="G20" s="15">
        <f t="shared" si="3"/>
        <v>0</v>
      </c>
      <c r="H20" s="16"/>
      <c r="I20" s="1"/>
    </row>
    <row r="21" spans="2:9" ht="15.75" customHeight="1" x14ac:dyDescent="0.2">
      <c r="B21" s="10" t="s">
        <v>20</v>
      </c>
      <c r="C21" s="11" t="e">
        <f t="shared" si="11"/>
        <v>#REF!</v>
      </c>
      <c r="D21" s="17">
        <f>+Utilidad!D123</f>
        <v>0</v>
      </c>
      <c r="E21" s="13">
        <f t="shared" si="1"/>
        <v>0</v>
      </c>
      <c r="F21" s="14" t="e">
        <f>+#REF!</f>
        <v>#REF!</v>
      </c>
      <c r="G21" s="15">
        <f t="shared" si="3"/>
        <v>0</v>
      </c>
      <c r="H21" s="16"/>
      <c r="I21" s="1"/>
    </row>
    <row r="22" spans="2:9" ht="15.75" customHeight="1" x14ac:dyDescent="0.2">
      <c r="B22" s="10" t="s">
        <v>21</v>
      </c>
      <c r="C22" s="11" t="e">
        <f t="shared" si="11"/>
        <v>#REF!</v>
      </c>
      <c r="D22" s="17">
        <f>+Utilidad!D125</f>
        <v>0</v>
      </c>
      <c r="E22" s="13">
        <f t="shared" si="1"/>
        <v>0</v>
      </c>
      <c r="F22" s="18">
        <f>+Utilidad!F125</f>
        <v>0</v>
      </c>
      <c r="G22" s="15">
        <f t="shared" si="3"/>
        <v>0</v>
      </c>
      <c r="H22" s="16"/>
      <c r="I22" s="1"/>
    </row>
    <row r="23" spans="2:9" ht="15.75" customHeight="1" x14ac:dyDescent="0.2">
      <c r="C23" s="1"/>
    </row>
    <row r="24" spans="2:9" ht="15.75" customHeight="1" x14ac:dyDescent="0.2">
      <c r="C24" s="1"/>
    </row>
    <row r="25" spans="2:9" ht="15.75" customHeight="1" x14ac:dyDescent="0.2">
      <c r="C25" s="1"/>
    </row>
    <row r="26" spans="2:9" ht="15.75" customHeight="1" x14ac:dyDescent="0.2">
      <c r="C26" s="1"/>
      <c r="D26" s="19"/>
    </row>
    <row r="27" spans="2:9" ht="15.75" customHeight="1" x14ac:dyDescent="0.2">
      <c r="C27" s="1"/>
    </row>
    <row r="28" spans="2:9" ht="15.75" customHeight="1" x14ac:dyDescent="0.2">
      <c r="C28" s="1"/>
    </row>
    <row r="29" spans="2:9" ht="15.75" customHeight="1" x14ac:dyDescent="0.2">
      <c r="C29" s="1"/>
    </row>
    <row r="30" spans="2:9" ht="15.75" customHeight="1" x14ac:dyDescent="0.2">
      <c r="C30" s="1"/>
    </row>
    <row r="31" spans="2:9" ht="15.75" customHeight="1" x14ac:dyDescent="0.2">
      <c r="C31" s="1"/>
    </row>
    <row r="32" spans="2:9" ht="15.75" customHeight="1" x14ac:dyDescent="0.2">
      <c r="C32" s="1"/>
    </row>
    <row r="33" spans="3:3" ht="15.75" customHeight="1" x14ac:dyDescent="0.2">
      <c r="C33" s="1"/>
    </row>
    <row r="34" spans="3:3" ht="15.75" customHeight="1" x14ac:dyDescent="0.2">
      <c r="C34" s="1"/>
    </row>
    <row r="35" spans="3:3" ht="15.75" customHeight="1" x14ac:dyDescent="0.2">
      <c r="C35" s="1"/>
    </row>
    <row r="36" spans="3:3" ht="15.75" customHeight="1" x14ac:dyDescent="0.2">
      <c r="C36" s="1"/>
    </row>
    <row r="37" spans="3:3" ht="15.75" customHeight="1" x14ac:dyDescent="0.2">
      <c r="C37" s="1"/>
    </row>
    <row r="38" spans="3:3" ht="15.75" customHeight="1" x14ac:dyDescent="0.2">
      <c r="C38" s="1"/>
    </row>
    <row r="39" spans="3:3" ht="15.75" customHeight="1" x14ac:dyDescent="0.2">
      <c r="C39" s="1"/>
    </row>
    <row r="40" spans="3:3" ht="15.75" customHeight="1" x14ac:dyDescent="0.2">
      <c r="C40" s="1"/>
    </row>
    <row r="41" spans="3:3" ht="15.75" customHeight="1" x14ac:dyDescent="0.2">
      <c r="C41" s="1"/>
    </row>
    <row r="42" spans="3:3" ht="15.75" customHeight="1" x14ac:dyDescent="0.2">
      <c r="C42" s="1"/>
    </row>
    <row r="43" spans="3:3" ht="15.75" customHeight="1" x14ac:dyDescent="0.2">
      <c r="C43" s="1"/>
    </row>
    <row r="44" spans="3:3" ht="15.75" customHeight="1" x14ac:dyDescent="0.2">
      <c r="C44" s="1"/>
    </row>
    <row r="45" spans="3:3" ht="15.75" customHeight="1" x14ac:dyDescent="0.2">
      <c r="C45" s="1"/>
    </row>
    <row r="46" spans="3:3" ht="15.75" customHeight="1" x14ac:dyDescent="0.2">
      <c r="C46" s="1"/>
    </row>
    <row r="47" spans="3:3" ht="15.75" customHeight="1" x14ac:dyDescent="0.2">
      <c r="C47" s="1"/>
    </row>
    <row r="48" spans="3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20"/>
      <c r="B3" s="20"/>
      <c r="C3" s="20"/>
      <c r="D3" s="20"/>
      <c r="E3" s="20"/>
      <c r="F3" s="20"/>
      <c r="G3" s="20"/>
      <c r="H3" s="20"/>
      <c r="I3" s="20"/>
      <c r="J3" s="21" t="s">
        <v>22</v>
      </c>
      <c r="K3" s="22" t="s">
        <v>23</v>
      </c>
      <c r="L3" s="22" t="s">
        <v>24</v>
      </c>
      <c r="M3" s="21" t="s">
        <v>25</v>
      </c>
      <c r="N3" s="21" t="s">
        <v>26</v>
      </c>
      <c r="O3" s="22" t="s">
        <v>27</v>
      </c>
      <c r="P3" s="22" t="s">
        <v>28</v>
      </c>
      <c r="Q3" s="21" t="s">
        <v>29</v>
      </c>
      <c r="R3" s="22" t="s">
        <v>30</v>
      </c>
      <c r="S3" s="22" t="s">
        <v>31</v>
      </c>
      <c r="T3" s="21" t="s">
        <v>32</v>
      </c>
      <c r="U3" s="23"/>
      <c r="V3" s="23"/>
      <c r="W3" s="23">
        <f t="array" ref="W3:AU14">+TRANSPOSE(I3:T27)</f>
        <v>0</v>
      </c>
      <c r="X3" s="23" t="str">
        <v>Alimentación Mina</v>
      </c>
      <c r="Y3" s="23" t="str">
        <v>Alim a Planta desde Acopio Mina</v>
      </c>
      <c r="Z3" s="23" t="str">
        <v>Acopio Mina a Terceros</v>
      </c>
      <c r="AA3" s="23" t="str">
        <v>Delta S Acopio Mina</v>
      </c>
      <c r="AB3" s="23" t="str">
        <v>Alim a Chancado</v>
      </c>
      <c r="AC3" s="23" t="str">
        <v>Chanc a Stock Prec Los Col.</v>
      </c>
      <c r="AD3" s="23" t="str">
        <v>Chanc a Stock Grueso</v>
      </c>
      <c r="AE3" s="23" t="str">
        <v>Delta Stock de Grueso</v>
      </c>
      <c r="AF3" s="23" t="str">
        <v>De Stock Grueso a conc magn (alim A52 y A82)</v>
      </c>
      <c r="AG3" s="23" t="str">
        <v>Stock Prec a (o desde) Acopio Mina</v>
      </c>
      <c r="AH3" s="23" t="str">
        <v>Delta Stock Prec</v>
      </c>
      <c r="AI3" s="23" t="str">
        <v>de Stock Prec a Terceros (a otras faenas)</v>
      </c>
      <c r="AJ3" s="23" t="str">
        <v>de Conc Magnética a Stock Prec (Prod A52 y A 82)</v>
      </c>
      <c r="AK3" s="23" t="str">
        <v>total de rechazo</v>
      </c>
      <c r="AL3" s="23" t="str">
        <v>Rechazo  a Stock de Rechazo</v>
      </c>
      <c r="AM3" s="23" t="str">
        <v>alim fresca a Planta Rechazo</v>
      </c>
      <c r="AN3" s="23" t="str">
        <v>Delta Stock de Rechazo</v>
      </c>
      <c r="AO3" s="23" t="str">
        <v>Stock Rechazo a Planta Rechazo</v>
      </c>
      <c r="AP3" s="23" t="str">
        <v>Alimentación Planta Rechazo</v>
      </c>
      <c r="AQ3" s="23" t="str">
        <v>Rechazo Final Los Colorados</v>
      </c>
      <c r="AR3" s="23" t="str">
        <v>Producción Planta Rechazo a Stock P40</v>
      </c>
      <c r="AS3" s="23" t="str">
        <v>Delta Stock P40</v>
      </c>
      <c r="AT3" s="23" t="str">
        <v>Venta desde P40</v>
      </c>
      <c r="AU3" s="23" t="str">
        <v>de Stoc Prec a Nodo Alim Planta de Pellet</v>
      </c>
    </row>
    <row r="4" spans="1:47" outlineLevel="1" x14ac:dyDescent="0.2">
      <c r="G4" s="24" t="s">
        <v>50</v>
      </c>
      <c r="H4" s="1">
        <v>1</v>
      </c>
      <c r="I4" s="25" t="s">
        <v>33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24" t="s">
        <v>50</v>
      </c>
      <c r="H5" s="1">
        <v>2</v>
      </c>
      <c r="I5" s="25" t="s">
        <v>34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24" t="s">
        <v>50</v>
      </c>
      <c r="H6" s="1">
        <v>3</v>
      </c>
      <c r="I6" s="25" t="s">
        <v>35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24" t="s">
        <v>50</v>
      </c>
      <c r="H7" s="1">
        <v>4</v>
      </c>
      <c r="I7" s="25" t="s">
        <v>4</v>
      </c>
      <c r="J7" s="26" t="e">
        <f>+'Nodos Variac Inventarios'!G5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24" t="s">
        <v>50</v>
      </c>
      <c r="H8" s="1">
        <v>5</v>
      </c>
      <c r="I8" s="25" t="s">
        <v>36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24" t="s">
        <v>50</v>
      </c>
      <c r="H9" s="1">
        <v>6</v>
      </c>
      <c r="I9" s="25" t="s">
        <v>37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24" t="s">
        <v>50</v>
      </c>
      <c r="H10" s="1">
        <v>7</v>
      </c>
      <c r="I10" s="25" t="s">
        <v>38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24" t="s">
        <v>50</v>
      </c>
      <c r="H11" s="1">
        <v>8</v>
      </c>
      <c r="I11" s="25" t="s">
        <v>5</v>
      </c>
      <c r="J11" s="1">
        <v>0</v>
      </c>
      <c r="K11" s="1">
        <v>0</v>
      </c>
      <c r="L11" s="1">
        <v>0</v>
      </c>
      <c r="M11" s="1">
        <v>0</v>
      </c>
      <c r="N11" s="26" t="e">
        <f>+'Nodos Variac Inventarios'!G6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24" t="s">
        <v>50</v>
      </c>
      <c r="H12" s="1">
        <v>9</v>
      </c>
      <c r="I12" s="25" t="s">
        <v>39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24" t="s">
        <v>50</v>
      </c>
      <c r="H13" s="1">
        <v>10</v>
      </c>
      <c r="I13" s="25" t="s">
        <v>40</v>
      </c>
      <c r="J13" s="27">
        <v>1</v>
      </c>
      <c r="K13" s="1">
        <v>0</v>
      </c>
      <c r="L13" s="1">
        <v>0</v>
      </c>
      <c r="M13" s="27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24" t="s">
        <v>50</v>
      </c>
      <c r="H14" s="1">
        <v>11</v>
      </c>
      <c r="I14" s="25" t="s">
        <v>6</v>
      </c>
      <c r="J14" s="1">
        <v>0</v>
      </c>
      <c r="K14" s="1">
        <v>0</v>
      </c>
      <c r="L14" s="1">
        <v>0</v>
      </c>
      <c r="M14" s="26" t="e">
        <f>+'Nodos Variac Inventarios'!G7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24" t="s">
        <v>50</v>
      </c>
      <c r="H15" s="1">
        <v>12</v>
      </c>
      <c r="I15" s="25" t="s">
        <v>41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24" t="s">
        <v>50</v>
      </c>
      <c r="H16" s="1">
        <v>13</v>
      </c>
      <c r="I16" s="25" t="s">
        <v>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24" t="s">
        <v>50</v>
      </c>
      <c r="H17" s="1">
        <v>14</v>
      </c>
      <c r="I17" s="25" t="s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24" t="s">
        <v>50</v>
      </c>
      <c r="H18" s="1">
        <v>15</v>
      </c>
      <c r="I18" s="25" t="s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51</v>
      </c>
      <c r="AH18" s="1" t="s">
        <v>52</v>
      </c>
    </row>
    <row r="19" spans="7:36" outlineLevel="1" x14ac:dyDescent="0.2">
      <c r="G19" s="24" t="s">
        <v>50</v>
      </c>
      <c r="H19" s="1">
        <v>16</v>
      </c>
      <c r="I19" s="25" t="s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28">
        <v>1</v>
      </c>
      <c r="AG19" s="29">
        <f t="shared" ref="AG19:AG42" si="0">+M46</f>
        <v>502781.82030850503</v>
      </c>
      <c r="AH19" s="29">
        <f t="shared" ref="AH19:AH42" si="1">+O46</f>
        <v>231983.78607040126</v>
      </c>
    </row>
    <row r="20" spans="7:36" outlineLevel="1" x14ac:dyDescent="0.2">
      <c r="G20" s="24" t="s">
        <v>50</v>
      </c>
      <c r="H20" s="1">
        <v>17</v>
      </c>
      <c r="I20" s="25" t="s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6" t="e">
        <f>+'Nodos Variac Inventarios'!G8</f>
        <v>#REF!</v>
      </c>
      <c r="R20" s="1">
        <v>0</v>
      </c>
      <c r="S20" s="1">
        <v>0</v>
      </c>
      <c r="T20" s="1">
        <v>0</v>
      </c>
      <c r="AF20" s="28">
        <v>2</v>
      </c>
      <c r="AG20" s="29">
        <f t="shared" si="0"/>
        <v>0</v>
      </c>
      <c r="AH20" s="29">
        <f t="shared" si="1"/>
        <v>0</v>
      </c>
    </row>
    <row r="21" spans="7:36" ht="15.75" customHeight="1" outlineLevel="1" x14ac:dyDescent="0.2">
      <c r="G21" s="24" t="s">
        <v>50</v>
      </c>
      <c r="H21" s="1">
        <v>18</v>
      </c>
      <c r="I21" s="25" t="s">
        <v>54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28">
        <v>3</v>
      </c>
      <c r="AG21" s="29">
        <f t="shared" si="0"/>
        <v>12961.629000000001</v>
      </c>
      <c r="AH21" s="29">
        <f t="shared" si="1"/>
        <v>7704.8210577451482</v>
      </c>
    </row>
    <row r="22" spans="7:36" ht="15.75" customHeight="1" outlineLevel="1" x14ac:dyDescent="0.2">
      <c r="G22" s="24" t="s">
        <v>50</v>
      </c>
      <c r="H22" s="1">
        <v>19</v>
      </c>
      <c r="I22" s="25" t="s">
        <v>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28">
        <v>4</v>
      </c>
      <c r="AG22" s="29">
        <f t="shared" si="0"/>
        <v>1770.5761999999995</v>
      </c>
      <c r="AH22" s="29">
        <f t="shared" si="1"/>
        <v>1150.0815539081302</v>
      </c>
    </row>
    <row r="23" spans="7:36" ht="15.75" customHeight="1" outlineLevel="1" x14ac:dyDescent="0.2">
      <c r="G23" s="24" t="s">
        <v>50</v>
      </c>
      <c r="H23" s="1">
        <v>20</v>
      </c>
      <c r="I23" s="25" t="s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28">
        <v>5</v>
      </c>
      <c r="AG23" s="29">
        <f t="shared" si="0"/>
        <v>502781.82030850503</v>
      </c>
      <c r="AH23" s="29">
        <f t="shared" si="1"/>
        <v>231983.78607040123</v>
      </c>
    </row>
    <row r="24" spans="7:36" ht="15.75" customHeight="1" outlineLevel="1" x14ac:dyDescent="0.2">
      <c r="G24" s="24" t="s">
        <v>50</v>
      </c>
      <c r="H24" s="1">
        <v>21</v>
      </c>
      <c r="I24" s="25" t="s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28">
        <v>6</v>
      </c>
      <c r="AG24" s="29">
        <f t="shared" si="0"/>
        <v>0</v>
      </c>
      <c r="AH24" s="29">
        <f t="shared" si="1"/>
        <v>0</v>
      </c>
    </row>
    <row r="25" spans="7:36" ht="15.75" customHeight="1" outlineLevel="1" x14ac:dyDescent="0.2">
      <c r="G25" s="24" t="s">
        <v>50</v>
      </c>
      <c r="H25" s="1">
        <v>22</v>
      </c>
      <c r="I25" s="25" t="s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6" t="e">
        <f>+'Nodos Variac Inventarios'!G9</f>
        <v>#REF!</v>
      </c>
      <c r="AF25" s="28">
        <v>7</v>
      </c>
      <c r="AG25" s="29">
        <f t="shared" si="0"/>
        <v>502781.82030850503</v>
      </c>
      <c r="AH25" s="29">
        <f t="shared" si="1"/>
        <v>231983.78607040123</v>
      </c>
    </row>
    <row r="26" spans="7:36" ht="15.75" customHeight="1" outlineLevel="1" x14ac:dyDescent="0.2">
      <c r="G26" s="24" t="s">
        <v>50</v>
      </c>
      <c r="H26" s="1">
        <v>23</v>
      </c>
      <c r="I26" s="25" t="s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28">
        <v>8</v>
      </c>
      <c r="AG26" s="29">
        <f t="shared" si="0"/>
        <v>44584.890479999987</v>
      </c>
      <c r="AH26" s="29">
        <f t="shared" si="1"/>
        <v>15862.288869787022</v>
      </c>
    </row>
    <row r="27" spans="7:36" ht="15.75" customHeight="1" outlineLevel="1" x14ac:dyDescent="0.2">
      <c r="G27" s="24" t="s">
        <v>50</v>
      </c>
      <c r="H27" s="1">
        <v>24</v>
      </c>
      <c r="I27" s="30" t="s">
        <v>49</v>
      </c>
      <c r="J27" s="31">
        <v>0</v>
      </c>
      <c r="K27" s="31">
        <v>0</v>
      </c>
      <c r="L27" s="31">
        <v>0</v>
      </c>
      <c r="M27" s="31">
        <v>-1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AF27" s="28">
        <v>9</v>
      </c>
      <c r="AG27" s="29">
        <f t="shared" si="0"/>
        <v>458196.92982851854</v>
      </c>
      <c r="AH27" s="29">
        <f t="shared" si="1"/>
        <v>216121.49720061384</v>
      </c>
    </row>
    <row r="28" spans="7:36" ht="15.75" customHeight="1" outlineLevel="1" x14ac:dyDescent="0.2">
      <c r="G28" s="24"/>
      <c r="AF28" s="28">
        <v>10</v>
      </c>
      <c r="AG28" s="29">
        <f t="shared" si="0"/>
        <v>14732.2052</v>
      </c>
      <c r="AH28" s="29">
        <f t="shared" si="1"/>
        <v>8854.9026116532787</v>
      </c>
      <c r="AI28" s="29"/>
      <c r="AJ28" s="29"/>
    </row>
    <row r="29" spans="7:36" ht="15.75" customHeight="1" outlineLevel="1" x14ac:dyDescent="0.2">
      <c r="G29" s="24"/>
      <c r="AF29" s="28">
        <v>11</v>
      </c>
      <c r="AG29" s="29">
        <f t="shared" si="0"/>
        <v>30901.954517017632</v>
      </c>
      <c r="AH29" s="29">
        <f t="shared" si="1"/>
        <v>28476.531242053443</v>
      </c>
      <c r="AI29" s="29"/>
      <c r="AJ29" s="29"/>
    </row>
    <row r="30" spans="7:36" ht="15.75" customHeight="1" outlineLevel="1" x14ac:dyDescent="0.2">
      <c r="G30" s="24"/>
      <c r="AF30" s="28">
        <v>12</v>
      </c>
      <c r="AG30" s="29">
        <f t="shared" si="0"/>
        <v>16162.331</v>
      </c>
      <c r="AH30" s="29">
        <f t="shared" si="1"/>
        <v>9675.4587302503223</v>
      </c>
      <c r="AI30" s="29"/>
      <c r="AJ30" s="29"/>
    </row>
    <row r="31" spans="7:36" ht="15.75" customHeight="1" outlineLevel="1" x14ac:dyDescent="0.2">
      <c r="G31" s="24"/>
      <c r="AF31" s="28">
        <v>13</v>
      </c>
      <c r="AG31" s="29">
        <f t="shared" si="0"/>
        <v>345267.33650650288</v>
      </c>
      <c r="AH31" s="29">
        <f t="shared" si="1"/>
        <v>198183.7605973435</v>
      </c>
      <c r="AI31" s="29"/>
      <c r="AJ31" s="29"/>
    </row>
    <row r="32" spans="7:36" ht="15.75" customHeight="1" outlineLevel="1" x14ac:dyDescent="0.2">
      <c r="G32" s="24"/>
      <c r="AF32" s="28">
        <v>14</v>
      </c>
      <c r="AG32" s="29">
        <f t="shared" si="0"/>
        <v>112929.59332199999</v>
      </c>
      <c r="AH32" s="29">
        <f t="shared" si="1"/>
        <v>17937.73660326648</v>
      </c>
      <c r="AI32" s="29"/>
      <c r="AJ32" s="29"/>
    </row>
    <row r="33" spans="4:36" ht="15.75" customHeight="1" outlineLevel="1" x14ac:dyDescent="0.2">
      <c r="G33" s="24"/>
      <c r="AF33" s="28">
        <v>15</v>
      </c>
      <c r="AG33" s="29">
        <f t="shared" si="0"/>
        <v>30174.414309067877</v>
      </c>
      <c r="AH33" s="29">
        <f t="shared" si="1"/>
        <v>5989.7466433757972</v>
      </c>
      <c r="AI33" s="29"/>
      <c r="AJ33" s="29"/>
    </row>
    <row r="34" spans="4:36" ht="15.75" customHeight="1" outlineLevel="1" x14ac:dyDescent="0.2">
      <c r="G34" s="24"/>
      <c r="AF34" s="28">
        <v>16</v>
      </c>
      <c r="AG34" s="29">
        <f t="shared" si="0"/>
        <v>82755.179012932131</v>
      </c>
      <c r="AH34" s="29">
        <f t="shared" si="1"/>
        <v>11947.989959159877</v>
      </c>
      <c r="AI34" s="29"/>
      <c r="AJ34" s="29"/>
    </row>
    <row r="35" spans="4:36" ht="15.75" customHeight="1" outlineLevel="1" x14ac:dyDescent="0.2">
      <c r="G35" s="24"/>
      <c r="AF35" s="28">
        <v>17</v>
      </c>
      <c r="AG35" s="29">
        <f t="shared" si="0"/>
        <v>14174.322317347074</v>
      </c>
      <c r="AH35" s="29">
        <f t="shared" si="1"/>
        <v>3614.2837117004206</v>
      </c>
      <c r="AI35" s="29"/>
      <c r="AJ35" s="29"/>
    </row>
    <row r="36" spans="4:36" ht="15.75" customHeight="1" outlineLevel="1" x14ac:dyDescent="0.2">
      <c r="G36" s="24"/>
      <c r="AF36" s="28">
        <v>18</v>
      </c>
      <c r="AG36" s="29">
        <f t="shared" si="0"/>
        <v>44348.736626414939</v>
      </c>
      <c r="AH36" s="29">
        <f t="shared" si="1"/>
        <v>9604.0303558096184</v>
      </c>
      <c r="AI36" s="29"/>
      <c r="AJ36" s="29"/>
    </row>
    <row r="37" spans="4:36" ht="15.75" customHeight="1" outlineLevel="1" x14ac:dyDescent="0.2">
      <c r="G37" s="24"/>
      <c r="AF37" s="28">
        <v>19</v>
      </c>
      <c r="AG37" s="29">
        <f t="shared" si="0"/>
        <v>127103.91563934706</v>
      </c>
      <c r="AH37" s="29">
        <f t="shared" si="1"/>
        <v>21552.0203149669</v>
      </c>
      <c r="AI37" s="29"/>
      <c r="AJ37" s="29"/>
    </row>
    <row r="38" spans="4:36" ht="15.75" customHeight="1" outlineLevel="1" x14ac:dyDescent="0.2">
      <c r="G38" s="24"/>
      <c r="AF38" s="28">
        <v>20</v>
      </c>
      <c r="AG38" s="29">
        <f t="shared" si="0"/>
        <v>108284.65870939114</v>
      </c>
      <c r="AH38" s="29">
        <f t="shared" si="1"/>
        <v>14049.347154701374</v>
      </c>
      <c r="AI38" s="29"/>
      <c r="AJ38" s="29"/>
    </row>
    <row r="39" spans="4:36" ht="15.75" customHeight="1" outlineLevel="1" x14ac:dyDescent="0.2">
      <c r="G39" s="24"/>
      <c r="AF39" s="28">
        <v>21</v>
      </c>
      <c r="AG39" s="29">
        <f t="shared" si="0"/>
        <v>18819.256929955947</v>
      </c>
      <c r="AH39" s="29">
        <f t="shared" si="1"/>
        <v>7502.6731602655373</v>
      </c>
      <c r="AI39" s="29"/>
      <c r="AJ39" s="29"/>
    </row>
    <row r="40" spans="4:36" ht="15.75" customHeight="1" outlineLevel="1" x14ac:dyDescent="0.2">
      <c r="G40" s="24"/>
      <c r="AF40" s="28">
        <v>22</v>
      </c>
      <c r="AG40" s="29">
        <f t="shared" si="0"/>
        <v>311.60807004405655</v>
      </c>
      <c r="AH40" s="29">
        <f t="shared" si="1"/>
        <v>117.65024330446384</v>
      </c>
      <c r="AI40" s="29"/>
      <c r="AJ40" s="29"/>
    </row>
    <row r="41" spans="4:36" ht="15.75" customHeight="1" outlineLevel="1" x14ac:dyDescent="0.2">
      <c r="G41" s="24"/>
      <c r="AF41" s="28">
        <v>23</v>
      </c>
      <c r="AG41" s="29">
        <f t="shared" si="0"/>
        <v>19130.865000000002</v>
      </c>
      <c r="AH41" s="29">
        <f t="shared" si="1"/>
        <v>7620.3234035700007</v>
      </c>
      <c r="AI41" s="29"/>
      <c r="AJ41" s="29"/>
    </row>
    <row r="42" spans="4:36" ht="15.75" customHeight="1" outlineLevel="1" x14ac:dyDescent="0.2">
      <c r="G42" s="24"/>
      <c r="AF42" s="28">
        <v>24</v>
      </c>
      <c r="AG42" s="29">
        <f t="shared" si="0"/>
        <v>673884.94200000004</v>
      </c>
      <c r="AH42" s="29">
        <f t="shared" si="1"/>
        <v>410848.95586592209</v>
      </c>
      <c r="AI42" s="29"/>
      <c r="AJ42" s="29"/>
    </row>
    <row r="43" spans="4:36" ht="15.75" customHeight="1" x14ac:dyDescent="0.2">
      <c r="D43" s="19"/>
      <c r="AB43" s="32" t="s">
        <v>55</v>
      </c>
      <c r="AC43" s="32"/>
      <c r="AI43" s="29"/>
      <c r="AJ43" s="29"/>
    </row>
    <row r="44" spans="4:36" ht="32.25" customHeight="1" x14ac:dyDescent="0.25">
      <c r="D44" s="19"/>
      <c r="J44" s="485" t="s">
        <v>56</v>
      </c>
      <c r="K44" s="486"/>
      <c r="M44" s="487" t="s">
        <v>57</v>
      </c>
      <c r="N44" s="488"/>
      <c r="O44" s="489"/>
      <c r="R44" s="490" t="s">
        <v>58</v>
      </c>
      <c r="S44" s="486"/>
      <c r="T44" s="33" t="s">
        <v>59</v>
      </c>
      <c r="V44" s="34" t="s">
        <v>60</v>
      </c>
      <c r="AB44" s="32" t="s">
        <v>51</v>
      </c>
      <c r="AC44" s="32" t="s">
        <v>52</v>
      </c>
      <c r="AE44" s="1" t="e">
        <f>+V45</f>
        <v>#REF!</v>
      </c>
      <c r="AI44" s="29"/>
      <c r="AJ44" s="29"/>
    </row>
    <row r="45" spans="4:36" ht="15.75" customHeight="1" x14ac:dyDescent="0.2">
      <c r="D45" s="19"/>
      <c r="J45" s="35" t="s">
        <v>51</v>
      </c>
      <c r="K45" s="35" t="s">
        <v>3</v>
      </c>
      <c r="M45" s="36" t="s">
        <v>51</v>
      </c>
      <c r="N45" s="37" t="s">
        <v>3</v>
      </c>
      <c r="O45" s="38" t="s">
        <v>61</v>
      </c>
      <c r="R45" s="39" t="s">
        <v>51</v>
      </c>
      <c r="S45" s="39" t="s">
        <v>62</v>
      </c>
      <c r="T45" s="40" t="e">
        <f>+MAX(T46:T69)</f>
        <v>#REF!</v>
      </c>
      <c r="V45" s="40" t="e">
        <f>+MAX(V46:V69)</f>
        <v>#REF!</v>
      </c>
      <c r="AA45" s="1" t="s">
        <v>22</v>
      </c>
      <c r="AB45" s="32" t="e">
        <f t="array" ref="AB45">+MMULT(X4:AU14,AG19:AH42)</f>
        <v>#REF!</v>
      </c>
      <c r="AC45" s="32"/>
      <c r="AI45" s="29"/>
      <c r="AJ45" s="29"/>
    </row>
    <row r="46" spans="4:36" ht="15.75" customHeight="1" x14ac:dyDescent="0.2">
      <c r="G46" s="24"/>
      <c r="H46" s="1">
        <f t="shared" ref="H46:I46" si="2">+H4</f>
        <v>1</v>
      </c>
      <c r="I46" s="2" t="str">
        <f t="shared" si="2"/>
        <v>Alimentación Mina</v>
      </c>
      <c r="J46" s="41" t="e">
        <f t="shared" ref="J46:K46" si="3">+#REF!</f>
        <v>#REF!</v>
      </c>
      <c r="K46" s="42" t="e">
        <f t="shared" si="3"/>
        <v>#REF!</v>
      </c>
      <c r="L46" s="1" t="s">
        <v>63</v>
      </c>
      <c r="M46" s="43">
        <v>502781.82030850503</v>
      </c>
      <c r="N46" s="44">
        <v>0.46140050554742984</v>
      </c>
      <c r="O46" s="43">
        <f t="shared" ref="O46:O69" si="4">+M46*N46</f>
        <v>231983.78607040126</v>
      </c>
      <c r="R46" s="44" t="e">
        <f t="shared" ref="R46:S46" si="5">+IF(J46&lt;&gt;0,(M46-J46)/J46,0)</f>
        <v>#REF!</v>
      </c>
      <c r="S46" s="44" t="e">
        <f t="shared" si="5"/>
        <v>#REF!</v>
      </c>
      <c r="T46" s="45" t="e">
        <f t="shared" ref="T46:T69" si="6">+IF(R46&lt;&gt;"",ABS(R46),0)</f>
        <v>#REF!</v>
      </c>
      <c r="U46" s="46"/>
      <c r="V46" s="45" t="e">
        <f t="shared" ref="V46:V69" si="7">+IF(S46&lt;&gt;"",ABS(S46),0)</f>
        <v>#REF!</v>
      </c>
      <c r="W46" s="46">
        <v>0.02</v>
      </c>
      <c r="AA46" s="1" t="s">
        <v>23</v>
      </c>
      <c r="AB46" s="32"/>
      <c r="AC46" s="32"/>
      <c r="AI46" s="29"/>
      <c r="AJ46" s="29"/>
    </row>
    <row r="47" spans="4:36" ht="15.75" customHeight="1" x14ac:dyDescent="0.2">
      <c r="G47" s="24"/>
      <c r="H47" s="1">
        <f t="shared" ref="H47:I47" si="8">+H5</f>
        <v>2</v>
      </c>
      <c r="I47" s="2" t="str">
        <f t="shared" si="8"/>
        <v>Alim a Planta desde Acopio Mina</v>
      </c>
      <c r="J47" s="41" t="e">
        <f t="shared" ref="J47:K47" si="9">+#REF!</f>
        <v>#REF!</v>
      </c>
      <c r="K47" s="42" t="e">
        <f t="shared" si="9"/>
        <v>#REF!</v>
      </c>
      <c r="L47" s="1"/>
      <c r="M47" s="43">
        <v>0</v>
      </c>
      <c r="N47" s="44">
        <v>0</v>
      </c>
      <c r="O47" s="43">
        <f t="shared" si="4"/>
        <v>0</v>
      </c>
      <c r="R47" s="47" t="e">
        <f t="shared" ref="R47:S47" si="10">+IF(J47&lt;&gt;0,(M47-J47)/J47,0)</f>
        <v>#REF!</v>
      </c>
      <c r="S47" s="47" t="e">
        <f t="shared" si="10"/>
        <v>#REF!</v>
      </c>
      <c r="T47" s="44" t="e">
        <f t="shared" si="6"/>
        <v>#REF!</v>
      </c>
      <c r="U47" s="46"/>
      <c r="V47" s="44" t="e">
        <f t="shared" si="7"/>
        <v>#REF!</v>
      </c>
      <c r="W47" s="46"/>
      <c r="AA47" s="1" t="s">
        <v>24</v>
      </c>
      <c r="AB47" s="32"/>
      <c r="AC47" s="32"/>
      <c r="AI47" s="29"/>
      <c r="AJ47" s="29"/>
    </row>
    <row r="48" spans="4:36" ht="15.75" customHeight="1" x14ac:dyDescent="0.2">
      <c r="D48" s="1" t="s">
        <v>1</v>
      </c>
      <c r="E48" s="1" t="s">
        <v>2</v>
      </c>
      <c r="F48" s="1" t="s">
        <v>3</v>
      </c>
      <c r="G48" s="24"/>
      <c r="H48" s="1">
        <f t="shared" ref="H48:I48" si="11">+H6</f>
        <v>3</v>
      </c>
      <c r="I48" s="48" t="str">
        <f t="shared" si="11"/>
        <v>Acopio Mina a Terceros</v>
      </c>
      <c r="J48" s="41" t="e">
        <f t="shared" ref="J48:K48" si="12">+#REF!</f>
        <v>#REF!</v>
      </c>
      <c r="K48" s="42" t="e">
        <f t="shared" si="12"/>
        <v>#REF!</v>
      </c>
      <c r="L48" s="1"/>
      <c r="M48" s="43">
        <v>12961.629000000001</v>
      </c>
      <c r="N48" s="44">
        <v>0.59443308072967893</v>
      </c>
      <c r="O48" s="43">
        <f t="shared" si="4"/>
        <v>7704.8210577451482</v>
      </c>
      <c r="P48" s="49"/>
      <c r="R48" s="47" t="e">
        <f t="shared" ref="R48:S48" si="13">+IF(J48&lt;&gt;0,(M48-J48)/J48,0)</f>
        <v>#REF!</v>
      </c>
      <c r="S48" s="47" t="e">
        <f t="shared" si="13"/>
        <v>#REF!</v>
      </c>
      <c r="T48" s="44" t="e">
        <f t="shared" si="6"/>
        <v>#REF!</v>
      </c>
      <c r="U48" s="46">
        <v>0</v>
      </c>
      <c r="V48" s="44" t="e">
        <f t="shared" si="7"/>
        <v>#REF!</v>
      </c>
      <c r="W48" s="46"/>
      <c r="AA48" s="1" t="s">
        <v>25</v>
      </c>
      <c r="AB48" s="32"/>
      <c r="AC48" s="32"/>
      <c r="AI48" s="29"/>
      <c r="AJ48" s="29"/>
    </row>
    <row r="49" spans="4:36" ht="15.75" customHeight="1" x14ac:dyDescent="0.2">
      <c r="D49" s="19" t="e">
        <f>+'Nodos Variac Inventarios'!D5</f>
        <v>#REF!</v>
      </c>
      <c r="E49" s="50" t="e">
        <f>+'Nodos Variac Inventarios'!E5</f>
        <v>#REF!</v>
      </c>
      <c r="F49" s="51" t="e">
        <f>+'Nodos Variac Inventarios'!F5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41" t="e">
        <f t="shared" ref="J49:K49" si="15">+E49</f>
        <v>#REF!</v>
      </c>
      <c r="K49" s="42" t="e">
        <f t="shared" si="15"/>
        <v>#REF!</v>
      </c>
      <c r="L49" s="1" t="s">
        <v>64</v>
      </c>
      <c r="M49" s="43">
        <v>1770.5761999999995</v>
      </c>
      <c r="N49" s="44">
        <v>0.64955213670449796</v>
      </c>
      <c r="O49" s="43">
        <f t="shared" si="4"/>
        <v>1150.0815539081302</v>
      </c>
      <c r="P49" s="1">
        <f>+'Nodos Variac Inventarios'!H5</f>
        <v>0</v>
      </c>
      <c r="Q49" s="19" t="e">
        <f>+M49-J49</f>
        <v>#REF!</v>
      </c>
      <c r="R49" s="47" t="e">
        <f t="shared" ref="R49:S49" si="16">+IF(J49&lt;&gt;0,(M49-J49)/J49,0)</f>
        <v>#REF!</v>
      </c>
      <c r="S49" s="47" t="e">
        <f t="shared" si="16"/>
        <v>#REF!</v>
      </c>
      <c r="T49" s="44" t="e">
        <f t="shared" si="6"/>
        <v>#REF!</v>
      </c>
      <c r="U49" s="46"/>
      <c r="V49" s="44" t="e">
        <f t="shared" si="7"/>
        <v>#REF!</v>
      </c>
      <c r="W49" s="46"/>
      <c r="AA49" s="1" t="s">
        <v>26</v>
      </c>
      <c r="AB49" s="32"/>
      <c r="AC49" s="32"/>
      <c r="AI49" s="29"/>
      <c r="AJ49" s="29"/>
    </row>
    <row r="50" spans="4:36" ht="15.75" customHeight="1" x14ac:dyDescent="0.2">
      <c r="G50" s="24"/>
      <c r="H50" s="1">
        <f t="shared" ref="H50:I50" si="17">+H8</f>
        <v>5</v>
      </c>
      <c r="I50" s="2" t="str">
        <f t="shared" si="17"/>
        <v>Alim a Chancado</v>
      </c>
      <c r="J50" s="52" t="e">
        <f>+J46+J47</f>
        <v>#REF!</v>
      </c>
      <c r="K50" s="53" t="e">
        <f>+(J46*K46+J47*K47)/J50</f>
        <v>#REF!</v>
      </c>
      <c r="L50" s="1"/>
      <c r="M50" s="43">
        <v>502781.82030850503</v>
      </c>
      <c r="N50" s="44">
        <v>0.46140050554742978</v>
      </c>
      <c r="O50" s="43">
        <f t="shared" si="4"/>
        <v>231983.78607040123</v>
      </c>
      <c r="R50" s="47" t="e">
        <f t="shared" ref="R50:S50" si="18">+IF(J50&lt;&gt;0,(M50-J50)/J50,0)</f>
        <v>#REF!</v>
      </c>
      <c r="S50" s="47" t="e">
        <f t="shared" si="18"/>
        <v>#REF!</v>
      </c>
      <c r="T50" s="44" t="e">
        <f t="shared" si="6"/>
        <v>#REF!</v>
      </c>
      <c r="U50" s="46"/>
      <c r="V50" s="44" t="e">
        <f t="shared" si="7"/>
        <v>#REF!</v>
      </c>
      <c r="W50" s="46"/>
      <c r="AA50" s="1" t="s">
        <v>27</v>
      </c>
      <c r="AB50" s="32"/>
      <c r="AC50" s="32"/>
      <c r="AI50" s="29"/>
      <c r="AJ50" s="29"/>
    </row>
    <row r="51" spans="4:36" ht="15.75" customHeight="1" x14ac:dyDescent="0.2">
      <c r="G51" s="24"/>
      <c r="H51" s="1">
        <f t="shared" ref="H51:I51" si="19">+H9</f>
        <v>6</v>
      </c>
      <c r="I51" s="2" t="str">
        <f t="shared" si="19"/>
        <v>Chanc a Stock Prec Los Col.</v>
      </c>
      <c r="J51" s="52">
        <v>0</v>
      </c>
      <c r="K51" s="53">
        <f>+IF(J51&lt;&gt;0,(J50*K50-J52*K52)/J51,0)</f>
        <v>0</v>
      </c>
      <c r="L51" s="1"/>
      <c r="M51" s="43">
        <v>0</v>
      </c>
      <c r="N51" s="44">
        <v>0</v>
      </c>
      <c r="O51" s="43">
        <f t="shared" si="4"/>
        <v>0</v>
      </c>
      <c r="R51" s="47">
        <f t="shared" ref="R51:S51" si="20">+IF(J51&lt;&gt;0,(M51-J51)/J51,0)</f>
        <v>0</v>
      </c>
      <c r="S51" s="47">
        <f t="shared" si="20"/>
        <v>0</v>
      </c>
      <c r="T51" s="44">
        <f t="shared" si="6"/>
        <v>0</v>
      </c>
      <c r="U51" s="46"/>
      <c r="V51" s="44">
        <f t="shared" si="7"/>
        <v>0</v>
      </c>
      <c r="W51" s="46"/>
      <c r="AA51" s="1" t="s">
        <v>28</v>
      </c>
      <c r="AB51" s="32"/>
      <c r="AC51" s="32"/>
      <c r="AI51" s="29"/>
      <c r="AJ51" s="29"/>
    </row>
    <row r="52" spans="4:36" ht="15.75" customHeight="1" x14ac:dyDescent="0.2">
      <c r="G52" s="24"/>
      <c r="H52" s="1">
        <f t="shared" ref="H52:I52" si="21">+H10</f>
        <v>7</v>
      </c>
      <c r="I52" s="2" t="str">
        <f t="shared" si="21"/>
        <v>Chanc a Stock Grueso</v>
      </c>
      <c r="J52" s="52" t="e">
        <f t="shared" ref="J52:K52" si="22">+J50</f>
        <v>#REF!</v>
      </c>
      <c r="K52" s="53" t="e">
        <f t="shared" si="22"/>
        <v>#REF!</v>
      </c>
      <c r="L52" s="1"/>
      <c r="M52" s="43">
        <v>502781.82030850503</v>
      </c>
      <c r="N52" s="44">
        <v>0.46140050554742978</v>
      </c>
      <c r="O52" s="43">
        <f t="shared" si="4"/>
        <v>231983.78607040123</v>
      </c>
      <c r="R52" s="47" t="e">
        <f t="shared" ref="R52:S52" si="23">+IF(J52&lt;&gt;0,(M52-J52)/J52,0)</f>
        <v>#REF!</v>
      </c>
      <c r="S52" s="47" t="e">
        <f t="shared" si="23"/>
        <v>#REF!</v>
      </c>
      <c r="T52" s="44" t="e">
        <f t="shared" si="6"/>
        <v>#REF!</v>
      </c>
      <c r="U52" s="46"/>
      <c r="V52" s="44" t="e">
        <f t="shared" si="7"/>
        <v>#REF!</v>
      </c>
      <c r="W52" s="46"/>
      <c r="AA52" s="1" t="s">
        <v>29</v>
      </c>
      <c r="AB52" s="32"/>
      <c r="AC52" s="32"/>
      <c r="AI52" s="29"/>
      <c r="AJ52" s="29"/>
    </row>
    <row r="53" spans="4:36" ht="15.75" customHeight="1" x14ac:dyDescent="0.2">
      <c r="D53" s="19" t="e">
        <f>+'Nodos Variac Inventarios'!D6</f>
        <v>#REF!</v>
      </c>
      <c r="E53" s="50" t="e">
        <f>+'Nodos Variac Inventarios'!E6</f>
        <v>#REF!</v>
      </c>
      <c r="F53" s="51" t="e">
        <f>+'Nodos Variac Inventarios'!F6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41" t="e">
        <f>+E53</f>
        <v>#REF!</v>
      </c>
      <c r="K53" s="42" t="e">
        <f>+IF(J53&lt;&gt;0,F53,0)</f>
        <v>#REF!</v>
      </c>
      <c r="L53" s="1" t="s">
        <v>64</v>
      </c>
      <c r="M53" s="43">
        <v>44584.890479999987</v>
      </c>
      <c r="N53" s="44">
        <v>0.35577723078410545</v>
      </c>
      <c r="O53" s="43">
        <f t="shared" si="4"/>
        <v>15862.288869787022</v>
      </c>
      <c r="P53" s="1">
        <f>+'Nodos Variac Inventarios'!H6</f>
        <v>0</v>
      </c>
      <c r="Q53" s="19" t="e">
        <f>+M53-J53</f>
        <v>#REF!</v>
      </c>
      <c r="R53" s="47" t="e">
        <f t="shared" ref="R53:S53" si="25">+IF(J53&lt;&gt;0,(M53-J53)/J53,0)</f>
        <v>#REF!</v>
      </c>
      <c r="S53" s="47" t="e">
        <f t="shared" si="25"/>
        <v>#REF!</v>
      </c>
      <c r="T53" s="44" t="e">
        <f t="shared" si="6"/>
        <v>#REF!</v>
      </c>
      <c r="U53" s="46">
        <v>0.1</v>
      </c>
      <c r="V53" s="44" t="e">
        <f t="shared" si="7"/>
        <v>#REF!</v>
      </c>
      <c r="W53" s="46"/>
      <c r="AA53" s="1" t="s">
        <v>30</v>
      </c>
      <c r="AB53" s="32"/>
      <c r="AC53" s="32"/>
      <c r="AI53" s="29"/>
      <c r="AJ53" s="29"/>
    </row>
    <row r="54" spans="4:36" ht="15.75" customHeight="1" x14ac:dyDescent="0.2">
      <c r="G54" s="24"/>
      <c r="H54" s="1">
        <f t="shared" ref="H54:I54" si="26">+H12</f>
        <v>9</v>
      </c>
      <c r="I54" s="2" t="str">
        <f t="shared" si="26"/>
        <v>De Stock Grueso a conc magn (alim A52 y A82)</v>
      </c>
      <c r="J54" s="41" t="e">
        <f t="shared" ref="J54:K54" si="27">+#REF!</f>
        <v>#REF!</v>
      </c>
      <c r="K54" s="42" t="e">
        <f t="shared" si="27"/>
        <v>#REF!</v>
      </c>
      <c r="L54" s="1"/>
      <c r="M54" s="43">
        <v>458196.92982851854</v>
      </c>
      <c r="N54" s="44">
        <v>0.47167818710941145</v>
      </c>
      <c r="O54" s="43">
        <f t="shared" si="4"/>
        <v>216121.49720061384</v>
      </c>
      <c r="R54" s="47" t="e">
        <f t="shared" ref="R54:S54" si="28">+IF(J54&lt;&gt;0,(M54-J54)/J54,0)</f>
        <v>#REF!</v>
      </c>
      <c r="S54" s="47" t="e">
        <f t="shared" si="28"/>
        <v>#REF!</v>
      </c>
      <c r="T54" s="44" t="e">
        <f t="shared" si="6"/>
        <v>#REF!</v>
      </c>
      <c r="U54" s="46"/>
      <c r="V54" s="44" t="e">
        <f t="shared" si="7"/>
        <v>#REF!</v>
      </c>
      <c r="W54" s="46"/>
      <c r="AA54" s="1" t="s">
        <v>31</v>
      </c>
      <c r="AB54" s="32"/>
      <c r="AC54" s="32"/>
      <c r="AI54" s="29"/>
      <c r="AJ54" s="29"/>
    </row>
    <row r="55" spans="4:36" ht="15.75" customHeight="1" x14ac:dyDescent="0.2">
      <c r="G55" s="24"/>
      <c r="H55" s="1">
        <f t="shared" ref="H55:I55" si="29">+H13</f>
        <v>10</v>
      </c>
      <c r="I55" s="2" t="str">
        <f t="shared" si="29"/>
        <v>Stock Prec a (o desde) Acopio Mina</v>
      </c>
      <c r="J55" s="41" t="e">
        <f t="shared" ref="J55:K55" si="30">+#REF!</f>
        <v>#REF!</v>
      </c>
      <c r="K55" s="42" t="e">
        <f t="shared" si="30"/>
        <v>#REF!</v>
      </c>
      <c r="L55" s="1"/>
      <c r="M55" s="43">
        <v>14732.2052</v>
      </c>
      <c r="N55" s="44">
        <v>0.60105751253405559</v>
      </c>
      <c r="O55" s="43">
        <f t="shared" si="4"/>
        <v>8854.9026116532787</v>
      </c>
      <c r="R55" s="47" t="e">
        <f t="shared" ref="R55:S55" si="31">+IF(J55&lt;&gt;0,(M55-J55)/J55,0)</f>
        <v>#REF!</v>
      </c>
      <c r="S55" s="47" t="e">
        <f t="shared" si="31"/>
        <v>#REF!</v>
      </c>
      <c r="T55" s="44" t="e">
        <f t="shared" si="6"/>
        <v>#REF!</v>
      </c>
      <c r="U55" s="46">
        <v>0</v>
      </c>
      <c r="V55" s="44" t="e">
        <f t="shared" si="7"/>
        <v>#REF!</v>
      </c>
      <c r="W55" s="46">
        <v>0.05</v>
      </c>
      <c r="AA55" s="1" t="s">
        <v>32</v>
      </c>
      <c r="AB55" s="32"/>
      <c r="AC55" s="32"/>
      <c r="AI55" s="29"/>
      <c r="AJ55" s="29"/>
    </row>
    <row r="56" spans="4:36" ht="15.75" customHeight="1" x14ac:dyDescent="0.2">
      <c r="D56" s="19" t="e">
        <f>+J58+J51-J69-J57-J55</f>
        <v>#REF!</v>
      </c>
      <c r="E56" s="50" t="e">
        <f>+'Nodos Variac Inventarios'!E7</f>
        <v>#REF!</v>
      </c>
      <c r="F56" s="51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41" t="e">
        <f t="shared" ref="J56:K56" si="33">+E56</f>
        <v>#REF!</v>
      </c>
      <c r="K56" s="42" t="e">
        <f t="shared" si="33"/>
        <v>#REF!</v>
      </c>
      <c r="L56" s="1" t="s">
        <v>64</v>
      </c>
      <c r="M56" s="43">
        <v>30901.954517017632</v>
      </c>
      <c r="N56" s="44">
        <v>0.92151230196043055</v>
      </c>
      <c r="O56" s="43">
        <f t="shared" si="4"/>
        <v>28476.531242053443</v>
      </c>
      <c r="P56" s="1">
        <f>+'Nodos Variac Inventarios'!H7</f>
        <v>0</v>
      </c>
      <c r="Q56" s="19" t="e">
        <f>+M56-J56</f>
        <v>#REF!</v>
      </c>
      <c r="R56" s="47" t="e">
        <f t="shared" ref="R56:S56" si="34">+IF(J56&lt;&gt;0,(M56-J56)/J56,0)</f>
        <v>#REF!</v>
      </c>
      <c r="S56" s="47" t="e">
        <f t="shared" si="34"/>
        <v>#REF!</v>
      </c>
      <c r="T56" s="44" t="e">
        <f t="shared" si="6"/>
        <v>#REF!</v>
      </c>
      <c r="U56" s="46"/>
      <c r="V56" s="44" t="e">
        <f t="shared" si="7"/>
        <v>#REF!</v>
      </c>
      <c r="W56" s="46"/>
      <c r="AI56" s="29"/>
      <c r="AJ56" s="29"/>
    </row>
    <row r="57" spans="4:36" ht="15.75" customHeight="1" x14ac:dyDescent="0.2">
      <c r="G57" s="24"/>
      <c r="H57" s="1">
        <f t="shared" ref="H57:I57" si="35">+H15</f>
        <v>12</v>
      </c>
      <c r="I57" s="48" t="str">
        <f t="shared" si="35"/>
        <v>de Stock Prec a Terceros (a otras faenas)</v>
      </c>
      <c r="J57" s="41" t="e">
        <f t="shared" ref="J57:K57" si="36">+#REF!</f>
        <v>#REF!</v>
      </c>
      <c r="K57" s="42" t="e">
        <f t="shared" si="36"/>
        <v>#REF!</v>
      </c>
      <c r="L57" s="1" t="s">
        <v>65</v>
      </c>
      <c r="M57" s="43">
        <v>16162.331</v>
      </c>
      <c r="N57" s="44">
        <v>0.59864253060095862</v>
      </c>
      <c r="O57" s="43">
        <f t="shared" si="4"/>
        <v>9675.4587302503223</v>
      </c>
      <c r="P57" s="49"/>
      <c r="R57" s="47" t="e">
        <f t="shared" ref="R57:S57" si="37">+IF(J57&lt;&gt;0,(M57-J57)/J57,0)</f>
        <v>#REF!</v>
      </c>
      <c r="S57" s="47" t="e">
        <f t="shared" si="37"/>
        <v>#REF!</v>
      </c>
      <c r="T57" s="44" t="e">
        <f t="shared" si="6"/>
        <v>#REF!</v>
      </c>
      <c r="U57" s="46">
        <v>0</v>
      </c>
      <c r="V57" s="44" t="e">
        <f t="shared" si="7"/>
        <v>#REF!</v>
      </c>
      <c r="W57" s="46">
        <v>0.01</v>
      </c>
      <c r="AA57" s="24" t="s">
        <v>66</v>
      </c>
      <c r="AB57" s="1" t="e">
        <f ca="1">+SUM(ANCHORARRAY(AB45))</f>
        <v>#NAME?</v>
      </c>
      <c r="AI57" s="29"/>
      <c r="AJ57" s="29"/>
    </row>
    <row r="58" spans="4:36" ht="15.75" customHeight="1" x14ac:dyDescent="0.2">
      <c r="G58" s="24"/>
      <c r="H58" s="1">
        <f t="shared" ref="H58:I58" si="38">+H16</f>
        <v>13</v>
      </c>
      <c r="I58" s="2" t="str">
        <f t="shared" si="38"/>
        <v>de Conc Magnética a Stock Prec (Prod A52 y A 82)</v>
      </c>
      <c r="J58" s="41" t="e">
        <f t="shared" ref="J58:K58" si="39">+#REF!</f>
        <v>#REF!</v>
      </c>
      <c r="K58" s="42" t="e">
        <f t="shared" si="39"/>
        <v>#REF!</v>
      </c>
      <c r="L58" s="1"/>
      <c r="M58" s="43">
        <v>345267.33650650288</v>
      </c>
      <c r="N58" s="44">
        <v>0.57400089624061745</v>
      </c>
      <c r="O58" s="43">
        <f t="shared" si="4"/>
        <v>198183.7605973435</v>
      </c>
      <c r="R58" s="47" t="e">
        <f t="shared" ref="R58:S58" si="40">+IF(J58&lt;&gt;0,(M58-J58)/J58,0)</f>
        <v>#REF!</v>
      </c>
      <c r="S58" s="47" t="e">
        <f t="shared" si="40"/>
        <v>#REF!</v>
      </c>
      <c r="T58" s="45" t="e">
        <f t="shared" si="6"/>
        <v>#REF!</v>
      </c>
      <c r="U58" s="46">
        <v>0.03</v>
      </c>
      <c r="V58" s="44" t="e">
        <f t="shared" si="7"/>
        <v>#REF!</v>
      </c>
      <c r="W58" s="46"/>
      <c r="AA58" s="24" t="s">
        <v>67</v>
      </c>
      <c r="AB58" s="19" t="e">
        <f>+SUM(J100:K123)</f>
        <v>#REF!</v>
      </c>
      <c r="AI58" s="29"/>
      <c r="AJ58" s="29"/>
    </row>
    <row r="59" spans="4:36" ht="15.75" customHeight="1" x14ac:dyDescent="0.2">
      <c r="G59" s="24"/>
      <c r="H59" s="1">
        <f t="shared" ref="H59:I59" si="41">+H17</f>
        <v>14</v>
      </c>
      <c r="I59" s="2" t="str">
        <f t="shared" si="41"/>
        <v>total de rechazo</v>
      </c>
      <c r="J59" s="52" t="e">
        <f>+J60+J61</f>
        <v>#REF!</v>
      </c>
      <c r="K59" s="53" t="e">
        <f>+K60</f>
        <v>#REF!</v>
      </c>
      <c r="L59" s="1"/>
      <c r="M59" s="43">
        <v>112929.59332199999</v>
      </c>
      <c r="N59" s="44">
        <v>0.15884000000000001</v>
      </c>
      <c r="O59" s="43">
        <f t="shared" si="4"/>
        <v>17937.73660326648</v>
      </c>
      <c r="R59" s="47" t="e">
        <f t="shared" ref="R59:S59" si="42">+IF(J59&lt;&gt;0,(M59-J59)/J59,0)</f>
        <v>#REF!</v>
      </c>
      <c r="S59" s="47" t="e">
        <f t="shared" si="42"/>
        <v>#REF!</v>
      </c>
      <c r="T59" s="44" t="e">
        <f t="shared" si="6"/>
        <v>#REF!</v>
      </c>
      <c r="U59" s="46">
        <v>0.02</v>
      </c>
      <c r="V59" s="44" t="e">
        <f t="shared" si="7"/>
        <v>#REF!</v>
      </c>
      <c r="W59" s="46">
        <v>0.05</v>
      </c>
    </row>
    <row r="60" spans="4:36" ht="15.75" customHeight="1" x14ac:dyDescent="0.2">
      <c r="G60" s="24"/>
      <c r="H60" s="1">
        <f t="shared" ref="H60:I60" si="43">+H18</f>
        <v>15</v>
      </c>
      <c r="I60" s="2" t="str">
        <f t="shared" si="43"/>
        <v>Rechazo  a Stock de Rechazo</v>
      </c>
      <c r="J60" s="41" t="e">
        <f t="shared" ref="J60:K60" si="44">+#REF!</f>
        <v>#REF!</v>
      </c>
      <c r="K60" s="42" t="e">
        <f t="shared" si="44"/>
        <v>#REF!</v>
      </c>
      <c r="L60" s="1"/>
      <c r="M60" s="43">
        <v>30174.414309067877</v>
      </c>
      <c r="N60" s="44">
        <v>0.19850415593901971</v>
      </c>
      <c r="O60" s="43">
        <f t="shared" si="4"/>
        <v>5989.7466433757972</v>
      </c>
      <c r="R60" s="47" t="e">
        <f t="shared" ref="R60:S60" si="45">+IF(J60&lt;&gt;0,(M60-J60)/J60,0)</f>
        <v>#REF!</v>
      </c>
      <c r="S60" s="47" t="e">
        <f t="shared" si="45"/>
        <v>#REF!</v>
      </c>
      <c r="T60" s="44" t="e">
        <f t="shared" si="6"/>
        <v>#REF!</v>
      </c>
      <c r="U60" s="46"/>
      <c r="V60" s="44" t="e">
        <f t="shared" si="7"/>
        <v>#REF!</v>
      </c>
      <c r="W60" s="46"/>
    </row>
    <row r="61" spans="4:36" ht="15.75" customHeight="1" x14ac:dyDescent="0.2">
      <c r="G61" s="24"/>
      <c r="H61" s="1">
        <f t="shared" ref="H61:I61" si="46">+H19</f>
        <v>16</v>
      </c>
      <c r="I61" s="2" t="str">
        <f t="shared" si="46"/>
        <v>alim fresca a Planta Rechazo</v>
      </c>
      <c r="J61" s="41" t="e">
        <f t="shared" ref="J61:K61" si="47">+#REF!</f>
        <v>#REF!</v>
      </c>
      <c r="K61" s="42" t="e">
        <f t="shared" si="47"/>
        <v>#REF!</v>
      </c>
      <c r="L61" s="1"/>
      <c r="M61" s="43">
        <v>82755.179012932131</v>
      </c>
      <c r="N61" s="44">
        <v>0.14437754955847257</v>
      </c>
      <c r="O61" s="43">
        <f t="shared" si="4"/>
        <v>11947.989959159877</v>
      </c>
      <c r="R61" s="47" t="e">
        <f t="shared" ref="R61:S61" si="48">+IF(J61&lt;&gt;0,(M61-J61)/J61,0)</f>
        <v>#REF!</v>
      </c>
      <c r="S61" s="47" t="e">
        <f t="shared" si="48"/>
        <v>#REF!</v>
      </c>
      <c r="T61" s="44" t="e">
        <f t="shared" si="6"/>
        <v>#REF!</v>
      </c>
      <c r="U61" s="46"/>
      <c r="V61" s="44" t="e">
        <f t="shared" si="7"/>
        <v>#REF!</v>
      </c>
      <c r="W61" s="46"/>
    </row>
    <row r="62" spans="4:36" ht="15.75" customHeight="1" x14ac:dyDescent="0.2">
      <c r="D62" s="54" t="e">
        <f>+'Nodos Variac Inventarios'!D8</f>
        <v>#REF!</v>
      </c>
      <c r="E62" s="50" t="e">
        <f>+ABS(D62)</f>
        <v>#REF!</v>
      </c>
      <c r="F62" s="51" t="e">
        <f>+'Nodos Variac Inventarios'!F8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41" t="e">
        <f t="shared" ref="J62:K62" si="50">+E62</f>
        <v>#REF!</v>
      </c>
      <c r="K62" s="42" t="e">
        <f t="shared" si="50"/>
        <v>#REF!</v>
      </c>
      <c r="L62" s="1" t="s">
        <v>64</v>
      </c>
      <c r="M62" s="43">
        <v>14174.322317347074</v>
      </c>
      <c r="N62" s="44">
        <v>0.25498811377226288</v>
      </c>
      <c r="O62" s="43">
        <f t="shared" si="4"/>
        <v>3614.2837117004206</v>
      </c>
      <c r="P62" s="19">
        <f>+'Nodos Variac Inventarios'!H8</f>
        <v>0</v>
      </c>
      <c r="Q62" s="19" t="e">
        <f>+M62-J62</f>
        <v>#REF!</v>
      </c>
      <c r="R62" s="47" t="e">
        <f t="shared" ref="R62:S62" si="51">+IF(J62&lt;&gt;0,(M62-J62)/J62,0)</f>
        <v>#REF!</v>
      </c>
      <c r="S62" s="47" t="e">
        <f t="shared" si="51"/>
        <v>#REF!</v>
      </c>
      <c r="T62" s="44" t="e">
        <f t="shared" si="6"/>
        <v>#REF!</v>
      </c>
      <c r="U62" s="46"/>
      <c r="V62" s="44" t="e">
        <f t="shared" si="7"/>
        <v>#REF!</v>
      </c>
      <c r="W62" s="46"/>
    </row>
    <row r="63" spans="4:36" ht="15.75" customHeight="1" x14ac:dyDescent="0.2">
      <c r="G63" s="24"/>
      <c r="H63" s="1">
        <f t="shared" ref="H63:I63" si="52">+H21</f>
        <v>18</v>
      </c>
      <c r="I63" s="2" t="str">
        <f t="shared" si="52"/>
        <v>Stock Rechazo a Planta Rechazo</v>
      </c>
      <c r="J63" s="41" t="e">
        <f t="shared" ref="J63:K63" si="53">+#REF!</f>
        <v>#REF!</v>
      </c>
      <c r="K63" s="42" t="e">
        <f t="shared" si="53"/>
        <v>#REF!</v>
      </c>
      <c r="L63" s="1"/>
      <c r="M63" s="43">
        <v>44348.736626414939</v>
      </c>
      <c r="N63" s="44">
        <v>0.21655702250803865</v>
      </c>
      <c r="O63" s="43">
        <f t="shared" si="4"/>
        <v>9604.0303558096184</v>
      </c>
      <c r="P63" s="19"/>
      <c r="R63" s="47" t="e">
        <f t="shared" ref="R63:S63" si="54">+IF(J63&lt;&gt;0,(M63-J63)/J63,0)</f>
        <v>#REF!</v>
      </c>
      <c r="S63" s="47" t="e">
        <f t="shared" si="54"/>
        <v>#REF!</v>
      </c>
      <c r="T63" s="44" t="e">
        <f t="shared" si="6"/>
        <v>#REF!</v>
      </c>
      <c r="U63" s="46"/>
      <c r="V63" s="44" t="e">
        <f t="shared" si="7"/>
        <v>#REF!</v>
      </c>
      <c r="W63" s="46">
        <v>0.03</v>
      </c>
    </row>
    <row r="64" spans="4:36" ht="15.75" customHeight="1" x14ac:dyDescent="0.2">
      <c r="G64" s="24"/>
      <c r="H64" s="1">
        <f t="shared" ref="H64:I64" si="55">+H22</f>
        <v>19</v>
      </c>
      <c r="I64" s="2" t="str">
        <f t="shared" si="55"/>
        <v>Alimentación Planta Rechazo</v>
      </c>
      <c r="J64" s="41" t="e">
        <f t="shared" ref="J64:K64" si="56">+#REF!</f>
        <v>#REF!</v>
      </c>
      <c r="K64" s="42" t="e">
        <f t="shared" si="56"/>
        <v>#REF!</v>
      </c>
      <c r="L64" s="19"/>
      <c r="M64" s="43">
        <v>127103.91563934706</v>
      </c>
      <c r="N64" s="44">
        <v>0.16956220590496998</v>
      </c>
      <c r="O64" s="43">
        <f t="shared" si="4"/>
        <v>21552.0203149669</v>
      </c>
      <c r="R64" s="47" t="e">
        <f t="shared" ref="R64:S64" si="57">+IF(J64&lt;&gt;0,(M64-J64)/J64,0)</f>
        <v>#REF!</v>
      </c>
      <c r="S64" s="47" t="e">
        <f t="shared" si="57"/>
        <v>#REF!</v>
      </c>
      <c r="T64" s="44" t="e">
        <f t="shared" si="6"/>
        <v>#REF!</v>
      </c>
      <c r="U64" s="46"/>
      <c r="V64" s="44" t="e">
        <f t="shared" si="7"/>
        <v>#REF!</v>
      </c>
      <c r="W64" s="46"/>
    </row>
    <row r="65" spans="4:29" ht="15.75" customHeight="1" x14ac:dyDescent="0.2">
      <c r="G65" s="24"/>
      <c r="H65" s="1">
        <f t="shared" ref="H65:I65" si="58">+H23</f>
        <v>20</v>
      </c>
      <c r="I65" s="48" t="str">
        <f t="shared" si="58"/>
        <v>Rechazo Final Los Colorados</v>
      </c>
      <c r="J65" s="41" t="e">
        <f t="shared" ref="J65:K65" si="59">+#REF!</f>
        <v>#REF!</v>
      </c>
      <c r="K65" s="42" t="e">
        <f t="shared" si="59"/>
        <v>#REF!</v>
      </c>
      <c r="L65" s="1" t="s">
        <v>68</v>
      </c>
      <c r="M65" s="43">
        <v>108284.65870939114</v>
      </c>
      <c r="N65" s="44">
        <v>0.12974457621375801</v>
      </c>
      <c r="O65" s="43">
        <f t="shared" si="4"/>
        <v>14049.347154701374</v>
      </c>
      <c r="R65" s="47" t="e">
        <f t="shared" ref="R65:S65" si="60">+IF(J65&lt;&gt;0,(M65-J65)/J65,0)</f>
        <v>#REF!</v>
      </c>
      <c r="S65" s="47" t="e">
        <f t="shared" si="60"/>
        <v>#REF!</v>
      </c>
      <c r="T65" s="44" t="e">
        <f t="shared" si="6"/>
        <v>#REF!</v>
      </c>
      <c r="U65" s="46"/>
      <c r="V65" s="44" t="e">
        <f t="shared" si="7"/>
        <v>#REF!</v>
      </c>
      <c r="W65" s="46"/>
    </row>
    <row r="66" spans="4:29" ht="15.75" customHeight="1" x14ac:dyDescent="0.2">
      <c r="G66" s="24"/>
      <c r="H66" s="1">
        <f t="shared" ref="H66:I66" si="61">+H24</f>
        <v>21</v>
      </c>
      <c r="I66" s="2" t="str">
        <f t="shared" si="61"/>
        <v>Producción Planta Rechazo a Stock P40</v>
      </c>
      <c r="J66" s="41" t="e">
        <f t="shared" ref="J66:K66" si="62">+#REF!</f>
        <v>#REF!</v>
      </c>
      <c r="K66" s="42" t="e">
        <f t="shared" si="62"/>
        <v>#REF!</v>
      </c>
      <c r="L66" s="1"/>
      <c r="M66" s="43">
        <v>18819.256929955947</v>
      </c>
      <c r="N66" s="44">
        <v>0.39866999999999997</v>
      </c>
      <c r="O66" s="43">
        <f t="shared" si="4"/>
        <v>7502.6731602655373</v>
      </c>
      <c r="R66" s="47" t="e">
        <f t="shared" ref="R66:S66" si="63">+IF(J66&lt;&gt;0,(M66-J66)/J66,0)</f>
        <v>#REF!</v>
      </c>
      <c r="S66" s="47" t="e">
        <f t="shared" si="63"/>
        <v>#REF!</v>
      </c>
      <c r="T66" s="44" t="e">
        <f t="shared" si="6"/>
        <v>#REF!</v>
      </c>
      <c r="U66" s="46"/>
      <c r="V66" s="44" t="e">
        <f t="shared" si="7"/>
        <v>#REF!</v>
      </c>
      <c r="W66" s="46">
        <v>0.03</v>
      </c>
      <c r="AA66" s="19"/>
      <c r="AB66" s="19"/>
    </row>
    <row r="67" spans="4:29" ht="15.75" customHeight="1" x14ac:dyDescent="0.2">
      <c r="D67" s="19" t="e">
        <f>+'Nodos Variac Inventarios'!D9</f>
        <v>#REF!</v>
      </c>
      <c r="E67" s="19" t="e">
        <f>+'Nodos Variac Inventarios'!E9</f>
        <v>#REF!</v>
      </c>
      <c r="F67" s="51" t="e">
        <f>+'Nodos Variac Inventarios'!F9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41" t="e">
        <f t="shared" ref="J67:K67" si="65">+E67</f>
        <v>#REF!</v>
      </c>
      <c r="K67" s="42" t="e">
        <f t="shared" si="65"/>
        <v>#REF!</v>
      </c>
      <c r="L67" s="1" t="s">
        <v>64</v>
      </c>
      <c r="M67" s="43">
        <v>311.60807004405655</v>
      </c>
      <c r="N67" s="44">
        <v>0.37755839663533081</v>
      </c>
      <c r="O67" s="43">
        <f t="shared" si="4"/>
        <v>117.65024330446384</v>
      </c>
      <c r="P67" s="1">
        <f>+'Nodos Variac Inventarios'!H9</f>
        <v>0</v>
      </c>
      <c r="Q67" s="19" t="e">
        <f>+M67-J67</f>
        <v>#REF!</v>
      </c>
      <c r="R67" s="47" t="e">
        <f t="shared" ref="R67:S67" si="66">+IF(J67&lt;&gt;0,(M67-J67)/J67,0)</f>
        <v>#REF!</v>
      </c>
      <c r="S67" s="47" t="e">
        <f t="shared" si="66"/>
        <v>#REF!</v>
      </c>
      <c r="T67" s="44" t="e">
        <f t="shared" si="6"/>
        <v>#REF!</v>
      </c>
      <c r="U67" s="46"/>
      <c r="V67" s="44" t="e">
        <f t="shared" si="7"/>
        <v>#REF!</v>
      </c>
      <c r="W67" s="46"/>
    </row>
    <row r="68" spans="4:29" ht="15.75" customHeight="1" x14ac:dyDescent="0.2">
      <c r="G68" s="24"/>
      <c r="H68" s="1">
        <f t="shared" ref="H68:I68" si="67">+H26</f>
        <v>23</v>
      </c>
      <c r="I68" s="55" t="str">
        <f t="shared" si="67"/>
        <v>Venta desde P40</v>
      </c>
      <c r="J68" s="56" t="e">
        <f t="shared" ref="J68:K68" si="68">+#REF!</f>
        <v>#REF!</v>
      </c>
      <c r="K68" s="57" t="e">
        <f t="shared" si="68"/>
        <v>#REF!</v>
      </c>
      <c r="L68" s="1" t="s">
        <v>65</v>
      </c>
      <c r="M68" s="58">
        <v>19130.865000000002</v>
      </c>
      <c r="N68" s="59">
        <v>0.39832612919332189</v>
      </c>
      <c r="O68" s="58">
        <f t="shared" si="4"/>
        <v>7620.3234035700007</v>
      </c>
      <c r="P68" s="49"/>
      <c r="R68" s="60" t="e">
        <f t="shared" ref="R68:S68" si="69">+IF(J68&lt;&gt;0,(M68-J68)/J68,0)</f>
        <v>#REF!</v>
      </c>
      <c r="S68" s="60" t="e">
        <f t="shared" si="69"/>
        <v>#REF!</v>
      </c>
      <c r="T68" s="44" t="e">
        <f t="shared" si="6"/>
        <v>#REF!</v>
      </c>
      <c r="U68" s="46">
        <v>0</v>
      </c>
      <c r="V68" s="44" t="e">
        <f t="shared" si="7"/>
        <v>#REF!</v>
      </c>
      <c r="W68" s="46">
        <v>0.01</v>
      </c>
      <c r="AA68" s="19"/>
      <c r="AB68" s="19"/>
    </row>
    <row r="69" spans="4:29" ht="15.75" customHeight="1" x14ac:dyDescent="0.2">
      <c r="G69" s="24"/>
      <c r="H69" s="1">
        <f t="shared" ref="H69:I69" si="70">+H27</f>
        <v>24</v>
      </c>
      <c r="I69" s="61" t="str">
        <f t="shared" si="70"/>
        <v>de Stoc Prec a Nodo Alim Planta de Pellet</v>
      </c>
      <c r="J69" s="62" t="e">
        <f t="shared" ref="J69:K69" si="71">+#REF!</f>
        <v>#REF!</v>
      </c>
      <c r="K69" s="63" t="e">
        <f t="shared" si="71"/>
        <v>#REF!</v>
      </c>
      <c r="L69" s="31" t="s">
        <v>69</v>
      </c>
      <c r="M69" s="64">
        <v>673884.94200000004</v>
      </c>
      <c r="N69" s="65">
        <v>0.60967226044045075</v>
      </c>
      <c r="O69" s="64">
        <f t="shared" si="4"/>
        <v>410848.95586592209</v>
      </c>
      <c r="P69" s="66"/>
      <c r="Q69" s="31"/>
      <c r="R69" s="67" t="e">
        <f t="shared" ref="R69:S69" si="72">+IF(J69&lt;&gt;0,(M69-J69)/J69,0)</f>
        <v>#REF!</v>
      </c>
      <c r="S69" s="68" t="e">
        <f t="shared" si="72"/>
        <v>#REF!</v>
      </c>
      <c r="T69" s="44" t="e">
        <f t="shared" si="6"/>
        <v>#REF!</v>
      </c>
      <c r="U69" s="46">
        <v>0</v>
      </c>
      <c r="V69" s="44" t="e">
        <f t="shared" si="7"/>
        <v>#REF!</v>
      </c>
      <c r="W69" s="46">
        <v>0</v>
      </c>
      <c r="AA69" s="51"/>
      <c r="AB69" s="19"/>
      <c r="AC69" s="19"/>
    </row>
    <row r="70" spans="4:29" ht="15.75" customHeight="1" x14ac:dyDescent="0.2">
      <c r="I70" s="1">
        <v>73294</v>
      </c>
      <c r="AA70" s="51"/>
      <c r="AB70" s="19"/>
    </row>
    <row r="71" spans="4:29" ht="15.75" customHeight="1" x14ac:dyDescent="0.2">
      <c r="J71" s="491" t="s">
        <v>70</v>
      </c>
      <c r="K71" s="486"/>
      <c r="M71" s="69" t="s">
        <v>71</v>
      </c>
      <c r="N71" s="69"/>
      <c r="R71" s="51" t="e">
        <f>+#REF!</f>
        <v>#REF!</v>
      </c>
      <c r="V71" s="19"/>
    </row>
    <row r="72" spans="4:29" ht="15.75" customHeight="1" x14ac:dyDescent="0.2">
      <c r="J72" s="70" t="s">
        <v>72</v>
      </c>
      <c r="K72" s="70" t="s">
        <v>62</v>
      </c>
      <c r="M72" s="69" t="s">
        <v>72</v>
      </c>
      <c r="N72" s="69" t="s">
        <v>62</v>
      </c>
      <c r="P72" s="19"/>
    </row>
    <row r="73" spans="4:29" ht="15.75" customHeight="1" x14ac:dyDescent="0.2">
      <c r="I73" s="25" t="str">
        <f t="shared" ref="I73:I96" si="73">+I46</f>
        <v>Alimentación Mina</v>
      </c>
      <c r="J73" s="71">
        <v>99</v>
      </c>
      <c r="K73" s="72">
        <v>10</v>
      </c>
      <c r="M73" s="19" t="e">
        <f t="shared" ref="M73:N73" si="74">+J73*J46/100</f>
        <v>#REF!</v>
      </c>
      <c r="N73" s="51" t="e">
        <f t="shared" si="74"/>
        <v>#REF!</v>
      </c>
    </row>
    <row r="74" spans="4:29" ht="15.75" customHeight="1" x14ac:dyDescent="0.2">
      <c r="I74" s="25" t="str">
        <f t="shared" si="73"/>
        <v>Alim a Planta desde Acopio Mina</v>
      </c>
      <c r="J74" s="1">
        <v>99</v>
      </c>
      <c r="K74" s="1">
        <v>99</v>
      </c>
      <c r="M74" s="19" t="e">
        <f t="shared" ref="M74:N74" si="75">+J74*J47/100</f>
        <v>#REF!</v>
      </c>
      <c r="N74" s="51" t="e">
        <f t="shared" si="75"/>
        <v>#REF!</v>
      </c>
    </row>
    <row r="75" spans="4:29" ht="15.75" customHeight="1" x14ac:dyDescent="0.2">
      <c r="I75" s="73" t="str">
        <f t="shared" si="73"/>
        <v>Acopio Mina a Terceros</v>
      </c>
      <c r="J75" s="74">
        <v>0.1</v>
      </c>
      <c r="K75" s="74">
        <v>1</v>
      </c>
      <c r="M75" s="19" t="e">
        <f t="shared" ref="M75:N75" si="76">+J75*J48/100</f>
        <v>#REF!</v>
      </c>
      <c r="N75" s="51" t="e">
        <f t="shared" si="76"/>
        <v>#REF!</v>
      </c>
    </row>
    <row r="76" spans="4:29" ht="15.75" customHeight="1" x14ac:dyDescent="0.2">
      <c r="I76" s="25" t="str">
        <f t="shared" si="73"/>
        <v>Delta S Acopio Mina</v>
      </c>
      <c r="J76" s="1">
        <v>99</v>
      </c>
      <c r="K76" s="1">
        <v>30</v>
      </c>
      <c r="M76" s="19" t="e">
        <f t="shared" ref="M76:N76" si="77">+J76*J49/100</f>
        <v>#REF!</v>
      </c>
      <c r="N76" s="51" t="e">
        <f t="shared" si="77"/>
        <v>#REF!</v>
      </c>
    </row>
    <row r="77" spans="4:29" ht="15.75" customHeight="1" x14ac:dyDescent="0.2">
      <c r="I77" s="25" t="str">
        <f t="shared" si="73"/>
        <v>Alim a Chancado</v>
      </c>
      <c r="J77" s="1">
        <v>99</v>
      </c>
      <c r="K77" s="1">
        <v>30</v>
      </c>
      <c r="M77" s="19" t="e">
        <f t="shared" ref="M77:N77" si="78">+J77*J50/100</f>
        <v>#REF!</v>
      </c>
      <c r="N77" s="51" t="e">
        <f t="shared" si="78"/>
        <v>#REF!</v>
      </c>
    </row>
    <row r="78" spans="4:29" ht="15.75" customHeight="1" x14ac:dyDescent="0.2">
      <c r="I78" s="25" t="str">
        <f t="shared" si="73"/>
        <v>Chanc a Stock Prec Los Col.</v>
      </c>
      <c r="J78" s="1">
        <v>99</v>
      </c>
      <c r="K78" s="1">
        <v>30</v>
      </c>
      <c r="M78" s="19">
        <f t="shared" ref="M78:N78" si="79">+J78*J51/100</f>
        <v>0</v>
      </c>
      <c r="N78" s="51">
        <f t="shared" si="79"/>
        <v>0</v>
      </c>
    </row>
    <row r="79" spans="4:29" ht="15.75" customHeight="1" x14ac:dyDescent="0.2">
      <c r="I79" s="25" t="str">
        <f t="shared" si="73"/>
        <v>Chanc a Stock Grueso</v>
      </c>
      <c r="J79" s="1">
        <v>99</v>
      </c>
      <c r="K79" s="1">
        <v>30</v>
      </c>
      <c r="M79" s="19" t="e">
        <f t="shared" ref="M79:N79" si="80">+J79*J52/100</f>
        <v>#REF!</v>
      </c>
      <c r="N79" s="51" t="e">
        <f t="shared" si="80"/>
        <v>#REF!</v>
      </c>
    </row>
    <row r="80" spans="4:29" ht="15.75" customHeight="1" x14ac:dyDescent="0.2">
      <c r="I80" s="25" t="str">
        <f t="shared" si="73"/>
        <v>Delta Stock de Grueso</v>
      </c>
      <c r="J80" s="1">
        <v>99</v>
      </c>
      <c r="K80" s="1">
        <v>30</v>
      </c>
      <c r="M80" s="19" t="e">
        <f t="shared" ref="M80:N80" si="81">+J80*J53/100</f>
        <v>#REF!</v>
      </c>
      <c r="N80" s="51" t="e">
        <f t="shared" si="81"/>
        <v>#REF!</v>
      </c>
    </row>
    <row r="81" spans="9:14" ht="15.75" customHeight="1" x14ac:dyDescent="0.2">
      <c r="I81" s="25" t="str">
        <f t="shared" si="73"/>
        <v>De Stock Grueso a conc magn (alim A52 y A82)</v>
      </c>
      <c r="J81" s="1">
        <v>99</v>
      </c>
      <c r="K81" s="1">
        <v>30</v>
      </c>
      <c r="M81" s="19" t="e">
        <f t="shared" ref="M81:N81" si="82">+J81*J54/100</f>
        <v>#REF!</v>
      </c>
      <c r="N81" s="51" t="e">
        <f t="shared" si="82"/>
        <v>#REF!</v>
      </c>
    </row>
    <row r="82" spans="9:14" ht="15.75" customHeight="1" x14ac:dyDescent="0.2">
      <c r="I82" s="25" t="str">
        <f t="shared" si="73"/>
        <v>Stock Prec a (o desde) Acopio Mina</v>
      </c>
      <c r="J82" s="1">
        <v>99</v>
      </c>
      <c r="K82" s="1">
        <v>30</v>
      </c>
      <c r="M82" s="19" t="e">
        <f t="shared" ref="M82:N82" si="83">+J82*J55/100</f>
        <v>#REF!</v>
      </c>
      <c r="N82" s="51" t="e">
        <f t="shared" si="83"/>
        <v>#REF!</v>
      </c>
    </row>
    <row r="83" spans="9:14" ht="15.75" customHeight="1" x14ac:dyDescent="0.2">
      <c r="I83" s="25" t="str">
        <f t="shared" si="73"/>
        <v>Delta Stock Prec</v>
      </c>
      <c r="J83" s="1">
        <v>99</v>
      </c>
      <c r="K83" s="1">
        <v>30</v>
      </c>
      <c r="M83" s="19" t="e">
        <f t="shared" ref="M83:N83" si="84">+J83*J56/100</f>
        <v>#REF!</v>
      </c>
      <c r="N83" s="51" t="e">
        <f t="shared" si="84"/>
        <v>#REF!</v>
      </c>
    </row>
    <row r="84" spans="9:14" ht="15.75" customHeight="1" x14ac:dyDescent="0.2">
      <c r="I84" s="73" t="str">
        <f t="shared" si="73"/>
        <v>de Stock Prec a Terceros (a otras faenas)</v>
      </c>
      <c r="J84" s="74">
        <v>0.1</v>
      </c>
      <c r="K84" s="74">
        <v>1</v>
      </c>
      <c r="M84" s="19" t="e">
        <f t="shared" ref="M84:N84" si="85">+J84*J57/100</f>
        <v>#REF!</v>
      </c>
      <c r="N84" s="51" t="e">
        <f t="shared" si="85"/>
        <v>#REF!</v>
      </c>
    </row>
    <row r="85" spans="9:14" ht="15.75" customHeight="1" x14ac:dyDescent="0.2">
      <c r="I85" s="25" t="str">
        <f t="shared" si="73"/>
        <v>de Conc Magnética a Stock Prec (Prod A52 y A 82)</v>
      </c>
      <c r="J85" s="1">
        <v>99</v>
      </c>
      <c r="K85" s="1">
        <v>99</v>
      </c>
      <c r="M85" s="19" t="e">
        <f t="shared" ref="M85:N85" si="86">+J85*J58/100</f>
        <v>#REF!</v>
      </c>
      <c r="N85" s="51" t="e">
        <f t="shared" si="86"/>
        <v>#REF!</v>
      </c>
    </row>
    <row r="86" spans="9:14" ht="15.75" customHeight="1" x14ac:dyDescent="0.2">
      <c r="I86" s="25" t="str">
        <f t="shared" si="73"/>
        <v>total de rechazo</v>
      </c>
      <c r="J86" s="1">
        <v>99</v>
      </c>
      <c r="K86" s="1">
        <v>10</v>
      </c>
      <c r="M86" s="19" t="e">
        <f t="shared" ref="M86:N86" si="87">+J86*J59/100</f>
        <v>#REF!</v>
      </c>
      <c r="N86" s="51" t="e">
        <f t="shared" si="87"/>
        <v>#REF!</v>
      </c>
    </row>
    <row r="87" spans="9:14" ht="15.75" customHeight="1" x14ac:dyDescent="0.2">
      <c r="I87" s="25" t="str">
        <f t="shared" si="73"/>
        <v>Rechazo  a Stock de Rechazo</v>
      </c>
      <c r="J87" s="1">
        <v>99</v>
      </c>
      <c r="K87" s="1">
        <v>10</v>
      </c>
      <c r="M87" s="19" t="e">
        <f t="shared" ref="M87:N87" si="88">+J87*J60/100</f>
        <v>#REF!</v>
      </c>
      <c r="N87" s="51" t="e">
        <f t="shared" si="88"/>
        <v>#REF!</v>
      </c>
    </row>
    <row r="88" spans="9:14" ht="15.75" customHeight="1" x14ac:dyDescent="0.2">
      <c r="I88" s="25" t="str">
        <f t="shared" si="73"/>
        <v>alim fresca a Planta Rechazo</v>
      </c>
      <c r="J88" s="1">
        <v>99</v>
      </c>
      <c r="K88" s="1">
        <v>10</v>
      </c>
      <c r="M88" s="19" t="e">
        <f t="shared" ref="M88:N88" si="89">+J88*J61/100</f>
        <v>#REF!</v>
      </c>
      <c r="N88" s="51" t="e">
        <f t="shared" si="89"/>
        <v>#REF!</v>
      </c>
    </row>
    <row r="89" spans="9:14" ht="15.75" customHeight="1" x14ac:dyDescent="0.2">
      <c r="I89" s="25" t="str">
        <f t="shared" si="73"/>
        <v>Delta Stock de Rechazo</v>
      </c>
      <c r="J89" s="1">
        <v>99</v>
      </c>
      <c r="K89" s="1">
        <v>10</v>
      </c>
      <c r="M89" s="19" t="e">
        <f t="shared" ref="M89:N89" si="90">+J89*J62/100</f>
        <v>#REF!</v>
      </c>
      <c r="N89" s="51" t="e">
        <f t="shared" si="90"/>
        <v>#REF!</v>
      </c>
    </row>
    <row r="90" spans="9:14" ht="15.75" customHeight="1" x14ac:dyDescent="0.2">
      <c r="I90" s="25" t="str">
        <f t="shared" si="73"/>
        <v>Stock Rechazo a Planta Rechazo</v>
      </c>
      <c r="J90" s="1">
        <v>99</v>
      </c>
      <c r="K90" s="1">
        <v>10</v>
      </c>
      <c r="M90" s="19" t="e">
        <f t="shared" ref="M90:N90" si="91">+J90*J63/100</f>
        <v>#REF!</v>
      </c>
      <c r="N90" s="51" t="e">
        <f t="shared" si="91"/>
        <v>#REF!</v>
      </c>
    </row>
    <row r="91" spans="9:14" ht="15.75" customHeight="1" x14ac:dyDescent="0.2">
      <c r="I91" s="25" t="str">
        <f t="shared" si="73"/>
        <v>Alimentación Planta Rechazo</v>
      </c>
      <c r="J91" s="1">
        <v>99</v>
      </c>
      <c r="K91" s="1">
        <v>10</v>
      </c>
      <c r="M91" s="19" t="e">
        <f t="shared" ref="M91:N91" si="92">+J91*J64/100</f>
        <v>#REF!</v>
      </c>
      <c r="N91" s="51" t="e">
        <f t="shared" si="92"/>
        <v>#REF!</v>
      </c>
    </row>
    <row r="92" spans="9:14" ht="15.75" customHeight="1" x14ac:dyDescent="0.2">
      <c r="I92" s="25" t="str">
        <f t="shared" si="73"/>
        <v>Rechazo Final Los Colorados</v>
      </c>
      <c r="J92" s="74">
        <v>99</v>
      </c>
      <c r="K92" s="1">
        <v>10</v>
      </c>
      <c r="M92" s="19" t="e">
        <f t="shared" ref="M92:N92" si="93">+J92*J65/100</f>
        <v>#REF!</v>
      </c>
      <c r="N92" s="51" t="e">
        <f t="shared" si="93"/>
        <v>#REF!</v>
      </c>
    </row>
    <row r="93" spans="9:14" ht="15.75" customHeight="1" x14ac:dyDescent="0.2">
      <c r="I93" s="25" t="str">
        <f t="shared" si="73"/>
        <v>Producción Planta Rechazo a Stock P40</v>
      </c>
      <c r="J93" s="74">
        <v>99</v>
      </c>
      <c r="K93" s="1">
        <v>10</v>
      </c>
      <c r="M93" s="19" t="e">
        <f t="shared" ref="M93:N93" si="94">+J93*J66/100</f>
        <v>#REF!</v>
      </c>
      <c r="N93" s="51" t="e">
        <f t="shared" si="94"/>
        <v>#REF!</v>
      </c>
    </row>
    <row r="94" spans="9:14" ht="15.75" customHeight="1" x14ac:dyDescent="0.2">
      <c r="I94" s="25" t="str">
        <f t="shared" si="73"/>
        <v>Delta Stock P40</v>
      </c>
      <c r="J94" s="74">
        <v>99</v>
      </c>
      <c r="K94" s="1">
        <v>10</v>
      </c>
      <c r="M94" s="19" t="e">
        <f t="shared" ref="M94:N94" si="95">+J94*J67/100</f>
        <v>#REF!</v>
      </c>
      <c r="N94" s="51" t="e">
        <f t="shared" si="95"/>
        <v>#REF!</v>
      </c>
    </row>
    <row r="95" spans="9:14" ht="15.75" customHeight="1" x14ac:dyDescent="0.2">
      <c r="I95" s="73" t="str">
        <f t="shared" si="73"/>
        <v>Venta desde P40</v>
      </c>
      <c r="J95" s="74">
        <v>0.1</v>
      </c>
      <c r="K95" s="1">
        <v>10</v>
      </c>
      <c r="M95" s="19" t="e">
        <f t="shared" ref="M95:N95" si="96">+J95*J68/100</f>
        <v>#REF!</v>
      </c>
      <c r="N95" s="51" t="e">
        <f t="shared" si="96"/>
        <v>#REF!</v>
      </c>
    </row>
    <row r="96" spans="9:14" ht="15.75" customHeight="1" x14ac:dyDescent="0.2">
      <c r="I96" s="30" t="str">
        <f t="shared" si="73"/>
        <v>de Stoc Prec a Nodo Alim Planta de Pellet</v>
      </c>
      <c r="J96" s="1">
        <v>99</v>
      </c>
      <c r="K96" s="1">
        <v>30</v>
      </c>
      <c r="M96" s="19" t="e">
        <f t="shared" ref="M96:N96" si="97">+J96*J69/100</f>
        <v>#REF!</v>
      </c>
      <c r="N96" s="51" t="e">
        <f t="shared" si="97"/>
        <v>#REF!</v>
      </c>
    </row>
    <row r="97" spans="9:11" ht="15.75" customHeight="1" x14ac:dyDescent="0.2"/>
    <row r="98" spans="9:11" ht="15.75" customHeight="1" x14ac:dyDescent="0.2">
      <c r="J98" s="69" t="s">
        <v>73</v>
      </c>
      <c r="K98" s="69"/>
    </row>
    <row r="99" spans="9:11" ht="15.75" customHeight="1" x14ac:dyDescent="0.2">
      <c r="J99" s="70" t="s">
        <v>72</v>
      </c>
      <c r="K99" s="70" t="s">
        <v>62</v>
      </c>
    </row>
    <row r="100" spans="9:11" ht="15.75" customHeight="1" x14ac:dyDescent="0.2">
      <c r="I100" s="25" t="str">
        <f t="shared" ref="I100:I123" si="98">+I73</f>
        <v>Alimentación Mina</v>
      </c>
      <c r="J100" s="71" t="e">
        <f t="shared" ref="J100:K100" si="99">+IF(M73&lt;&gt;0,(M46-J46)^2/M73,"")</f>
        <v>#REF!</v>
      </c>
      <c r="K100" s="71" t="e">
        <f t="shared" si="99"/>
        <v>#REF!</v>
      </c>
    </row>
    <row r="101" spans="9:11" ht="15.75" customHeight="1" x14ac:dyDescent="0.2">
      <c r="I101" s="25" t="str">
        <f t="shared" si="98"/>
        <v>Alim a Planta desde Acopio Mina</v>
      </c>
      <c r="J101" s="71" t="e">
        <f t="shared" ref="J101:K101" si="100">+IF(M74&lt;&gt;0,(M47-J47)^2/M74,"")</f>
        <v>#REF!</v>
      </c>
      <c r="K101" s="71" t="e">
        <f t="shared" si="100"/>
        <v>#REF!</v>
      </c>
    </row>
    <row r="102" spans="9:11" ht="15.75" customHeight="1" x14ac:dyDescent="0.2">
      <c r="I102" s="25" t="str">
        <f t="shared" si="98"/>
        <v>Acopio Mina a Terceros</v>
      </c>
      <c r="J102" s="71" t="e">
        <f t="shared" ref="J102:K102" si="101">+IF(M75&lt;&gt;0,(M48-J48)^2/M75,"")</f>
        <v>#REF!</v>
      </c>
      <c r="K102" s="71" t="e">
        <f t="shared" si="101"/>
        <v>#REF!</v>
      </c>
    </row>
    <row r="103" spans="9:11" ht="15.75" customHeight="1" x14ac:dyDescent="0.2">
      <c r="I103" s="25" t="str">
        <f t="shared" si="98"/>
        <v>Delta S Acopio Mina</v>
      </c>
      <c r="J103" s="71" t="e">
        <f t="shared" ref="J103:K103" si="102">+IF(M76&lt;&gt;0,(M49-J49)^2/M76,"")</f>
        <v>#REF!</v>
      </c>
      <c r="K103" s="71" t="e">
        <f t="shared" si="102"/>
        <v>#REF!</v>
      </c>
    </row>
    <row r="104" spans="9:11" ht="15.75" customHeight="1" x14ac:dyDescent="0.2">
      <c r="I104" s="25" t="str">
        <f t="shared" si="98"/>
        <v>Alim a Chancado</v>
      </c>
      <c r="J104" s="71" t="e">
        <f t="shared" ref="J104:K104" si="103">+IF(M77&lt;&gt;0,(M50-J50)^2/M77,"")</f>
        <v>#REF!</v>
      </c>
      <c r="K104" s="71" t="e">
        <f t="shared" si="103"/>
        <v>#REF!</v>
      </c>
    </row>
    <row r="105" spans="9:11" ht="15.75" customHeight="1" x14ac:dyDescent="0.2">
      <c r="I105" s="25" t="str">
        <f t="shared" si="98"/>
        <v>Chanc a Stock Prec Los Col.</v>
      </c>
      <c r="J105" s="71" t="str">
        <f t="shared" ref="J105:K105" si="104">+IF(M78&lt;&gt;0,(M51-J51)^2/M78,"")</f>
        <v/>
      </c>
      <c r="K105" s="71" t="str">
        <f t="shared" si="104"/>
        <v/>
      </c>
    </row>
    <row r="106" spans="9:11" ht="15.75" customHeight="1" x14ac:dyDescent="0.2">
      <c r="I106" s="25" t="str">
        <f t="shared" si="98"/>
        <v>Chanc a Stock Grueso</v>
      </c>
      <c r="J106" s="71" t="e">
        <f t="shared" ref="J106:K106" si="105">+IF(M79&lt;&gt;0,(M52-J52)^2/M79,"")</f>
        <v>#REF!</v>
      </c>
      <c r="K106" s="71" t="e">
        <f t="shared" si="105"/>
        <v>#REF!</v>
      </c>
    </row>
    <row r="107" spans="9:11" ht="15.75" customHeight="1" x14ac:dyDescent="0.2">
      <c r="I107" s="25" t="str">
        <f t="shared" si="98"/>
        <v>Delta Stock de Grueso</v>
      </c>
      <c r="J107" s="71" t="e">
        <f t="shared" ref="J107:K107" si="106">+IF(M80&lt;&gt;0,(M53-J53)^2/M80,"")</f>
        <v>#REF!</v>
      </c>
      <c r="K107" s="71" t="e">
        <f t="shared" si="106"/>
        <v>#REF!</v>
      </c>
    </row>
    <row r="108" spans="9:11" ht="15.75" customHeight="1" x14ac:dyDescent="0.2">
      <c r="I108" s="25" t="str">
        <f t="shared" si="98"/>
        <v>De Stock Grueso a conc magn (alim A52 y A82)</v>
      </c>
      <c r="J108" s="71" t="e">
        <f t="shared" ref="J108:K108" si="107">+IF(M81&lt;&gt;0,(M54-J54)^2/M81,"")</f>
        <v>#REF!</v>
      </c>
      <c r="K108" s="71" t="e">
        <f t="shared" si="107"/>
        <v>#REF!</v>
      </c>
    </row>
    <row r="109" spans="9:11" ht="15.75" customHeight="1" x14ac:dyDescent="0.2">
      <c r="I109" s="25" t="str">
        <f t="shared" si="98"/>
        <v>Stock Prec a (o desde) Acopio Mina</v>
      </c>
      <c r="J109" s="71" t="e">
        <f t="shared" ref="J109:K109" si="108">+IF(M82&lt;&gt;0,(M55-J55)^2/M82,"")</f>
        <v>#REF!</v>
      </c>
      <c r="K109" s="71" t="e">
        <f t="shared" si="108"/>
        <v>#REF!</v>
      </c>
    </row>
    <row r="110" spans="9:11" ht="15.75" customHeight="1" x14ac:dyDescent="0.2">
      <c r="I110" s="25" t="str">
        <f t="shared" si="98"/>
        <v>Delta Stock Prec</v>
      </c>
      <c r="J110" s="71" t="e">
        <f t="shared" ref="J110:K110" si="109">+IF(M83&lt;&gt;0,(M56-J56)^2/M83,"")</f>
        <v>#REF!</v>
      </c>
      <c r="K110" s="71" t="e">
        <f t="shared" si="109"/>
        <v>#REF!</v>
      </c>
    </row>
    <row r="111" spans="9:11" ht="15.75" customHeight="1" x14ac:dyDescent="0.2">
      <c r="I111" s="25" t="str">
        <f t="shared" si="98"/>
        <v>de Stock Prec a Terceros (a otras faenas)</v>
      </c>
      <c r="J111" s="71" t="e">
        <f t="shared" ref="J111:K111" si="110">+IF(M84&lt;&gt;0,(M57-J57)^2/M84,"")</f>
        <v>#REF!</v>
      </c>
      <c r="K111" s="71" t="e">
        <f t="shared" si="110"/>
        <v>#REF!</v>
      </c>
    </row>
    <row r="112" spans="9:11" ht="15.75" customHeight="1" x14ac:dyDescent="0.2">
      <c r="I112" s="25" t="str">
        <f t="shared" si="98"/>
        <v>de Conc Magnética a Stock Prec (Prod A52 y A 82)</v>
      </c>
      <c r="J112" s="71" t="e">
        <f t="shared" ref="J112:K112" si="111">+IF(M85&lt;&gt;0,(M58-J58)^2/M85,"")</f>
        <v>#REF!</v>
      </c>
      <c r="K112" s="71" t="e">
        <f t="shared" si="111"/>
        <v>#REF!</v>
      </c>
    </row>
    <row r="113" spans="9:11" ht="15.75" customHeight="1" x14ac:dyDescent="0.2">
      <c r="I113" s="25" t="str">
        <f t="shared" si="98"/>
        <v>total de rechazo</v>
      </c>
      <c r="J113" s="71" t="e">
        <f t="shared" ref="J113:K113" si="112">+IF(M86&lt;&gt;0,(M59-J59)^2/M86,"")</f>
        <v>#REF!</v>
      </c>
      <c r="K113" s="71" t="e">
        <f t="shared" si="112"/>
        <v>#REF!</v>
      </c>
    </row>
    <row r="114" spans="9:11" ht="15.75" customHeight="1" x14ac:dyDescent="0.2">
      <c r="I114" s="25" t="str">
        <f t="shared" si="98"/>
        <v>Rechazo  a Stock de Rechazo</v>
      </c>
      <c r="J114" s="71" t="e">
        <f t="shared" ref="J114:K114" si="113">+IF(M87&lt;&gt;0,(M60-J60)^2/M87,"")</f>
        <v>#REF!</v>
      </c>
      <c r="K114" s="71" t="e">
        <f t="shared" si="113"/>
        <v>#REF!</v>
      </c>
    </row>
    <row r="115" spans="9:11" ht="15.75" customHeight="1" x14ac:dyDescent="0.2">
      <c r="I115" s="25" t="str">
        <f t="shared" si="98"/>
        <v>alim fresca a Planta Rechazo</v>
      </c>
      <c r="J115" s="71" t="e">
        <f t="shared" ref="J115:K115" si="114">+IF(M88&lt;&gt;0,(M61-J61)^2/M88,"")</f>
        <v>#REF!</v>
      </c>
      <c r="K115" s="71" t="e">
        <f t="shared" si="114"/>
        <v>#REF!</v>
      </c>
    </row>
    <row r="116" spans="9:11" ht="15.75" customHeight="1" x14ac:dyDescent="0.2">
      <c r="I116" s="25" t="str">
        <f t="shared" si="98"/>
        <v>Delta Stock de Rechazo</v>
      </c>
      <c r="J116" s="71" t="e">
        <f t="shared" ref="J116:K116" si="115">+IF(M89&lt;&gt;0,(M62-J62)^2/M89,"")</f>
        <v>#REF!</v>
      </c>
      <c r="K116" s="71" t="e">
        <f t="shared" si="115"/>
        <v>#REF!</v>
      </c>
    </row>
    <row r="117" spans="9:11" ht="15.75" customHeight="1" x14ac:dyDescent="0.2">
      <c r="I117" s="25" t="str">
        <f t="shared" si="98"/>
        <v>Stock Rechazo a Planta Rechazo</v>
      </c>
      <c r="J117" s="71" t="e">
        <f t="shared" ref="J117:K117" si="116">+IF(M90&lt;&gt;0,(M63-J63)^2/M90,"")</f>
        <v>#REF!</v>
      </c>
      <c r="K117" s="71" t="e">
        <f t="shared" si="116"/>
        <v>#REF!</v>
      </c>
    </row>
    <row r="118" spans="9:11" ht="15.75" customHeight="1" x14ac:dyDescent="0.2">
      <c r="I118" s="25" t="str">
        <f t="shared" si="98"/>
        <v>Alimentación Planta Rechazo</v>
      </c>
      <c r="J118" s="71" t="e">
        <f t="shared" ref="J118:K118" si="117">+IF(M91&lt;&gt;0,(M64-J64)^2/M91,"")</f>
        <v>#REF!</v>
      </c>
      <c r="K118" s="71" t="e">
        <f t="shared" si="117"/>
        <v>#REF!</v>
      </c>
    </row>
    <row r="119" spans="9:11" ht="15.75" customHeight="1" x14ac:dyDescent="0.2">
      <c r="I119" s="25" t="str">
        <f t="shared" si="98"/>
        <v>Rechazo Final Los Colorados</v>
      </c>
      <c r="J119" s="71" t="e">
        <f t="shared" ref="J119:K119" si="118">+IF(M92&lt;&gt;0,(M65-J65)^2/M92,"")</f>
        <v>#REF!</v>
      </c>
      <c r="K119" s="71" t="e">
        <f t="shared" si="118"/>
        <v>#REF!</v>
      </c>
    </row>
    <row r="120" spans="9:11" ht="15.75" customHeight="1" x14ac:dyDescent="0.2">
      <c r="I120" s="25" t="str">
        <f t="shared" si="98"/>
        <v>Producción Planta Rechazo a Stock P40</v>
      </c>
      <c r="J120" s="71" t="e">
        <f t="shared" ref="J120:K120" si="119">+IF(M93&lt;&gt;0,(M66-J66)^2/M93,"")</f>
        <v>#REF!</v>
      </c>
      <c r="K120" s="71" t="e">
        <f t="shared" si="119"/>
        <v>#REF!</v>
      </c>
    </row>
    <row r="121" spans="9:11" ht="15.75" customHeight="1" x14ac:dyDescent="0.2">
      <c r="I121" s="25" t="str">
        <f t="shared" si="98"/>
        <v>Delta Stock P40</v>
      </c>
      <c r="J121" s="71" t="e">
        <f t="shared" ref="J121:K121" si="120">+IF(M94&lt;&gt;0,(M67-J67)^2/M94,"")</f>
        <v>#REF!</v>
      </c>
      <c r="K121" s="71" t="e">
        <f t="shared" si="120"/>
        <v>#REF!</v>
      </c>
    </row>
    <row r="122" spans="9:11" ht="15.75" customHeight="1" x14ac:dyDescent="0.2">
      <c r="I122" s="25" t="str">
        <f t="shared" si="98"/>
        <v>Venta desde P40</v>
      </c>
      <c r="J122" s="71" t="e">
        <f t="shared" ref="J122:K122" si="121">+IF(M95&lt;&gt;0,(M68-J68)^2/M95,"")</f>
        <v>#REF!</v>
      </c>
      <c r="K122" s="71" t="e">
        <f t="shared" si="121"/>
        <v>#REF!</v>
      </c>
    </row>
    <row r="123" spans="9:11" ht="15.75" customHeight="1" x14ac:dyDescent="0.2">
      <c r="I123" s="25" t="str">
        <f t="shared" si="98"/>
        <v>de Stoc Prec a Nodo Alim Planta de Pellet</v>
      </c>
      <c r="J123" s="71" t="e">
        <f t="shared" ref="J123:K123" si="122">+IF(M96&lt;&gt;0,(M69-J69)^2/M96,"")</f>
        <v>#REF!</v>
      </c>
      <c r="K123" s="71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6"/>
    </row>
    <row r="3" spans="2:20" x14ac:dyDescent="0.2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8"/>
    </row>
    <row r="4" spans="2:20" x14ac:dyDescent="0.2"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8"/>
    </row>
    <row r="5" spans="2:20" x14ac:dyDescent="0.2"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8"/>
    </row>
    <row r="6" spans="2:20" ht="16" x14ac:dyDescent="0.2">
      <c r="B6" s="77"/>
      <c r="C6" s="1"/>
      <c r="D6" s="1"/>
      <c r="E6" s="1"/>
      <c r="F6" s="79">
        <f>+'Bal Los Colorados'!M47</f>
        <v>0</v>
      </c>
      <c r="G6" s="1"/>
      <c r="H6" s="1"/>
      <c r="I6" s="80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8"/>
    </row>
    <row r="7" spans="2:20" ht="16" x14ac:dyDescent="0.2">
      <c r="B7" s="77"/>
      <c r="C7" s="1"/>
      <c r="D7" s="1"/>
      <c r="E7" s="81">
        <f>+-C8+D16-F6</f>
        <v>1770.5761999999995</v>
      </c>
      <c r="F7" s="82">
        <f>+'Bal Los Colorados'!N47</f>
        <v>0</v>
      </c>
      <c r="G7" s="1"/>
      <c r="H7" s="1"/>
      <c r="I7" s="83">
        <f>+'Bal Los Colorados'!N46</f>
        <v>0.46140050554742984</v>
      </c>
      <c r="J7" s="1"/>
      <c r="K7" s="1"/>
      <c r="L7" s="1"/>
      <c r="M7" s="1"/>
      <c r="N7" s="1"/>
      <c r="O7" s="1"/>
      <c r="P7" s="492" t="s">
        <v>74</v>
      </c>
      <c r="Q7" s="486"/>
      <c r="R7" s="1"/>
      <c r="S7" s="1"/>
      <c r="T7" s="78"/>
    </row>
    <row r="8" spans="2:20" ht="16" x14ac:dyDescent="0.2">
      <c r="B8" s="77"/>
      <c r="C8" s="80">
        <f>+'Bal Los Colorados'!M48</f>
        <v>12961.629000000001</v>
      </c>
      <c r="D8" s="1"/>
      <c r="E8" s="1"/>
      <c r="F8" s="84">
        <f>+'Bal Los Colorados'!O47</f>
        <v>0</v>
      </c>
      <c r="G8" s="1"/>
      <c r="H8" s="1"/>
      <c r="I8" s="85">
        <f>+'Bal Los Colorados'!O46</f>
        <v>231983.78607040126</v>
      </c>
      <c r="J8" s="1"/>
      <c r="K8" s="1"/>
      <c r="L8" s="1"/>
      <c r="M8" s="1"/>
      <c r="N8" s="1"/>
      <c r="O8" s="1"/>
      <c r="P8" s="86" t="s">
        <v>75</v>
      </c>
      <c r="Q8" s="87">
        <f>+I25/K20</f>
        <v>0.75353481009949175</v>
      </c>
      <c r="R8" s="1"/>
      <c r="S8" s="1"/>
      <c r="T8" s="78"/>
    </row>
    <row r="9" spans="2:20" ht="16" x14ac:dyDescent="0.2">
      <c r="B9" s="77"/>
      <c r="C9" s="83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6" t="s">
        <v>76</v>
      </c>
      <c r="Q9" s="87">
        <f>+I27/K22</f>
        <v>0.91700160865247149</v>
      </c>
      <c r="R9" s="1"/>
      <c r="S9" s="1"/>
      <c r="T9" s="78"/>
    </row>
    <row r="10" spans="2:20" ht="16" x14ac:dyDescent="0.2">
      <c r="B10" s="77"/>
      <c r="C10" s="85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92" t="s">
        <v>31</v>
      </c>
      <c r="Q10" s="486"/>
      <c r="R10" s="1"/>
      <c r="S10" s="1"/>
      <c r="T10" s="78"/>
    </row>
    <row r="11" spans="2:20" ht="16" x14ac:dyDescent="0.2">
      <c r="B11" s="77"/>
      <c r="C11" s="1"/>
      <c r="D11" s="1"/>
      <c r="E11" s="1"/>
      <c r="F11" s="1"/>
      <c r="G11" s="1"/>
      <c r="H11" s="1"/>
      <c r="I11" s="1"/>
      <c r="J11" s="80">
        <f>+'Bal Los Colorados'!M52</f>
        <v>502781.82030850503</v>
      </c>
      <c r="K11" s="1"/>
      <c r="L11" s="1"/>
      <c r="M11" s="1"/>
      <c r="N11" s="1"/>
      <c r="O11" s="1"/>
      <c r="P11" s="86" t="s">
        <v>75</v>
      </c>
      <c r="Q11" s="87">
        <f>+O33/(P22+M30)</f>
        <v>0.1480619761814021</v>
      </c>
      <c r="R11" s="1"/>
      <c r="S11" s="1"/>
      <c r="T11" s="78"/>
    </row>
    <row r="12" spans="2:20" ht="16" x14ac:dyDescent="0.2">
      <c r="B12" s="77"/>
      <c r="C12" s="1"/>
      <c r="D12" s="1"/>
      <c r="E12" s="1"/>
      <c r="F12" s="1"/>
      <c r="G12" s="1"/>
      <c r="H12" s="80">
        <f>+'Bal Los Colorados'!M50</f>
        <v>502781.82030850503</v>
      </c>
      <c r="I12" s="1"/>
      <c r="J12" s="83">
        <f>+'Bal Los Colorados'!N52</f>
        <v>0.46140050554742978</v>
      </c>
      <c r="K12" s="1"/>
      <c r="L12" s="1"/>
      <c r="M12" s="1"/>
      <c r="N12" s="1"/>
      <c r="O12" s="1"/>
      <c r="P12" s="86" t="s">
        <v>76</v>
      </c>
      <c r="Q12" s="87">
        <f>+O35/(P24+M32)</f>
        <v>0.34811925056763093</v>
      </c>
      <c r="R12" s="1"/>
      <c r="S12" s="1"/>
      <c r="T12" s="78"/>
    </row>
    <row r="13" spans="2:20" ht="16" x14ac:dyDescent="0.2">
      <c r="B13" s="77"/>
      <c r="C13" s="1"/>
      <c r="D13" s="1"/>
      <c r="E13" s="1"/>
      <c r="F13" s="1"/>
      <c r="G13" s="1"/>
      <c r="H13" s="83">
        <f>+'Bal Los Colorados'!N50</f>
        <v>0.46140050554742978</v>
      </c>
      <c r="I13" s="1"/>
      <c r="J13" s="85">
        <f>+'Bal Los Colorados'!O52</f>
        <v>231983.78607040123</v>
      </c>
      <c r="K13" s="1"/>
      <c r="L13" s="1"/>
      <c r="M13" s="1"/>
      <c r="N13" s="1"/>
      <c r="O13" s="1"/>
      <c r="P13" s="493" t="s">
        <v>77</v>
      </c>
      <c r="Q13" s="486"/>
      <c r="R13" s="1"/>
      <c r="S13" s="1"/>
      <c r="T13" s="78"/>
    </row>
    <row r="14" spans="2:20" ht="16" x14ac:dyDescent="0.2">
      <c r="B14" s="77"/>
      <c r="C14" s="1"/>
      <c r="D14" s="1"/>
      <c r="E14" s="1"/>
      <c r="F14" s="1"/>
      <c r="G14" s="1"/>
      <c r="H14" s="85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6" t="s">
        <v>75</v>
      </c>
      <c r="Q14" s="87">
        <f>+(O33+I25)/(K20+(M30+P22-(L25-M15)))</f>
        <v>0.72448459461366954</v>
      </c>
      <c r="R14" s="1"/>
      <c r="S14" s="1"/>
      <c r="T14" s="78"/>
    </row>
    <row r="15" spans="2:20" ht="16" x14ac:dyDescent="0.2">
      <c r="B15" s="77"/>
      <c r="C15" s="1"/>
      <c r="D15" s="1"/>
      <c r="E15" s="1"/>
      <c r="F15" s="1"/>
      <c r="G15" s="1"/>
      <c r="H15" s="1"/>
      <c r="I15" s="1"/>
      <c r="J15" s="1"/>
      <c r="K15" s="1"/>
      <c r="L15" s="1"/>
      <c r="M15" s="79">
        <f>+'Bal Los Colorados'!M60</f>
        <v>30174.414309067877</v>
      </c>
      <c r="N15" s="1"/>
      <c r="O15" s="1"/>
      <c r="P15" s="86" t="s">
        <v>76</v>
      </c>
      <c r="Q15" s="87">
        <f>+(O34+I27)/(K22+(M32+P24-(L27-M17)))</f>
        <v>0.87798735665130323</v>
      </c>
      <c r="R15" s="1"/>
      <c r="S15" s="1"/>
      <c r="T15" s="78"/>
    </row>
    <row r="16" spans="2:20" ht="16" x14ac:dyDescent="0.2">
      <c r="B16" s="77"/>
      <c r="C16" s="1"/>
      <c r="D16" s="79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2">
        <f>+'Bal Los Colorados'!N60</f>
        <v>0.19850415593901971</v>
      </c>
      <c r="N16" s="1"/>
      <c r="O16" s="1"/>
      <c r="P16" s="1"/>
      <c r="Q16" s="1"/>
      <c r="R16" s="1"/>
      <c r="S16" s="1"/>
      <c r="T16" s="78"/>
    </row>
    <row r="17" spans="2:25" ht="16" x14ac:dyDescent="0.2">
      <c r="B17" s="77"/>
      <c r="C17" s="1"/>
      <c r="D17" s="82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4">
        <f>+'Bal Los Colorados'!O60</f>
        <v>5989.7466433757972</v>
      </c>
      <c r="N17" s="1"/>
      <c r="O17" s="1"/>
      <c r="P17" s="1"/>
      <c r="Q17" s="1"/>
      <c r="R17" s="1"/>
      <c r="S17" s="1"/>
      <c r="T17" s="78"/>
    </row>
    <row r="18" spans="2:25" ht="16" x14ac:dyDescent="0.2">
      <c r="B18" s="77"/>
      <c r="C18" s="1"/>
      <c r="D18" s="84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8"/>
    </row>
    <row r="19" spans="2:25" ht="16" x14ac:dyDescent="0.2">
      <c r="B19" s="77"/>
      <c r="C19" s="1"/>
      <c r="D19" s="1"/>
      <c r="E19" s="1"/>
      <c r="F19" s="1"/>
      <c r="G19" s="1"/>
      <c r="H19" s="80"/>
      <c r="I19" s="1"/>
      <c r="J19" s="81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8"/>
      <c r="X19" s="1">
        <v>13390</v>
      </c>
      <c r="Y19" s="19">
        <f>+J11+X20</f>
        <v>542951.82030850509</v>
      </c>
    </row>
    <row r="20" spans="2:25" ht="16" x14ac:dyDescent="0.2">
      <c r="B20" s="77"/>
      <c r="C20" s="1"/>
      <c r="D20" s="1"/>
      <c r="E20" s="1"/>
      <c r="F20" s="1"/>
      <c r="G20" s="1"/>
      <c r="H20" s="83"/>
      <c r="I20" s="1"/>
      <c r="J20" s="1"/>
      <c r="K20" s="80">
        <f>+'Bal Los Colorados'!M54</f>
        <v>458196.92982851854</v>
      </c>
      <c r="L20" s="1"/>
      <c r="M20" s="1"/>
      <c r="N20" s="1"/>
      <c r="O20" s="81">
        <f>+M15-P22</f>
        <v>-14174.322317347061</v>
      </c>
      <c r="P20" s="1"/>
      <c r="Q20" s="1"/>
      <c r="R20" s="1"/>
      <c r="S20" s="1"/>
      <c r="T20" s="78"/>
      <c r="X20" s="1">
        <f>+X19*3</f>
        <v>40170</v>
      </c>
    </row>
    <row r="21" spans="2:25" ht="15.75" customHeight="1" x14ac:dyDescent="0.2">
      <c r="B21" s="77"/>
      <c r="C21" s="1"/>
      <c r="D21" s="1"/>
      <c r="E21" s="1"/>
      <c r="F21" s="1"/>
      <c r="G21" s="1"/>
      <c r="H21" s="85"/>
      <c r="I21" s="1"/>
      <c r="J21" s="1"/>
      <c r="K21" s="83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8"/>
    </row>
    <row r="22" spans="2:25" ht="15.75" customHeight="1" x14ac:dyDescent="0.2">
      <c r="B22" s="88"/>
      <c r="C22" s="1"/>
      <c r="D22" s="1"/>
      <c r="E22" s="1"/>
      <c r="F22" s="1"/>
      <c r="G22" s="1"/>
      <c r="H22" s="1"/>
      <c r="I22" s="1"/>
      <c r="J22" s="1"/>
      <c r="K22" s="85">
        <f>+'Bal Los Colorados'!O54</f>
        <v>216121.49720061384</v>
      </c>
      <c r="L22" s="1"/>
      <c r="M22" s="1"/>
      <c r="N22" s="1"/>
      <c r="O22" s="1"/>
      <c r="P22" s="79">
        <f>+'Bal Los Colorados'!M63</f>
        <v>44348.736626414939</v>
      </c>
      <c r="Q22" s="1"/>
      <c r="R22" s="1"/>
      <c r="S22" s="1"/>
      <c r="T22" s="78"/>
    </row>
    <row r="23" spans="2:25" ht="15.75" customHeight="1" x14ac:dyDescent="0.2">
      <c r="B23" s="7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2">
        <f>+'Bal Los Colorados'!N63</f>
        <v>0.21655702250803865</v>
      </c>
      <c r="Q23" s="1"/>
      <c r="R23" s="1"/>
      <c r="S23" s="1"/>
      <c r="T23" s="78"/>
    </row>
    <row r="24" spans="2:25" ht="15.75" customHeight="1" x14ac:dyDescent="0.2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4">
        <f>+'Bal Los Colorados'!O63</f>
        <v>9604.0303558096184</v>
      </c>
      <c r="Q24" s="1"/>
      <c r="R24" s="1"/>
      <c r="S24" s="1"/>
      <c r="T24" s="78"/>
    </row>
    <row r="25" spans="2:25" ht="15.75" customHeight="1" x14ac:dyDescent="0.2">
      <c r="B25" s="77"/>
      <c r="C25" s="1"/>
      <c r="D25" s="1"/>
      <c r="E25" s="1"/>
      <c r="F25" s="1"/>
      <c r="G25" s="1"/>
      <c r="H25" s="1"/>
      <c r="I25" s="80">
        <f>+'Bal Los Colorados'!M58</f>
        <v>345267.33650650288</v>
      </c>
      <c r="J25" s="1"/>
      <c r="K25" s="1"/>
      <c r="L25" s="80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8"/>
    </row>
    <row r="26" spans="2:25" ht="15.75" customHeight="1" x14ac:dyDescent="0.2">
      <c r="B26" s="77"/>
      <c r="C26" s="1"/>
      <c r="D26" s="1"/>
      <c r="E26" s="1"/>
      <c r="F26" s="1"/>
      <c r="G26" s="1"/>
      <c r="H26" s="1"/>
      <c r="I26" s="83">
        <f>+'Bal Los Colorados'!N58</f>
        <v>0.57400089624061745</v>
      </c>
      <c r="J26" s="1"/>
      <c r="K26" s="1"/>
      <c r="L26" s="83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8"/>
    </row>
    <row r="27" spans="2:25" ht="15.75" customHeight="1" x14ac:dyDescent="0.2">
      <c r="B27" s="77"/>
      <c r="C27" s="1"/>
      <c r="D27" s="1"/>
      <c r="E27" s="1"/>
      <c r="F27" s="1"/>
      <c r="G27" s="81">
        <f>+I25-C28-G36-D16</f>
        <v>-359512.14169349719</v>
      </c>
      <c r="H27" s="1"/>
      <c r="I27" s="85">
        <f>+'Bal Los Colorados'!O58</f>
        <v>198183.7605973435</v>
      </c>
      <c r="J27" s="1"/>
      <c r="K27" s="1"/>
      <c r="L27" s="85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8"/>
    </row>
    <row r="28" spans="2:25" ht="15.75" customHeight="1" x14ac:dyDescent="0.2">
      <c r="B28" s="77"/>
      <c r="C28" s="80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9">
        <f>+'Bal Los Colorados'!M65</f>
        <v>108284.65870939114</v>
      </c>
      <c r="T28" s="78"/>
    </row>
    <row r="29" spans="2:25" ht="15.75" customHeight="1" x14ac:dyDescent="0.2">
      <c r="B29" s="77"/>
      <c r="C29" s="83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2">
        <f>+'Bal Los Colorados'!N65</f>
        <v>0.12974457621375801</v>
      </c>
      <c r="T29" s="78"/>
    </row>
    <row r="30" spans="2:25" ht="15.75" customHeight="1" x14ac:dyDescent="0.2">
      <c r="B30" s="77"/>
      <c r="C30" s="85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9"/>
      <c r="L30" s="1"/>
      <c r="M30" s="79">
        <f>+'Bal Los Colorados'!M61</f>
        <v>82755.179012932131</v>
      </c>
      <c r="N30" s="1"/>
      <c r="O30" s="1"/>
      <c r="P30" s="1"/>
      <c r="Q30" s="1"/>
      <c r="R30" s="1"/>
      <c r="S30" s="84">
        <f>+'Bal Los Colorados'!O65</f>
        <v>14049.347154701374</v>
      </c>
      <c r="T30" s="78"/>
    </row>
    <row r="31" spans="2:25" ht="15.75" customHeight="1" x14ac:dyDescent="0.2">
      <c r="B31" s="77"/>
      <c r="C31" s="1"/>
      <c r="D31" s="1"/>
      <c r="E31" s="1"/>
      <c r="F31" s="1"/>
      <c r="G31" s="1"/>
      <c r="H31" s="1"/>
      <c r="I31" s="1"/>
      <c r="J31" s="1"/>
      <c r="K31" s="1"/>
      <c r="L31" s="1"/>
      <c r="M31" s="82">
        <f>+'Bal Los Colorados'!N61</f>
        <v>0.14437754955847257</v>
      </c>
      <c r="N31" s="1"/>
      <c r="O31" s="1"/>
      <c r="P31" s="1"/>
      <c r="Q31" s="1"/>
      <c r="R31" s="1"/>
      <c r="S31" s="1"/>
      <c r="T31" s="78"/>
    </row>
    <row r="32" spans="2:25" ht="15.75" customHeight="1" x14ac:dyDescent="0.2">
      <c r="B32" s="77"/>
      <c r="C32" s="1"/>
      <c r="D32" s="1"/>
      <c r="E32" s="1"/>
      <c r="F32" s="1"/>
      <c r="G32" s="1"/>
      <c r="H32" s="1"/>
      <c r="I32" s="19">
        <f>+I25-D16</f>
        <v>330535.13130650285</v>
      </c>
      <c r="J32" s="1"/>
      <c r="K32" s="1"/>
      <c r="L32" s="1"/>
      <c r="M32" s="84">
        <f>+'Bal Los Colorados'!O61</f>
        <v>11947.989959159877</v>
      </c>
      <c r="N32" s="1"/>
      <c r="O32" s="1"/>
      <c r="P32" s="1"/>
      <c r="Q32" s="1"/>
      <c r="R32" s="1"/>
      <c r="S32" s="1"/>
      <c r="T32" s="78"/>
    </row>
    <row r="33" spans="2:20" ht="15.75" customHeight="1" x14ac:dyDescent="0.2"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9">
        <f>+'Bal Los Colorados'!M66</f>
        <v>18819.256929955947</v>
      </c>
      <c r="P33" s="1"/>
      <c r="Q33" s="1"/>
      <c r="R33" s="1"/>
      <c r="S33" s="1"/>
      <c r="T33" s="78"/>
    </row>
    <row r="34" spans="2:20" ht="15.75" customHeight="1" x14ac:dyDescent="0.2">
      <c r="B34" s="7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2">
        <f>+'Bal Los Colorados'!N66</f>
        <v>0.39866999999999997</v>
      </c>
      <c r="P34" s="1"/>
      <c r="Q34" s="1"/>
      <c r="R34" s="1"/>
      <c r="S34" s="1"/>
      <c r="T34" s="78"/>
    </row>
    <row r="35" spans="2:20" ht="15.75" customHeight="1" x14ac:dyDescent="0.2"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4">
        <f>+'Bal Los Colorados'!O66</f>
        <v>7502.6731602655373</v>
      </c>
      <c r="P35" s="1"/>
      <c r="Q35" s="1"/>
      <c r="R35" s="1"/>
      <c r="S35" s="1"/>
      <c r="T35" s="78"/>
    </row>
    <row r="36" spans="2:20" ht="15.75" customHeight="1" x14ac:dyDescent="0.2">
      <c r="B36" s="77"/>
      <c r="C36" s="1"/>
      <c r="D36" s="1"/>
      <c r="E36" s="1"/>
      <c r="F36" s="1"/>
      <c r="G36" s="79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9">
        <f>+'Bal Los Colorados'!M68</f>
        <v>19130.865000000002</v>
      </c>
      <c r="T36" s="78"/>
    </row>
    <row r="37" spans="2:20" ht="15.75" customHeight="1" x14ac:dyDescent="0.2">
      <c r="B37" s="77"/>
      <c r="C37" s="1"/>
      <c r="D37" s="1"/>
      <c r="E37" s="1"/>
      <c r="F37" s="1"/>
      <c r="G37" s="82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2">
        <f>+'Bal Los Colorados'!N68</f>
        <v>0.39832612919332189</v>
      </c>
      <c r="T37" s="78"/>
    </row>
    <row r="38" spans="2:20" ht="15.75" customHeight="1" x14ac:dyDescent="0.2">
      <c r="B38" s="77"/>
      <c r="C38" s="1"/>
      <c r="D38" s="1"/>
      <c r="E38" s="1"/>
      <c r="F38" s="1"/>
      <c r="G38" s="84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4">
        <f>+'Bal Los Colorados'!O68</f>
        <v>7620.3234035700007</v>
      </c>
      <c r="T38" s="78"/>
    </row>
    <row r="39" spans="2:20" ht="15.75" customHeight="1" x14ac:dyDescent="0.2">
      <c r="B39" s="7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8"/>
    </row>
    <row r="40" spans="2:20" ht="15.75" customHeight="1" x14ac:dyDescent="0.2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81">
        <f>+O33-S36</f>
        <v>-311.60807004405433</v>
      </c>
      <c r="Q40" s="1"/>
      <c r="R40" s="1"/>
      <c r="S40" s="1"/>
      <c r="T40" s="78"/>
    </row>
    <row r="41" spans="2:20" ht="15.75" customHeight="1" x14ac:dyDescent="0.2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8"/>
    </row>
    <row r="42" spans="2:20" ht="15.75" customHeight="1" x14ac:dyDescent="0.2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5.75" customHeight="1" x14ac:dyDescent="0.2">
      <c r="E43" s="92" t="s">
        <v>78</v>
      </c>
    </row>
    <row r="44" spans="2:20" ht="32.25" customHeight="1" x14ac:dyDescent="0.2">
      <c r="E44" s="494" t="s">
        <v>79</v>
      </c>
      <c r="F44" s="495"/>
      <c r="G44" s="498"/>
      <c r="H44" s="494" t="s">
        <v>80</v>
      </c>
      <c r="I44" s="495"/>
      <c r="J44" s="486"/>
      <c r="K44" s="496" t="s">
        <v>81</v>
      </c>
      <c r="L44" s="495"/>
      <c r="M44" s="495"/>
      <c r="N44" s="486"/>
    </row>
    <row r="45" spans="2:20" ht="15.75" customHeight="1" x14ac:dyDescent="0.2">
      <c r="E45" s="32" t="s">
        <v>82</v>
      </c>
      <c r="F45" s="32"/>
      <c r="G45" s="43">
        <f>+I6</f>
        <v>502781.82030850503</v>
      </c>
      <c r="H45" s="497" t="s">
        <v>83</v>
      </c>
      <c r="I45" s="486"/>
      <c r="J45" s="43">
        <f>+E7</f>
        <v>1770.5761999999995</v>
      </c>
      <c r="K45" s="497" t="s">
        <v>84</v>
      </c>
      <c r="L45" s="495"/>
      <c r="M45" s="486"/>
      <c r="N45" s="43">
        <f>+C8</f>
        <v>12961.629000000001</v>
      </c>
    </row>
    <row r="46" spans="2:20" ht="15.75" customHeight="1" x14ac:dyDescent="0.2">
      <c r="E46" s="491"/>
      <c r="F46" s="486"/>
      <c r="G46" s="32"/>
      <c r="H46" s="497" t="s">
        <v>85</v>
      </c>
      <c r="I46" s="486"/>
      <c r="J46" s="43">
        <f>+J19</f>
        <v>44584.890479986498</v>
      </c>
      <c r="K46" s="497" t="s">
        <v>86</v>
      </c>
      <c r="L46" s="495"/>
      <c r="M46" s="486"/>
      <c r="N46" s="43">
        <f>+C28</f>
        <v>16162.331</v>
      </c>
    </row>
    <row r="47" spans="2:20" ht="15.75" customHeight="1" x14ac:dyDescent="0.2">
      <c r="E47" s="491"/>
      <c r="F47" s="486"/>
      <c r="G47" s="32"/>
      <c r="H47" s="497" t="s">
        <v>87</v>
      </c>
      <c r="I47" s="486"/>
      <c r="J47" s="43">
        <f>+G27</f>
        <v>-359512.14169349719</v>
      </c>
      <c r="K47" s="497" t="s">
        <v>88</v>
      </c>
      <c r="L47" s="495"/>
      <c r="M47" s="486"/>
      <c r="N47" s="43">
        <f>+S36</f>
        <v>19130.865000000002</v>
      </c>
    </row>
    <row r="48" spans="2:20" ht="15.75" customHeight="1" x14ac:dyDescent="0.2">
      <c r="E48" s="491"/>
      <c r="F48" s="486"/>
      <c r="G48" s="32"/>
      <c r="H48" s="93" t="s">
        <v>89</v>
      </c>
      <c r="I48" s="93"/>
      <c r="J48" s="43">
        <f>+O20</f>
        <v>-14174.322317347061</v>
      </c>
      <c r="K48" s="497" t="s">
        <v>90</v>
      </c>
      <c r="L48" s="495"/>
      <c r="M48" s="486"/>
      <c r="N48" s="43">
        <f>+S28</f>
        <v>108284.65870939114</v>
      </c>
    </row>
    <row r="49" spans="5:14" ht="15.75" customHeight="1" x14ac:dyDescent="0.2">
      <c r="E49" s="491"/>
      <c r="F49" s="486"/>
      <c r="G49" s="32"/>
      <c r="H49" s="497" t="s">
        <v>91</v>
      </c>
      <c r="I49" s="486"/>
      <c r="J49" s="43">
        <f>+P40</f>
        <v>-311.60807004405433</v>
      </c>
      <c r="K49" s="497" t="s">
        <v>92</v>
      </c>
      <c r="L49" s="495"/>
      <c r="M49" s="486"/>
      <c r="N49" s="43">
        <f>+G36</f>
        <v>673884.94200000004</v>
      </c>
    </row>
    <row r="50" spans="5:14" ht="15.75" customHeight="1" x14ac:dyDescent="0.25">
      <c r="E50" s="501" t="s">
        <v>93</v>
      </c>
      <c r="F50" s="486"/>
      <c r="G50" s="94">
        <f>+G45</f>
        <v>502781.82030850503</v>
      </c>
      <c r="H50" s="499" t="s">
        <v>94</v>
      </c>
      <c r="I50" s="486"/>
      <c r="J50" s="95">
        <f>+SUM(J45:J49)</f>
        <v>-327642.60540090181</v>
      </c>
      <c r="K50" s="499" t="s">
        <v>95</v>
      </c>
      <c r="L50" s="495"/>
      <c r="M50" s="486"/>
      <c r="N50" s="94">
        <f>+SUM(N45:N49)</f>
        <v>830424.42570939125</v>
      </c>
    </row>
    <row r="51" spans="5:14" ht="15.75" customHeight="1" x14ac:dyDescent="0.2"/>
    <row r="52" spans="5:14" ht="15.75" customHeight="1" x14ac:dyDescent="0.25">
      <c r="J52" s="96" t="s">
        <v>96</v>
      </c>
      <c r="K52" s="97"/>
      <c r="L52" s="98"/>
      <c r="M52" s="97"/>
      <c r="N52" s="99">
        <f>+G50-J50-N50</f>
        <v>1.5599653124809265E-8</v>
      </c>
    </row>
    <row r="53" spans="5:14" ht="15.75" customHeight="1" x14ac:dyDescent="0.25">
      <c r="F53" s="100"/>
      <c r="G53" s="100"/>
      <c r="H53" s="100"/>
      <c r="I53" s="100"/>
      <c r="J53" s="101"/>
    </row>
    <row r="54" spans="5:14" ht="15.75" customHeight="1" x14ac:dyDescent="0.2">
      <c r="E54" s="92" t="s">
        <v>97</v>
      </c>
    </row>
    <row r="55" spans="5:14" ht="15.75" customHeight="1" x14ac:dyDescent="0.2">
      <c r="E55" s="502" t="s">
        <v>79</v>
      </c>
      <c r="F55" s="495"/>
      <c r="G55" s="498"/>
      <c r="H55" s="502" t="s">
        <v>80</v>
      </c>
      <c r="I55" s="495"/>
      <c r="J55" s="486"/>
      <c r="K55" s="500" t="s">
        <v>81</v>
      </c>
      <c r="L55" s="495"/>
      <c r="M55" s="495"/>
      <c r="N55" s="486"/>
    </row>
    <row r="56" spans="5:14" ht="15.75" customHeight="1" x14ac:dyDescent="0.2">
      <c r="E56" s="32" t="s">
        <v>82</v>
      </c>
      <c r="F56" s="32"/>
      <c r="G56" s="43">
        <f>+I8</f>
        <v>231983.78607040126</v>
      </c>
      <c r="H56" s="497" t="s">
        <v>83</v>
      </c>
      <c r="I56" s="486"/>
      <c r="J56" s="43" t="e">
        <f>+'Bal Los Colorados'!O49*'Bal Los Colorados'!G49</f>
        <v>#REF!</v>
      </c>
      <c r="K56" s="497" t="s">
        <v>84</v>
      </c>
      <c r="L56" s="495"/>
      <c r="M56" s="486"/>
      <c r="N56" s="43">
        <f>+C10</f>
        <v>7704.8210577451482</v>
      </c>
    </row>
    <row r="57" spans="5:14" ht="15.75" customHeight="1" x14ac:dyDescent="0.2">
      <c r="E57" s="491"/>
      <c r="F57" s="486"/>
      <c r="G57" s="32"/>
      <c r="H57" s="497" t="s">
        <v>85</v>
      </c>
      <c r="I57" s="486"/>
      <c r="J57" s="43" t="e">
        <f>+'Bal Los Colorados'!O53*'Bal Los Colorados'!G53</f>
        <v>#REF!</v>
      </c>
      <c r="K57" s="497" t="s">
        <v>86</v>
      </c>
      <c r="L57" s="495"/>
      <c r="M57" s="486"/>
      <c r="N57" s="43">
        <f>+C30</f>
        <v>9675.4587302503223</v>
      </c>
    </row>
    <row r="58" spans="5:14" ht="15.75" customHeight="1" x14ac:dyDescent="0.2">
      <c r="E58" s="491"/>
      <c r="F58" s="486"/>
      <c r="G58" s="32"/>
      <c r="H58" s="497" t="s">
        <v>87</v>
      </c>
      <c r="I58" s="486"/>
      <c r="J58" s="43" t="e">
        <f>+'Bal Los Colorados'!O56*'Bal Los Colorados'!G56</f>
        <v>#REF!</v>
      </c>
      <c r="K58" s="497" t="s">
        <v>88</v>
      </c>
      <c r="L58" s="495"/>
      <c r="M58" s="486"/>
      <c r="N58" s="43">
        <f>+S38</f>
        <v>7620.3234035700007</v>
      </c>
    </row>
    <row r="59" spans="5:14" ht="15.75" customHeight="1" x14ac:dyDescent="0.2">
      <c r="E59" s="491"/>
      <c r="F59" s="486"/>
      <c r="G59" s="32"/>
      <c r="H59" s="93" t="s">
        <v>89</v>
      </c>
      <c r="I59" s="93"/>
      <c r="J59" s="43" t="e">
        <f>+'Bal Los Colorados'!O62*'Bal Los Colorados'!G62</f>
        <v>#REF!</v>
      </c>
      <c r="K59" s="497" t="s">
        <v>90</v>
      </c>
      <c r="L59" s="495"/>
      <c r="M59" s="486"/>
      <c r="N59" s="43">
        <f>+S30</f>
        <v>14049.347154701374</v>
      </c>
    </row>
    <row r="60" spans="5:14" ht="15.75" customHeight="1" x14ac:dyDescent="0.2">
      <c r="E60" s="491"/>
      <c r="F60" s="486"/>
      <c r="G60" s="32"/>
      <c r="H60" s="497" t="s">
        <v>91</v>
      </c>
      <c r="I60" s="486"/>
      <c r="J60" s="43" t="e">
        <f>+'Bal Los Colorados'!O67*'Bal Los Colorados'!G67</f>
        <v>#REF!</v>
      </c>
      <c r="K60" s="497" t="s">
        <v>92</v>
      </c>
      <c r="L60" s="495"/>
      <c r="M60" s="486"/>
      <c r="N60" s="43">
        <f>+G38</f>
        <v>410848.95586592209</v>
      </c>
    </row>
    <row r="61" spans="5:14" ht="15.75" customHeight="1" x14ac:dyDescent="0.25">
      <c r="E61" s="501" t="s">
        <v>93</v>
      </c>
      <c r="F61" s="486"/>
      <c r="G61" s="94">
        <f>+G56</f>
        <v>231983.78607040126</v>
      </c>
      <c r="H61" s="499" t="s">
        <v>94</v>
      </c>
      <c r="I61" s="486"/>
      <c r="J61" s="95" t="e">
        <f>+SUM(J56:J60)</f>
        <v>#REF!</v>
      </c>
      <c r="K61" s="499" t="s">
        <v>95</v>
      </c>
      <c r="L61" s="495"/>
      <c r="M61" s="486"/>
      <c r="N61" s="94">
        <f>+SUM(N56:N60)</f>
        <v>449898.90621218894</v>
      </c>
    </row>
    <row r="62" spans="5:14" ht="15.75" customHeight="1" x14ac:dyDescent="0.2"/>
    <row r="63" spans="5:14" ht="15.75" customHeight="1" x14ac:dyDescent="0.25">
      <c r="J63" s="96" t="s">
        <v>96</v>
      </c>
      <c r="K63" s="97"/>
      <c r="L63" s="98"/>
      <c r="M63" s="97"/>
      <c r="N63" s="99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E49:F49"/>
    <mergeCell ref="E50:F50"/>
    <mergeCell ref="E55:G55"/>
    <mergeCell ref="K58:M58"/>
    <mergeCell ref="K59:M59"/>
    <mergeCell ref="K60:M60"/>
    <mergeCell ref="K61:M61"/>
    <mergeCell ref="K56:M56"/>
    <mergeCell ref="E59:F59"/>
    <mergeCell ref="E57:F57"/>
    <mergeCell ref="E58:F58"/>
    <mergeCell ref="H57:I57"/>
    <mergeCell ref="H58:I58"/>
    <mergeCell ref="E60:F60"/>
    <mergeCell ref="H60:I60"/>
    <mergeCell ref="E47:F47"/>
    <mergeCell ref="H47:I47"/>
    <mergeCell ref="E48:F48"/>
    <mergeCell ref="H49:I49"/>
    <mergeCell ref="H50:I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21" workbookViewId="0">
      <selection activeCell="A49" sqref="A49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50" t="s">
        <v>280</v>
      </c>
      <c r="B1" s="450" t="s">
        <v>51</v>
      </c>
      <c r="C1" s="451" t="s">
        <v>281</v>
      </c>
      <c r="D1" s="452" t="s">
        <v>144</v>
      </c>
      <c r="E1" s="432"/>
      <c r="F1" s="449"/>
    </row>
    <row r="2" spans="1:6" ht="24" x14ac:dyDescent="0.3">
      <c r="A2" s="453" t="s">
        <v>182</v>
      </c>
      <c r="B2" s="454"/>
      <c r="C2" s="453"/>
      <c r="D2" s="455">
        <v>8.2565315053515272E-3</v>
      </c>
      <c r="E2" s="432"/>
      <c r="F2" s="449"/>
    </row>
    <row r="3" spans="1:6" ht="24" x14ac:dyDescent="0.3">
      <c r="A3" s="453" t="s">
        <v>183</v>
      </c>
      <c r="B3" s="454"/>
      <c r="C3" s="453"/>
      <c r="D3" s="455">
        <v>7.3337694200423E-3</v>
      </c>
      <c r="E3" s="432"/>
      <c r="F3" s="434"/>
    </row>
    <row r="4" spans="1:6" ht="24" x14ac:dyDescent="0.3">
      <c r="A4" s="453" t="s">
        <v>184</v>
      </c>
      <c r="B4" s="454"/>
      <c r="C4" s="453"/>
      <c r="D4" s="455">
        <v>1.04E-2</v>
      </c>
      <c r="E4" s="432"/>
      <c r="F4" s="432"/>
    </row>
    <row r="5" spans="1:6" ht="24" x14ac:dyDescent="0.3">
      <c r="A5" s="453" t="s">
        <v>186</v>
      </c>
      <c r="B5" s="454"/>
      <c r="C5" s="453"/>
      <c r="D5" s="455">
        <v>8.6564242834441009E-3</v>
      </c>
      <c r="E5" s="432"/>
      <c r="F5" s="432"/>
    </row>
    <row r="6" spans="1:6" ht="24" x14ac:dyDescent="0.3">
      <c r="A6" s="453" t="s">
        <v>150</v>
      </c>
      <c r="B6" s="454"/>
      <c r="C6" s="453"/>
      <c r="D6" s="455">
        <v>8.6999999999999994E-3</v>
      </c>
    </row>
    <row r="7" spans="1:6" ht="24" x14ac:dyDescent="0.3">
      <c r="A7" s="453" t="s">
        <v>10</v>
      </c>
      <c r="B7" s="454"/>
      <c r="C7" s="453"/>
      <c r="D7" s="455">
        <v>8.6E-3</v>
      </c>
    </row>
    <row r="8" spans="1:6" ht="24" x14ac:dyDescent="0.3">
      <c r="A8" s="453" t="s">
        <v>151</v>
      </c>
      <c r="B8" s="454"/>
      <c r="C8" s="453"/>
      <c r="D8" s="455">
        <v>7.6E-3</v>
      </c>
    </row>
    <row r="9" spans="1:6" ht="24" x14ac:dyDescent="0.3">
      <c r="A9" s="453" t="s">
        <v>98</v>
      </c>
      <c r="B9" s="454"/>
      <c r="C9" s="453"/>
      <c r="D9" s="455">
        <v>0</v>
      </c>
    </row>
    <row r="10" spans="1:6" ht="24" x14ac:dyDescent="0.3">
      <c r="A10" s="453" t="s">
        <v>152</v>
      </c>
      <c r="B10" s="454"/>
      <c r="C10" s="453"/>
      <c r="D10" s="455">
        <v>0.11174159282958218</v>
      </c>
    </row>
    <row r="11" spans="1:6" ht="24" x14ac:dyDescent="0.3">
      <c r="A11" s="453" t="s">
        <v>153</v>
      </c>
      <c r="B11" s="454"/>
      <c r="C11" s="453"/>
      <c r="D11" s="455">
        <v>9.8900000000000002E-2</v>
      </c>
    </row>
    <row r="12" spans="1:6" ht="24" x14ac:dyDescent="0.3">
      <c r="A12" s="453" t="s">
        <v>192</v>
      </c>
      <c r="B12" s="454"/>
      <c r="C12" s="453"/>
      <c r="D12" s="455">
        <v>8.8499999999999995E-2</v>
      </c>
    </row>
    <row r="13" spans="1:6" ht="24" x14ac:dyDescent="0.3">
      <c r="A13" s="453" t="s">
        <v>194</v>
      </c>
      <c r="B13" s="454"/>
      <c r="C13" s="453"/>
      <c r="D13" s="455">
        <v>0</v>
      </c>
    </row>
    <row r="14" spans="1:6" ht="24" x14ac:dyDescent="0.3">
      <c r="A14" s="453" t="s">
        <v>154</v>
      </c>
      <c r="B14" s="454"/>
      <c r="C14" s="453"/>
      <c r="D14" s="455">
        <v>0</v>
      </c>
    </row>
    <row r="15" spans="1:6" ht="24" x14ac:dyDescent="0.3">
      <c r="A15" s="453" t="s">
        <v>200</v>
      </c>
      <c r="B15" s="454"/>
      <c r="C15" s="453"/>
      <c r="D15" s="455">
        <v>8.8099999999999998E-2</v>
      </c>
    </row>
    <row r="16" spans="1:6" ht="24" x14ac:dyDescent="0.3">
      <c r="A16" s="453" t="s">
        <v>205</v>
      </c>
      <c r="B16" s="454"/>
      <c r="C16" s="453"/>
      <c r="D16" s="455">
        <v>2E-3</v>
      </c>
    </row>
    <row r="17" spans="1:4" ht="24" x14ac:dyDescent="0.3">
      <c r="A17" s="453" t="s">
        <v>209</v>
      </c>
      <c r="B17" s="454"/>
      <c r="C17" s="453"/>
      <c r="D17" s="455">
        <v>0.17672850168632548</v>
      </c>
    </row>
    <row r="18" spans="1:4" ht="24" x14ac:dyDescent="0.3">
      <c r="A18" s="453" t="s">
        <v>155</v>
      </c>
      <c r="B18" s="454"/>
      <c r="C18" s="453"/>
      <c r="D18" s="455">
        <v>5.0000000000000001E-3</v>
      </c>
    </row>
    <row r="19" spans="1:4" ht="24" x14ac:dyDescent="0.3">
      <c r="A19" s="453" t="s">
        <v>156</v>
      </c>
      <c r="B19" s="454"/>
      <c r="C19" s="453"/>
      <c r="D19" s="455">
        <v>5.1612903225806139E-3</v>
      </c>
    </row>
    <row r="20" spans="1:4" ht="24" x14ac:dyDescent="0.3">
      <c r="A20" s="453" t="s">
        <v>157</v>
      </c>
      <c r="B20" s="454"/>
      <c r="C20" s="453"/>
      <c r="D20" s="455">
        <v>4.9999999999998934E-3</v>
      </c>
    </row>
    <row r="21" spans="1:4" ht="24" x14ac:dyDescent="0.3">
      <c r="A21" s="453" t="s">
        <v>158</v>
      </c>
      <c r="B21" s="454"/>
      <c r="C21" s="453"/>
      <c r="D21" s="455">
        <v>5.0000000000000001E-3</v>
      </c>
    </row>
    <row r="22" spans="1:4" ht="24" x14ac:dyDescent="0.3">
      <c r="A22" s="453" t="s">
        <v>159</v>
      </c>
      <c r="B22" s="454"/>
      <c r="C22" s="453"/>
      <c r="D22" s="455">
        <v>5.0000000000000001E-3</v>
      </c>
    </row>
    <row r="23" spans="1:4" ht="24" x14ac:dyDescent="0.3">
      <c r="A23" s="453" t="s">
        <v>18</v>
      </c>
      <c r="B23" s="454"/>
      <c r="C23" s="453"/>
      <c r="D23" s="455">
        <v>5.0000000000000001E-3</v>
      </c>
    </row>
    <row r="24" spans="1:4" ht="24" x14ac:dyDescent="0.3">
      <c r="A24" s="453" t="s">
        <v>218</v>
      </c>
      <c r="B24" s="454"/>
      <c r="C24" s="453"/>
      <c r="D24" s="455">
        <v>1.0609981671660898E-2</v>
      </c>
    </row>
    <row r="25" spans="1:4" ht="24" x14ac:dyDescent="0.3">
      <c r="A25" s="456" t="s">
        <v>103</v>
      </c>
      <c r="B25" s="454">
        <v>9561.2951012849808</v>
      </c>
      <c r="C25" s="457">
        <v>9482.3519670492587</v>
      </c>
      <c r="D25" s="458">
        <v>8.2565315053515272E-3</v>
      </c>
    </row>
    <row r="26" spans="1:4" ht="24" x14ac:dyDescent="0.3">
      <c r="A26" s="456" t="s">
        <v>104</v>
      </c>
      <c r="B26" s="454">
        <v>206592.68611022949</v>
      </c>
      <c r="C26" s="457">
        <v>205077.58298642989</v>
      </c>
      <c r="D26" s="458">
        <v>7.3337694200423E-3</v>
      </c>
    </row>
    <row r="27" spans="1:4" ht="24" x14ac:dyDescent="0.3">
      <c r="A27" s="456" t="s">
        <v>185</v>
      </c>
      <c r="B27" s="454">
        <v>550</v>
      </c>
      <c r="C27" s="457">
        <v>545.27</v>
      </c>
      <c r="D27" s="458">
        <v>8.6E-3</v>
      </c>
    </row>
    <row r="28" spans="1:4" ht="24" x14ac:dyDescent="0.3">
      <c r="A28" s="456" t="s">
        <v>187</v>
      </c>
      <c r="B28" s="454">
        <v>1440</v>
      </c>
      <c r="C28" s="457">
        <v>1440</v>
      </c>
      <c r="D28" s="458">
        <v>0</v>
      </c>
    </row>
    <row r="29" spans="1:4" ht="24" x14ac:dyDescent="0.3">
      <c r="A29" s="456" t="s">
        <v>118</v>
      </c>
      <c r="B29" s="454">
        <v>218541.48310889813</v>
      </c>
      <c r="C29" s="457">
        <v>199200.56185376065</v>
      </c>
      <c r="D29" s="458">
        <v>8.8499999999999995E-2</v>
      </c>
    </row>
    <row r="30" spans="1:4" ht="24" x14ac:dyDescent="0.3">
      <c r="A30" s="456" t="s">
        <v>188</v>
      </c>
      <c r="B30" s="454">
        <v>0</v>
      </c>
      <c r="C30" s="457">
        <v>0</v>
      </c>
      <c r="D30" s="458">
        <v>0</v>
      </c>
    </row>
    <row r="31" spans="1:4" ht="24" x14ac:dyDescent="0.3">
      <c r="A31" s="456" t="s">
        <v>120</v>
      </c>
      <c r="B31" s="454">
        <v>233821</v>
      </c>
      <c r="C31" s="457">
        <v>232651.89499999999</v>
      </c>
      <c r="D31" s="458">
        <v>5.0000000000000001E-3</v>
      </c>
    </row>
    <row r="32" spans="1:4" ht="24" x14ac:dyDescent="0.3">
      <c r="A32" s="456" t="s">
        <v>189</v>
      </c>
      <c r="B32" s="454">
        <v>99746</v>
      </c>
      <c r="C32" s="457">
        <v>99247.27</v>
      </c>
      <c r="D32" s="458">
        <v>5.0000000000000001E-3</v>
      </c>
    </row>
    <row r="33" spans="1:4" ht="24" x14ac:dyDescent="0.3">
      <c r="A33" s="456" t="s">
        <v>190</v>
      </c>
      <c r="B33" s="454">
        <v>0</v>
      </c>
      <c r="C33" s="457">
        <v>0</v>
      </c>
      <c r="D33" s="458">
        <v>3.5000000000000003E-2</v>
      </c>
    </row>
    <row r="34" spans="1:4" ht="24" x14ac:dyDescent="0.3">
      <c r="A34" s="456" t="s">
        <v>191</v>
      </c>
      <c r="B34" s="454">
        <v>0</v>
      </c>
      <c r="C34" s="457">
        <v>0</v>
      </c>
      <c r="D34" s="458">
        <v>0</v>
      </c>
    </row>
    <row r="35" spans="1:4" ht="24" x14ac:dyDescent="0.3">
      <c r="A35" s="461" t="s">
        <v>169</v>
      </c>
      <c r="B35" s="462">
        <v>200437</v>
      </c>
      <c r="C35" s="463"/>
      <c r="D35" s="463"/>
    </row>
    <row r="36" spans="1:4" ht="24" x14ac:dyDescent="0.3">
      <c r="A36" s="461" t="s">
        <v>99</v>
      </c>
      <c r="B36" s="462">
        <v>88708</v>
      </c>
      <c r="C36" s="463"/>
      <c r="D36" s="463"/>
    </row>
    <row r="37" spans="1:4" ht="24" x14ac:dyDescent="0.3">
      <c r="A37" s="461" t="s">
        <v>100</v>
      </c>
      <c r="B37" s="462">
        <v>382282</v>
      </c>
      <c r="C37" s="463"/>
      <c r="D37" s="463"/>
    </row>
    <row r="38" spans="1:4" ht="24" x14ac:dyDescent="0.3">
      <c r="A38" s="461" t="s">
        <v>170</v>
      </c>
      <c r="B38" s="462"/>
      <c r="C38" s="463"/>
      <c r="D38" s="463"/>
    </row>
    <row r="39" spans="1:4" ht="24" x14ac:dyDescent="0.3">
      <c r="A39" s="461" t="s">
        <v>101</v>
      </c>
      <c r="B39" s="462"/>
      <c r="C39" s="463"/>
      <c r="D39" s="463"/>
    </row>
    <row r="40" spans="1:4" ht="24" x14ac:dyDescent="0.3">
      <c r="A40" s="461" t="s">
        <v>102</v>
      </c>
      <c r="B40" s="462"/>
      <c r="C40" s="463"/>
      <c r="D40" s="463"/>
    </row>
    <row r="41" spans="1:4" ht="24" x14ac:dyDescent="0.3">
      <c r="A41" s="461" t="s">
        <v>103</v>
      </c>
      <c r="B41" s="462">
        <v>8766</v>
      </c>
      <c r="C41" s="463"/>
      <c r="D41" s="463"/>
    </row>
    <row r="42" spans="1:4" ht="24" x14ac:dyDescent="0.3">
      <c r="A42" s="461" t="s">
        <v>104</v>
      </c>
      <c r="B42" s="462">
        <v>146083</v>
      </c>
      <c r="C42" s="463"/>
      <c r="D42" s="463"/>
    </row>
    <row r="43" spans="1:4" ht="24" x14ac:dyDescent="0.3">
      <c r="A43" s="461" t="s">
        <v>105</v>
      </c>
      <c r="B43" s="462">
        <v>0</v>
      </c>
      <c r="C43" s="463"/>
      <c r="D43" s="463"/>
    </row>
    <row r="44" spans="1:4" ht="24" x14ac:dyDescent="0.3">
      <c r="A44" s="461" t="s">
        <v>106</v>
      </c>
      <c r="B44" s="462">
        <v>27</v>
      </c>
      <c r="C44" s="463"/>
      <c r="D44" s="463"/>
    </row>
    <row r="45" spans="1:4" ht="24" x14ac:dyDescent="0.3">
      <c r="A45" s="461" t="s">
        <v>107</v>
      </c>
      <c r="B45" s="462">
        <v>25122</v>
      </c>
      <c r="C45" s="463"/>
      <c r="D45" s="463"/>
    </row>
    <row r="46" spans="1:4" ht="24" x14ac:dyDescent="0.3">
      <c r="A46" s="464" t="s">
        <v>265</v>
      </c>
      <c r="B46" s="465">
        <v>841140</v>
      </c>
      <c r="C46" s="466">
        <v>1</v>
      </c>
      <c r="D46" s="467">
        <v>2.65</v>
      </c>
    </row>
    <row r="47" spans="1:4" ht="24" x14ac:dyDescent="0.3">
      <c r="A47" s="468" t="s">
        <v>266</v>
      </c>
      <c r="B47" s="465">
        <v>841140</v>
      </c>
      <c r="C47" s="466">
        <v>1</v>
      </c>
      <c r="D47" s="469">
        <v>1.7937498607364257</v>
      </c>
    </row>
    <row r="48" spans="1:4" ht="24" x14ac:dyDescent="0.3">
      <c r="A48" s="464" t="s">
        <v>267</v>
      </c>
      <c r="B48" s="465">
        <v>799464</v>
      </c>
      <c r="C48" s="466">
        <v>0.85</v>
      </c>
      <c r="D48" s="469">
        <v>0.93275003802393297</v>
      </c>
    </row>
    <row r="49" spans="1:4" ht="24" x14ac:dyDescent="0.3">
      <c r="A49" s="464" t="s">
        <v>268</v>
      </c>
      <c r="B49" s="465">
        <v>309440</v>
      </c>
      <c r="C49" s="466">
        <v>0.15</v>
      </c>
      <c r="D49" s="469">
        <v>1.1554858656662388</v>
      </c>
    </row>
    <row r="50" spans="1:4" ht="15.75" customHeight="1" x14ac:dyDescent="0.3">
      <c r="A50" s="464" t="s">
        <v>269</v>
      </c>
      <c r="B50" s="465">
        <v>719345</v>
      </c>
      <c r="C50" s="466">
        <v>1</v>
      </c>
      <c r="D50" s="469">
        <v>6.7708475606506466</v>
      </c>
    </row>
    <row r="51" spans="1:4" ht="15.75" customHeight="1" x14ac:dyDescent="0.3">
      <c r="A51" s="464" t="s">
        <v>271</v>
      </c>
      <c r="B51" s="464"/>
      <c r="C51" s="470"/>
      <c r="D51" s="471">
        <v>12.73464883638535</v>
      </c>
    </row>
    <row r="52" spans="1:4" ht="15.75" customHeight="1" x14ac:dyDescent="0.3">
      <c r="A52" s="464" t="s">
        <v>272</v>
      </c>
      <c r="B52" s="464"/>
      <c r="C52" s="470"/>
      <c r="D52" s="471">
        <v>20.331616421326252</v>
      </c>
    </row>
    <row r="53" spans="1:4" ht="15.75" customHeight="1" x14ac:dyDescent="0.3">
      <c r="A53" s="464" t="s">
        <v>273</v>
      </c>
      <c r="B53" s="464"/>
      <c r="C53" s="470"/>
      <c r="D53" s="471">
        <v>8.225477491060424</v>
      </c>
    </row>
    <row r="54" spans="1:4" ht="15.75" customHeight="1" x14ac:dyDescent="0.3">
      <c r="A54" s="464" t="s">
        <v>274</v>
      </c>
      <c r="B54" s="464"/>
      <c r="C54" s="470"/>
      <c r="D54" s="471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8" sqref="M18"/>
    </sheetView>
  </sheetViews>
  <sheetFormatPr baseColWidth="10" defaultColWidth="14.5" defaultRowHeight="15" customHeight="1" x14ac:dyDescent="0.2"/>
  <cols>
    <col min="1" max="2" width="2.1640625" customWidth="1"/>
    <col min="3" max="3" width="15.5" hidden="1" customWidth="1"/>
    <col min="4" max="5" width="12.83203125" customWidth="1"/>
    <col min="6" max="6" width="15.1640625" customWidth="1"/>
    <col min="7" max="7" width="12" customWidth="1"/>
    <col min="8" max="8" width="12.33203125" customWidth="1"/>
    <col min="9" max="9" width="13.5" customWidth="1"/>
    <col min="10" max="12" width="13" customWidth="1"/>
    <col min="13" max="13" width="14.83203125" customWidth="1"/>
    <col min="14" max="14" width="13.33203125" customWidth="1"/>
    <col min="15" max="15" width="13.5" customWidth="1"/>
    <col min="16" max="16" width="2.1640625" customWidth="1"/>
    <col min="17" max="17" width="13.83203125" customWidth="1"/>
    <col min="18" max="18" width="10.6640625" customWidth="1"/>
    <col min="19" max="19" width="12" customWidth="1"/>
    <col min="20" max="26" width="6.33203125" customWidth="1"/>
  </cols>
  <sheetData>
    <row r="1" spans="1:26" ht="15" customHeight="1" x14ac:dyDescent="0.2">
      <c r="A1" s="1"/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4"/>
      <c r="P1" s="10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06"/>
      <c r="C2" s="107"/>
      <c r="D2" s="503"/>
      <c r="E2" s="504"/>
      <c r="F2" s="509" t="s">
        <v>108</v>
      </c>
      <c r="G2" s="510"/>
      <c r="H2" s="510"/>
      <c r="I2" s="510"/>
      <c r="J2" s="510"/>
      <c r="K2" s="510"/>
      <c r="L2" s="510"/>
      <c r="M2" s="510"/>
      <c r="N2" s="510"/>
      <c r="O2" s="511"/>
      <c r="P2" s="10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06"/>
      <c r="C3" s="107"/>
      <c r="D3" s="505"/>
      <c r="E3" s="506"/>
      <c r="F3" s="512"/>
      <c r="G3" s="513"/>
      <c r="H3" s="513"/>
      <c r="I3" s="513"/>
      <c r="J3" s="513"/>
      <c r="K3" s="513"/>
      <c r="L3" s="513"/>
      <c r="M3" s="513"/>
      <c r="N3" s="513"/>
      <c r="O3" s="514"/>
      <c r="P3" s="10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06"/>
      <c r="C4" s="107"/>
      <c r="D4" s="505"/>
      <c r="E4" s="506"/>
      <c r="F4" s="515" t="s">
        <v>109</v>
      </c>
      <c r="G4" s="516"/>
      <c r="H4" s="516"/>
      <c r="I4" s="516"/>
      <c r="J4" s="516"/>
      <c r="K4" s="517"/>
      <c r="L4" s="515" t="s">
        <v>110</v>
      </c>
      <c r="M4" s="517"/>
      <c r="N4" s="520">
        <v>44926</v>
      </c>
      <c r="O4" s="521"/>
      <c r="P4" s="10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06"/>
      <c r="C5" s="107"/>
      <c r="D5" s="507"/>
      <c r="E5" s="508"/>
      <c r="F5" s="518"/>
      <c r="G5" s="519"/>
      <c r="H5" s="519"/>
      <c r="I5" s="519"/>
      <c r="J5" s="519"/>
      <c r="K5" s="508"/>
      <c r="L5" s="518"/>
      <c r="M5" s="508"/>
      <c r="N5" s="518"/>
      <c r="O5" s="522"/>
      <c r="P5" s="10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06"/>
      <c r="C6" s="107"/>
      <c r="D6" s="109"/>
      <c r="E6" s="109"/>
      <c r="F6" s="109"/>
      <c r="G6" s="109"/>
      <c r="H6" s="109"/>
      <c r="I6" s="109"/>
      <c r="J6" s="109"/>
      <c r="K6" s="109"/>
      <c r="L6" s="110"/>
      <c r="M6" s="107"/>
      <c r="N6" s="1"/>
      <c r="O6" s="1"/>
      <c r="P6" s="10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11"/>
      <c r="C7" s="112"/>
      <c r="D7" s="523"/>
      <c r="E7" s="510"/>
      <c r="F7" s="504"/>
      <c r="G7" s="113" t="s">
        <v>111</v>
      </c>
      <c r="H7" s="113" t="s">
        <v>112</v>
      </c>
      <c r="I7" s="114" t="s">
        <v>113</v>
      </c>
      <c r="J7" s="526"/>
      <c r="K7" s="510"/>
      <c r="L7" s="504"/>
      <c r="M7" s="113" t="s">
        <v>111</v>
      </c>
      <c r="N7" s="113" t="s">
        <v>112</v>
      </c>
      <c r="O7" s="114" t="s">
        <v>113</v>
      </c>
      <c r="P7" s="10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11"/>
      <c r="C8" s="112"/>
      <c r="D8" s="524"/>
      <c r="E8" s="513"/>
      <c r="F8" s="525"/>
      <c r="G8" s="115" t="s">
        <v>51</v>
      </c>
      <c r="H8" s="115" t="s">
        <v>114</v>
      </c>
      <c r="I8" s="116" t="s">
        <v>52</v>
      </c>
      <c r="J8" s="519"/>
      <c r="K8" s="519"/>
      <c r="L8" s="508"/>
      <c r="M8" s="115" t="s">
        <v>51</v>
      </c>
      <c r="N8" s="115" t="s">
        <v>114</v>
      </c>
      <c r="O8" s="116" t="s">
        <v>52</v>
      </c>
      <c r="P8" s="10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11"/>
      <c r="C9" s="112"/>
      <c r="D9" s="527" t="s">
        <v>79</v>
      </c>
      <c r="E9" s="488"/>
      <c r="F9" s="488"/>
      <c r="G9" s="488"/>
      <c r="H9" s="488"/>
      <c r="I9" s="489"/>
      <c r="J9" s="528" t="s">
        <v>115</v>
      </c>
      <c r="K9" s="529"/>
      <c r="L9" s="529"/>
      <c r="M9" s="529"/>
      <c r="N9" s="529"/>
      <c r="O9" s="530"/>
      <c r="P9" s="10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11"/>
      <c r="C10" s="112" t="s">
        <v>116</v>
      </c>
      <c r="D10" s="531" t="s">
        <v>117</v>
      </c>
      <c r="E10" s="495"/>
      <c r="F10" s="486"/>
      <c r="G10" s="117" t="e">
        <f>+#REF!*(1-'Datos Extra'!D4)</f>
        <v>#REF!</v>
      </c>
      <c r="H10" s="118" t="e">
        <f>+#REF!</f>
        <v>#REF!</v>
      </c>
      <c r="I10" s="119" t="e">
        <f t="shared" ref="I10:I11" si="0">H10*G10</f>
        <v>#REF!</v>
      </c>
      <c r="J10" s="532" t="s">
        <v>118</v>
      </c>
      <c r="K10" s="488"/>
      <c r="L10" s="533"/>
      <c r="M10" s="120" t="e">
        <f>#REF!*(1-'Datos Extra'!D13)</f>
        <v>#REF!</v>
      </c>
      <c r="N10" s="121" t="e">
        <f>+#REF!</f>
        <v>#REF!</v>
      </c>
      <c r="O10" s="119" t="e">
        <f t="shared" ref="O10:O14" si="1">N10*M10</f>
        <v>#REF!</v>
      </c>
      <c r="P10" s="10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11"/>
      <c r="C11" s="112"/>
      <c r="D11" s="531" t="s">
        <v>119</v>
      </c>
      <c r="E11" s="495"/>
      <c r="F11" s="486"/>
      <c r="G11" s="122">
        <v>0</v>
      </c>
      <c r="H11" s="123">
        <v>0</v>
      </c>
      <c r="I11" s="119">
        <f t="shared" si="0"/>
        <v>0</v>
      </c>
      <c r="J11" s="531" t="s">
        <v>120</v>
      </c>
      <c r="K11" s="495"/>
      <c r="L11" s="486"/>
      <c r="M11" s="117" t="e">
        <f>+#REF!*(1-'Datos Extra'!D20)</f>
        <v>#REF!</v>
      </c>
      <c r="N11" s="118" t="e">
        <f>++#REF!</f>
        <v>#REF!</v>
      </c>
      <c r="O11" s="119" t="e">
        <f t="shared" si="1"/>
        <v>#REF!</v>
      </c>
      <c r="P11" s="10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11"/>
      <c r="C12" s="112"/>
      <c r="D12" s="531" t="s">
        <v>121</v>
      </c>
      <c r="E12" s="495"/>
      <c r="F12" s="486"/>
      <c r="G12" s="122">
        <v>0</v>
      </c>
      <c r="H12" s="123">
        <v>0</v>
      </c>
      <c r="I12" s="119">
        <v>0</v>
      </c>
      <c r="J12" s="531" t="s">
        <v>122</v>
      </c>
      <c r="K12" s="495"/>
      <c r="L12" s="486"/>
      <c r="M12" s="117" t="e">
        <f>+#REF!*(1-'Datos Extra'!D18)</f>
        <v>#REF!</v>
      </c>
      <c r="N12" s="118" t="e">
        <f>+#REF!</f>
        <v>#REF!</v>
      </c>
      <c r="O12" s="119" t="e">
        <f t="shared" si="1"/>
        <v>#REF!</v>
      </c>
      <c r="P12" s="10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11"/>
      <c r="C13" s="112"/>
      <c r="D13" s="534" t="s">
        <v>123</v>
      </c>
      <c r="E13" s="535"/>
      <c r="F13" s="536"/>
      <c r="G13" s="122">
        <v>0</v>
      </c>
      <c r="H13" s="123">
        <v>0</v>
      </c>
      <c r="I13" s="119">
        <v>0</v>
      </c>
      <c r="J13" s="124" t="s">
        <v>124</v>
      </c>
      <c r="K13" s="125"/>
      <c r="L13" s="126"/>
      <c r="M13" s="127" t="e">
        <f>+#REF!*(1-'Datos Extra'!D2)</f>
        <v>#REF!</v>
      </c>
      <c r="N13" s="118" t="e">
        <f>+#REF!</f>
        <v>#REF!</v>
      </c>
      <c r="O13" s="119" t="e">
        <f t="shared" si="1"/>
        <v>#REF!</v>
      </c>
      <c r="P13" s="108"/>
      <c r="Q13" s="1"/>
      <c r="R13" s="12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11"/>
      <c r="C14" s="112" t="s">
        <v>125</v>
      </c>
      <c r="D14" s="537" t="s">
        <v>126</v>
      </c>
      <c r="E14" s="538"/>
      <c r="F14" s="539"/>
      <c r="G14" s="129" t="e">
        <f>SUM(G10:G13)</f>
        <v>#REF!</v>
      </c>
      <c r="H14" s="130" t="e">
        <f t="shared" ref="H14:I14" si="2">H10</f>
        <v>#REF!</v>
      </c>
      <c r="I14" s="129" t="e">
        <f t="shared" si="2"/>
        <v>#REF!</v>
      </c>
      <c r="J14" s="540" t="s">
        <v>126</v>
      </c>
      <c r="K14" s="538"/>
      <c r="L14" s="539"/>
      <c r="M14" s="129" t="e">
        <f>SUM(M10:M13)</f>
        <v>#REF!</v>
      </c>
      <c r="N14" s="130" t="e">
        <f>SUMPRODUCT(M10:M13,N10:N13)/M14</f>
        <v>#REF!</v>
      </c>
      <c r="O14" s="129" t="e">
        <f t="shared" si="1"/>
        <v>#REF!</v>
      </c>
      <c r="P14" s="108"/>
      <c r="Q14" s="131"/>
      <c r="R14" s="12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11"/>
      <c r="C15" s="112"/>
      <c r="D15" s="527" t="s">
        <v>127</v>
      </c>
      <c r="E15" s="488"/>
      <c r="F15" s="488"/>
      <c r="G15" s="488"/>
      <c r="H15" s="488"/>
      <c r="I15" s="489"/>
      <c r="J15" s="541" t="s">
        <v>128</v>
      </c>
      <c r="K15" s="538"/>
      <c r="L15" s="538"/>
      <c r="M15" s="538"/>
      <c r="N15" s="538"/>
      <c r="O15" s="542"/>
      <c r="P15" s="10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11"/>
      <c r="C16" s="112"/>
      <c r="D16" s="531" t="s">
        <v>129</v>
      </c>
      <c r="E16" s="495"/>
      <c r="F16" s="486"/>
      <c r="G16" s="122" t="e">
        <f>+#REF!*(1-'Datos Extra'!D28)</f>
        <v>#REF!</v>
      </c>
      <c r="H16" s="123" t="e">
        <f>+#REF!</f>
        <v>#REF!</v>
      </c>
      <c r="I16" s="119" t="e">
        <f t="shared" ref="I16:I20" si="3">H16*G16</f>
        <v>#REF!</v>
      </c>
      <c r="J16" s="132" t="s">
        <v>130</v>
      </c>
      <c r="K16" s="132"/>
      <c r="L16" s="133"/>
      <c r="M16" s="117" t="e">
        <f>+#REF!</f>
        <v>#REF!</v>
      </c>
      <c r="N16" s="118" t="e">
        <f>+#REF!</f>
        <v>#REF!</v>
      </c>
      <c r="O16" s="119" t="e">
        <f t="shared" ref="O16:O17" si="4">N16*M16</f>
        <v>#REF!</v>
      </c>
      <c r="P16" s="108"/>
      <c r="Q16" s="134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11"/>
      <c r="C17" s="112"/>
      <c r="D17" s="531" t="s">
        <v>118</v>
      </c>
      <c r="E17" s="495"/>
      <c r="F17" s="486"/>
      <c r="G17" s="122" t="e">
        <f>#REF!*(1-'Datos Extra'!D14)</f>
        <v>#REF!</v>
      </c>
      <c r="H17" s="123" t="e">
        <f>+#REF!</f>
        <v>#REF!</v>
      </c>
      <c r="I17" s="119" t="e">
        <f t="shared" si="3"/>
        <v>#REF!</v>
      </c>
      <c r="J17" s="540" t="s">
        <v>126</v>
      </c>
      <c r="K17" s="538"/>
      <c r="L17" s="539"/>
      <c r="M17" s="135" t="e">
        <f t="shared" ref="M17:N17" si="5">M16</f>
        <v>#REF!</v>
      </c>
      <c r="N17" s="136" t="e">
        <f t="shared" si="5"/>
        <v>#REF!</v>
      </c>
      <c r="O17" s="137" t="e">
        <f t="shared" si="4"/>
        <v>#REF!</v>
      </c>
      <c r="P17" s="108"/>
      <c r="Q17" s="134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11"/>
      <c r="C18" s="112"/>
      <c r="D18" s="531" t="s">
        <v>120</v>
      </c>
      <c r="E18" s="495"/>
      <c r="F18" s="486"/>
      <c r="G18" s="122" t="e">
        <f>+#REF!*(1-'Datos Extra'!D21)</f>
        <v>#REF!</v>
      </c>
      <c r="H18" s="123" t="e">
        <f>+#REF!</f>
        <v>#REF!</v>
      </c>
      <c r="I18" s="119" t="e">
        <f t="shared" si="3"/>
        <v>#REF!</v>
      </c>
      <c r="J18" s="1"/>
      <c r="K18" s="1"/>
      <c r="L18" s="1"/>
      <c r="M18" s="138"/>
      <c r="N18" s="139"/>
      <c r="O18" s="139"/>
      <c r="P18" s="108"/>
      <c r="Q18" s="134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11"/>
      <c r="C19" s="112"/>
      <c r="D19" s="531" t="s">
        <v>105</v>
      </c>
      <c r="E19" s="495"/>
      <c r="F19" s="486"/>
      <c r="G19" s="122" t="e">
        <f>#REF!*(1-'Datos Extra'!D27)</f>
        <v>#REF!</v>
      </c>
      <c r="H19" s="123" t="e">
        <f>+#REF!</f>
        <v>#REF!</v>
      </c>
      <c r="I19" s="119" t="e">
        <f t="shared" si="3"/>
        <v>#REF!</v>
      </c>
      <c r="J19" s="545"/>
      <c r="K19" s="544"/>
      <c r="L19" s="544"/>
      <c r="M19" s="140"/>
      <c r="N19" s="141"/>
      <c r="O19" s="142"/>
      <c r="P19" s="10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11"/>
      <c r="C20" s="112"/>
      <c r="D20" s="531" t="s">
        <v>122</v>
      </c>
      <c r="E20" s="495"/>
      <c r="F20" s="486"/>
      <c r="G20" s="122" t="e">
        <f>+#REF!*(1-'Datos Extra'!D31)</f>
        <v>#REF!</v>
      </c>
      <c r="H20" s="123" t="e">
        <f>+#REF!</f>
        <v>#REF!</v>
      </c>
      <c r="I20" s="119" t="e">
        <f t="shared" si="3"/>
        <v>#REF!</v>
      </c>
      <c r="J20" s="543"/>
      <c r="K20" s="544"/>
      <c r="L20" s="544"/>
      <c r="M20" s="144"/>
      <c r="N20" s="145"/>
      <c r="O20" s="146"/>
      <c r="P20" s="10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11"/>
      <c r="C21" s="112"/>
      <c r="D21" s="537" t="s">
        <v>126</v>
      </c>
      <c r="E21" s="538"/>
      <c r="F21" s="539"/>
      <c r="G21" s="129" t="e">
        <f>SUM(G16:G20)</f>
        <v>#REF!</v>
      </c>
      <c r="H21" s="130" t="e">
        <f>SUMPRODUCT(G16:G20,H16:H20)/G21</f>
        <v>#REF!</v>
      </c>
      <c r="I21" s="129" t="e">
        <f>SUM(I16:I20)</f>
        <v>#REF!</v>
      </c>
      <c r="J21" s="543"/>
      <c r="K21" s="544"/>
      <c r="L21" s="544"/>
      <c r="M21" s="144"/>
      <c r="N21" s="145"/>
      <c r="O21" s="146"/>
      <c r="P21" s="108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11"/>
      <c r="C22" s="112"/>
      <c r="D22" s="143"/>
      <c r="E22" s="143"/>
      <c r="F22" s="143"/>
      <c r="G22" s="143"/>
      <c r="H22" s="143"/>
      <c r="I22" s="143"/>
      <c r="J22" s="143"/>
      <c r="K22" s="143"/>
      <c r="L22" s="143"/>
      <c r="M22" s="144"/>
      <c r="N22" s="145"/>
      <c r="O22" s="146"/>
      <c r="P22" s="10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 x14ac:dyDescent="0.2">
      <c r="A23" s="1"/>
      <c r="B23" s="111"/>
      <c r="C23" s="112"/>
      <c r="D23" s="552" t="s">
        <v>131</v>
      </c>
      <c r="E23" s="538"/>
      <c r="F23" s="539"/>
      <c r="G23" s="147" t="s">
        <v>51</v>
      </c>
      <c r="H23" s="147" t="s">
        <v>114</v>
      </c>
      <c r="I23" s="148" t="s">
        <v>52</v>
      </c>
      <c r="J23" s="149" t="s">
        <v>132</v>
      </c>
      <c r="K23" s="150" t="s">
        <v>133</v>
      </c>
      <c r="L23" s="151"/>
      <c r="M23" s="152"/>
      <c r="N23" s="151"/>
      <c r="O23" s="151"/>
      <c r="P23" s="15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 x14ac:dyDescent="0.2">
      <c r="A24" s="1"/>
      <c r="B24" s="111"/>
      <c r="C24" s="112"/>
      <c r="D24" s="553" t="s">
        <v>134</v>
      </c>
      <c r="E24" s="513"/>
      <c r="F24" s="525"/>
      <c r="G24" s="154"/>
      <c r="H24" s="155"/>
      <c r="I24" s="156"/>
      <c r="J24" s="157"/>
      <c r="K24" s="158"/>
      <c r="L24" s="159"/>
      <c r="M24" s="160">
        <v>0.76</v>
      </c>
      <c r="N24" s="141"/>
      <c r="O24" s="142"/>
      <c r="P24" s="108"/>
      <c r="Q24" s="1"/>
      <c r="R24" s="1"/>
      <c r="S24" s="161"/>
      <c r="T24" s="1"/>
      <c r="U24" s="1"/>
      <c r="V24" s="1"/>
      <c r="W24" s="1"/>
      <c r="X24" s="1"/>
      <c r="Y24" s="1"/>
      <c r="Z24" s="1"/>
    </row>
    <row r="25" spans="1:26" ht="15" hidden="1" customHeight="1" x14ac:dyDescent="0.2">
      <c r="A25" s="1"/>
      <c r="B25" s="111"/>
      <c r="C25" s="112"/>
      <c r="D25" s="554" t="s">
        <v>135</v>
      </c>
      <c r="E25" s="495"/>
      <c r="F25" s="486"/>
      <c r="G25" s="122"/>
      <c r="H25" s="123"/>
      <c r="I25" s="163"/>
      <c r="J25" s="157"/>
      <c r="K25" s="164"/>
      <c r="L25" s="159"/>
      <c r="M25" s="160">
        <v>8.68</v>
      </c>
      <c r="N25" s="141"/>
      <c r="O25" s="142"/>
      <c r="P25" s="108"/>
      <c r="Q25" s="1"/>
      <c r="R25" s="1"/>
      <c r="S25" s="161"/>
      <c r="T25" s="1"/>
      <c r="U25" s="1"/>
      <c r="V25" s="1"/>
      <c r="W25" s="1"/>
      <c r="X25" s="1"/>
      <c r="Y25" s="1"/>
      <c r="Z25" s="1"/>
    </row>
    <row r="26" spans="1:26" ht="15" hidden="1" customHeight="1" x14ac:dyDescent="0.2">
      <c r="A26" s="1"/>
      <c r="B26" s="111"/>
      <c r="C26" s="112"/>
      <c r="D26" s="554" t="s">
        <v>136</v>
      </c>
      <c r="E26" s="495"/>
      <c r="F26" s="486"/>
      <c r="G26" s="122"/>
      <c r="H26" s="123"/>
      <c r="I26" s="163"/>
      <c r="J26" s="157"/>
      <c r="K26" s="164"/>
      <c r="L26" s="159"/>
      <c r="M26" s="160">
        <v>0.76</v>
      </c>
      <c r="N26" s="141"/>
      <c r="O26" s="142"/>
      <c r="P26" s="108"/>
      <c r="Q26" s="1"/>
      <c r="R26" s="1"/>
      <c r="S26" s="161"/>
      <c r="T26" s="1"/>
      <c r="U26" s="1"/>
      <c r="V26" s="1"/>
      <c r="W26" s="1"/>
      <c r="X26" s="1"/>
      <c r="Y26" s="1"/>
      <c r="Z26" s="1"/>
    </row>
    <row r="27" spans="1:26" ht="15" hidden="1" customHeight="1" x14ac:dyDescent="0.2">
      <c r="A27" s="1"/>
      <c r="B27" s="111"/>
      <c r="C27" s="112"/>
      <c r="D27" s="554" t="s">
        <v>137</v>
      </c>
      <c r="E27" s="495"/>
      <c r="F27" s="486"/>
      <c r="G27" s="122"/>
      <c r="H27" s="123"/>
      <c r="I27" s="163"/>
      <c r="J27" s="157"/>
      <c r="K27" s="164"/>
      <c r="L27" s="159"/>
      <c r="M27" s="160">
        <v>8.39</v>
      </c>
      <c r="N27" s="141"/>
      <c r="O27" s="142"/>
      <c r="P27" s="108"/>
      <c r="Q27" s="1"/>
      <c r="R27" s="1"/>
      <c r="S27" s="161"/>
      <c r="T27" s="1"/>
      <c r="U27" s="1"/>
      <c r="V27" s="1"/>
      <c r="W27" s="1"/>
      <c r="X27" s="1"/>
      <c r="Y27" s="1"/>
      <c r="Z27" s="1"/>
    </row>
    <row r="28" spans="1:26" ht="15" hidden="1" customHeight="1" x14ac:dyDescent="0.2">
      <c r="A28" s="1"/>
      <c r="B28" s="111"/>
      <c r="C28" s="112"/>
      <c r="D28" s="162" t="s">
        <v>138</v>
      </c>
      <c r="E28" s="165"/>
      <c r="F28" s="166"/>
      <c r="G28" s="122"/>
      <c r="H28" s="123"/>
      <c r="I28" s="167"/>
      <c r="J28" s="168"/>
      <c r="K28" s="169"/>
      <c r="L28" s="159"/>
      <c r="M28" s="160"/>
      <c r="N28" s="141"/>
      <c r="O28" s="142"/>
      <c r="P28" s="108"/>
      <c r="Q28" s="1"/>
      <c r="R28" s="1"/>
      <c r="S28" s="161"/>
      <c r="T28" s="1"/>
      <c r="U28" s="1"/>
      <c r="V28" s="1"/>
      <c r="W28" s="1"/>
      <c r="X28" s="1"/>
      <c r="Y28" s="1"/>
      <c r="Z28" s="1"/>
    </row>
    <row r="29" spans="1:26" ht="15" hidden="1" customHeight="1" x14ac:dyDescent="0.2">
      <c r="A29" s="1"/>
      <c r="B29" s="111"/>
      <c r="C29" s="112"/>
      <c r="D29" s="531" t="s">
        <v>139</v>
      </c>
      <c r="E29" s="495"/>
      <c r="F29" s="486"/>
      <c r="G29" s="122"/>
      <c r="H29" s="123"/>
      <c r="I29" s="163"/>
      <c r="J29" s="157"/>
      <c r="K29" s="164"/>
      <c r="L29" s="159"/>
      <c r="M29" s="160">
        <v>0.05</v>
      </c>
      <c r="N29" s="141"/>
      <c r="O29" s="142"/>
      <c r="P29" s="108"/>
      <c r="Q29" s="1"/>
      <c r="R29" s="1"/>
      <c r="S29" s="161"/>
      <c r="T29" s="1"/>
      <c r="U29" s="1"/>
      <c r="V29" s="1"/>
      <c r="W29" s="1"/>
      <c r="X29" s="1"/>
      <c r="Y29" s="1"/>
      <c r="Z29" s="1"/>
    </row>
    <row r="30" spans="1:26" ht="15" hidden="1" customHeight="1" x14ac:dyDescent="0.2">
      <c r="A30" s="1"/>
      <c r="B30" s="111"/>
      <c r="C30" s="112"/>
      <c r="D30" s="555" t="s">
        <v>140</v>
      </c>
      <c r="E30" s="535"/>
      <c r="F30" s="536"/>
      <c r="G30" s="170"/>
      <c r="H30" s="171"/>
      <c r="I30" s="172"/>
      <c r="J30" s="157"/>
      <c r="K30" s="169"/>
      <c r="L30" s="159"/>
      <c r="M30" s="160">
        <v>0.05</v>
      </c>
      <c r="N30" s="141"/>
      <c r="O30" s="142"/>
      <c r="P30" s="108"/>
      <c r="Q30" s="1"/>
      <c r="R30" s="1"/>
      <c r="S30" s="161"/>
      <c r="T30" s="1"/>
      <c r="U30" s="1"/>
      <c r="V30" s="1"/>
      <c r="W30" s="1"/>
      <c r="X30" s="1"/>
      <c r="Y30" s="1"/>
      <c r="Z30" s="1"/>
    </row>
    <row r="31" spans="1:26" ht="15" hidden="1" customHeight="1" x14ac:dyDescent="0.2">
      <c r="A31" s="1"/>
      <c r="B31" s="111"/>
      <c r="C31" s="112"/>
      <c r="D31" s="556" t="s">
        <v>126</v>
      </c>
      <c r="E31" s="538"/>
      <c r="F31" s="539"/>
      <c r="G31" s="135">
        <v>0</v>
      </c>
      <c r="H31" s="136"/>
      <c r="I31" s="173">
        <v>0</v>
      </c>
      <c r="J31" s="174">
        <v>0</v>
      </c>
      <c r="K31" s="137">
        <v>0</v>
      </c>
      <c r="L31" s="151"/>
      <c r="M31" s="146"/>
      <c r="N31" s="145"/>
      <c r="O31" s="146"/>
      <c r="P31" s="108"/>
      <c r="Q31" s="1"/>
      <c r="R31" s="1"/>
      <c r="S31" s="161"/>
      <c r="T31" s="1"/>
      <c r="U31" s="1"/>
      <c r="V31" s="1"/>
      <c r="W31" s="1"/>
      <c r="X31" s="1"/>
      <c r="Y31" s="1"/>
      <c r="Z31" s="1"/>
    </row>
    <row r="32" spans="1:26" ht="15" hidden="1" customHeight="1" x14ac:dyDescent="0.2">
      <c r="A32" s="1"/>
      <c r="B32" s="111"/>
      <c r="C32" s="1"/>
      <c r="D32" s="175"/>
      <c r="E32" s="1"/>
      <c r="F32" s="1"/>
      <c r="G32" s="1"/>
      <c r="H32" s="176"/>
      <c r="I32" s="176"/>
      <c r="J32" s="176"/>
      <c r="K32" s="177"/>
      <c r="L32" s="176"/>
      <c r="M32" s="1"/>
      <c r="N32" s="178"/>
      <c r="O32" s="1"/>
      <c r="P32" s="10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11"/>
      <c r="C33" s="1"/>
      <c r="D33" s="557" t="s">
        <v>141</v>
      </c>
      <c r="E33" s="538"/>
      <c r="F33" s="538"/>
      <c r="G33" s="538"/>
      <c r="H33" s="538"/>
      <c r="I33" s="538"/>
      <c r="J33" s="538"/>
      <c r="K33" s="538"/>
      <c r="L33" s="538"/>
      <c r="M33" s="538"/>
      <c r="N33" s="538"/>
      <c r="O33" s="542"/>
      <c r="P33" s="10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11"/>
      <c r="C35" s="1"/>
      <c r="D35" s="560" t="s">
        <v>142</v>
      </c>
      <c r="E35" s="538"/>
      <c r="F35" s="542"/>
      <c r="G35" s="558"/>
      <c r="H35" s="559"/>
      <c r="I35" s="1"/>
      <c r="J35" s="560" t="s">
        <v>143</v>
      </c>
      <c r="K35" s="538"/>
      <c r="L35" s="542"/>
      <c r="M35" s="558"/>
      <c r="N35" s="559"/>
      <c r="O35" s="1"/>
      <c r="P35" s="10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11"/>
      <c r="C36" s="1"/>
      <c r="D36" s="546" t="e">
        <f>#REF!/100</f>
        <v>#REF!</v>
      </c>
      <c r="E36" s="547"/>
      <c r="F36" s="548"/>
      <c r="G36" s="179"/>
      <c r="H36" s="180"/>
      <c r="I36" s="1"/>
      <c r="J36" s="546" t="e">
        <f>D36*N14/H14</f>
        <v>#REF!</v>
      </c>
      <c r="K36" s="547"/>
      <c r="L36" s="548"/>
      <c r="M36" s="180"/>
      <c r="N36" s="180"/>
      <c r="O36" s="1"/>
      <c r="P36" s="10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11"/>
      <c r="C37" s="1"/>
      <c r="D37" s="549"/>
      <c r="E37" s="550"/>
      <c r="F37" s="551"/>
      <c r="G37" s="181"/>
      <c r="H37" s="182"/>
      <c r="I37" s="1"/>
      <c r="J37" s="549"/>
      <c r="K37" s="550"/>
      <c r="L37" s="551"/>
      <c r="M37" s="183"/>
      <c r="N37" s="182"/>
      <c r="O37" s="1"/>
      <c r="P37" s="10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11"/>
      <c r="C38" s="1"/>
      <c r="D38" s="184"/>
      <c r="E38" s="184"/>
      <c r="F38" s="184"/>
      <c r="G38" s="185"/>
      <c r="H38" s="186"/>
      <c r="I38" s="1"/>
      <c r="J38" s="184"/>
      <c r="K38" s="184"/>
      <c r="L38" s="184"/>
      <c r="M38" s="187"/>
      <c r="N38" s="188"/>
      <c r="O38" s="1"/>
      <c r="P38" s="10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89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9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14:F14"/>
    <mergeCell ref="J14:L14"/>
    <mergeCell ref="D15:I15"/>
    <mergeCell ref="J15:O15"/>
    <mergeCell ref="D16:F16"/>
    <mergeCell ref="D11:F11"/>
    <mergeCell ref="J11:L11"/>
    <mergeCell ref="J12:L12"/>
    <mergeCell ref="D12:F12"/>
    <mergeCell ref="D13:F13"/>
    <mergeCell ref="D7:F8"/>
    <mergeCell ref="J7:L8"/>
    <mergeCell ref="D9:I9"/>
    <mergeCell ref="J9:O9"/>
    <mergeCell ref="D10:F10"/>
    <mergeCell ref="J10:L10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423">
        <v>0.60890535793133893</v>
      </c>
      <c r="D1" s="423">
        <v>0.60890535793133893</v>
      </c>
      <c r="E1" s="415">
        <v>0.01</v>
      </c>
      <c r="F1" s="416">
        <f t="shared" ref="F1:F27" si="0">D1*B1</f>
        <v>481405.03680448246</v>
      </c>
      <c r="G1" s="416"/>
      <c r="H1" s="420" t="s">
        <v>182</v>
      </c>
      <c r="I1" s="195"/>
      <c r="J1" s="195"/>
      <c r="K1" s="195"/>
      <c r="L1" s="195"/>
      <c r="M1" s="195"/>
      <c r="N1" s="195"/>
      <c r="O1" s="195"/>
      <c r="P1" s="195"/>
      <c r="Q1" s="195"/>
      <c r="R1" s="193"/>
      <c r="S1" s="193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423">
        <v>0.62970000000000004</v>
      </c>
      <c r="D2" s="423">
        <v>0.62970000000000004</v>
      </c>
      <c r="E2" s="415">
        <v>0.01</v>
      </c>
      <c r="F2" s="416">
        <f t="shared" si="0"/>
        <v>149415.20787322975</v>
      </c>
      <c r="G2" s="416"/>
      <c r="H2" s="420" t="s">
        <v>183</v>
      </c>
      <c r="I2" s="195"/>
      <c r="J2" s="195"/>
      <c r="K2" s="195"/>
      <c r="L2" s="195"/>
      <c r="M2" s="195"/>
      <c r="N2" s="195"/>
      <c r="O2" s="195"/>
      <c r="P2" s="195"/>
      <c r="Q2" s="195"/>
      <c r="R2" s="193"/>
      <c r="S2" s="193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423">
        <v>0.64370000000000005</v>
      </c>
      <c r="D3" s="423">
        <v>0.64370000000000005</v>
      </c>
      <c r="E3" s="415">
        <v>0.01</v>
      </c>
      <c r="F3" s="416">
        <f t="shared" si="0"/>
        <v>112112.97152000001</v>
      </c>
      <c r="G3" s="417"/>
      <c r="H3" s="420" t="s">
        <v>184</v>
      </c>
      <c r="I3" s="196"/>
      <c r="J3" s="196"/>
      <c r="K3" s="197"/>
      <c r="L3" s="197"/>
      <c r="M3" s="197"/>
      <c r="N3" s="197"/>
      <c r="O3" s="197"/>
      <c r="P3" s="197"/>
      <c r="Q3" s="197"/>
      <c r="R3" s="198"/>
      <c r="S3" s="198"/>
      <c r="T3" s="23"/>
      <c r="U3" s="23"/>
      <c r="V3" s="23"/>
      <c r="W3" s="23"/>
      <c r="X3" s="23"/>
      <c r="Y3" s="23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82.5" customHeight="1" x14ac:dyDescent="0.2">
      <c r="A4">
        <v>553327.33887837711</v>
      </c>
      <c r="B4">
        <v>553327.33887837711</v>
      </c>
      <c r="C4" s="423">
        <v>0.6</v>
      </c>
      <c r="D4" s="423">
        <v>0.6</v>
      </c>
      <c r="E4" s="415">
        <v>0.01</v>
      </c>
      <c r="F4" s="416">
        <f t="shared" si="0"/>
        <v>331996.40332702623</v>
      </c>
      <c r="G4" s="417"/>
      <c r="H4" s="420" t="s">
        <v>186</v>
      </c>
      <c r="I4" s="195"/>
      <c r="J4" s="195"/>
      <c r="K4" s="195"/>
      <c r="L4" s="195"/>
      <c r="M4" s="195"/>
      <c r="N4" s="195"/>
      <c r="O4" s="195"/>
      <c r="P4" s="195"/>
      <c r="Q4" s="195"/>
      <c r="R4" s="193"/>
      <c r="S4" s="193"/>
      <c r="T4" s="1"/>
      <c r="U4" s="1"/>
      <c r="V4" s="1"/>
      <c r="W4" s="1"/>
      <c r="X4" s="1"/>
      <c r="Y4" s="1"/>
      <c r="Z4" s="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2">
      <c r="A5">
        <v>557257.31239999994</v>
      </c>
      <c r="B5">
        <v>557257.31239999994</v>
      </c>
      <c r="C5" s="423">
        <v>0.60880000000000001</v>
      </c>
      <c r="D5" s="423">
        <v>0.60880000000000001</v>
      </c>
      <c r="E5" s="415">
        <v>0.01</v>
      </c>
      <c r="F5" s="416">
        <f t="shared" si="0"/>
        <v>339258.25178911997</v>
      </c>
      <c r="G5" s="416"/>
      <c r="H5" s="421" t="s">
        <v>150</v>
      </c>
      <c r="I5" s="195"/>
      <c r="J5" s="195"/>
      <c r="K5" s="195"/>
      <c r="L5" s="195"/>
      <c r="M5" s="195"/>
      <c r="N5" s="195"/>
      <c r="O5" s="195"/>
      <c r="P5" s="195"/>
      <c r="Q5" s="195"/>
      <c r="R5" s="193"/>
      <c r="S5" s="193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423">
        <v>0.60880000000000001</v>
      </c>
      <c r="D6" s="423">
        <v>0.60880000000000001</v>
      </c>
      <c r="E6" s="415">
        <v>0.01</v>
      </c>
      <c r="F6" s="416">
        <f t="shared" si="0"/>
        <v>-331.960376</v>
      </c>
      <c r="G6" s="416"/>
      <c r="H6" s="421" t="s">
        <v>10</v>
      </c>
      <c r="I6" s="195"/>
      <c r="J6" s="195"/>
      <c r="K6" s="195"/>
      <c r="L6" s="195"/>
      <c r="M6" s="195"/>
      <c r="N6" s="195"/>
      <c r="O6" s="195"/>
      <c r="P6" s="195"/>
      <c r="Q6" s="195"/>
      <c r="R6" s="193"/>
      <c r="S6" s="193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423">
        <v>0.60999257479888136</v>
      </c>
      <c r="D7" s="423">
        <v>0.60999257479888136</v>
      </c>
      <c r="E7" s="415">
        <v>0.01</v>
      </c>
      <c r="F7" s="416">
        <f t="shared" si="0"/>
        <v>339590.21216511994</v>
      </c>
      <c r="G7" s="416"/>
      <c r="H7" s="421" t="s">
        <v>151</v>
      </c>
      <c r="I7" s="195"/>
      <c r="J7" s="195"/>
      <c r="K7" s="195"/>
      <c r="L7" s="195"/>
      <c r="M7" s="195"/>
      <c r="N7" s="195"/>
      <c r="O7" s="195"/>
      <c r="P7" s="195"/>
      <c r="Q7" s="195"/>
      <c r="R7" s="193"/>
      <c r="S7" s="193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423">
        <v>8.3799220138465219E-2</v>
      </c>
      <c r="D8" s="423">
        <v>8.3799220138465219E-2</v>
      </c>
      <c r="E8" s="415">
        <v>0.01</v>
      </c>
      <c r="F8" s="416">
        <f t="shared" si="0"/>
        <v>6784.3483112899348</v>
      </c>
      <c r="G8" s="416"/>
      <c r="H8" s="421" t="s">
        <v>98</v>
      </c>
      <c r="I8" s="195"/>
      <c r="J8" s="195"/>
      <c r="K8" s="195"/>
      <c r="L8" s="195"/>
      <c r="M8" s="195"/>
      <c r="N8" s="195"/>
      <c r="O8" s="195"/>
      <c r="P8" s="195"/>
      <c r="Q8" s="195"/>
      <c r="R8" s="193"/>
      <c r="S8" s="193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423">
        <v>0.68630000000000002</v>
      </c>
      <c r="D9" s="423">
        <v>0.68630000000000002</v>
      </c>
      <c r="E9" s="415">
        <v>0.01</v>
      </c>
      <c r="F9" s="416">
        <f t="shared" si="0"/>
        <v>326508.9260459845</v>
      </c>
      <c r="G9" s="416"/>
      <c r="H9" s="421" t="s">
        <v>152</v>
      </c>
      <c r="I9" s="195"/>
      <c r="J9" s="195"/>
      <c r="K9" s="195"/>
      <c r="L9" s="195"/>
      <c r="M9" s="195"/>
      <c r="N9" s="195"/>
      <c r="O9" s="195"/>
      <c r="P9" s="195"/>
      <c r="Q9" s="195"/>
      <c r="R9" s="193"/>
      <c r="S9" s="193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423">
        <v>0.68913249103666352</v>
      </c>
      <c r="D10" s="423">
        <v>0.68913249103666352</v>
      </c>
      <c r="E10" s="415">
        <v>0.01</v>
      </c>
      <c r="F10" s="416">
        <f t="shared" si="0"/>
        <v>321367.61914161727</v>
      </c>
      <c r="G10" s="416"/>
      <c r="H10" s="421" t="s">
        <v>153</v>
      </c>
      <c r="I10" s="195"/>
      <c r="J10" s="195"/>
      <c r="K10" s="195"/>
      <c r="L10" s="195"/>
      <c r="M10" s="195"/>
      <c r="N10" s="195"/>
      <c r="O10" s="195"/>
      <c r="P10" s="195"/>
      <c r="Q10" s="195"/>
      <c r="R10" s="193"/>
      <c r="S10" s="193"/>
      <c r="T10" s="1"/>
      <c r="U10" s="1"/>
      <c r="V10" s="1"/>
      <c r="W10" s="1"/>
      <c r="X10" s="1"/>
      <c r="Y10" s="1"/>
      <c r="Z10" s="1"/>
    </row>
    <row r="11" spans="1:37" x14ac:dyDescent="0.2">
      <c r="A11" s="420">
        <v>1</v>
      </c>
      <c r="B11" s="420">
        <v>1</v>
      </c>
      <c r="C11" s="424">
        <v>0.6</v>
      </c>
      <c r="D11" s="424">
        <v>0.6</v>
      </c>
      <c r="E11" s="415">
        <v>0.01</v>
      </c>
      <c r="F11" s="416">
        <f t="shared" si="0"/>
        <v>0.6</v>
      </c>
      <c r="G11" s="416"/>
      <c r="H11" s="421" t="s">
        <v>215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3"/>
      <c r="S11" s="193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423">
        <v>0.68834294588788836</v>
      </c>
      <c r="D12" s="423">
        <v>0.68834294588788836</v>
      </c>
      <c r="E12" s="415">
        <v>0.01</v>
      </c>
      <c r="F12" s="416">
        <f t="shared" si="0"/>
        <v>126220.88808550446</v>
      </c>
      <c r="G12" s="416"/>
      <c r="H12" s="421" t="s">
        <v>277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3"/>
      <c r="S12" s="193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425">
        <v>0.68834294588788836</v>
      </c>
      <c r="D13" s="425">
        <v>0.68834294588788836</v>
      </c>
      <c r="E13" s="415">
        <v>0.01</v>
      </c>
      <c r="F13" s="416">
        <f t="shared" si="0"/>
        <v>126220.88808550446</v>
      </c>
      <c r="G13" s="416"/>
      <c r="H13" s="421" t="s">
        <v>192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3"/>
      <c r="S13" s="193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425">
        <v>0</v>
      </c>
      <c r="D14" s="425">
        <v>0</v>
      </c>
      <c r="E14" s="415">
        <v>0.01</v>
      </c>
      <c r="F14" s="416">
        <f t="shared" si="0"/>
        <v>0</v>
      </c>
      <c r="G14" s="416"/>
      <c r="H14" s="421" t="s">
        <v>194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3"/>
      <c r="S14" s="193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426">
        <v>0.68834294588788836</v>
      </c>
      <c r="D15" s="426">
        <v>0.68834294588788836</v>
      </c>
      <c r="E15" s="415">
        <v>0.01</v>
      </c>
      <c r="F15" s="416">
        <f t="shared" si="0"/>
        <v>189203.26643943146</v>
      </c>
      <c r="G15" s="416"/>
      <c r="H15" s="421" t="s">
        <v>154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3"/>
      <c r="S15" s="193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425">
        <v>0.68740042268907109</v>
      </c>
      <c r="D16" s="425">
        <v>0.68740042268907109</v>
      </c>
      <c r="E16" s="415">
        <v>0.01</v>
      </c>
      <c r="F16" s="416">
        <f t="shared" si="0"/>
        <v>228379.28685264004</v>
      </c>
      <c r="G16" s="416"/>
      <c r="H16" s="421" t="s">
        <v>200</v>
      </c>
      <c r="I16" s="195"/>
      <c r="J16" s="195"/>
      <c r="K16" s="195"/>
      <c r="L16" s="195"/>
      <c r="M16" s="195"/>
      <c r="N16" s="195"/>
      <c r="O16" s="195"/>
      <c r="P16" s="195"/>
      <c r="Q16" s="195"/>
      <c r="R16" s="193"/>
      <c r="S16" s="193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425">
        <v>0</v>
      </c>
      <c r="D17" s="425">
        <v>0</v>
      </c>
      <c r="E17" s="415">
        <v>0.01</v>
      </c>
      <c r="F17" s="416">
        <f t="shared" si="0"/>
        <v>0</v>
      </c>
      <c r="G17" s="416"/>
      <c r="H17" s="421" t="s">
        <v>205</v>
      </c>
      <c r="I17" s="195"/>
      <c r="J17" s="195"/>
      <c r="K17" s="195"/>
      <c r="L17" s="195"/>
      <c r="M17" s="195"/>
      <c r="N17" s="195"/>
      <c r="O17" s="195"/>
      <c r="P17" s="195"/>
      <c r="Q17" s="195"/>
      <c r="R17" s="193"/>
      <c r="S17" s="193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426">
        <v>0.65711473548083466</v>
      </c>
      <c r="D18" s="426">
        <v>0.65711473548083466</v>
      </c>
      <c r="E18" s="415">
        <v>0.01</v>
      </c>
      <c r="F18" s="416">
        <f t="shared" si="0"/>
        <v>189564.75787871584</v>
      </c>
      <c r="G18" s="416"/>
      <c r="H18" s="421" t="s">
        <v>209</v>
      </c>
      <c r="I18" s="195"/>
      <c r="J18" s="195"/>
      <c r="K18" s="195"/>
      <c r="L18" s="195"/>
      <c r="M18" s="195"/>
      <c r="N18" s="195"/>
      <c r="O18" s="195"/>
      <c r="P18" s="195"/>
      <c r="Q18" s="195"/>
      <c r="R18" s="193"/>
      <c r="S18" s="193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426">
        <v>0.65535413283291699</v>
      </c>
      <c r="D19" s="426">
        <v>0.65535413283291699</v>
      </c>
      <c r="E19" s="415">
        <v>0.01</v>
      </c>
      <c r="F19" s="416">
        <f t="shared" si="0"/>
        <v>3560.3423974413881</v>
      </c>
      <c r="G19" s="416"/>
      <c r="H19" s="421" t="s">
        <v>155</v>
      </c>
      <c r="I19" s="195"/>
      <c r="J19" s="195"/>
      <c r="K19" s="195"/>
      <c r="L19" s="195"/>
      <c r="M19" s="195"/>
      <c r="N19" s="195"/>
      <c r="O19" s="195"/>
      <c r="P19" s="195"/>
      <c r="Q19" s="195"/>
      <c r="R19" s="193"/>
      <c r="S19" s="193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426">
        <v>0</v>
      </c>
      <c r="D20" s="426">
        <v>0</v>
      </c>
      <c r="E20" s="415">
        <v>0.01</v>
      </c>
      <c r="F20" s="416">
        <f t="shared" si="0"/>
        <v>0</v>
      </c>
      <c r="G20" s="416"/>
      <c r="H20" s="421" t="s">
        <v>156</v>
      </c>
      <c r="I20" s="195"/>
      <c r="J20" s="195"/>
      <c r="K20" s="195"/>
      <c r="L20" s="195"/>
      <c r="M20" s="195"/>
      <c r="N20" s="195"/>
      <c r="O20" s="195"/>
      <c r="P20" s="195"/>
      <c r="Q20" s="195"/>
      <c r="R20" s="193"/>
      <c r="S20" s="193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426">
        <v>0.65535413283291699</v>
      </c>
      <c r="D21" s="426">
        <v>0.65535413283291699</v>
      </c>
      <c r="E21" s="415">
        <v>0.01</v>
      </c>
      <c r="F21" s="416">
        <f t="shared" si="0"/>
        <v>189564.75787871584</v>
      </c>
      <c r="G21" s="416"/>
      <c r="H21" s="421" t="s">
        <v>157</v>
      </c>
      <c r="I21" s="195"/>
      <c r="J21" s="195"/>
      <c r="K21" s="195"/>
      <c r="L21" s="195"/>
      <c r="M21" s="195"/>
      <c r="N21" s="195"/>
      <c r="O21" s="195"/>
      <c r="P21" s="195"/>
      <c r="Q21" s="195"/>
      <c r="R21" s="193"/>
      <c r="S21" s="19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426">
        <v>0.65535413283291699</v>
      </c>
      <c r="D22" s="426">
        <v>0.65535413283291699</v>
      </c>
      <c r="E22" s="415">
        <v>0.01</v>
      </c>
      <c r="F22" s="416">
        <f t="shared" si="0"/>
        <v>8189.4395914773613</v>
      </c>
      <c r="G22" s="416"/>
      <c r="H22" s="421" t="s">
        <v>158</v>
      </c>
      <c r="I22" s="195"/>
      <c r="J22" s="195"/>
      <c r="K22" s="195"/>
      <c r="L22" s="195"/>
      <c r="M22" s="195"/>
      <c r="N22" s="195"/>
      <c r="O22" s="195"/>
      <c r="P22" s="195"/>
      <c r="Q22" s="195"/>
      <c r="R22" s="193"/>
      <c r="S22" s="19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425">
        <v>0.65535413283291699</v>
      </c>
      <c r="D23" s="425">
        <v>0.65535413283291699</v>
      </c>
      <c r="E23" s="415">
        <v>0.01</v>
      </c>
      <c r="F23" s="416">
        <f t="shared" si="0"/>
        <v>177814.97588979709</v>
      </c>
      <c r="G23" s="416"/>
      <c r="H23" s="421" t="s">
        <v>159</v>
      </c>
      <c r="I23" s="195"/>
      <c r="J23" s="195"/>
      <c r="K23" s="195"/>
      <c r="L23" s="195"/>
      <c r="M23" s="195"/>
      <c r="N23" s="195"/>
      <c r="O23" s="195"/>
      <c r="P23" s="195"/>
      <c r="Q23" s="195"/>
      <c r="R23" s="193"/>
      <c r="S23" s="19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426">
        <v>0.65535413283291699</v>
      </c>
      <c r="D24" s="426">
        <v>0.65535413283291699</v>
      </c>
      <c r="E24" s="415">
        <v>0.01</v>
      </c>
      <c r="F24" s="416">
        <f t="shared" si="0"/>
        <v>21208.164127176504</v>
      </c>
      <c r="G24" s="416"/>
      <c r="H24" s="421" t="s">
        <v>18</v>
      </c>
      <c r="I24" s="195"/>
      <c r="J24" s="195"/>
      <c r="K24" s="195"/>
      <c r="L24" s="195"/>
      <c r="M24" s="195"/>
      <c r="N24" s="195"/>
      <c r="O24" s="195"/>
      <c r="P24" s="195"/>
      <c r="Q24" s="195"/>
      <c r="R24" s="193"/>
      <c r="S24" s="19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427">
        <v>0.65506562002568458</v>
      </c>
      <c r="D25" s="427">
        <v>0.65506562002568458</v>
      </c>
      <c r="E25" s="415">
        <v>0.01</v>
      </c>
      <c r="F25" s="416">
        <f t="shared" si="0"/>
        <v>155943.69109356037</v>
      </c>
      <c r="G25" s="416"/>
      <c r="H25" s="421" t="s">
        <v>218</v>
      </c>
      <c r="I25" s="195"/>
      <c r="J25" s="195"/>
      <c r="K25" s="195"/>
      <c r="L25" s="195"/>
      <c r="M25" s="195"/>
      <c r="N25" s="195"/>
      <c r="O25" s="195"/>
      <c r="P25" s="195"/>
      <c r="Q25" s="195"/>
      <c r="R25" s="193"/>
      <c r="S25" s="19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20">
        <v>0</v>
      </c>
      <c r="B26" s="420">
        <v>0</v>
      </c>
      <c r="C26" s="428">
        <v>0</v>
      </c>
      <c r="D26" s="428">
        <v>0</v>
      </c>
      <c r="E26" s="415">
        <v>0.01</v>
      </c>
      <c r="F26" s="416">
        <f t="shared" si="0"/>
        <v>0</v>
      </c>
      <c r="G26" s="416"/>
      <c r="H26" s="421" t="s">
        <v>278</v>
      </c>
      <c r="I26" s="195"/>
      <c r="J26" s="195"/>
      <c r="K26" s="195"/>
      <c r="L26" s="195"/>
      <c r="M26" s="195"/>
      <c r="N26" s="195"/>
      <c r="O26" s="195"/>
      <c r="P26" s="195"/>
      <c r="Q26" s="195"/>
      <c r="R26" s="193"/>
      <c r="S26" s="19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20">
        <v>0</v>
      </c>
      <c r="B27" s="420">
        <v>0</v>
      </c>
      <c r="C27" s="423">
        <v>0</v>
      </c>
      <c r="D27" s="423">
        <v>0</v>
      </c>
      <c r="E27" s="415">
        <v>0.01</v>
      </c>
      <c r="F27" s="416">
        <f t="shared" si="0"/>
        <v>0</v>
      </c>
      <c r="G27" s="416"/>
      <c r="H27" s="422" t="s">
        <v>279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3"/>
      <c r="S27" s="19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13"/>
      <c r="B28" s="413"/>
      <c r="C28" s="414"/>
      <c r="D28" s="414"/>
      <c r="E28" s="415"/>
      <c r="F28" s="416"/>
      <c r="G28" s="416"/>
      <c r="H28" s="416"/>
      <c r="I28" s="195"/>
      <c r="J28" s="195"/>
      <c r="K28" s="195"/>
      <c r="L28" s="195"/>
      <c r="M28" s="195"/>
      <c r="N28" s="195"/>
      <c r="O28" s="195"/>
      <c r="P28" s="195"/>
      <c r="Q28" s="195"/>
      <c r="R28" s="193"/>
      <c r="S28" s="19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13"/>
      <c r="B29" s="413"/>
      <c r="C29" s="414"/>
      <c r="D29" s="414"/>
      <c r="E29" s="415"/>
      <c r="F29" s="416"/>
      <c r="G29" s="416"/>
      <c r="H29" s="416"/>
      <c r="I29" s="195"/>
      <c r="J29" s="195"/>
      <c r="K29" s="195"/>
      <c r="L29" s="195"/>
      <c r="M29" s="195"/>
      <c r="N29" s="195"/>
      <c r="O29" s="195"/>
      <c r="P29" s="195"/>
      <c r="Q29" s="195"/>
      <c r="R29" s="193"/>
      <c r="S29" s="19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13"/>
      <c r="B30" s="413"/>
      <c r="C30" s="414"/>
      <c r="D30" s="414"/>
      <c r="E30" s="415"/>
      <c r="F30" s="416"/>
      <c r="G30" s="416"/>
      <c r="H30" s="416"/>
      <c r="I30" s="195"/>
      <c r="J30" s="195"/>
      <c r="K30" s="195"/>
      <c r="L30" s="195"/>
      <c r="M30" s="195"/>
      <c r="N30" s="195"/>
      <c r="O30" s="195"/>
      <c r="P30" s="195"/>
      <c r="Q30" s="195"/>
      <c r="R30" s="193"/>
      <c r="S30" s="19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13"/>
      <c r="B31" s="413"/>
      <c r="C31" s="414"/>
      <c r="D31" s="414"/>
      <c r="E31" s="415"/>
      <c r="F31" s="416"/>
      <c r="G31" s="416"/>
      <c r="H31" s="416"/>
      <c r="I31" s="195"/>
      <c r="J31" s="195"/>
      <c r="K31" s="195"/>
      <c r="L31" s="195"/>
      <c r="M31" s="195"/>
      <c r="N31" s="195"/>
      <c r="O31" s="195"/>
      <c r="P31" s="195"/>
      <c r="Q31" s="195"/>
      <c r="R31" s="193"/>
      <c r="S31" s="19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13"/>
      <c r="B32" s="413"/>
      <c r="C32" s="414"/>
      <c r="D32" s="414"/>
      <c r="E32" s="415"/>
      <c r="F32" s="416"/>
      <c r="G32" s="416"/>
      <c r="H32" s="416"/>
      <c r="I32" s="195"/>
      <c r="J32" s="195"/>
      <c r="K32" s="195"/>
      <c r="L32" s="195"/>
      <c r="M32" s="195"/>
      <c r="N32" s="195"/>
      <c r="O32" s="195"/>
      <c r="P32" s="195"/>
      <c r="Q32" s="195"/>
      <c r="R32" s="193"/>
      <c r="S32" s="193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413"/>
      <c r="B33" s="413"/>
      <c r="C33" s="414"/>
      <c r="D33" s="414"/>
      <c r="E33" s="415"/>
      <c r="F33" s="416"/>
      <c r="G33" s="416"/>
      <c r="H33" s="416"/>
      <c r="I33" s="195"/>
      <c r="J33" s="195"/>
      <c r="K33" s="195"/>
      <c r="L33" s="195"/>
      <c r="M33" s="195"/>
      <c r="N33" s="195"/>
      <c r="O33" s="195"/>
      <c r="P33" s="195"/>
      <c r="Q33" s="195"/>
      <c r="R33" s="193"/>
      <c r="S33" s="193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413"/>
      <c r="B34" s="413"/>
      <c r="C34" s="414"/>
      <c r="D34" s="414"/>
      <c r="E34" s="415"/>
      <c r="F34" s="416"/>
      <c r="G34" s="416"/>
      <c r="H34" s="416"/>
      <c r="I34" s="195"/>
      <c r="J34" s="195"/>
      <c r="K34" s="195"/>
      <c r="L34" s="195"/>
      <c r="M34" s="195"/>
      <c r="N34" s="195"/>
      <c r="O34" s="195"/>
      <c r="P34" s="195"/>
      <c r="Q34" s="195"/>
      <c r="R34" s="193"/>
      <c r="S34" s="193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413"/>
      <c r="B35" s="413"/>
      <c r="C35" s="414"/>
      <c r="D35" s="414"/>
      <c r="E35" s="415"/>
      <c r="F35" s="416"/>
      <c r="G35" s="416"/>
      <c r="H35" s="416"/>
      <c r="I35" s="195"/>
      <c r="J35" s="195"/>
      <c r="K35" s="195"/>
      <c r="L35" s="195"/>
      <c r="M35" s="195"/>
      <c r="N35" s="195"/>
      <c r="O35" s="195"/>
      <c r="P35" s="195"/>
      <c r="Q35" s="195"/>
      <c r="R35" s="193"/>
      <c r="S35" s="193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420"/>
      <c r="B36" s="420"/>
      <c r="C36" s="420"/>
      <c r="D36" s="420"/>
      <c r="E36" s="420"/>
      <c r="F36" s="420"/>
      <c r="G36" s="420"/>
      <c r="H36" s="420"/>
      <c r="I36" s="420"/>
      <c r="J36" s="420"/>
      <c r="K36" s="195"/>
      <c r="L36" s="195"/>
      <c r="M36" s="195"/>
      <c r="N36" s="195"/>
      <c r="O36" s="195"/>
      <c r="P36" s="195"/>
      <c r="Q36" s="195"/>
      <c r="R36" s="193"/>
      <c r="S36" s="193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420"/>
      <c r="B37" s="420"/>
      <c r="C37" s="420"/>
      <c r="D37" s="420"/>
      <c r="E37" s="420"/>
      <c r="F37" s="420"/>
      <c r="G37" s="420"/>
      <c r="H37" s="420"/>
      <c r="I37" s="420"/>
      <c r="J37" s="420"/>
      <c r="K37" s="195"/>
      <c r="L37" s="195"/>
      <c r="M37" s="195"/>
      <c r="N37" s="195"/>
      <c r="O37" s="195"/>
      <c r="P37" s="195"/>
      <c r="Q37" s="195"/>
      <c r="R37" s="193"/>
      <c r="S37" s="193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420"/>
      <c r="B38" s="420"/>
      <c r="C38" s="420"/>
      <c r="D38" s="420"/>
      <c r="E38" s="420"/>
      <c r="F38" s="420"/>
      <c r="G38" s="420"/>
      <c r="H38" s="420"/>
      <c r="I38" s="420"/>
      <c r="J38" s="420"/>
      <c r="K38" s="195"/>
      <c r="L38" s="195"/>
      <c r="M38" s="195"/>
      <c r="N38" s="195"/>
      <c r="O38" s="195"/>
      <c r="P38" s="195"/>
      <c r="Q38" s="195"/>
      <c r="R38" s="193"/>
      <c r="S38" s="193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420"/>
      <c r="B39" s="420"/>
      <c r="C39" s="420"/>
      <c r="D39" s="420"/>
      <c r="E39" s="420"/>
      <c r="F39" s="420"/>
      <c r="G39" s="420"/>
      <c r="H39" s="420"/>
      <c r="I39" s="420"/>
      <c r="K39" s="195"/>
      <c r="L39" s="195"/>
      <c r="M39" s="195"/>
      <c r="N39" s="195"/>
      <c r="O39" s="195"/>
      <c r="P39" s="195"/>
      <c r="Q39" s="195"/>
      <c r="R39" s="193"/>
      <c r="S39" s="193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421"/>
      <c r="B40" s="421"/>
      <c r="C40" s="421"/>
      <c r="D40" s="421"/>
      <c r="E40" s="421"/>
      <c r="F40" s="421"/>
      <c r="G40" s="421"/>
      <c r="H40" s="421"/>
      <c r="I40" s="421"/>
      <c r="J40" s="421"/>
      <c r="K40" s="195"/>
      <c r="L40" s="195"/>
      <c r="M40" s="195"/>
      <c r="N40" s="195"/>
      <c r="O40" s="195"/>
      <c r="P40" s="195"/>
      <c r="Q40" s="195"/>
      <c r="R40" s="193"/>
      <c r="S40" s="193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421"/>
      <c r="B41" s="421"/>
      <c r="C41" s="421"/>
      <c r="D41" s="421"/>
      <c r="E41" s="421"/>
      <c r="F41" s="421"/>
      <c r="G41" s="421"/>
      <c r="H41" s="421"/>
      <c r="I41" s="421"/>
      <c r="J41" s="421"/>
      <c r="K41" s="195"/>
      <c r="L41" s="195"/>
      <c r="M41" s="195"/>
      <c r="N41" s="195"/>
      <c r="O41" s="195"/>
      <c r="P41" s="195"/>
      <c r="Q41" s="195"/>
      <c r="R41" s="193"/>
      <c r="S41" s="193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421"/>
      <c r="B42" s="421"/>
      <c r="C42" s="421"/>
      <c r="D42" s="421"/>
      <c r="E42" s="421"/>
      <c r="F42" s="421"/>
      <c r="G42" s="421"/>
      <c r="H42" s="421"/>
      <c r="I42" s="421"/>
      <c r="J42" s="421"/>
      <c r="K42" s="195"/>
      <c r="L42" s="195"/>
      <c r="M42" s="195"/>
      <c r="N42" s="195"/>
      <c r="O42" s="195"/>
      <c r="P42" s="195"/>
      <c r="Q42" s="195"/>
      <c r="R42" s="193"/>
      <c r="S42" s="193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421"/>
      <c r="B43" s="421"/>
      <c r="C43" s="421"/>
      <c r="D43" s="421"/>
      <c r="E43" s="421"/>
      <c r="F43" s="421"/>
      <c r="G43" s="420"/>
      <c r="H43" s="421"/>
      <c r="I43" s="421"/>
      <c r="J43" s="421"/>
      <c r="K43" s="195"/>
      <c r="L43" s="195"/>
      <c r="M43" s="195"/>
      <c r="N43" s="195"/>
      <c r="O43" s="195"/>
      <c r="P43" s="195"/>
      <c r="Q43" s="195"/>
      <c r="R43" s="193"/>
      <c r="S43" s="193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421"/>
      <c r="B44" s="421"/>
      <c r="C44" s="421"/>
      <c r="D44" s="421"/>
      <c r="E44" s="421"/>
      <c r="F44" s="421"/>
      <c r="G44" s="421"/>
      <c r="H44" s="421"/>
      <c r="I44" s="421"/>
      <c r="J44" s="421"/>
      <c r="K44" s="195"/>
      <c r="L44" s="195"/>
      <c r="M44" s="195"/>
      <c r="N44" s="195"/>
      <c r="O44" s="195"/>
      <c r="P44" s="195"/>
      <c r="Q44" s="195"/>
      <c r="R44" s="193"/>
      <c r="S44" s="193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421"/>
      <c r="B45" s="421"/>
      <c r="C45" s="421"/>
      <c r="D45" s="421"/>
      <c r="E45" s="421"/>
      <c r="F45" s="421"/>
      <c r="G45" s="421"/>
      <c r="H45" s="421"/>
      <c r="I45" s="421"/>
      <c r="J45" s="421"/>
      <c r="K45" s="195"/>
      <c r="L45" s="195"/>
      <c r="M45" s="195"/>
      <c r="N45" s="195"/>
      <c r="O45" s="195"/>
      <c r="P45" s="195"/>
      <c r="Q45" s="195"/>
      <c r="R45" s="193"/>
      <c r="S45" s="19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421"/>
      <c r="B46" s="421"/>
      <c r="C46" s="421"/>
      <c r="D46" s="421"/>
      <c r="E46" s="421"/>
      <c r="F46" s="421"/>
      <c r="G46" s="421"/>
      <c r="H46" s="421"/>
      <c r="I46" s="421"/>
      <c r="J46" s="421"/>
      <c r="K46" s="195"/>
      <c r="L46" s="195"/>
      <c r="M46" s="195"/>
      <c r="N46" s="195"/>
      <c r="O46" s="195"/>
      <c r="P46" s="195"/>
      <c r="Q46" s="195"/>
      <c r="R46" s="193"/>
      <c r="S46" s="193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421"/>
      <c r="B47" s="421"/>
      <c r="C47" s="421"/>
      <c r="D47" s="421"/>
      <c r="E47" s="421"/>
      <c r="F47" s="421"/>
      <c r="G47" s="421"/>
      <c r="H47" s="421"/>
      <c r="I47" s="421"/>
      <c r="J47" s="421"/>
      <c r="K47" s="195"/>
      <c r="L47" s="195"/>
      <c r="M47" s="195"/>
      <c r="N47" s="195"/>
      <c r="O47" s="195"/>
      <c r="P47" s="195"/>
      <c r="Q47" s="195"/>
      <c r="R47" s="193"/>
      <c r="S47" s="19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421"/>
      <c r="B48" s="421"/>
      <c r="C48" s="421"/>
      <c r="D48" s="421"/>
      <c r="E48" s="421"/>
      <c r="F48" s="421"/>
      <c r="G48" s="421"/>
      <c r="H48" s="421"/>
      <c r="I48" s="421"/>
      <c r="J48" s="421"/>
      <c r="K48" s="195"/>
      <c r="L48" s="195"/>
      <c r="M48" s="195"/>
      <c r="N48" s="195"/>
      <c r="O48" s="195"/>
      <c r="P48" s="195"/>
      <c r="Q48" s="195"/>
      <c r="R48" s="193"/>
      <c r="S48" s="19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421"/>
      <c r="B49" s="421"/>
      <c r="C49" s="421"/>
      <c r="D49" s="421"/>
      <c r="E49" s="421"/>
      <c r="F49" s="421"/>
      <c r="G49" s="421"/>
      <c r="H49" s="421"/>
      <c r="I49" s="421"/>
      <c r="J49" s="421"/>
      <c r="K49" s="195"/>
      <c r="L49" s="195"/>
      <c r="M49" s="195"/>
      <c r="N49" s="195"/>
      <c r="O49" s="195"/>
      <c r="P49" s="195"/>
      <c r="Q49" s="195"/>
      <c r="R49" s="193"/>
      <c r="S49" s="19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421"/>
      <c r="B50" s="421"/>
      <c r="C50" s="421"/>
      <c r="D50" s="421"/>
      <c r="E50" s="421"/>
      <c r="F50" s="421"/>
      <c r="G50" s="421"/>
      <c r="H50" s="421"/>
      <c r="I50" s="421"/>
      <c r="J50" s="421"/>
      <c r="K50" s="195"/>
      <c r="L50" s="195"/>
      <c r="M50" s="195"/>
      <c r="N50" s="195"/>
      <c r="O50" s="195"/>
      <c r="P50" s="195"/>
      <c r="Q50" s="195"/>
      <c r="R50" s="193"/>
      <c r="S50" s="193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421"/>
      <c r="B51" s="421"/>
      <c r="C51" s="421"/>
      <c r="D51" s="421"/>
      <c r="E51" s="421"/>
      <c r="F51" s="421"/>
      <c r="G51" s="421"/>
      <c r="H51" s="421"/>
      <c r="I51" s="421"/>
      <c r="J51" s="421"/>
      <c r="K51" s="195"/>
      <c r="L51" s="195"/>
      <c r="M51" s="195"/>
      <c r="N51" s="195"/>
      <c r="O51" s="195"/>
      <c r="P51" s="195"/>
      <c r="Q51" s="195"/>
      <c r="R51" s="193"/>
      <c r="S51" s="193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421"/>
      <c r="B52" s="421"/>
      <c r="C52" s="421"/>
      <c r="D52" s="421"/>
      <c r="E52" s="421"/>
      <c r="F52" s="421"/>
      <c r="G52" s="421"/>
      <c r="H52" s="421"/>
      <c r="I52" s="421"/>
      <c r="J52" s="421"/>
      <c r="K52" s="195"/>
      <c r="L52" s="195"/>
      <c r="M52" s="195"/>
      <c r="N52" s="195"/>
      <c r="O52" s="195"/>
      <c r="P52" s="195"/>
      <c r="Q52" s="195"/>
      <c r="R52" s="193"/>
      <c r="S52" s="193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421"/>
      <c r="B53" s="421"/>
      <c r="C53" s="421"/>
      <c r="D53" s="421"/>
      <c r="E53" s="421"/>
      <c r="F53" s="421"/>
      <c r="G53" s="421"/>
      <c r="H53" s="421"/>
      <c r="I53" s="421"/>
      <c r="J53" s="421"/>
      <c r="K53" s="195"/>
      <c r="L53" s="195"/>
      <c r="M53" s="195"/>
      <c r="N53" s="195"/>
      <c r="O53" s="195"/>
      <c r="P53" s="195"/>
      <c r="Q53" s="195"/>
      <c r="R53" s="193"/>
      <c r="S53" s="193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421"/>
      <c r="B54" s="421"/>
      <c r="C54" s="421"/>
      <c r="D54" s="421"/>
      <c r="E54" s="421"/>
      <c r="F54" s="421"/>
      <c r="G54" s="421"/>
      <c r="H54" s="421"/>
      <c r="I54" s="421"/>
      <c r="J54" s="421"/>
      <c r="K54" s="195"/>
      <c r="L54" s="195"/>
      <c r="M54" s="195"/>
      <c r="N54" s="195"/>
      <c r="O54" s="195"/>
      <c r="P54" s="195"/>
      <c r="Q54" s="195"/>
      <c r="R54" s="193"/>
      <c r="S54" s="193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421"/>
      <c r="B55" s="421"/>
      <c r="C55" s="421"/>
      <c r="D55" s="421"/>
      <c r="E55" s="421"/>
      <c r="F55" s="421"/>
      <c r="G55" s="421"/>
      <c r="H55" s="421"/>
      <c r="I55" s="421"/>
      <c r="J55" s="421"/>
      <c r="K55" s="195"/>
      <c r="L55" s="195"/>
      <c r="M55" s="195"/>
      <c r="N55" s="195"/>
      <c r="O55" s="195"/>
      <c r="P55" s="195"/>
      <c r="Q55" s="195"/>
      <c r="R55" s="193"/>
      <c r="S55" s="193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421"/>
      <c r="B56" s="421"/>
      <c r="C56" s="421"/>
      <c r="D56" s="421"/>
      <c r="E56" s="421"/>
      <c r="F56" s="421"/>
      <c r="G56" s="421"/>
      <c r="H56" s="421"/>
      <c r="I56" s="421"/>
      <c r="J56" s="421"/>
      <c r="K56" s="195"/>
      <c r="L56" s="195"/>
      <c r="M56" s="195"/>
      <c r="N56" s="195"/>
      <c r="O56" s="195"/>
      <c r="P56" s="195"/>
      <c r="Q56" s="195"/>
      <c r="R56" s="193"/>
      <c r="S56" s="193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421"/>
      <c r="B57" s="421"/>
      <c r="C57" s="421"/>
      <c r="D57" s="421"/>
      <c r="E57" s="421"/>
      <c r="F57" s="421"/>
      <c r="G57" s="421"/>
      <c r="H57" s="421"/>
      <c r="I57" s="421"/>
      <c r="J57" s="421"/>
      <c r="K57" s="195"/>
      <c r="L57" s="195"/>
      <c r="M57" s="195"/>
      <c r="N57" s="195"/>
      <c r="O57" s="195"/>
      <c r="P57" s="195"/>
      <c r="Q57" s="195"/>
      <c r="R57" s="193"/>
      <c r="S57" s="193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421"/>
      <c r="B58" s="421"/>
      <c r="C58" s="421"/>
      <c r="D58" s="421"/>
      <c r="E58" s="421"/>
      <c r="F58" s="421"/>
      <c r="G58" s="421"/>
      <c r="H58" s="421"/>
      <c r="I58" s="421"/>
      <c r="J58" s="421"/>
      <c r="K58" s="195"/>
      <c r="L58" s="195"/>
      <c r="M58" s="195"/>
      <c r="N58" s="195"/>
      <c r="O58" s="195"/>
      <c r="P58" s="195"/>
      <c r="Q58" s="195"/>
      <c r="R58" s="193"/>
      <c r="S58" s="193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421"/>
      <c r="B59" s="421"/>
      <c r="C59" s="421"/>
      <c r="D59" s="421"/>
      <c r="E59" s="421"/>
      <c r="F59" s="421"/>
      <c r="G59" s="421"/>
      <c r="H59" s="421"/>
      <c r="I59" s="421"/>
      <c r="J59" s="421"/>
      <c r="K59" s="195"/>
      <c r="L59" s="195"/>
      <c r="M59" s="195"/>
      <c r="N59" s="195"/>
      <c r="O59" s="195"/>
      <c r="P59" s="195"/>
      <c r="Q59" s="195"/>
      <c r="R59" s="193"/>
      <c r="S59" s="19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9"/>
    </row>
    <row r="60" spans="1:37" ht="15.75" customHeight="1" x14ac:dyDescent="0.2">
      <c r="A60" s="421"/>
      <c r="B60" s="421"/>
      <c r="C60" s="421"/>
      <c r="D60" s="421"/>
      <c r="E60" s="421"/>
      <c r="F60" s="421"/>
      <c r="G60" s="421"/>
      <c r="H60" s="421"/>
      <c r="I60" s="421"/>
      <c r="J60" s="421"/>
      <c r="K60" s="195"/>
      <c r="L60" s="195"/>
      <c r="M60" s="195"/>
      <c r="N60" s="195"/>
      <c r="O60" s="195"/>
      <c r="P60" s="195"/>
      <c r="Q60" s="195"/>
      <c r="R60" s="193"/>
      <c r="S60" s="19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9"/>
    </row>
    <row r="61" spans="1:37" ht="15.75" customHeight="1" x14ac:dyDescent="0.2">
      <c r="A61" s="421"/>
      <c r="B61" s="421"/>
      <c r="C61" s="421"/>
      <c r="D61" s="421"/>
      <c r="E61" s="421"/>
      <c r="F61" s="421"/>
      <c r="G61" s="421"/>
      <c r="H61" s="421"/>
      <c r="I61" s="421"/>
      <c r="J61" s="421"/>
      <c r="K61" s="195"/>
      <c r="L61" s="195"/>
      <c r="M61" s="195"/>
      <c r="N61" s="195"/>
      <c r="O61" s="195"/>
      <c r="P61" s="195"/>
      <c r="Q61" s="195"/>
      <c r="R61" s="193"/>
      <c r="S61" s="19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9"/>
      <c r="AK61" s="19"/>
    </row>
    <row r="62" spans="1:37" ht="15.75" customHeight="1" x14ac:dyDescent="0.2">
      <c r="A62" s="422"/>
      <c r="B62" s="422"/>
      <c r="C62" s="422"/>
      <c r="D62" s="422"/>
      <c r="E62" s="422"/>
      <c r="F62" s="422"/>
      <c r="G62" s="422"/>
      <c r="H62" s="422"/>
      <c r="I62" s="422"/>
      <c r="J62" s="422"/>
      <c r="K62" s="195"/>
      <c r="L62" s="195"/>
      <c r="M62" s="195"/>
      <c r="N62" s="200"/>
      <c r="O62" s="200"/>
      <c r="P62" s="200"/>
      <c r="Q62" s="200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9"/>
      <c r="AK62" s="19"/>
    </row>
    <row r="63" spans="1:37" ht="15.75" customHeight="1" x14ac:dyDescent="0.2">
      <c r="A63" s="416"/>
      <c r="B63" s="415"/>
      <c r="C63" s="415"/>
      <c r="D63" s="416"/>
      <c r="E63" s="415"/>
      <c r="F63" s="416"/>
      <c r="G63" s="416"/>
      <c r="H63" s="416"/>
      <c r="I63" s="195"/>
      <c r="J63" s="195"/>
      <c r="K63" s="195"/>
      <c r="L63" s="195"/>
      <c r="M63" s="195"/>
      <c r="N63" s="200"/>
      <c r="O63" s="200"/>
      <c r="P63" s="200"/>
      <c r="Q63" s="200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9"/>
      <c r="AK63" s="19"/>
    </row>
    <row r="64" spans="1:37" ht="15.75" customHeight="1" x14ac:dyDescent="0.2">
      <c r="A64" s="416"/>
      <c r="B64" s="416"/>
      <c r="C64" s="416"/>
      <c r="D64" s="416"/>
      <c r="E64" s="415"/>
      <c r="F64" s="416"/>
      <c r="G64" s="416"/>
      <c r="H64" s="416"/>
      <c r="I64" s="195"/>
      <c r="J64" s="195"/>
      <c r="K64" s="195"/>
      <c r="L64" s="195"/>
      <c r="M64" s="195"/>
      <c r="N64" s="200"/>
      <c r="O64" s="200"/>
      <c r="P64" s="200"/>
      <c r="Q64" s="200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9"/>
      <c r="AJ64" s="19"/>
      <c r="AK64" s="19"/>
    </row>
    <row r="65" spans="1:37" ht="15.75" customHeight="1" x14ac:dyDescent="0.25">
      <c r="A65" s="416"/>
      <c r="B65" s="416"/>
      <c r="C65" s="416"/>
      <c r="D65" s="416"/>
      <c r="E65" s="415"/>
      <c r="F65" s="416"/>
      <c r="G65" s="416"/>
      <c r="H65" s="416"/>
      <c r="I65" s="195"/>
      <c r="J65" s="195"/>
      <c r="K65" s="561"/>
      <c r="L65" s="559"/>
      <c r="M65" s="195"/>
      <c r="N65" s="562" t="s">
        <v>57</v>
      </c>
      <c r="O65" s="563"/>
      <c r="P65" s="559"/>
      <c r="Q65" s="200"/>
      <c r="R65" s="564"/>
      <c r="S65" s="544"/>
      <c r="T65" s="1"/>
      <c r="U65" s="1"/>
      <c r="V65" s="1"/>
      <c r="W65" s="201"/>
      <c r="X65" s="1"/>
      <c r="Y65" s="1"/>
      <c r="Z65" s="1"/>
      <c r="AA65" s="1"/>
      <c r="AB65" s="1"/>
      <c r="AC65" s="19"/>
      <c r="AD65" s="19"/>
      <c r="AE65" s="19"/>
      <c r="AF65" s="19"/>
      <c r="AG65" s="1"/>
      <c r="AH65" s="1"/>
      <c r="AI65" s="19"/>
      <c r="AJ65" s="19"/>
      <c r="AK65" s="19"/>
    </row>
    <row r="66" spans="1:37" ht="18.75" customHeight="1" x14ac:dyDescent="0.2">
      <c r="A66" s="416"/>
      <c r="B66" s="416"/>
      <c r="C66" s="416"/>
      <c r="D66" s="416"/>
      <c r="E66" s="415"/>
      <c r="F66" s="416"/>
      <c r="G66" s="416"/>
      <c r="H66" s="416"/>
      <c r="I66" s="195"/>
      <c r="J66" s="195"/>
      <c r="K66" s="202"/>
      <c r="L66" s="202"/>
      <c r="M66" s="195"/>
      <c r="N66" s="202" t="s">
        <v>51</v>
      </c>
      <c r="O66" s="202" t="s">
        <v>3</v>
      </c>
      <c r="P66" s="203" t="s">
        <v>61</v>
      </c>
      <c r="Q66" s="200" t="s">
        <v>144</v>
      </c>
      <c r="R66" s="204"/>
      <c r="S66" s="204"/>
      <c r="T66" s="1"/>
      <c r="U66" s="205"/>
      <c r="V66" s="1"/>
      <c r="W66" s="205"/>
      <c r="X66" s="1"/>
      <c r="Y66" s="1"/>
      <c r="Z66" s="1"/>
      <c r="AA66" s="1"/>
      <c r="AB66" s="204"/>
      <c r="AC66" s="29"/>
      <c r="AD66" s="19"/>
      <c r="AE66" s="19"/>
      <c r="AF66" s="19"/>
      <c r="AG66" s="1"/>
      <c r="AH66" s="1"/>
      <c r="AI66" s="1"/>
      <c r="AJ66" s="1"/>
      <c r="AK66" s="1"/>
    </row>
    <row r="67" spans="1:37" ht="15.75" customHeight="1" x14ac:dyDescent="0.2">
      <c r="A67" s="416"/>
      <c r="B67" s="416"/>
      <c r="C67" s="416"/>
      <c r="D67" s="416"/>
      <c r="E67" s="415"/>
      <c r="F67" s="416"/>
      <c r="G67" s="416"/>
      <c r="H67" s="416"/>
      <c r="I67" s="195"/>
      <c r="J67" s="195"/>
      <c r="K67" s="206"/>
      <c r="L67" s="207"/>
      <c r="M67" s="195"/>
      <c r="N67" s="200">
        <f t="shared" ref="N67:N68" si="1">B1</f>
        <v>790607.32597259618</v>
      </c>
      <c r="O67" s="194">
        <f t="shared" ref="O67:O126" si="2">IF(D$1&gt;1,D1/100,D1)</f>
        <v>0.60890535793133893</v>
      </c>
      <c r="P67" s="208">
        <f t="shared" ref="P67:P126" si="3">N67*O67</f>
        <v>481405.03680448246</v>
      </c>
      <c r="Q67" s="209">
        <f t="shared" ref="Q67:Q126" si="4">E1</f>
        <v>0.01</v>
      </c>
      <c r="R67" s="210"/>
      <c r="S67" s="210"/>
      <c r="T67" s="1"/>
      <c r="U67" s="51"/>
      <c r="V67" s="211"/>
      <c r="W67" s="51"/>
      <c r="X67" s="211"/>
      <c r="Y67" s="1"/>
      <c r="Z67" s="1"/>
      <c r="AA67" s="212"/>
      <c r="AB67" s="19"/>
      <c r="AC67" s="19"/>
      <c r="AD67" s="1"/>
      <c r="AE67" s="1"/>
      <c r="AF67" s="19"/>
      <c r="AG67" s="1"/>
      <c r="AH67" s="1"/>
      <c r="AI67" s="1"/>
      <c r="AJ67" s="1"/>
      <c r="AK67" s="1"/>
    </row>
    <row r="68" spans="1:37" ht="15.75" customHeight="1" x14ac:dyDescent="0.2">
      <c r="A68" s="416"/>
      <c r="B68" s="416"/>
      <c r="C68" s="416"/>
      <c r="D68" s="416"/>
      <c r="E68" s="415"/>
      <c r="F68" s="416"/>
      <c r="G68" s="416"/>
      <c r="H68" s="416"/>
      <c r="I68" s="195"/>
      <c r="J68" s="195"/>
      <c r="K68" s="213"/>
      <c r="L68" s="194"/>
      <c r="M68" s="214"/>
      <c r="N68" s="200">
        <f t="shared" si="1"/>
        <v>237279.98709421905</v>
      </c>
      <c r="O68" s="194">
        <f t="shared" si="2"/>
        <v>0.62970000000000004</v>
      </c>
      <c r="P68" s="208">
        <f t="shared" si="3"/>
        <v>149415.20787322975</v>
      </c>
      <c r="Q68" s="209">
        <f t="shared" si="4"/>
        <v>0.01</v>
      </c>
      <c r="R68" s="210"/>
      <c r="S68" s="210"/>
      <c r="T68" s="1"/>
      <c r="U68" s="51"/>
      <c r="V68" s="211"/>
      <c r="W68" s="51"/>
      <c r="X68" s="211"/>
      <c r="Y68" s="1"/>
      <c r="Z68" s="1"/>
      <c r="AA68" s="212"/>
      <c r="AB68" s="19"/>
      <c r="AC68" s="19"/>
      <c r="AD68" s="1"/>
      <c r="AE68" s="1"/>
      <c r="AF68" s="19"/>
      <c r="AG68" s="1"/>
      <c r="AH68" s="1"/>
      <c r="AI68" s="1"/>
      <c r="AJ68" s="1"/>
      <c r="AK68" s="1"/>
    </row>
    <row r="69" spans="1:37" ht="15.75" customHeight="1" x14ac:dyDescent="0.2">
      <c r="A69" s="416"/>
      <c r="B69" s="416"/>
      <c r="C69" s="416"/>
      <c r="D69" s="416"/>
      <c r="E69" s="415"/>
      <c r="F69" s="416"/>
      <c r="G69" s="416"/>
      <c r="H69" s="416"/>
      <c r="I69" s="195"/>
      <c r="J69" s="195"/>
      <c r="K69" s="213"/>
      <c r="L69" s="194"/>
      <c r="M69" s="195"/>
      <c r="N69" s="1">
        <v>642376.55039999995</v>
      </c>
      <c r="O69" s="194">
        <f t="shared" si="2"/>
        <v>0.64370000000000005</v>
      </c>
      <c r="P69" s="208">
        <f t="shared" si="3"/>
        <v>413497.78549247998</v>
      </c>
      <c r="Q69" s="209">
        <f t="shared" si="4"/>
        <v>0.01</v>
      </c>
      <c r="R69" s="210"/>
      <c r="S69" s="210"/>
      <c r="T69" s="1"/>
      <c r="U69" s="51"/>
      <c r="V69" s="211"/>
      <c r="W69" s="51"/>
      <c r="X69" s="211"/>
      <c r="Y69" s="1"/>
      <c r="Z69" s="1"/>
      <c r="AA69" s="212"/>
      <c r="AB69" s="19"/>
      <c r="AC69" s="19"/>
      <c r="AD69" s="1"/>
      <c r="AE69" s="1"/>
      <c r="AF69" s="19"/>
      <c r="AG69" s="1"/>
      <c r="AH69" s="1"/>
      <c r="AI69" s="1"/>
      <c r="AJ69" s="1"/>
      <c r="AK69" s="1"/>
    </row>
    <row r="70" spans="1:37" ht="15.75" customHeight="1" x14ac:dyDescent="0.2">
      <c r="A70" s="416"/>
      <c r="B70" s="416"/>
      <c r="C70" s="416"/>
      <c r="D70" s="418"/>
      <c r="E70" s="415"/>
      <c r="F70" s="419"/>
      <c r="G70" s="416"/>
      <c r="H70" s="416"/>
      <c r="I70" s="195"/>
      <c r="J70" s="195"/>
      <c r="K70" s="213"/>
      <c r="L70" s="194"/>
      <c r="M70" s="195"/>
      <c r="N70" s="200">
        <f t="shared" ref="N70:N126" si="5">B4</f>
        <v>553327.33887837711</v>
      </c>
      <c r="O70" s="194">
        <f t="shared" si="2"/>
        <v>0.6</v>
      </c>
      <c r="P70" s="208">
        <f t="shared" si="3"/>
        <v>331996.40332702623</v>
      </c>
      <c r="Q70" s="209">
        <f t="shared" si="4"/>
        <v>0.01</v>
      </c>
      <c r="R70" s="210"/>
      <c r="S70" s="210"/>
      <c r="T70" s="1"/>
      <c r="U70" s="51"/>
      <c r="V70" s="211"/>
      <c r="W70" s="51"/>
      <c r="X70" s="211"/>
      <c r="Y70" s="1"/>
      <c r="Z70" s="1"/>
      <c r="AA70" s="212"/>
      <c r="AB70" s="19"/>
      <c r="AC70" s="19"/>
      <c r="AD70" s="1"/>
      <c r="AE70" s="1"/>
      <c r="AF70" s="19"/>
      <c r="AG70" s="1"/>
      <c r="AH70" s="1"/>
      <c r="AI70" s="1"/>
      <c r="AJ70" s="1"/>
      <c r="AK70" s="1"/>
    </row>
    <row r="71" spans="1:37" ht="15.75" customHeight="1" x14ac:dyDescent="0.2">
      <c r="A71" s="416"/>
      <c r="B71" s="416"/>
      <c r="C71" s="416"/>
      <c r="D71" s="416"/>
      <c r="E71" s="415"/>
      <c r="F71" s="416"/>
      <c r="G71" s="416"/>
      <c r="H71" s="416"/>
      <c r="I71" s="195"/>
      <c r="J71" s="195"/>
      <c r="K71" s="213"/>
      <c r="L71" s="194"/>
      <c r="M71" s="195"/>
      <c r="N71" s="200">
        <f t="shared" si="5"/>
        <v>557257.31239999994</v>
      </c>
      <c r="O71" s="194">
        <f t="shared" si="2"/>
        <v>0.60880000000000001</v>
      </c>
      <c r="P71" s="208">
        <f t="shared" si="3"/>
        <v>339258.25178911997</v>
      </c>
      <c r="Q71" s="209">
        <f t="shared" si="4"/>
        <v>0.01</v>
      </c>
      <c r="R71" s="210"/>
      <c r="S71" s="210"/>
      <c r="T71" s="1"/>
      <c r="U71" s="51"/>
      <c r="V71" s="211"/>
      <c r="W71" s="51"/>
      <c r="X71" s="211"/>
      <c r="Y71" s="1"/>
      <c r="Z71" s="1"/>
      <c r="AA71" s="212"/>
      <c r="AB71" s="19"/>
      <c r="AC71" s="19"/>
      <c r="AD71" s="1"/>
      <c r="AE71" s="1"/>
      <c r="AF71" s="19"/>
      <c r="AG71" s="1"/>
      <c r="AH71" s="1"/>
      <c r="AI71" s="1"/>
      <c r="AJ71" s="1"/>
      <c r="AK71" s="1"/>
    </row>
    <row r="72" spans="1:37" ht="15.75" customHeight="1" x14ac:dyDescent="0.2">
      <c r="A72" s="416"/>
      <c r="B72" s="416"/>
      <c r="C72" s="416"/>
      <c r="D72" s="418"/>
      <c r="E72" s="415"/>
      <c r="F72" s="419"/>
      <c r="G72" s="416"/>
      <c r="H72" s="416"/>
      <c r="I72" s="195"/>
      <c r="J72" s="195"/>
      <c r="K72" s="213"/>
      <c r="L72" s="194"/>
      <c r="M72" s="195"/>
      <c r="N72" s="200">
        <f t="shared" si="5"/>
        <v>-545.27</v>
      </c>
      <c r="O72" s="194">
        <f t="shared" si="2"/>
        <v>0.60880000000000001</v>
      </c>
      <c r="P72" s="208">
        <f t="shared" si="3"/>
        <v>-331.960376</v>
      </c>
      <c r="Q72" s="209">
        <f t="shared" si="4"/>
        <v>0.01</v>
      </c>
      <c r="R72" s="210"/>
      <c r="S72" s="210"/>
      <c r="T72" s="1"/>
      <c r="U72" s="51"/>
      <c r="V72" s="211"/>
      <c r="W72" s="51"/>
      <c r="X72" s="211"/>
      <c r="Y72" s="1"/>
      <c r="Z72" s="1"/>
      <c r="AA72" s="212"/>
      <c r="AB72" s="19"/>
      <c r="AC72" s="19"/>
      <c r="AD72" s="1"/>
      <c r="AE72" s="1"/>
      <c r="AF72" s="19"/>
      <c r="AG72" s="1"/>
      <c r="AH72" s="1"/>
      <c r="AI72" s="1"/>
      <c r="AJ72" s="1"/>
      <c r="AK72" s="1"/>
    </row>
    <row r="73" spans="1:37" ht="15.75" customHeight="1" x14ac:dyDescent="0.2">
      <c r="A73" s="195"/>
      <c r="B73" s="195"/>
      <c r="C73" s="214"/>
      <c r="D73" s="195"/>
      <c r="E73" s="194"/>
      <c r="F73" s="195"/>
      <c r="G73" s="195"/>
      <c r="H73" s="195"/>
      <c r="I73" s="195"/>
      <c r="J73" s="195"/>
      <c r="K73" s="213"/>
      <c r="L73" s="194"/>
      <c r="M73" s="195"/>
      <c r="N73" s="200">
        <f t="shared" si="5"/>
        <v>556712.04239999992</v>
      </c>
      <c r="O73" s="194">
        <f t="shared" si="2"/>
        <v>0.60999257479888136</v>
      </c>
      <c r="P73" s="208">
        <f t="shared" si="3"/>
        <v>339590.21216511994</v>
      </c>
      <c r="Q73" s="209">
        <f t="shared" si="4"/>
        <v>0.01</v>
      </c>
      <c r="R73" s="210"/>
      <c r="S73" s="210"/>
      <c r="T73" s="1"/>
      <c r="U73" s="51"/>
      <c r="V73" s="211"/>
      <c r="W73" s="51"/>
      <c r="X73" s="211"/>
      <c r="Y73" s="1"/>
      <c r="Z73" s="1"/>
      <c r="AA73" s="212"/>
      <c r="AB73" s="19"/>
      <c r="AC73" s="19"/>
      <c r="AD73" s="1"/>
      <c r="AE73" s="1"/>
      <c r="AF73" s="19"/>
      <c r="AG73" s="1"/>
      <c r="AH73" s="1"/>
      <c r="AI73" s="1"/>
      <c r="AJ73" s="1"/>
      <c r="AK73" s="1"/>
    </row>
    <row r="74" spans="1:37" ht="15.75" customHeight="1" x14ac:dyDescent="0.2">
      <c r="A74" s="195"/>
      <c r="B74" s="195"/>
      <c r="C74" s="195"/>
      <c r="D74" s="214"/>
      <c r="E74" s="194"/>
      <c r="F74" s="216"/>
      <c r="G74" s="216"/>
      <c r="H74" s="199"/>
      <c r="I74" s="195"/>
      <c r="J74" s="195"/>
      <c r="K74" s="213"/>
      <c r="L74" s="194"/>
      <c r="M74" s="195"/>
      <c r="N74" s="200">
        <f t="shared" si="5"/>
        <v>80959.563825055302</v>
      </c>
      <c r="O74" s="194">
        <f t="shared" si="2"/>
        <v>8.3799220138465219E-2</v>
      </c>
      <c r="P74" s="208">
        <f t="shared" si="3"/>
        <v>6784.3483112899348</v>
      </c>
      <c r="Q74" s="209">
        <f t="shared" si="4"/>
        <v>0.01</v>
      </c>
      <c r="R74" s="210"/>
      <c r="S74" s="210"/>
      <c r="T74" s="1"/>
      <c r="U74" s="51"/>
      <c r="V74" s="211"/>
      <c r="W74" s="51"/>
      <c r="X74" s="211"/>
      <c r="Y74" s="1"/>
      <c r="Z74" s="1"/>
      <c r="AA74" s="212"/>
      <c r="AB74" s="19"/>
      <c r="AC74" s="19"/>
      <c r="AD74" s="1"/>
      <c r="AE74" s="1"/>
      <c r="AF74" s="19"/>
      <c r="AG74" s="1"/>
      <c r="AH74" s="1"/>
      <c r="AI74" s="1"/>
      <c r="AJ74" s="1"/>
      <c r="AK74" s="1"/>
    </row>
    <row r="75" spans="1:37" ht="15.75" customHeight="1" x14ac:dyDescent="0.2">
      <c r="A75" s="195"/>
      <c r="B75" s="195"/>
      <c r="C75" s="195"/>
      <c r="D75" s="195"/>
      <c r="E75" s="194"/>
      <c r="F75" s="195"/>
      <c r="G75" s="195"/>
      <c r="H75" s="195"/>
      <c r="I75" s="195"/>
      <c r="J75" s="195"/>
      <c r="K75" s="213"/>
      <c r="L75" s="194"/>
      <c r="M75" s="195"/>
      <c r="N75" s="200">
        <f t="shared" si="5"/>
        <v>475752.4785749446</v>
      </c>
      <c r="O75" s="194">
        <f t="shared" si="2"/>
        <v>0.68630000000000002</v>
      </c>
      <c r="P75" s="208">
        <f t="shared" si="3"/>
        <v>326508.9260459845</v>
      </c>
      <c r="Q75" s="209">
        <f t="shared" si="4"/>
        <v>0.01</v>
      </c>
      <c r="R75" s="210"/>
      <c r="S75" s="210"/>
      <c r="T75" s="1"/>
      <c r="U75" s="51"/>
      <c r="V75" s="211"/>
      <c r="W75" s="51"/>
      <c r="X75" s="211"/>
      <c r="Y75" s="1"/>
      <c r="Z75" s="1"/>
      <c r="AA75" s="212"/>
      <c r="AB75" s="19"/>
      <c r="AC75" s="19"/>
      <c r="AD75" s="1"/>
      <c r="AE75" s="1"/>
      <c r="AF75" s="19"/>
      <c r="AG75" s="1"/>
      <c r="AH75" s="1"/>
      <c r="AI75" s="1"/>
      <c r="AJ75" s="1"/>
      <c r="AK75" s="1"/>
    </row>
    <row r="76" spans="1:37" ht="15.75" customHeight="1" x14ac:dyDescent="0.2">
      <c r="A76" s="195"/>
      <c r="B76" s="195"/>
      <c r="C76" s="195"/>
      <c r="D76" s="195"/>
      <c r="E76" s="194"/>
      <c r="F76" s="195"/>
      <c r="G76" s="195"/>
      <c r="H76" s="195"/>
      <c r="I76" s="195"/>
      <c r="J76" s="195"/>
      <c r="K76" s="213"/>
      <c r="L76" s="194"/>
      <c r="M76" s="195"/>
      <c r="N76" s="200">
        <f t="shared" si="5"/>
        <v>466336.4785749446</v>
      </c>
      <c r="O76" s="194">
        <f t="shared" si="2"/>
        <v>0.68913249103666352</v>
      </c>
      <c r="P76" s="208">
        <f t="shared" si="3"/>
        <v>321367.61914161727</v>
      </c>
      <c r="Q76" s="209">
        <f t="shared" si="4"/>
        <v>0.01</v>
      </c>
      <c r="R76" s="210"/>
      <c r="S76" s="210"/>
      <c r="T76" s="1"/>
      <c r="U76" s="51"/>
      <c r="V76" s="211"/>
      <c r="W76" s="51"/>
      <c r="X76" s="211"/>
      <c r="Y76" s="1"/>
      <c r="Z76" s="1"/>
      <c r="AA76" s="212"/>
      <c r="AB76" s="19"/>
      <c r="AC76" s="19"/>
      <c r="AD76" s="1"/>
      <c r="AE76" s="1"/>
      <c r="AF76" s="19"/>
      <c r="AG76" s="1"/>
      <c r="AH76" s="1"/>
      <c r="AI76" s="1"/>
      <c r="AJ76" s="1"/>
      <c r="AK76" s="1"/>
    </row>
    <row r="77" spans="1:37" ht="15.75" customHeight="1" x14ac:dyDescent="0.2">
      <c r="A77" s="195"/>
      <c r="B77" s="195"/>
      <c r="C77" s="195"/>
      <c r="D77" s="214"/>
      <c r="E77" s="194"/>
      <c r="F77" s="215"/>
      <c r="G77" s="195"/>
      <c r="H77" s="195"/>
      <c r="I77" s="195"/>
      <c r="J77" s="195"/>
      <c r="K77" s="213"/>
      <c r="L77" s="194"/>
      <c r="M77" s="195"/>
      <c r="N77" s="200">
        <f t="shared" si="5"/>
        <v>1</v>
      </c>
      <c r="O77" s="194">
        <f t="shared" si="2"/>
        <v>0.6</v>
      </c>
      <c r="P77" s="208">
        <f t="shared" si="3"/>
        <v>0.6</v>
      </c>
      <c r="Q77" s="209">
        <f t="shared" si="4"/>
        <v>0.01</v>
      </c>
      <c r="R77" s="210"/>
      <c r="S77" s="210"/>
      <c r="T77" s="1"/>
      <c r="U77" s="51"/>
      <c r="V77" s="211"/>
      <c r="W77" s="51"/>
      <c r="X77" s="211"/>
      <c r="Y77" s="1"/>
      <c r="Z77" s="1"/>
      <c r="AA77" s="212"/>
      <c r="AB77" s="19"/>
      <c r="AC77" s="19"/>
      <c r="AD77" s="1"/>
      <c r="AE77" s="1"/>
      <c r="AF77" s="19"/>
      <c r="AG77" s="1"/>
      <c r="AH77" s="1"/>
      <c r="AI77" s="1"/>
      <c r="AJ77" s="1"/>
      <c r="AK77" s="1"/>
    </row>
    <row r="78" spans="1:37" ht="15.75" customHeight="1" x14ac:dyDescent="0.2">
      <c r="A78" s="195"/>
      <c r="B78" s="195"/>
      <c r="C78" s="195"/>
      <c r="D78" s="195"/>
      <c r="E78" s="194"/>
      <c r="F78" s="195"/>
      <c r="G78" s="195"/>
      <c r="H78" s="195"/>
      <c r="I78" s="195"/>
      <c r="J78" s="195"/>
      <c r="K78" s="213"/>
      <c r="L78" s="194"/>
      <c r="M78" s="195"/>
      <c r="N78" s="200">
        <f t="shared" si="5"/>
        <v>183369.18950000001</v>
      </c>
      <c r="O78" s="194">
        <f t="shared" si="2"/>
        <v>0.68834294588788836</v>
      </c>
      <c r="P78" s="208">
        <f t="shared" si="3"/>
        <v>126220.88808550446</v>
      </c>
      <c r="Q78" s="209">
        <f t="shared" si="4"/>
        <v>0.01</v>
      </c>
      <c r="R78" s="210"/>
      <c r="S78" s="210"/>
      <c r="T78" s="1"/>
      <c r="U78" s="51"/>
      <c r="V78" s="211"/>
      <c r="W78" s="51"/>
      <c r="X78" s="211"/>
      <c r="Y78" s="1"/>
      <c r="Z78" s="1"/>
      <c r="AA78" s="212"/>
      <c r="AB78" s="19"/>
      <c r="AC78" s="19"/>
      <c r="AD78" s="1"/>
      <c r="AE78" s="1"/>
      <c r="AF78" s="19"/>
      <c r="AG78" s="1"/>
      <c r="AH78" s="1"/>
      <c r="AI78" s="1"/>
      <c r="AJ78" s="1"/>
      <c r="AK78" s="1"/>
    </row>
    <row r="79" spans="1:37" ht="15.75" customHeight="1" x14ac:dyDescent="0.2">
      <c r="A79" s="195"/>
      <c r="B79" s="195"/>
      <c r="C79" s="195"/>
      <c r="D79" s="195"/>
      <c r="E79" s="194"/>
      <c r="F79" s="195"/>
      <c r="G79" s="195"/>
      <c r="H79" s="195"/>
      <c r="I79" s="195"/>
      <c r="J79" s="195"/>
      <c r="K79" s="213"/>
      <c r="L79" s="194"/>
      <c r="M79" s="195"/>
      <c r="N79" s="200">
        <f t="shared" si="5"/>
        <v>183369.18950000001</v>
      </c>
      <c r="O79" s="194">
        <f t="shared" si="2"/>
        <v>0.68834294588788836</v>
      </c>
      <c r="P79" s="208">
        <f t="shared" si="3"/>
        <v>126220.88808550446</v>
      </c>
      <c r="Q79" s="209">
        <f t="shared" si="4"/>
        <v>0.01</v>
      </c>
      <c r="R79" s="210"/>
      <c r="S79" s="210"/>
      <c r="T79" s="1"/>
      <c r="U79" s="51"/>
      <c r="V79" s="211"/>
      <c r="W79" s="51"/>
      <c r="X79" s="211"/>
      <c r="Y79" s="1"/>
      <c r="Z79" s="1"/>
      <c r="AA79" s="212"/>
      <c r="AB79" s="19"/>
      <c r="AC79" s="19"/>
      <c r="AD79" s="1"/>
      <c r="AE79" s="1"/>
      <c r="AF79" s="19"/>
      <c r="AG79" s="1"/>
      <c r="AH79" s="1"/>
      <c r="AI79" s="1"/>
      <c r="AJ79" s="1"/>
      <c r="AK79" s="1"/>
    </row>
    <row r="80" spans="1:37" ht="15.75" customHeight="1" x14ac:dyDescent="0.2">
      <c r="A80" s="195"/>
      <c r="B80" s="195"/>
      <c r="C80" s="195"/>
      <c r="D80" s="195"/>
      <c r="E80" s="194"/>
      <c r="F80" s="214"/>
      <c r="G80" s="214"/>
      <c r="H80" s="195"/>
      <c r="I80" s="195"/>
      <c r="J80" s="195"/>
      <c r="K80" s="213"/>
      <c r="L80" s="194"/>
      <c r="M80" s="195"/>
      <c r="N80" s="200">
        <f t="shared" si="5"/>
        <v>0</v>
      </c>
      <c r="O80" s="194">
        <f t="shared" si="2"/>
        <v>0</v>
      </c>
      <c r="P80" s="208">
        <f t="shared" si="3"/>
        <v>0</v>
      </c>
      <c r="Q80" s="209">
        <f t="shared" si="4"/>
        <v>0.01</v>
      </c>
      <c r="R80" s="210"/>
      <c r="S80" s="210"/>
      <c r="T80" s="1"/>
      <c r="U80" s="51"/>
      <c r="V80" s="211"/>
      <c r="W80" s="51"/>
      <c r="X80" s="211"/>
      <c r="Y80" s="1"/>
      <c r="Z80" s="1"/>
      <c r="AA80" s="212"/>
      <c r="AB80" s="19"/>
      <c r="AC80" s="19"/>
      <c r="AD80" s="1"/>
      <c r="AE80" s="1"/>
      <c r="AF80" s="19"/>
      <c r="AG80" s="1"/>
      <c r="AH80" s="1"/>
      <c r="AI80" s="1"/>
      <c r="AJ80" s="1"/>
      <c r="AK80" s="1"/>
    </row>
    <row r="81" spans="1:37" ht="15.75" customHeight="1" x14ac:dyDescent="0.2">
      <c r="A81" s="195"/>
      <c r="B81" s="195"/>
      <c r="C81" s="195"/>
      <c r="D81" s="195"/>
      <c r="E81" s="194"/>
      <c r="F81" s="195"/>
      <c r="G81" s="195"/>
      <c r="H81" s="195"/>
      <c r="I81" s="195"/>
      <c r="J81" s="195"/>
      <c r="K81" s="213"/>
      <c r="L81" s="194"/>
      <c r="M81" s="195"/>
      <c r="N81" s="200">
        <f t="shared" si="5"/>
        <v>274867.73500000004</v>
      </c>
      <c r="O81" s="194">
        <f t="shared" si="2"/>
        <v>0.68834294588788836</v>
      </c>
      <c r="P81" s="208">
        <f t="shared" si="3"/>
        <v>189203.26643943146</v>
      </c>
      <c r="Q81" s="209">
        <f t="shared" si="4"/>
        <v>0.01</v>
      </c>
      <c r="R81" s="210"/>
      <c r="S81" s="210"/>
      <c r="T81" s="1"/>
      <c r="U81" s="51"/>
      <c r="V81" s="211"/>
      <c r="W81" s="51"/>
      <c r="X81" s="211"/>
      <c r="Y81" s="1"/>
      <c r="Z81" s="1"/>
      <c r="AA81" s="212"/>
      <c r="AB81" s="19"/>
      <c r="AC81" s="19"/>
      <c r="AD81" s="1"/>
      <c r="AE81" s="1"/>
      <c r="AF81" s="19"/>
      <c r="AG81" s="1"/>
      <c r="AH81" s="1"/>
      <c r="AI81" s="1"/>
      <c r="AJ81" s="1"/>
      <c r="AK81" s="1"/>
    </row>
    <row r="82" spans="1:37" ht="15.75" customHeight="1" x14ac:dyDescent="0.2">
      <c r="A82" s="195"/>
      <c r="B82" s="195"/>
      <c r="C82" s="195"/>
      <c r="D82" s="214"/>
      <c r="E82" s="194"/>
      <c r="F82" s="195"/>
      <c r="G82" s="195"/>
      <c r="H82" s="195"/>
      <c r="I82" s="195"/>
      <c r="J82" s="195"/>
      <c r="K82" s="213"/>
      <c r="L82" s="194"/>
      <c r="M82" s="195"/>
      <c r="N82" s="200">
        <f t="shared" si="5"/>
        <v>332236.17460000003</v>
      </c>
      <c r="O82" s="194">
        <f t="shared" si="2"/>
        <v>0.68740042268907109</v>
      </c>
      <c r="P82" s="208">
        <f t="shared" si="3"/>
        <v>228379.28685264004</v>
      </c>
      <c r="Q82" s="209">
        <f t="shared" si="4"/>
        <v>0.01</v>
      </c>
      <c r="R82" s="210"/>
      <c r="S82" s="210"/>
      <c r="T82" s="1"/>
      <c r="U82" s="51"/>
      <c r="V82" s="211"/>
      <c r="W82" s="51"/>
      <c r="X82" s="211"/>
      <c r="Y82" s="1"/>
      <c r="Z82" s="1"/>
      <c r="AA82" s="212"/>
      <c r="AB82" s="19"/>
      <c r="AC82" s="19"/>
      <c r="AD82" s="1"/>
      <c r="AE82" s="1"/>
      <c r="AF82" s="19"/>
      <c r="AG82" s="1"/>
      <c r="AH82" s="1"/>
      <c r="AI82" s="1"/>
      <c r="AJ82" s="1"/>
      <c r="AK82" s="1"/>
    </row>
    <row r="83" spans="1:37" ht="15.75" customHeight="1" x14ac:dyDescent="0.2">
      <c r="A83" s="195"/>
      <c r="B83" s="195"/>
      <c r="C83" s="195"/>
      <c r="D83" s="195"/>
      <c r="E83" s="194"/>
      <c r="F83" s="195"/>
      <c r="G83" s="195"/>
      <c r="H83" s="195"/>
      <c r="I83" s="195"/>
      <c r="J83" s="195"/>
      <c r="K83" s="213"/>
      <c r="L83" s="194"/>
      <c r="M83" s="195"/>
      <c r="N83" s="200">
        <f t="shared" si="5"/>
        <v>13612.72</v>
      </c>
      <c r="O83" s="194">
        <f t="shared" si="2"/>
        <v>0</v>
      </c>
      <c r="P83" s="208">
        <f t="shared" si="3"/>
        <v>0</v>
      </c>
      <c r="Q83" s="209">
        <f t="shared" si="4"/>
        <v>0.01</v>
      </c>
      <c r="R83" s="210"/>
      <c r="S83" s="210"/>
      <c r="T83" s="1"/>
      <c r="U83" s="51"/>
      <c r="V83" s="211"/>
      <c r="W83" s="51"/>
      <c r="X83" s="211"/>
      <c r="Y83" s="1"/>
      <c r="Z83" s="1"/>
      <c r="AA83" s="212"/>
      <c r="AB83" s="19"/>
      <c r="AC83" s="19"/>
      <c r="AD83" s="1"/>
      <c r="AE83" s="1"/>
      <c r="AF83" s="19"/>
      <c r="AG83" s="1"/>
      <c r="AH83" s="1"/>
      <c r="AI83" s="1"/>
      <c r="AJ83" s="1"/>
      <c r="AK83" s="1"/>
    </row>
    <row r="84" spans="1:37" ht="15.75" customHeight="1" x14ac:dyDescent="0.2">
      <c r="A84" s="195"/>
      <c r="B84" s="195"/>
      <c r="C84" s="195"/>
      <c r="D84" s="214"/>
      <c r="E84" s="194"/>
      <c r="F84" s="215"/>
      <c r="G84" s="215"/>
      <c r="H84" s="195"/>
      <c r="I84" s="195"/>
      <c r="J84" s="195"/>
      <c r="K84" s="213"/>
      <c r="L84" s="194"/>
      <c r="M84" s="195"/>
      <c r="N84" s="200">
        <f t="shared" si="5"/>
        <v>288480.45500000002</v>
      </c>
      <c r="O84" s="194">
        <f t="shared" si="2"/>
        <v>0.65711473548083466</v>
      </c>
      <c r="P84" s="208">
        <f t="shared" si="3"/>
        <v>189564.75787871584</v>
      </c>
      <c r="Q84" s="209">
        <f t="shared" si="4"/>
        <v>0.01</v>
      </c>
      <c r="R84" s="210"/>
      <c r="S84" s="210"/>
      <c r="T84" s="1"/>
      <c r="U84" s="51"/>
      <c r="V84" s="211"/>
      <c r="W84" s="51"/>
      <c r="X84" s="211"/>
      <c r="Y84" s="1"/>
      <c r="Z84" s="1"/>
      <c r="AA84" s="212"/>
      <c r="AB84" s="19"/>
      <c r="AC84" s="19"/>
      <c r="AD84" s="1"/>
      <c r="AE84" s="1"/>
      <c r="AF84" s="19"/>
      <c r="AG84" s="1"/>
      <c r="AH84" s="1"/>
      <c r="AI84" s="1"/>
      <c r="AJ84" s="1"/>
      <c r="AK84" s="1"/>
    </row>
    <row r="85" spans="1:37" ht="15.75" customHeight="1" x14ac:dyDescent="0.2">
      <c r="A85" s="195"/>
      <c r="B85" s="195"/>
      <c r="C85" s="195"/>
      <c r="D85" s="195"/>
      <c r="E85" s="194"/>
      <c r="F85" s="195"/>
      <c r="G85" s="195"/>
      <c r="H85" s="195"/>
      <c r="I85" s="195"/>
      <c r="J85" s="195"/>
      <c r="K85" s="213"/>
      <c r="L85" s="194"/>
      <c r="M85" s="195"/>
      <c r="N85" s="200">
        <f t="shared" si="5"/>
        <v>5432.7</v>
      </c>
      <c r="O85" s="194">
        <f t="shared" si="2"/>
        <v>0.65535413283291699</v>
      </c>
      <c r="P85" s="208">
        <f t="shared" si="3"/>
        <v>3560.3423974413881</v>
      </c>
      <c r="Q85" s="209">
        <f t="shared" si="4"/>
        <v>0.01</v>
      </c>
      <c r="R85" s="210"/>
      <c r="S85" s="210"/>
      <c r="T85" s="1"/>
      <c r="U85" s="51"/>
      <c r="V85" s="211"/>
      <c r="W85" s="51"/>
      <c r="X85" s="211"/>
      <c r="Y85" s="1"/>
      <c r="Z85" s="1"/>
      <c r="AA85" s="212"/>
      <c r="AB85" s="19"/>
      <c r="AC85" s="19"/>
      <c r="AD85" s="1"/>
      <c r="AE85" s="1"/>
      <c r="AF85" s="19"/>
      <c r="AG85" s="1"/>
      <c r="AH85" s="1"/>
      <c r="AI85" s="1"/>
      <c r="AJ85" s="1"/>
      <c r="AK85" s="1"/>
    </row>
    <row r="86" spans="1:37" ht="15.75" customHeight="1" x14ac:dyDescent="0.2">
      <c r="A86" s="195"/>
      <c r="B86" s="195"/>
      <c r="C86" s="195"/>
      <c r="D86" s="195"/>
      <c r="E86" s="194"/>
      <c r="F86" s="195"/>
      <c r="G86" s="195"/>
      <c r="H86" s="195"/>
      <c r="I86" s="195"/>
      <c r="J86" s="195"/>
      <c r="K86" s="213"/>
      <c r="L86" s="194"/>
      <c r="M86" s="195"/>
      <c r="N86" s="200">
        <f t="shared" si="5"/>
        <v>775</v>
      </c>
      <c r="O86" s="194">
        <f t="shared" si="2"/>
        <v>0</v>
      </c>
      <c r="P86" s="208">
        <f t="shared" si="3"/>
        <v>0</v>
      </c>
      <c r="Q86" s="209">
        <f t="shared" si="4"/>
        <v>0.01</v>
      </c>
      <c r="R86" s="210"/>
      <c r="S86" s="210"/>
      <c r="T86" s="1"/>
      <c r="U86" s="51"/>
      <c r="V86" s="211"/>
      <c r="W86" s="51"/>
      <c r="X86" s="211"/>
      <c r="Y86" s="1"/>
      <c r="Z86" s="1"/>
      <c r="AA86" s="212"/>
      <c r="AB86" s="19"/>
      <c r="AC86" s="19"/>
      <c r="AD86" s="1"/>
      <c r="AE86" s="1"/>
      <c r="AF86" s="19"/>
      <c r="AG86" s="1"/>
      <c r="AH86" s="1"/>
      <c r="AI86" s="1"/>
      <c r="AJ86" s="1"/>
      <c r="AK86" s="1"/>
    </row>
    <row r="87" spans="1:37" ht="15.75" customHeight="1" x14ac:dyDescent="0.2">
      <c r="A87" s="195"/>
      <c r="B87" s="195"/>
      <c r="C87" s="195"/>
      <c r="D87" s="195"/>
      <c r="E87" s="194"/>
      <c r="F87" s="195"/>
      <c r="G87" s="195"/>
      <c r="H87" s="195"/>
      <c r="I87" s="195"/>
      <c r="J87" s="195"/>
      <c r="K87" s="213"/>
      <c r="L87" s="194"/>
      <c r="M87" s="214"/>
      <c r="N87" s="200">
        <f t="shared" si="5"/>
        <v>289255.45500000002</v>
      </c>
      <c r="O87" s="194">
        <f t="shared" si="2"/>
        <v>0.65535413283291699</v>
      </c>
      <c r="P87" s="208">
        <f t="shared" si="3"/>
        <v>189564.75787871584</v>
      </c>
      <c r="Q87" s="209">
        <f t="shared" si="4"/>
        <v>0.01</v>
      </c>
      <c r="R87" s="210"/>
      <c r="S87" s="210"/>
      <c r="T87" s="1"/>
      <c r="U87" s="51"/>
      <c r="V87" s="211"/>
      <c r="W87" s="51"/>
      <c r="X87" s="211"/>
      <c r="Y87" s="1"/>
      <c r="Z87" s="1"/>
      <c r="AA87" s="212"/>
      <c r="AB87" s="19"/>
      <c r="AC87" s="19"/>
      <c r="AD87" s="1"/>
      <c r="AE87" s="1"/>
      <c r="AF87" s="19"/>
      <c r="AG87" s="1"/>
      <c r="AH87" s="1"/>
      <c r="AI87" s="1"/>
      <c r="AJ87" s="1"/>
      <c r="AK87" s="1"/>
    </row>
    <row r="88" spans="1:37" ht="15.75" customHeight="1" x14ac:dyDescent="0.2">
      <c r="A88" s="195"/>
      <c r="B88" s="195"/>
      <c r="C88" s="195"/>
      <c r="D88" s="214"/>
      <c r="E88" s="194"/>
      <c r="F88" s="215"/>
      <c r="G88" s="215"/>
      <c r="H88" s="195"/>
      <c r="I88" s="195"/>
      <c r="J88" s="195"/>
      <c r="K88" s="213"/>
      <c r="L88" s="194"/>
      <c r="M88" s="195"/>
      <c r="N88" s="200">
        <f t="shared" si="5"/>
        <v>12496.205</v>
      </c>
      <c r="O88" s="194">
        <f t="shared" si="2"/>
        <v>0.65535413283291699</v>
      </c>
      <c r="P88" s="208">
        <f t="shared" si="3"/>
        <v>8189.4395914773613</v>
      </c>
      <c r="Q88" s="209">
        <f t="shared" si="4"/>
        <v>0.01</v>
      </c>
      <c r="R88" s="210"/>
      <c r="S88" s="210"/>
      <c r="T88" s="1"/>
      <c r="U88" s="51"/>
      <c r="V88" s="211"/>
      <c r="W88" s="51"/>
      <c r="X88" s="211"/>
      <c r="Y88" s="1"/>
      <c r="Z88" s="1"/>
      <c r="AA88" s="212"/>
      <c r="AB88" s="19"/>
      <c r="AC88" s="19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95"/>
      <c r="B89" s="195"/>
      <c r="C89" s="195"/>
      <c r="D89" s="195"/>
      <c r="E89" s="194"/>
      <c r="F89" s="195"/>
      <c r="G89" s="195"/>
      <c r="H89" s="195"/>
      <c r="I89" s="195"/>
      <c r="J89" s="195"/>
      <c r="K89" s="213"/>
      <c r="L89" s="194"/>
      <c r="M89" s="195"/>
      <c r="N89" s="200">
        <f t="shared" si="5"/>
        <v>271326.55</v>
      </c>
      <c r="O89" s="194">
        <f t="shared" si="2"/>
        <v>0.65535413283291699</v>
      </c>
      <c r="P89" s="208">
        <f t="shared" si="3"/>
        <v>177814.97588979709</v>
      </c>
      <c r="Q89" s="209">
        <f t="shared" si="4"/>
        <v>0.01</v>
      </c>
      <c r="R89" s="210"/>
      <c r="S89" s="210"/>
      <c r="T89" s="1"/>
      <c r="U89" s="51"/>
      <c r="V89" s="211"/>
      <c r="W89" s="51"/>
      <c r="X89" s="211"/>
      <c r="Y89" s="1"/>
      <c r="Z89" s="1"/>
      <c r="AA89" s="212"/>
      <c r="AB89" s="19"/>
      <c r="AC89" s="19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95"/>
      <c r="B90" s="195"/>
      <c r="C90" s="195"/>
      <c r="D90" s="195"/>
      <c r="E90" s="194"/>
      <c r="F90" s="195"/>
      <c r="G90" s="195"/>
      <c r="H90" s="195"/>
      <c r="I90" s="195"/>
      <c r="J90" s="195"/>
      <c r="K90" s="213"/>
      <c r="L90" s="194"/>
      <c r="M90" s="195"/>
      <c r="N90" s="200">
        <f t="shared" si="5"/>
        <v>32361.38</v>
      </c>
      <c r="O90" s="194">
        <f t="shared" si="2"/>
        <v>0.65535413283291699</v>
      </c>
      <c r="P90" s="208">
        <f t="shared" si="3"/>
        <v>21208.164127176504</v>
      </c>
      <c r="Q90" s="209">
        <f t="shared" si="4"/>
        <v>0.01</v>
      </c>
      <c r="R90" s="210"/>
      <c r="S90" s="210"/>
      <c r="T90" s="1"/>
      <c r="U90" s="51"/>
      <c r="V90" s="211"/>
      <c r="W90" s="51"/>
      <c r="X90" s="211"/>
      <c r="Y90" s="1"/>
      <c r="Z90" s="1"/>
      <c r="AA90" s="212"/>
      <c r="AB90" s="19"/>
      <c r="AC90" s="19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95"/>
      <c r="B91" s="195"/>
      <c r="C91" s="195"/>
      <c r="D91" s="195"/>
      <c r="E91" s="194"/>
      <c r="F91" s="214"/>
      <c r="G91" s="214"/>
      <c r="H91" s="214"/>
      <c r="I91" s="195"/>
      <c r="J91" s="195"/>
      <c r="K91" s="213"/>
      <c r="L91" s="194"/>
      <c r="M91" s="195"/>
      <c r="N91" s="200">
        <f t="shared" si="5"/>
        <v>238058.12169999999</v>
      </c>
      <c r="O91" s="194">
        <f t="shared" si="2"/>
        <v>0.65506562002568458</v>
      </c>
      <c r="P91" s="208">
        <f t="shared" si="3"/>
        <v>155943.69109356037</v>
      </c>
      <c r="Q91" s="209">
        <f t="shared" si="4"/>
        <v>0.01</v>
      </c>
      <c r="R91" s="210"/>
      <c r="S91" s="210"/>
      <c r="T91" s="1"/>
      <c r="U91" s="51"/>
      <c r="V91" s="211"/>
      <c r="W91" s="51"/>
      <c r="X91" s="21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95"/>
      <c r="B92" s="195"/>
      <c r="C92" s="195"/>
      <c r="D92" s="195"/>
      <c r="E92" s="194"/>
      <c r="F92" s="195"/>
      <c r="G92" s="195"/>
      <c r="H92" s="195"/>
      <c r="I92" s="195"/>
      <c r="J92" s="195"/>
      <c r="K92" s="213"/>
      <c r="L92" s="194"/>
      <c r="M92" s="195"/>
      <c r="N92" s="200">
        <f t="shared" si="5"/>
        <v>0</v>
      </c>
      <c r="O92" s="194">
        <f t="shared" si="2"/>
        <v>0</v>
      </c>
      <c r="P92" s="208">
        <f t="shared" si="3"/>
        <v>0</v>
      </c>
      <c r="Q92" s="209">
        <f t="shared" si="4"/>
        <v>0.01</v>
      </c>
      <c r="R92" s="210"/>
      <c r="S92" s="210"/>
      <c r="T92" s="1"/>
      <c r="U92" s="51"/>
      <c r="V92" s="211"/>
      <c r="W92" s="51"/>
      <c r="X92" s="211"/>
      <c r="Y92" s="1"/>
      <c r="Z92" s="1"/>
      <c r="AA92" s="1"/>
      <c r="AB92" s="1"/>
      <c r="AC92" s="19"/>
      <c r="AD92" s="51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195"/>
      <c r="B93" s="195"/>
      <c r="C93" s="195"/>
      <c r="D93" s="214"/>
      <c r="E93" s="194"/>
      <c r="F93" s="215"/>
      <c r="G93" s="215"/>
      <c r="H93" s="195"/>
      <c r="I93" s="195"/>
      <c r="J93" s="195"/>
      <c r="K93" s="213"/>
      <c r="L93" s="194"/>
      <c r="M93" s="195"/>
      <c r="N93" s="200">
        <f t="shared" si="5"/>
        <v>0</v>
      </c>
      <c r="O93" s="194">
        <f t="shared" si="2"/>
        <v>0</v>
      </c>
      <c r="P93" s="208">
        <f t="shared" si="3"/>
        <v>0</v>
      </c>
      <c r="Q93" s="209">
        <f t="shared" si="4"/>
        <v>0.01</v>
      </c>
      <c r="R93" s="210"/>
      <c r="S93" s="210"/>
      <c r="T93" s="1"/>
      <c r="U93" s="51"/>
      <c r="V93" s="211"/>
      <c r="W93" s="51"/>
      <c r="X93" s="211"/>
      <c r="Y93" s="1"/>
      <c r="Z93" s="1"/>
      <c r="AA93" s="217"/>
      <c r="AB93" s="217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95"/>
      <c r="B94" s="195"/>
      <c r="C94" s="195"/>
      <c r="D94" s="214"/>
      <c r="E94" s="194"/>
      <c r="F94" s="215"/>
      <c r="G94" s="215"/>
      <c r="H94" s="195"/>
      <c r="I94" s="195"/>
      <c r="J94" s="195"/>
      <c r="K94" s="213"/>
      <c r="L94" s="194"/>
      <c r="M94" s="195"/>
      <c r="N94" s="200">
        <f t="shared" si="5"/>
        <v>0</v>
      </c>
      <c r="O94" s="194">
        <f t="shared" si="2"/>
        <v>0</v>
      </c>
      <c r="P94" s="208">
        <f t="shared" si="3"/>
        <v>0</v>
      </c>
      <c r="Q94" s="209">
        <f t="shared" si="4"/>
        <v>0</v>
      </c>
      <c r="R94" s="210"/>
      <c r="S94" s="210"/>
      <c r="T94" s="1"/>
      <c r="U94" s="51"/>
      <c r="V94" s="211"/>
      <c r="W94" s="51"/>
      <c r="X94" s="21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95"/>
      <c r="B95" s="195"/>
      <c r="C95" s="195"/>
      <c r="D95" s="214"/>
      <c r="E95" s="194"/>
      <c r="F95" s="215"/>
      <c r="G95" s="195"/>
      <c r="H95" s="195"/>
      <c r="I95" s="195"/>
      <c r="J95" s="195"/>
      <c r="K95" s="213"/>
      <c r="L95" s="194"/>
      <c r="M95" s="195"/>
      <c r="N95" s="200">
        <f t="shared" si="5"/>
        <v>0</v>
      </c>
      <c r="O95" s="194">
        <f t="shared" si="2"/>
        <v>0</v>
      </c>
      <c r="P95" s="208">
        <f t="shared" si="3"/>
        <v>0</v>
      </c>
      <c r="Q95" s="209">
        <f t="shared" si="4"/>
        <v>0</v>
      </c>
      <c r="R95" s="210"/>
      <c r="S95" s="210"/>
      <c r="T95" s="1"/>
      <c r="U95" s="51"/>
      <c r="V95" s="211"/>
      <c r="W95" s="51"/>
      <c r="X95" s="2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95"/>
      <c r="B96" s="195"/>
      <c r="C96" s="195"/>
      <c r="D96" s="195"/>
      <c r="E96" s="194"/>
      <c r="F96" s="195"/>
      <c r="G96" s="195"/>
      <c r="H96" s="195"/>
      <c r="I96" s="195"/>
      <c r="J96" s="195"/>
      <c r="K96" s="213"/>
      <c r="L96" s="194"/>
      <c r="M96" s="195"/>
      <c r="N96" s="200">
        <f t="shared" si="5"/>
        <v>0</v>
      </c>
      <c r="O96" s="194">
        <f t="shared" si="2"/>
        <v>0</v>
      </c>
      <c r="P96" s="208">
        <f t="shared" si="3"/>
        <v>0</v>
      </c>
      <c r="Q96" s="209">
        <f t="shared" si="4"/>
        <v>0</v>
      </c>
      <c r="R96" s="210"/>
      <c r="S96" s="210"/>
      <c r="T96" s="1"/>
      <c r="U96" s="51"/>
      <c r="V96" s="211"/>
      <c r="W96" s="51"/>
      <c r="X96" s="21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95"/>
      <c r="B97" s="195"/>
      <c r="C97" s="195"/>
      <c r="D97" s="214"/>
      <c r="E97" s="194"/>
      <c r="F97" s="195"/>
      <c r="G97" s="195"/>
      <c r="H97" s="195"/>
      <c r="I97" s="195"/>
      <c r="J97" s="195"/>
      <c r="K97" s="213"/>
      <c r="L97" s="194"/>
      <c r="M97" s="195"/>
      <c r="N97" s="200">
        <f t="shared" si="5"/>
        <v>0</v>
      </c>
      <c r="O97" s="194">
        <f t="shared" si="2"/>
        <v>0</v>
      </c>
      <c r="P97" s="208">
        <f t="shared" si="3"/>
        <v>0</v>
      </c>
      <c r="Q97" s="209">
        <f t="shared" si="4"/>
        <v>0</v>
      </c>
      <c r="R97" s="210"/>
      <c r="S97" s="210"/>
      <c r="T97" s="1"/>
      <c r="U97" s="51"/>
      <c r="V97" s="211"/>
      <c r="W97" s="51"/>
      <c r="X97" s="21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95"/>
      <c r="B98" s="195"/>
      <c r="C98" s="195"/>
      <c r="D98" s="195"/>
      <c r="E98" s="194"/>
      <c r="F98" s="195"/>
      <c r="G98" s="195"/>
      <c r="H98" s="195"/>
      <c r="I98" s="195"/>
      <c r="J98" s="195"/>
      <c r="K98" s="213"/>
      <c r="L98" s="194"/>
      <c r="M98" s="195"/>
      <c r="N98" s="200">
        <f t="shared" si="5"/>
        <v>0</v>
      </c>
      <c r="O98" s="194">
        <f t="shared" si="2"/>
        <v>0</v>
      </c>
      <c r="P98" s="208">
        <f t="shared" si="3"/>
        <v>0</v>
      </c>
      <c r="Q98" s="209">
        <f t="shared" si="4"/>
        <v>0</v>
      </c>
      <c r="R98" s="210"/>
      <c r="S98" s="210"/>
      <c r="T98" s="1"/>
      <c r="U98" s="51"/>
      <c r="V98" s="211"/>
      <c r="W98" s="51"/>
      <c r="X98" s="21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95"/>
      <c r="B99" s="195"/>
      <c r="C99" s="195"/>
      <c r="D99" s="195"/>
      <c r="E99" s="194"/>
      <c r="F99" s="195"/>
      <c r="G99" s="195"/>
      <c r="H99" s="195"/>
      <c r="I99" s="195"/>
      <c r="J99" s="195"/>
      <c r="K99" s="213"/>
      <c r="L99" s="194"/>
      <c r="M99" s="195"/>
      <c r="N99" s="200">
        <f t="shared" si="5"/>
        <v>0</v>
      </c>
      <c r="O99" s="194">
        <f t="shared" si="2"/>
        <v>0</v>
      </c>
      <c r="P99" s="208">
        <f t="shared" si="3"/>
        <v>0</v>
      </c>
      <c r="Q99" s="209">
        <f t="shared" si="4"/>
        <v>0</v>
      </c>
      <c r="R99" s="210"/>
      <c r="S99" s="210"/>
      <c r="T99" s="1"/>
      <c r="U99" s="51"/>
      <c r="V99" s="211"/>
      <c r="W99" s="51"/>
      <c r="X99" s="21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95"/>
      <c r="B100" s="195"/>
      <c r="C100" s="195"/>
      <c r="D100" s="214"/>
      <c r="E100" s="194"/>
      <c r="F100" s="215"/>
      <c r="G100" s="215"/>
      <c r="H100" s="195"/>
      <c r="I100" s="195"/>
      <c r="J100" s="195"/>
      <c r="K100" s="213"/>
      <c r="L100" s="194"/>
      <c r="M100" s="195"/>
      <c r="N100" s="200">
        <f t="shared" si="5"/>
        <v>0</v>
      </c>
      <c r="O100" s="194">
        <f t="shared" si="2"/>
        <v>0</v>
      </c>
      <c r="P100" s="208">
        <f t="shared" si="3"/>
        <v>0</v>
      </c>
      <c r="Q100" s="209">
        <f t="shared" si="4"/>
        <v>0</v>
      </c>
      <c r="R100" s="210"/>
      <c r="S100" s="210"/>
      <c r="T100" s="1"/>
      <c r="U100" s="51"/>
      <c r="V100" s="211"/>
      <c r="W100" s="51"/>
      <c r="X100" s="21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95"/>
      <c r="B101" s="195"/>
      <c r="C101" s="195"/>
      <c r="D101" s="214"/>
      <c r="E101" s="194"/>
      <c r="F101" s="216"/>
      <c r="G101" s="216"/>
      <c r="H101" s="199"/>
      <c r="I101" s="195"/>
      <c r="J101" s="195"/>
      <c r="K101" s="213"/>
      <c r="L101" s="194"/>
      <c r="M101" s="195"/>
      <c r="N101" s="200">
        <f t="shared" si="5"/>
        <v>0</v>
      </c>
      <c r="O101" s="194">
        <f t="shared" si="2"/>
        <v>0</v>
      </c>
      <c r="P101" s="208">
        <f t="shared" si="3"/>
        <v>0</v>
      </c>
      <c r="Q101" s="209">
        <f t="shared" si="4"/>
        <v>0</v>
      </c>
      <c r="R101" s="210"/>
      <c r="S101" s="210"/>
      <c r="T101" s="1"/>
      <c r="U101" s="51"/>
      <c r="V101" s="211"/>
      <c r="W101" s="51"/>
      <c r="X101" s="21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95"/>
      <c r="B102" s="195"/>
      <c r="C102" s="195"/>
      <c r="D102" s="214"/>
      <c r="E102" s="194"/>
      <c r="F102" s="215"/>
      <c r="G102" s="215"/>
      <c r="H102" s="195"/>
      <c r="I102" s="195"/>
      <c r="J102" s="195"/>
      <c r="K102" s="213"/>
      <c r="L102" s="194"/>
      <c r="M102" s="195"/>
      <c r="N102" s="200">
        <f t="shared" si="5"/>
        <v>0</v>
      </c>
      <c r="O102" s="194">
        <f t="shared" si="2"/>
        <v>0</v>
      </c>
      <c r="P102" s="208">
        <f t="shared" si="3"/>
        <v>0</v>
      </c>
      <c r="Q102" s="209">
        <f t="shared" si="4"/>
        <v>0</v>
      </c>
      <c r="R102" s="210"/>
      <c r="S102" s="210"/>
      <c r="T102" s="1"/>
      <c r="U102" s="51"/>
      <c r="V102" s="211"/>
      <c r="W102" s="51"/>
      <c r="X102" s="21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95"/>
      <c r="B103" s="195"/>
      <c r="C103" s="195"/>
      <c r="D103" s="195"/>
      <c r="E103" s="194"/>
      <c r="F103" s="195"/>
      <c r="G103" s="195"/>
      <c r="H103" s="195"/>
      <c r="I103" s="195"/>
      <c r="J103" s="195"/>
      <c r="K103" s="213"/>
      <c r="L103" s="194"/>
      <c r="M103" s="195"/>
      <c r="N103" s="200">
        <f t="shared" si="5"/>
        <v>0</v>
      </c>
      <c r="O103" s="194">
        <f t="shared" si="2"/>
        <v>0</v>
      </c>
      <c r="P103" s="208">
        <f t="shared" si="3"/>
        <v>0</v>
      </c>
      <c r="Q103" s="209">
        <f t="shared" si="4"/>
        <v>0</v>
      </c>
      <c r="R103" s="210"/>
      <c r="S103" s="210"/>
      <c r="T103" s="1"/>
      <c r="U103" s="51"/>
      <c r="V103" s="211"/>
      <c r="W103" s="51"/>
      <c r="X103" s="21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95"/>
      <c r="B104" s="195"/>
      <c r="C104" s="195"/>
      <c r="D104" s="214"/>
      <c r="E104" s="194"/>
      <c r="F104" s="215"/>
      <c r="G104" s="215"/>
      <c r="H104" s="195"/>
      <c r="I104" s="195"/>
      <c r="J104" s="195"/>
      <c r="K104" s="213"/>
      <c r="L104" s="194"/>
      <c r="M104" s="195"/>
      <c r="N104" s="200">
        <f t="shared" si="5"/>
        <v>0</v>
      </c>
      <c r="O104" s="194">
        <f t="shared" si="2"/>
        <v>0</v>
      </c>
      <c r="P104" s="208">
        <f t="shared" si="3"/>
        <v>0</v>
      </c>
      <c r="Q104" s="209">
        <f t="shared" si="4"/>
        <v>0</v>
      </c>
      <c r="R104" s="210"/>
      <c r="S104" s="210"/>
      <c r="T104" s="1"/>
      <c r="U104" s="51"/>
      <c r="V104" s="211"/>
      <c r="W104" s="51"/>
      <c r="X104" s="21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95"/>
      <c r="B105" s="195"/>
      <c r="C105" s="195"/>
      <c r="D105" s="195"/>
      <c r="E105" s="194"/>
      <c r="F105" s="195"/>
      <c r="G105" s="195"/>
      <c r="H105" s="195"/>
      <c r="I105" s="195"/>
      <c r="J105" s="195"/>
      <c r="K105" s="213"/>
      <c r="L105" s="194"/>
      <c r="M105" s="195"/>
      <c r="N105" s="200">
        <f t="shared" si="5"/>
        <v>0</v>
      </c>
      <c r="O105" s="194">
        <f t="shared" si="2"/>
        <v>0</v>
      </c>
      <c r="P105" s="208">
        <f t="shared" si="3"/>
        <v>0</v>
      </c>
      <c r="Q105" s="209">
        <f t="shared" si="4"/>
        <v>0</v>
      </c>
      <c r="R105" s="210"/>
      <c r="S105" s="210"/>
      <c r="T105" s="1"/>
      <c r="U105" s="51"/>
      <c r="V105" s="211"/>
      <c r="W105" s="51"/>
      <c r="X105" s="21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95"/>
      <c r="B106" s="195"/>
      <c r="C106" s="195"/>
      <c r="D106" s="195"/>
      <c r="E106" s="194"/>
      <c r="F106" s="195"/>
      <c r="G106" s="195"/>
      <c r="H106" s="195"/>
      <c r="I106" s="195"/>
      <c r="J106" s="195"/>
      <c r="K106" s="213"/>
      <c r="L106" s="194"/>
      <c r="M106" s="195"/>
      <c r="N106" s="200">
        <f t="shared" si="5"/>
        <v>0</v>
      </c>
      <c r="O106" s="194">
        <f t="shared" si="2"/>
        <v>0</v>
      </c>
      <c r="P106" s="208">
        <f t="shared" si="3"/>
        <v>0</v>
      </c>
      <c r="Q106" s="209">
        <f t="shared" si="4"/>
        <v>0</v>
      </c>
      <c r="R106" s="210"/>
      <c r="S106" s="210"/>
      <c r="T106" s="1"/>
      <c r="U106" s="51"/>
      <c r="V106" s="211"/>
      <c r="W106" s="51"/>
      <c r="X106" s="21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95"/>
      <c r="B107" s="195"/>
      <c r="C107" s="195"/>
      <c r="D107" s="195"/>
      <c r="E107" s="194"/>
      <c r="F107" s="195"/>
      <c r="G107" s="195"/>
      <c r="H107" s="195"/>
      <c r="I107" s="195"/>
      <c r="J107" s="195"/>
      <c r="K107" s="213"/>
      <c r="L107" s="194"/>
      <c r="M107" s="195"/>
      <c r="N107" s="200">
        <f t="shared" si="5"/>
        <v>0</v>
      </c>
      <c r="O107" s="194">
        <f t="shared" si="2"/>
        <v>0</v>
      </c>
      <c r="P107" s="208">
        <f t="shared" si="3"/>
        <v>0</v>
      </c>
      <c r="Q107" s="209">
        <f t="shared" si="4"/>
        <v>0</v>
      </c>
      <c r="R107" s="210"/>
      <c r="S107" s="210"/>
      <c r="T107" s="1"/>
      <c r="U107" s="51"/>
      <c r="V107" s="211"/>
      <c r="W107" s="51"/>
      <c r="X107" s="21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95"/>
      <c r="B108" s="195"/>
      <c r="C108" s="195"/>
      <c r="D108" s="195"/>
      <c r="E108" s="194"/>
      <c r="F108" s="195"/>
      <c r="G108" s="195"/>
      <c r="H108" s="195"/>
      <c r="I108" s="195"/>
      <c r="J108" s="195"/>
      <c r="K108" s="213"/>
      <c r="L108" s="194"/>
      <c r="M108" s="195"/>
      <c r="N108" s="200">
        <f t="shared" si="5"/>
        <v>0</v>
      </c>
      <c r="O108" s="194">
        <f t="shared" si="2"/>
        <v>0</v>
      </c>
      <c r="P108" s="208">
        <f t="shared" si="3"/>
        <v>0</v>
      </c>
      <c r="Q108" s="209">
        <f t="shared" si="4"/>
        <v>0</v>
      </c>
      <c r="R108" s="210"/>
      <c r="S108" s="210"/>
      <c r="T108" s="1"/>
      <c r="U108" s="51"/>
      <c r="V108" s="211"/>
      <c r="W108" s="51"/>
      <c r="X108" s="21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95"/>
      <c r="B109" s="195"/>
      <c r="C109" s="195"/>
      <c r="D109" s="195"/>
      <c r="E109" s="194"/>
      <c r="F109" s="195"/>
      <c r="G109" s="195"/>
      <c r="H109" s="195"/>
      <c r="I109" s="195"/>
      <c r="J109" s="195"/>
      <c r="K109" s="213"/>
      <c r="L109" s="194"/>
      <c r="M109" s="195"/>
      <c r="N109" s="200">
        <f t="shared" si="5"/>
        <v>0</v>
      </c>
      <c r="O109" s="194">
        <f t="shared" si="2"/>
        <v>0</v>
      </c>
      <c r="P109" s="208">
        <f t="shared" si="3"/>
        <v>0</v>
      </c>
      <c r="Q109" s="209">
        <f t="shared" si="4"/>
        <v>0</v>
      </c>
      <c r="R109" s="210"/>
      <c r="S109" s="210"/>
      <c r="T109" s="1"/>
      <c r="U109" s="51"/>
      <c r="V109" s="211"/>
      <c r="W109" s="51"/>
      <c r="X109" s="21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95"/>
      <c r="B110" s="195"/>
      <c r="C110" s="195"/>
      <c r="D110" s="195"/>
      <c r="E110" s="194"/>
      <c r="F110" s="195"/>
      <c r="G110" s="195"/>
      <c r="H110" s="195"/>
      <c r="I110" s="195"/>
      <c r="J110" s="195"/>
      <c r="K110" s="213"/>
      <c r="L110" s="194"/>
      <c r="M110" s="195"/>
      <c r="N110" s="200">
        <f t="shared" si="5"/>
        <v>0</v>
      </c>
      <c r="O110" s="194">
        <f t="shared" si="2"/>
        <v>0</v>
      </c>
      <c r="P110" s="208">
        <f t="shared" si="3"/>
        <v>0</v>
      </c>
      <c r="Q110" s="209">
        <f t="shared" si="4"/>
        <v>0</v>
      </c>
      <c r="R110" s="210"/>
      <c r="S110" s="210"/>
      <c r="T110" s="1"/>
      <c r="U110" s="51"/>
      <c r="V110" s="211"/>
      <c r="W110" s="51"/>
      <c r="X110" s="21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95"/>
      <c r="B111" s="195"/>
      <c r="C111" s="195"/>
      <c r="D111" s="214"/>
      <c r="E111" s="194"/>
      <c r="F111" s="216"/>
      <c r="G111" s="216"/>
      <c r="H111" s="199"/>
      <c r="I111" s="195"/>
      <c r="J111" s="195"/>
      <c r="K111" s="213"/>
      <c r="L111" s="194"/>
      <c r="M111" s="195"/>
      <c r="N111" s="200">
        <f t="shared" si="5"/>
        <v>0</v>
      </c>
      <c r="O111" s="194">
        <f t="shared" si="2"/>
        <v>0</v>
      </c>
      <c r="P111" s="208">
        <f t="shared" si="3"/>
        <v>0</v>
      </c>
      <c r="Q111" s="209">
        <f t="shared" si="4"/>
        <v>0</v>
      </c>
      <c r="R111" s="210"/>
      <c r="S111" s="210"/>
      <c r="T111" s="1"/>
      <c r="U111" s="51"/>
      <c r="V111" s="211"/>
      <c r="W111" s="51"/>
      <c r="X111" s="21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95"/>
      <c r="B112" s="195"/>
      <c r="C112" s="195"/>
      <c r="D112" s="195"/>
      <c r="E112" s="194"/>
      <c r="F112" s="195"/>
      <c r="G112" s="195"/>
      <c r="H112" s="195"/>
      <c r="I112" s="195"/>
      <c r="J112" s="195"/>
      <c r="K112" s="213"/>
      <c r="L112" s="194"/>
      <c r="M112" s="195"/>
      <c r="N112" s="200">
        <f t="shared" si="5"/>
        <v>0</v>
      </c>
      <c r="O112" s="194">
        <f t="shared" si="2"/>
        <v>0</v>
      </c>
      <c r="P112" s="208">
        <f t="shared" si="3"/>
        <v>0</v>
      </c>
      <c r="Q112" s="209">
        <f t="shared" si="4"/>
        <v>0</v>
      </c>
      <c r="R112" s="210"/>
      <c r="S112" s="210"/>
      <c r="T112" s="1"/>
      <c r="U112" s="51"/>
      <c r="V112" s="211"/>
      <c r="W112" s="51"/>
      <c r="X112" s="21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95"/>
      <c r="B113" s="195"/>
      <c r="C113" s="195"/>
      <c r="D113" s="195"/>
      <c r="E113" s="194"/>
      <c r="F113" s="195"/>
      <c r="G113" s="195"/>
      <c r="H113" s="195"/>
      <c r="I113" s="195"/>
      <c r="J113" s="195"/>
      <c r="K113" s="213"/>
      <c r="L113" s="194"/>
      <c r="M113" s="195"/>
      <c r="N113" s="200">
        <f t="shared" si="5"/>
        <v>0</v>
      </c>
      <c r="O113" s="194">
        <f t="shared" si="2"/>
        <v>0</v>
      </c>
      <c r="P113" s="208">
        <f t="shared" si="3"/>
        <v>0</v>
      </c>
      <c r="Q113" s="209">
        <f t="shared" si="4"/>
        <v>0</v>
      </c>
      <c r="R113" s="210"/>
      <c r="S113" s="210"/>
      <c r="T113" s="1"/>
      <c r="U113" s="51"/>
      <c r="V113" s="211"/>
      <c r="W113" s="51"/>
      <c r="X113" s="21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95"/>
      <c r="B114" s="195"/>
      <c r="C114" s="195"/>
      <c r="D114" s="214"/>
      <c r="E114" s="194"/>
      <c r="F114" s="216"/>
      <c r="G114" s="216"/>
      <c r="H114" s="199"/>
      <c r="I114" s="195"/>
      <c r="J114" s="195"/>
      <c r="K114" s="213"/>
      <c r="L114" s="194"/>
      <c r="M114" s="195"/>
      <c r="N114" s="200">
        <f t="shared" si="5"/>
        <v>0</v>
      </c>
      <c r="O114" s="194">
        <f t="shared" si="2"/>
        <v>0</v>
      </c>
      <c r="P114" s="208">
        <f t="shared" si="3"/>
        <v>0</v>
      </c>
      <c r="Q114" s="209">
        <f t="shared" si="4"/>
        <v>0</v>
      </c>
      <c r="R114" s="210"/>
      <c r="S114" s="210"/>
      <c r="T114" s="1"/>
      <c r="U114" s="51"/>
      <c r="V114" s="211"/>
      <c r="W114" s="51"/>
      <c r="X114" s="21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95"/>
      <c r="B115" s="195"/>
      <c r="C115" s="195"/>
      <c r="D115" s="195"/>
      <c r="E115" s="194"/>
      <c r="F115" s="195"/>
      <c r="G115" s="195"/>
      <c r="H115" s="195"/>
      <c r="I115" s="195"/>
      <c r="J115" s="195"/>
      <c r="K115" s="214"/>
      <c r="L115" s="199"/>
      <c r="M115" s="195"/>
      <c r="N115" s="200">
        <f t="shared" si="5"/>
        <v>0</v>
      </c>
      <c r="O115" s="194">
        <f t="shared" si="2"/>
        <v>0</v>
      </c>
      <c r="P115" s="208">
        <f t="shared" si="3"/>
        <v>0</v>
      </c>
      <c r="Q115" s="209">
        <f t="shared" si="4"/>
        <v>0</v>
      </c>
      <c r="R115" s="210"/>
      <c r="S115" s="210"/>
      <c r="T115" s="1"/>
      <c r="U115" s="51"/>
      <c r="V115" s="211"/>
      <c r="W115" s="51"/>
      <c r="X115" s="21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95"/>
      <c r="B116" s="195"/>
      <c r="C116" s="195"/>
      <c r="D116" s="214"/>
      <c r="E116" s="194"/>
      <c r="F116" s="216"/>
      <c r="G116" s="216"/>
      <c r="H116" s="199"/>
      <c r="I116" s="195"/>
      <c r="J116" s="195"/>
      <c r="K116" s="214"/>
      <c r="L116" s="199"/>
      <c r="M116" s="195"/>
      <c r="N116" s="200">
        <f t="shared" si="5"/>
        <v>0</v>
      </c>
      <c r="O116" s="194">
        <f t="shared" si="2"/>
        <v>0</v>
      </c>
      <c r="P116" s="208">
        <f t="shared" si="3"/>
        <v>0</v>
      </c>
      <c r="Q116" s="209">
        <f t="shared" si="4"/>
        <v>0</v>
      </c>
      <c r="R116" s="210"/>
      <c r="S116" s="210"/>
      <c r="T116" s="1"/>
      <c r="U116" s="51"/>
      <c r="V116" s="211"/>
      <c r="W116" s="51"/>
      <c r="X116" s="21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95"/>
      <c r="B117" s="195"/>
      <c r="C117" s="195"/>
      <c r="D117" s="214"/>
      <c r="E117" s="194"/>
      <c r="F117" s="215"/>
      <c r="G117" s="215"/>
      <c r="H117" s="195"/>
      <c r="I117" s="195"/>
      <c r="J117" s="195"/>
      <c r="K117" s="214"/>
      <c r="L117" s="199"/>
      <c r="M117" s="195"/>
      <c r="N117" s="200">
        <f t="shared" si="5"/>
        <v>0</v>
      </c>
      <c r="O117" s="194">
        <f t="shared" si="2"/>
        <v>0</v>
      </c>
      <c r="P117" s="208">
        <f t="shared" si="3"/>
        <v>0</v>
      </c>
      <c r="Q117" s="209">
        <f t="shared" si="4"/>
        <v>0</v>
      </c>
      <c r="R117" s="210"/>
      <c r="S117" s="210"/>
      <c r="T117" s="1"/>
      <c r="U117" s="51"/>
      <c r="V117" s="211"/>
      <c r="W117" s="51"/>
      <c r="X117" s="21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95"/>
      <c r="B118" s="195"/>
      <c r="C118" s="195"/>
      <c r="D118" s="195"/>
      <c r="E118" s="194"/>
      <c r="F118" s="195"/>
      <c r="G118" s="195"/>
      <c r="H118" s="195"/>
      <c r="I118" s="195"/>
      <c r="J118" s="195"/>
      <c r="K118" s="214"/>
      <c r="L118" s="199"/>
      <c r="M118" s="195"/>
      <c r="N118" s="200">
        <f t="shared" si="5"/>
        <v>0</v>
      </c>
      <c r="O118" s="194">
        <f t="shared" si="2"/>
        <v>0</v>
      </c>
      <c r="P118" s="208">
        <f t="shared" si="3"/>
        <v>0</v>
      </c>
      <c r="Q118" s="209">
        <f t="shared" si="4"/>
        <v>0</v>
      </c>
      <c r="R118" s="210"/>
      <c r="S118" s="210"/>
      <c r="T118" s="1"/>
      <c r="U118" s="51"/>
      <c r="V118" s="211"/>
      <c r="W118" s="51"/>
      <c r="X118" s="21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95"/>
      <c r="B119" s="195"/>
      <c r="C119" s="195"/>
      <c r="D119" s="195"/>
      <c r="E119" s="194"/>
      <c r="F119" s="195"/>
      <c r="G119" s="195"/>
      <c r="H119" s="195"/>
      <c r="I119" s="195"/>
      <c r="J119" s="195"/>
      <c r="K119" s="214"/>
      <c r="L119" s="199"/>
      <c r="M119" s="195"/>
      <c r="N119" s="200">
        <f t="shared" si="5"/>
        <v>0</v>
      </c>
      <c r="O119" s="194">
        <f t="shared" si="2"/>
        <v>0</v>
      </c>
      <c r="P119" s="208">
        <f t="shared" si="3"/>
        <v>0</v>
      </c>
      <c r="Q119" s="209">
        <f t="shared" si="4"/>
        <v>0</v>
      </c>
      <c r="R119" s="210"/>
      <c r="S119" s="210"/>
      <c r="T119" s="1"/>
      <c r="U119" s="51"/>
      <c r="V119" s="211"/>
      <c r="W119" s="51"/>
      <c r="X119" s="21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95"/>
      <c r="B120" s="195"/>
      <c r="C120" s="195"/>
      <c r="D120" s="195"/>
      <c r="E120" s="194"/>
      <c r="F120" s="195"/>
      <c r="G120" s="195"/>
      <c r="H120" s="195"/>
      <c r="I120" s="195"/>
      <c r="J120" s="195"/>
      <c r="K120" s="214"/>
      <c r="L120" s="199"/>
      <c r="M120" s="195"/>
      <c r="N120" s="200">
        <f t="shared" si="5"/>
        <v>0</v>
      </c>
      <c r="O120" s="194">
        <f t="shared" si="2"/>
        <v>0</v>
      </c>
      <c r="P120" s="208">
        <f t="shared" si="3"/>
        <v>0</v>
      </c>
      <c r="Q120" s="209">
        <f t="shared" si="4"/>
        <v>0</v>
      </c>
      <c r="R120" s="210"/>
      <c r="S120" s="210"/>
      <c r="T120" s="1"/>
      <c r="U120" s="51"/>
      <c r="V120" s="211"/>
      <c r="W120" s="51"/>
      <c r="X120" s="21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95"/>
      <c r="B121" s="195"/>
      <c r="C121" s="195"/>
      <c r="D121" s="214"/>
      <c r="E121" s="194"/>
      <c r="F121" s="215"/>
      <c r="G121" s="215"/>
      <c r="H121" s="195"/>
      <c r="I121" s="195"/>
      <c r="J121" s="195"/>
      <c r="K121" s="214"/>
      <c r="L121" s="199"/>
      <c r="M121" s="195"/>
      <c r="N121" s="200">
        <f t="shared" si="5"/>
        <v>0</v>
      </c>
      <c r="O121" s="194">
        <f t="shared" si="2"/>
        <v>0</v>
      </c>
      <c r="P121" s="208">
        <f t="shared" si="3"/>
        <v>0</v>
      </c>
      <c r="Q121" s="209">
        <f t="shared" si="4"/>
        <v>0</v>
      </c>
      <c r="R121" s="210"/>
      <c r="S121" s="210"/>
      <c r="T121" s="1"/>
      <c r="U121" s="51"/>
      <c r="V121" s="211"/>
      <c r="W121" s="51"/>
      <c r="X121" s="21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95"/>
      <c r="B122" s="195"/>
      <c r="C122" s="195"/>
      <c r="D122" s="195"/>
      <c r="E122" s="194"/>
      <c r="F122" s="195"/>
      <c r="G122" s="195"/>
      <c r="H122" s="195"/>
      <c r="I122" s="195"/>
      <c r="J122" s="195"/>
      <c r="K122" s="214"/>
      <c r="L122" s="199"/>
      <c r="M122" s="195"/>
      <c r="N122" s="200">
        <f t="shared" si="5"/>
        <v>0</v>
      </c>
      <c r="O122" s="194">
        <f t="shared" si="2"/>
        <v>0</v>
      </c>
      <c r="P122" s="208">
        <f t="shared" si="3"/>
        <v>0</v>
      </c>
      <c r="Q122" s="209">
        <f t="shared" si="4"/>
        <v>0</v>
      </c>
      <c r="R122" s="210"/>
      <c r="S122" s="210"/>
      <c r="T122" s="1"/>
      <c r="U122" s="51"/>
      <c r="V122" s="211"/>
      <c r="W122" s="51"/>
      <c r="X122" s="21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95"/>
      <c r="B123" s="195"/>
      <c r="C123" s="195"/>
      <c r="D123" s="214"/>
      <c r="E123" s="194"/>
      <c r="F123" s="215"/>
      <c r="G123" s="214"/>
      <c r="H123" s="195"/>
      <c r="I123" s="195"/>
      <c r="J123" s="195"/>
      <c r="K123" s="214"/>
      <c r="L123" s="199"/>
      <c r="M123" s="195"/>
      <c r="N123" s="200">
        <f t="shared" si="5"/>
        <v>0</v>
      </c>
      <c r="O123" s="194">
        <f t="shared" si="2"/>
        <v>0</v>
      </c>
      <c r="P123" s="208">
        <f t="shared" si="3"/>
        <v>0</v>
      </c>
      <c r="Q123" s="209">
        <f t="shared" si="4"/>
        <v>0</v>
      </c>
      <c r="R123" s="210"/>
      <c r="S123" s="210"/>
      <c r="T123" s="1"/>
      <c r="U123" s="51"/>
      <c r="V123" s="211"/>
      <c r="W123" s="51"/>
      <c r="X123" s="21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95"/>
      <c r="B124" s="195"/>
      <c r="C124" s="195"/>
      <c r="D124" s="195"/>
      <c r="E124" s="194"/>
      <c r="F124" s="195"/>
      <c r="G124" s="195"/>
      <c r="H124" s="195"/>
      <c r="I124" s="195"/>
      <c r="J124" s="195"/>
      <c r="K124" s="214"/>
      <c r="L124" s="199"/>
      <c r="M124" s="195"/>
      <c r="N124" s="200">
        <f t="shared" si="5"/>
        <v>0</v>
      </c>
      <c r="O124" s="194">
        <f t="shared" si="2"/>
        <v>0</v>
      </c>
      <c r="P124" s="208">
        <f t="shared" si="3"/>
        <v>0</v>
      </c>
      <c r="Q124" s="209">
        <f t="shared" si="4"/>
        <v>0</v>
      </c>
      <c r="R124" s="210"/>
      <c r="S124" s="210"/>
      <c r="T124" s="1"/>
      <c r="U124" s="51"/>
      <c r="V124" s="211"/>
      <c r="W124" s="51"/>
      <c r="X124" s="21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95"/>
      <c r="B125" s="195"/>
      <c r="C125" s="195"/>
      <c r="D125" s="214"/>
      <c r="E125" s="194"/>
      <c r="F125" s="215"/>
      <c r="G125" s="195"/>
      <c r="H125" s="195"/>
      <c r="I125" s="195"/>
      <c r="J125" s="195"/>
      <c r="K125" s="214"/>
      <c r="L125" s="199"/>
      <c r="M125" s="195"/>
      <c r="N125" s="200">
        <f t="shared" si="5"/>
        <v>0</v>
      </c>
      <c r="O125" s="194">
        <f t="shared" si="2"/>
        <v>0</v>
      </c>
      <c r="P125" s="208">
        <f t="shared" si="3"/>
        <v>0</v>
      </c>
      <c r="Q125" s="209">
        <f t="shared" si="4"/>
        <v>0</v>
      </c>
      <c r="R125" s="210"/>
      <c r="S125" s="210"/>
      <c r="T125" s="1"/>
      <c r="U125" s="51"/>
      <c r="V125" s="211"/>
      <c r="W125" s="51"/>
      <c r="X125" s="21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95"/>
      <c r="B126" s="195"/>
      <c r="C126" s="195"/>
      <c r="D126" s="195"/>
      <c r="E126" s="194"/>
      <c r="F126" s="195"/>
      <c r="G126" s="195"/>
      <c r="H126" s="195"/>
      <c r="I126" s="195"/>
      <c r="J126" s="195"/>
      <c r="K126" s="214"/>
      <c r="L126" s="199"/>
      <c r="M126" s="195"/>
      <c r="N126" s="200">
        <f t="shared" si="5"/>
        <v>0</v>
      </c>
      <c r="O126" s="194">
        <f t="shared" si="2"/>
        <v>0</v>
      </c>
      <c r="P126" s="208">
        <f t="shared" si="3"/>
        <v>0</v>
      </c>
      <c r="Q126" s="209">
        <f t="shared" si="4"/>
        <v>0</v>
      </c>
      <c r="R126" s="210"/>
      <c r="S126" s="210"/>
      <c r="T126" s="1"/>
      <c r="U126" s="51"/>
      <c r="V126" s="211"/>
      <c r="W126" s="51"/>
      <c r="X126" s="21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95"/>
      <c r="B127" s="195"/>
      <c r="C127" s="195"/>
      <c r="D127" s="195"/>
      <c r="E127" s="194"/>
      <c r="F127" s="195"/>
      <c r="G127" s="195"/>
      <c r="H127" s="195"/>
      <c r="I127" s="195"/>
      <c r="J127" s="195"/>
      <c r="K127" s="195"/>
      <c r="L127" s="195"/>
      <c r="M127" s="195"/>
      <c r="N127" s="200"/>
      <c r="O127" s="194"/>
      <c r="P127" s="194"/>
      <c r="Q127" s="200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95"/>
      <c r="B128" s="195"/>
      <c r="C128" s="195"/>
      <c r="D128" s="195"/>
      <c r="E128" s="194"/>
      <c r="F128" s="195"/>
      <c r="G128" s="195"/>
      <c r="H128" s="195"/>
      <c r="I128" s="195"/>
      <c r="J128" s="195"/>
      <c r="K128" s="195"/>
      <c r="L128" s="195"/>
      <c r="M128" s="195"/>
      <c r="N128" s="200"/>
      <c r="O128" s="194"/>
      <c r="P128" s="194"/>
      <c r="Q128" s="200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95"/>
      <c r="B129" s="195"/>
      <c r="C129" s="195"/>
      <c r="D129" s="195"/>
      <c r="E129" s="194"/>
      <c r="F129" s="195"/>
      <c r="G129" s="195"/>
      <c r="H129" s="195"/>
      <c r="I129" s="195"/>
      <c r="J129" s="195"/>
      <c r="K129" s="565"/>
      <c r="L129" s="559"/>
      <c r="M129" s="195"/>
      <c r="N129" s="202"/>
      <c r="O129" s="218"/>
      <c r="P129" s="194"/>
      <c r="Q129" s="200"/>
      <c r="R129" s="219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95"/>
      <c r="B130" s="195"/>
      <c r="C130" s="195"/>
      <c r="D130" s="195"/>
      <c r="E130" s="194"/>
      <c r="F130" s="195"/>
      <c r="G130" s="195"/>
      <c r="H130" s="195"/>
      <c r="I130" s="195"/>
      <c r="J130" s="195"/>
      <c r="K130" s="220"/>
      <c r="L130" s="220"/>
      <c r="M130" s="195"/>
      <c r="N130" s="202"/>
      <c r="O130" s="218"/>
      <c r="P130" s="194"/>
      <c r="Q130" s="200"/>
      <c r="R130" s="219"/>
      <c r="S130" s="219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95"/>
      <c r="B131" s="195"/>
      <c r="C131" s="195"/>
      <c r="D131" s="195"/>
      <c r="E131" s="194"/>
      <c r="F131" s="195"/>
      <c r="G131" s="195"/>
      <c r="H131" s="195"/>
      <c r="I131" s="195"/>
      <c r="J131" s="195"/>
      <c r="K131" s="195"/>
      <c r="L131" s="195"/>
      <c r="M131" s="195"/>
      <c r="N131" s="213"/>
      <c r="O131" s="194"/>
      <c r="P131" s="194"/>
      <c r="Q131" s="20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95"/>
      <c r="B132" s="195"/>
      <c r="C132" s="195"/>
      <c r="D132" s="195"/>
      <c r="E132" s="194"/>
      <c r="F132" s="195"/>
      <c r="G132" s="195"/>
      <c r="H132" s="195"/>
      <c r="I132" s="195"/>
      <c r="J132" s="195"/>
      <c r="K132" s="195"/>
      <c r="L132" s="195"/>
      <c r="M132" s="195"/>
      <c r="N132" s="213"/>
      <c r="O132" s="194"/>
      <c r="P132" s="200"/>
      <c r="Q132" s="200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95"/>
      <c r="B133" s="195"/>
      <c r="C133" s="195"/>
      <c r="D133" s="195"/>
      <c r="E133" s="194"/>
      <c r="F133" s="195"/>
      <c r="G133" s="195"/>
      <c r="H133" s="195"/>
      <c r="I133" s="195"/>
      <c r="J133" s="195"/>
      <c r="K133" s="195"/>
      <c r="L133" s="195"/>
      <c r="M133" s="195"/>
      <c r="N133" s="213"/>
      <c r="O133" s="194"/>
      <c r="P133" s="200"/>
      <c r="Q133" s="200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200"/>
      <c r="B134" s="200"/>
      <c r="C134" s="200"/>
      <c r="D134" s="200"/>
      <c r="E134" s="194"/>
      <c r="F134" s="200"/>
      <c r="G134" s="200"/>
      <c r="H134" s="200"/>
      <c r="I134" s="200"/>
      <c r="J134" s="200"/>
      <c r="K134" s="200"/>
      <c r="L134" s="200"/>
      <c r="M134" s="200"/>
      <c r="N134" s="213"/>
      <c r="O134" s="194"/>
      <c r="P134" s="200"/>
      <c r="Q134" s="20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200"/>
      <c r="B135" s="200"/>
      <c r="C135" s="200"/>
      <c r="D135" s="200"/>
      <c r="E135" s="194"/>
      <c r="F135" s="200"/>
      <c r="G135" s="200"/>
      <c r="H135" s="200"/>
      <c r="I135" s="200"/>
      <c r="J135" s="200"/>
      <c r="K135" s="200"/>
      <c r="L135" s="200"/>
      <c r="M135" s="200"/>
      <c r="N135" s="213"/>
      <c r="O135" s="194"/>
      <c r="P135" s="200"/>
      <c r="Q135" s="200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200"/>
      <c r="B136" s="200"/>
      <c r="C136" s="200"/>
      <c r="D136" s="200"/>
      <c r="E136" s="194"/>
      <c r="F136" s="200"/>
      <c r="G136" s="200"/>
      <c r="H136" s="200"/>
      <c r="I136" s="200"/>
      <c r="J136" s="200"/>
      <c r="K136" s="200"/>
      <c r="L136" s="200"/>
      <c r="M136" s="200"/>
      <c r="N136" s="213"/>
      <c r="O136" s="194"/>
      <c r="P136" s="200"/>
      <c r="Q136" s="200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200"/>
      <c r="B137" s="200"/>
      <c r="C137" s="200"/>
      <c r="D137" s="200"/>
      <c r="E137" s="194"/>
      <c r="F137" s="200"/>
      <c r="G137" s="200"/>
      <c r="H137" s="200"/>
      <c r="I137" s="200"/>
      <c r="J137" s="200"/>
      <c r="K137" s="200"/>
      <c r="L137" s="200"/>
      <c r="M137" s="200"/>
      <c r="N137" s="213"/>
      <c r="O137" s="194"/>
      <c r="P137" s="200"/>
      <c r="Q137" s="200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200"/>
      <c r="B138" s="200"/>
      <c r="C138" s="200"/>
      <c r="D138" s="200"/>
      <c r="E138" s="194"/>
      <c r="F138" s="200"/>
      <c r="G138" s="200"/>
      <c r="H138" s="200"/>
      <c r="I138" s="200"/>
      <c r="J138" s="200"/>
      <c r="K138" s="200"/>
      <c r="L138" s="200"/>
      <c r="M138" s="200"/>
      <c r="N138" s="213"/>
      <c r="O138" s="194"/>
      <c r="P138" s="200"/>
      <c r="Q138" s="200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200"/>
      <c r="B139" s="200"/>
      <c r="C139" s="200"/>
      <c r="D139" s="200"/>
      <c r="E139" s="194"/>
      <c r="F139" s="200"/>
      <c r="G139" s="200"/>
      <c r="H139" s="200"/>
      <c r="I139" s="200"/>
      <c r="J139" s="200"/>
      <c r="K139" s="200"/>
      <c r="L139" s="200"/>
      <c r="M139" s="200"/>
      <c r="N139" s="213"/>
      <c r="O139" s="194"/>
      <c r="P139" s="200"/>
      <c r="Q139" s="20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200"/>
      <c r="B140" s="200"/>
      <c r="C140" s="200"/>
      <c r="D140" s="200"/>
      <c r="E140" s="194"/>
      <c r="F140" s="200"/>
      <c r="G140" s="200"/>
      <c r="H140" s="200"/>
      <c r="I140" s="200"/>
      <c r="J140" s="200"/>
      <c r="K140" s="200"/>
      <c r="L140" s="200"/>
      <c r="M140" s="200"/>
      <c r="N140" s="213"/>
      <c r="O140" s="194"/>
      <c r="P140" s="200"/>
      <c r="Q140" s="200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200"/>
      <c r="B141" s="200"/>
      <c r="C141" s="200"/>
      <c r="D141" s="200"/>
      <c r="E141" s="194"/>
      <c r="F141" s="200"/>
      <c r="G141" s="200"/>
      <c r="H141" s="200"/>
      <c r="I141" s="200"/>
      <c r="J141" s="200"/>
      <c r="K141" s="200"/>
      <c r="L141" s="200"/>
      <c r="M141" s="200"/>
      <c r="N141" s="213"/>
      <c r="O141" s="194"/>
      <c r="P141" s="200"/>
      <c r="Q141" s="200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200"/>
      <c r="B142" s="200"/>
      <c r="C142" s="200"/>
      <c r="D142" s="200"/>
      <c r="E142" s="194"/>
      <c r="F142" s="200"/>
      <c r="G142" s="200"/>
      <c r="H142" s="200"/>
      <c r="I142" s="200"/>
      <c r="J142" s="200"/>
      <c r="K142" s="200"/>
      <c r="L142" s="200"/>
      <c r="M142" s="200"/>
      <c r="N142" s="213"/>
      <c r="O142" s="194"/>
      <c r="P142" s="200"/>
      <c r="Q142" s="200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200"/>
      <c r="B143" s="200"/>
      <c r="C143" s="200"/>
      <c r="D143" s="200"/>
      <c r="E143" s="194"/>
      <c r="F143" s="200"/>
      <c r="G143" s="200"/>
      <c r="H143" s="200"/>
      <c r="I143" s="200"/>
      <c r="J143" s="200"/>
      <c r="K143" s="200"/>
      <c r="L143" s="200"/>
      <c r="M143" s="200"/>
      <c r="N143" s="213"/>
      <c r="O143" s="194"/>
      <c r="P143" s="200"/>
      <c r="Q143" s="200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200"/>
      <c r="B144" s="200"/>
      <c r="C144" s="200"/>
      <c r="D144" s="200"/>
      <c r="E144" s="194"/>
      <c r="F144" s="200"/>
      <c r="G144" s="200"/>
      <c r="H144" s="200"/>
      <c r="I144" s="200"/>
      <c r="J144" s="200"/>
      <c r="K144" s="200"/>
      <c r="L144" s="200"/>
      <c r="M144" s="200"/>
      <c r="N144" s="213"/>
      <c r="O144" s="194"/>
      <c r="P144" s="200"/>
      <c r="Q144" s="200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200"/>
      <c r="B145" s="200"/>
      <c r="C145" s="200"/>
      <c r="D145" s="200"/>
      <c r="E145" s="194"/>
      <c r="F145" s="200"/>
      <c r="G145" s="200"/>
      <c r="H145" s="200"/>
      <c r="I145" s="200"/>
      <c r="J145" s="200"/>
      <c r="K145" s="200"/>
      <c r="L145" s="200"/>
      <c r="M145" s="200"/>
      <c r="N145" s="213"/>
      <c r="O145" s="194"/>
      <c r="P145" s="200"/>
      <c r="Q145" s="200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200"/>
      <c r="B146" s="200"/>
      <c r="C146" s="200"/>
      <c r="D146" s="200"/>
      <c r="E146" s="194"/>
      <c r="F146" s="200"/>
      <c r="G146" s="200"/>
      <c r="H146" s="200"/>
      <c r="I146" s="200"/>
      <c r="J146" s="200"/>
      <c r="K146" s="200"/>
      <c r="L146" s="200"/>
      <c r="M146" s="200"/>
      <c r="N146" s="213"/>
      <c r="O146" s="194"/>
      <c r="P146" s="200"/>
      <c r="Q146" s="200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200"/>
      <c r="B147" s="200"/>
      <c r="C147" s="200"/>
      <c r="D147" s="200"/>
      <c r="E147" s="194"/>
      <c r="F147" s="200"/>
      <c r="G147" s="200"/>
      <c r="H147" s="200"/>
      <c r="I147" s="200"/>
      <c r="J147" s="200"/>
      <c r="K147" s="200"/>
      <c r="L147" s="200"/>
      <c r="M147" s="200"/>
      <c r="N147" s="213"/>
      <c r="O147" s="194"/>
      <c r="P147" s="200"/>
      <c r="Q147" s="20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200"/>
      <c r="B148" s="200"/>
      <c r="C148" s="200"/>
      <c r="D148" s="200"/>
      <c r="E148" s="194"/>
      <c r="F148" s="200"/>
      <c r="G148" s="200"/>
      <c r="H148" s="200"/>
      <c r="I148" s="200"/>
      <c r="J148" s="200"/>
      <c r="K148" s="200"/>
      <c r="L148" s="200"/>
      <c r="M148" s="200"/>
      <c r="N148" s="213"/>
      <c r="O148" s="194"/>
      <c r="P148" s="200"/>
      <c r="Q148" s="200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200"/>
      <c r="B149" s="200"/>
      <c r="C149" s="200"/>
      <c r="D149" s="200"/>
      <c r="E149" s="194"/>
      <c r="F149" s="200"/>
      <c r="G149" s="200"/>
      <c r="H149" s="200"/>
      <c r="I149" s="200"/>
      <c r="J149" s="200"/>
      <c r="K149" s="200"/>
      <c r="L149" s="200"/>
      <c r="M149" s="200"/>
      <c r="N149" s="213"/>
      <c r="O149" s="194"/>
      <c r="P149" s="200"/>
      <c r="Q149" s="200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200"/>
      <c r="B150" s="200"/>
      <c r="C150" s="200"/>
      <c r="D150" s="200"/>
      <c r="E150" s="194"/>
      <c r="F150" s="200"/>
      <c r="G150" s="200"/>
      <c r="H150" s="200"/>
      <c r="I150" s="200"/>
      <c r="J150" s="200"/>
      <c r="K150" s="200"/>
      <c r="L150" s="200"/>
      <c r="M150" s="200"/>
      <c r="N150" s="213"/>
      <c r="O150" s="194"/>
      <c r="P150" s="200"/>
      <c r="Q150" s="200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200"/>
      <c r="B151" s="200"/>
      <c r="C151" s="200"/>
      <c r="D151" s="200"/>
      <c r="E151" s="194"/>
      <c r="F151" s="200"/>
      <c r="G151" s="200"/>
      <c r="H151" s="200"/>
      <c r="I151" s="200"/>
      <c r="J151" s="200"/>
      <c r="K151" s="200"/>
      <c r="L151" s="200"/>
      <c r="M151" s="200"/>
      <c r="N151" s="213"/>
      <c r="O151" s="194"/>
      <c r="P151" s="200"/>
      <c r="Q151" s="200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200"/>
      <c r="B152" s="200"/>
      <c r="C152" s="200"/>
      <c r="D152" s="200"/>
      <c r="E152" s="194"/>
      <c r="F152" s="200"/>
      <c r="G152" s="200"/>
      <c r="H152" s="200"/>
      <c r="I152" s="200"/>
      <c r="J152" s="200"/>
      <c r="K152" s="200"/>
      <c r="L152" s="200"/>
      <c r="M152" s="200"/>
      <c r="N152" s="213"/>
      <c r="O152" s="194"/>
      <c r="P152" s="200"/>
      <c r="Q152" s="20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200"/>
      <c r="B153" s="200"/>
      <c r="C153" s="200"/>
      <c r="D153" s="200"/>
      <c r="E153" s="194"/>
      <c r="F153" s="200"/>
      <c r="G153" s="200"/>
      <c r="H153" s="200"/>
      <c r="I153" s="200"/>
      <c r="J153" s="200"/>
      <c r="K153" s="200"/>
      <c r="L153" s="200"/>
      <c r="M153" s="200"/>
      <c r="N153" s="213"/>
      <c r="O153" s="194"/>
      <c r="P153" s="200"/>
      <c r="Q153" s="200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200"/>
      <c r="B154" s="200"/>
      <c r="C154" s="200"/>
      <c r="D154" s="200"/>
      <c r="E154" s="194"/>
      <c r="F154" s="200"/>
      <c r="G154" s="200"/>
      <c r="H154" s="200"/>
      <c r="I154" s="200"/>
      <c r="J154" s="200"/>
      <c r="K154" s="200"/>
      <c r="L154" s="200"/>
      <c r="M154" s="200"/>
      <c r="N154" s="213"/>
      <c r="O154" s="194"/>
      <c r="P154" s="200"/>
      <c r="Q154" s="200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200"/>
      <c r="B155" s="200"/>
      <c r="C155" s="200"/>
      <c r="D155" s="200"/>
      <c r="E155" s="194"/>
      <c r="F155" s="200"/>
      <c r="G155" s="200"/>
      <c r="H155" s="200"/>
      <c r="I155" s="200"/>
      <c r="J155" s="200"/>
      <c r="K155" s="200"/>
      <c r="L155" s="200"/>
      <c r="M155" s="200"/>
      <c r="N155" s="213"/>
      <c r="O155" s="194"/>
      <c r="P155" s="200"/>
      <c r="Q155" s="200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200"/>
      <c r="B156" s="200"/>
      <c r="C156" s="200"/>
      <c r="D156" s="200"/>
      <c r="E156" s="194"/>
      <c r="F156" s="200"/>
      <c r="G156" s="200"/>
      <c r="H156" s="200"/>
      <c r="I156" s="200"/>
      <c r="J156" s="200"/>
      <c r="K156" s="200"/>
      <c r="L156" s="200"/>
      <c r="M156" s="200"/>
      <c r="N156" s="213"/>
      <c r="O156" s="194"/>
      <c r="P156" s="200"/>
      <c r="Q156" s="20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200"/>
      <c r="B157" s="200"/>
      <c r="C157" s="200"/>
      <c r="D157" s="200"/>
      <c r="E157" s="194"/>
      <c r="F157" s="200"/>
      <c r="G157" s="200"/>
      <c r="H157" s="200"/>
      <c r="I157" s="200"/>
      <c r="J157" s="200"/>
      <c r="K157" s="200"/>
      <c r="L157" s="200"/>
      <c r="M157" s="200"/>
      <c r="N157" s="213"/>
      <c r="O157" s="194"/>
      <c r="P157" s="200"/>
      <c r="Q157" s="200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200"/>
      <c r="B158" s="200"/>
      <c r="C158" s="200"/>
      <c r="D158" s="200"/>
      <c r="E158" s="194"/>
      <c r="F158" s="200"/>
      <c r="G158" s="200"/>
      <c r="H158" s="200"/>
      <c r="I158" s="200"/>
      <c r="J158" s="200"/>
      <c r="K158" s="200"/>
      <c r="L158" s="200"/>
      <c r="M158" s="200"/>
      <c r="N158" s="213"/>
      <c r="O158" s="194"/>
      <c r="P158" s="200"/>
      <c r="Q158" s="200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200"/>
      <c r="B159" s="200"/>
      <c r="C159" s="200"/>
      <c r="D159" s="200"/>
      <c r="E159" s="194"/>
      <c r="F159" s="200"/>
      <c r="G159" s="200"/>
      <c r="H159" s="200"/>
      <c r="I159" s="200"/>
      <c r="J159" s="200"/>
      <c r="K159" s="200"/>
      <c r="L159" s="200"/>
      <c r="M159" s="200"/>
      <c r="N159" s="213"/>
      <c r="O159" s="194"/>
      <c r="P159" s="200"/>
      <c r="Q159" s="20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200"/>
      <c r="B160" s="200"/>
      <c r="C160" s="200"/>
      <c r="D160" s="200"/>
      <c r="E160" s="194"/>
      <c r="F160" s="200"/>
      <c r="G160" s="200"/>
      <c r="H160" s="200"/>
      <c r="I160" s="200"/>
      <c r="J160" s="200"/>
      <c r="K160" s="200"/>
      <c r="L160" s="200"/>
      <c r="M160" s="200"/>
      <c r="N160" s="213"/>
      <c r="O160" s="194"/>
      <c r="P160" s="200"/>
      <c r="Q160" s="200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200"/>
      <c r="B161" s="200"/>
      <c r="C161" s="200"/>
      <c r="D161" s="200"/>
      <c r="E161" s="194"/>
      <c r="F161" s="200"/>
      <c r="G161" s="200"/>
      <c r="H161" s="200"/>
      <c r="I161" s="200"/>
      <c r="J161" s="200"/>
      <c r="K161" s="200"/>
      <c r="L161" s="200"/>
      <c r="M161" s="200"/>
      <c r="N161" s="213"/>
      <c r="O161" s="194"/>
      <c r="P161" s="200"/>
      <c r="Q161" s="200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200"/>
      <c r="B162" s="200"/>
      <c r="C162" s="200"/>
      <c r="D162" s="200"/>
      <c r="E162" s="194"/>
      <c r="F162" s="200"/>
      <c r="G162" s="200"/>
      <c r="H162" s="200"/>
      <c r="I162" s="200"/>
      <c r="J162" s="200"/>
      <c r="K162" s="200"/>
      <c r="L162" s="200"/>
      <c r="M162" s="200"/>
      <c r="N162" s="213"/>
      <c r="O162" s="194"/>
      <c r="P162" s="200"/>
      <c r="Q162" s="200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200"/>
      <c r="B163" s="200"/>
      <c r="C163" s="200"/>
      <c r="D163" s="200"/>
      <c r="E163" s="194"/>
      <c r="F163" s="200"/>
      <c r="G163" s="200"/>
      <c r="H163" s="200"/>
      <c r="I163" s="200"/>
      <c r="J163" s="200"/>
      <c r="K163" s="200"/>
      <c r="L163" s="200"/>
      <c r="M163" s="200"/>
      <c r="N163" s="213"/>
      <c r="O163" s="194"/>
      <c r="P163" s="200"/>
      <c r="Q163" s="200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200"/>
      <c r="B164" s="200"/>
      <c r="C164" s="200"/>
      <c r="D164" s="200"/>
      <c r="E164" s="194"/>
      <c r="F164" s="200"/>
      <c r="G164" s="200"/>
      <c r="H164" s="200"/>
      <c r="I164" s="200"/>
      <c r="J164" s="200"/>
      <c r="K164" s="200"/>
      <c r="L164" s="200"/>
      <c r="M164" s="200"/>
      <c r="N164" s="213"/>
      <c r="O164" s="194"/>
      <c r="P164" s="200"/>
      <c r="Q164" s="200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200"/>
      <c r="B165" s="200"/>
      <c r="C165" s="200"/>
      <c r="D165" s="200"/>
      <c r="E165" s="194"/>
      <c r="F165" s="200"/>
      <c r="G165" s="200"/>
      <c r="H165" s="200"/>
      <c r="I165" s="200"/>
      <c r="J165" s="200"/>
      <c r="K165" s="200"/>
      <c r="L165" s="200"/>
      <c r="M165" s="200"/>
      <c r="N165" s="213"/>
      <c r="O165" s="194"/>
      <c r="P165" s="200"/>
      <c r="Q165" s="20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200"/>
      <c r="B166" s="200"/>
      <c r="C166" s="200"/>
      <c r="D166" s="200"/>
      <c r="E166" s="194"/>
      <c r="F166" s="200"/>
      <c r="G166" s="200"/>
      <c r="H166" s="200"/>
      <c r="I166" s="200"/>
      <c r="J166" s="200"/>
      <c r="K166" s="200"/>
      <c r="L166" s="200"/>
      <c r="M166" s="200"/>
      <c r="N166" s="213"/>
      <c r="O166" s="194"/>
      <c r="P166" s="200"/>
      <c r="Q166" s="200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200"/>
      <c r="B167" s="200"/>
      <c r="C167" s="200"/>
      <c r="D167" s="200"/>
      <c r="E167" s="194"/>
      <c r="F167" s="200"/>
      <c r="G167" s="200"/>
      <c r="H167" s="200"/>
      <c r="I167" s="200"/>
      <c r="J167" s="200"/>
      <c r="K167" s="200"/>
      <c r="L167" s="200"/>
      <c r="M167" s="200"/>
      <c r="N167" s="213"/>
      <c r="O167" s="194"/>
      <c r="P167" s="200"/>
      <c r="Q167" s="200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200"/>
      <c r="B168" s="200"/>
      <c r="C168" s="200"/>
      <c r="D168" s="200"/>
      <c r="E168" s="194"/>
      <c r="F168" s="200"/>
      <c r="G168" s="200"/>
      <c r="H168" s="200"/>
      <c r="I168" s="200"/>
      <c r="J168" s="200"/>
      <c r="K168" s="200"/>
      <c r="L168" s="200"/>
      <c r="M168" s="200"/>
      <c r="N168" s="213"/>
      <c r="O168" s="194"/>
      <c r="P168" s="200"/>
      <c r="Q168" s="200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200"/>
      <c r="B169" s="200"/>
      <c r="C169" s="200"/>
      <c r="D169" s="200"/>
      <c r="E169" s="194"/>
      <c r="F169" s="200"/>
      <c r="G169" s="200"/>
      <c r="H169" s="200"/>
      <c r="I169" s="200"/>
      <c r="J169" s="200"/>
      <c r="K169" s="200"/>
      <c r="L169" s="200"/>
      <c r="M169" s="200"/>
      <c r="N169" s="213"/>
      <c r="O169" s="194"/>
      <c r="P169" s="200"/>
      <c r="Q169" s="200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200"/>
      <c r="B170" s="200"/>
      <c r="C170" s="200"/>
      <c r="D170" s="200"/>
      <c r="E170" s="194"/>
      <c r="F170" s="200"/>
      <c r="G170" s="200"/>
      <c r="H170" s="200"/>
      <c r="I170" s="200"/>
      <c r="J170" s="200"/>
      <c r="K170" s="200"/>
      <c r="L170" s="200"/>
      <c r="M170" s="200"/>
      <c r="N170" s="213"/>
      <c r="O170" s="194"/>
      <c r="P170" s="200"/>
      <c r="Q170" s="200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200"/>
      <c r="B171" s="200"/>
      <c r="C171" s="200"/>
      <c r="D171" s="200"/>
      <c r="E171" s="194"/>
      <c r="F171" s="200"/>
      <c r="G171" s="200"/>
      <c r="H171" s="200"/>
      <c r="I171" s="200"/>
      <c r="J171" s="200"/>
      <c r="K171" s="200"/>
      <c r="L171" s="200"/>
      <c r="M171" s="200"/>
      <c r="N171" s="213"/>
      <c r="O171" s="194"/>
      <c r="P171" s="200"/>
      <c r="Q171" s="200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200"/>
      <c r="B172" s="200"/>
      <c r="C172" s="200"/>
      <c r="D172" s="200"/>
      <c r="E172" s="194"/>
      <c r="F172" s="200"/>
      <c r="G172" s="200"/>
      <c r="H172" s="200"/>
      <c r="I172" s="200"/>
      <c r="J172" s="200"/>
      <c r="K172" s="200"/>
      <c r="L172" s="200"/>
      <c r="M172" s="200"/>
      <c r="N172" s="213"/>
      <c r="O172" s="194"/>
      <c r="P172" s="200"/>
      <c r="Q172" s="200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200"/>
      <c r="B173" s="200"/>
      <c r="C173" s="200"/>
      <c r="D173" s="200"/>
      <c r="E173" s="194"/>
      <c r="F173" s="200"/>
      <c r="G173" s="200"/>
      <c r="H173" s="200"/>
      <c r="I173" s="200"/>
      <c r="J173" s="200"/>
      <c r="K173" s="200"/>
      <c r="L173" s="200"/>
      <c r="M173" s="200"/>
      <c r="N173" s="213"/>
      <c r="O173" s="194"/>
      <c r="P173" s="200"/>
      <c r="Q173" s="200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200"/>
      <c r="B174" s="200"/>
      <c r="C174" s="200"/>
      <c r="D174" s="200"/>
      <c r="E174" s="194"/>
      <c r="F174" s="200"/>
      <c r="G174" s="200"/>
      <c r="H174" s="200"/>
      <c r="I174" s="200"/>
      <c r="J174" s="200"/>
      <c r="K174" s="200"/>
      <c r="L174" s="200"/>
      <c r="M174" s="200"/>
      <c r="N174" s="213"/>
      <c r="O174" s="194"/>
      <c r="P174" s="200"/>
      <c r="Q174" s="200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200"/>
      <c r="B175" s="200"/>
      <c r="C175" s="200"/>
      <c r="D175" s="200"/>
      <c r="E175" s="194"/>
      <c r="F175" s="200"/>
      <c r="G175" s="200"/>
      <c r="H175" s="200"/>
      <c r="I175" s="200"/>
      <c r="J175" s="200"/>
      <c r="K175" s="200"/>
      <c r="L175" s="200"/>
      <c r="M175" s="200"/>
      <c r="N175" s="213"/>
      <c r="O175" s="194"/>
      <c r="P175" s="200"/>
      <c r="Q175" s="200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200"/>
      <c r="B176" s="200"/>
      <c r="C176" s="200"/>
      <c r="D176" s="200"/>
      <c r="E176" s="194"/>
      <c r="F176" s="200"/>
      <c r="G176" s="200"/>
      <c r="H176" s="200"/>
      <c r="I176" s="200"/>
      <c r="J176" s="200"/>
      <c r="K176" s="200"/>
      <c r="L176" s="200"/>
      <c r="M176" s="200"/>
      <c r="N176" s="213"/>
      <c r="O176" s="194"/>
      <c r="P176" s="200"/>
      <c r="Q176" s="200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200"/>
      <c r="B177" s="200"/>
      <c r="C177" s="200"/>
      <c r="D177" s="200"/>
      <c r="E177" s="194"/>
      <c r="F177" s="200"/>
      <c r="G177" s="200"/>
      <c r="H177" s="200"/>
      <c r="I177" s="200"/>
      <c r="J177" s="200"/>
      <c r="K177" s="200"/>
      <c r="L177" s="200"/>
      <c r="M177" s="200"/>
      <c r="N177" s="213"/>
      <c r="O177" s="194"/>
      <c r="P177" s="200"/>
      <c r="Q177" s="20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200"/>
      <c r="B178" s="200"/>
      <c r="C178" s="200"/>
      <c r="D178" s="200"/>
      <c r="E178" s="194"/>
      <c r="F178" s="200"/>
      <c r="G178" s="200"/>
      <c r="H178" s="200"/>
      <c r="I178" s="200"/>
      <c r="J178" s="200"/>
      <c r="K178" s="200"/>
      <c r="L178" s="200"/>
      <c r="M178" s="200"/>
      <c r="N178" s="213"/>
      <c r="O178" s="194"/>
      <c r="P178" s="200"/>
      <c r="Q178" s="20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200"/>
      <c r="B179" s="200"/>
      <c r="C179" s="200"/>
      <c r="D179" s="200"/>
      <c r="E179" s="194"/>
      <c r="F179" s="200"/>
      <c r="G179" s="200"/>
      <c r="H179" s="200"/>
      <c r="I179" s="200"/>
      <c r="J179" s="200"/>
      <c r="K179" s="200"/>
      <c r="L179" s="200"/>
      <c r="M179" s="200"/>
      <c r="N179" s="213"/>
      <c r="O179" s="194"/>
      <c r="P179" s="200"/>
      <c r="Q179" s="200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200"/>
      <c r="B180" s="200"/>
      <c r="C180" s="200"/>
      <c r="D180" s="200"/>
      <c r="E180" s="194"/>
      <c r="F180" s="200"/>
      <c r="G180" s="200"/>
      <c r="H180" s="200"/>
      <c r="I180" s="200"/>
      <c r="J180" s="200"/>
      <c r="K180" s="200"/>
      <c r="L180" s="200"/>
      <c r="M180" s="200"/>
      <c r="N180" s="213"/>
      <c r="O180" s="194"/>
      <c r="P180" s="200"/>
      <c r="Q180" s="20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200"/>
      <c r="B181" s="200"/>
      <c r="C181" s="200"/>
      <c r="D181" s="200"/>
      <c r="E181" s="194"/>
      <c r="F181" s="200"/>
      <c r="G181" s="200"/>
      <c r="H181" s="200"/>
      <c r="I181" s="200"/>
      <c r="J181" s="200"/>
      <c r="K181" s="200"/>
      <c r="L181" s="200"/>
      <c r="M181" s="200"/>
      <c r="N181" s="213"/>
      <c r="O181" s="194"/>
      <c r="P181" s="200"/>
      <c r="Q181" s="200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200"/>
      <c r="B182" s="200"/>
      <c r="C182" s="200"/>
      <c r="D182" s="200"/>
      <c r="E182" s="194"/>
      <c r="F182" s="200"/>
      <c r="G182" s="200"/>
      <c r="H182" s="200"/>
      <c r="I182" s="200"/>
      <c r="J182" s="200"/>
      <c r="K182" s="200"/>
      <c r="L182" s="200"/>
      <c r="M182" s="200"/>
      <c r="N182" s="213"/>
      <c r="O182" s="194"/>
      <c r="P182" s="200"/>
      <c r="Q182" s="200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200"/>
      <c r="B183" s="200"/>
      <c r="C183" s="200"/>
      <c r="D183" s="200"/>
      <c r="E183" s="194"/>
      <c r="F183" s="200"/>
      <c r="G183" s="200"/>
      <c r="H183" s="200"/>
      <c r="I183" s="200"/>
      <c r="J183" s="200"/>
      <c r="K183" s="200"/>
      <c r="L183" s="200"/>
      <c r="M183" s="200"/>
      <c r="N183" s="213"/>
      <c r="O183" s="194"/>
      <c r="P183" s="200"/>
      <c r="Q183" s="20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200"/>
      <c r="B184" s="200"/>
      <c r="C184" s="200"/>
      <c r="D184" s="200"/>
      <c r="E184" s="194"/>
      <c r="F184" s="200"/>
      <c r="G184" s="200"/>
      <c r="H184" s="200"/>
      <c r="I184" s="200"/>
      <c r="J184" s="200"/>
      <c r="K184" s="200"/>
      <c r="L184" s="200"/>
      <c r="M184" s="200"/>
      <c r="N184" s="213"/>
      <c r="O184" s="194"/>
      <c r="P184" s="200"/>
      <c r="Q184" s="200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200"/>
      <c r="B185" s="200"/>
      <c r="C185" s="200"/>
      <c r="D185" s="200"/>
      <c r="E185" s="194"/>
      <c r="F185" s="200"/>
      <c r="G185" s="200"/>
      <c r="H185" s="200"/>
      <c r="I185" s="200"/>
      <c r="J185" s="200"/>
      <c r="K185" s="200"/>
      <c r="L185" s="200"/>
      <c r="M185" s="200"/>
      <c r="N185" s="213"/>
      <c r="O185" s="194"/>
      <c r="P185" s="200"/>
      <c r="Q185" s="200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200"/>
      <c r="B186" s="200"/>
      <c r="C186" s="200"/>
      <c r="D186" s="200"/>
      <c r="E186" s="194"/>
      <c r="F186" s="200"/>
      <c r="G186" s="200"/>
      <c r="H186" s="200"/>
      <c r="I186" s="200"/>
      <c r="J186" s="200"/>
      <c r="K186" s="200"/>
      <c r="L186" s="200"/>
      <c r="M186" s="200"/>
      <c r="N186" s="213"/>
      <c r="O186" s="194"/>
      <c r="P186" s="200"/>
      <c r="Q186" s="200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200"/>
      <c r="B187" s="200"/>
      <c r="C187" s="200"/>
      <c r="D187" s="200"/>
      <c r="E187" s="194"/>
      <c r="F187" s="200"/>
      <c r="G187" s="200"/>
      <c r="H187" s="200"/>
      <c r="I187" s="200"/>
      <c r="J187" s="200"/>
      <c r="K187" s="200"/>
      <c r="L187" s="200"/>
      <c r="M187" s="200"/>
      <c r="N187" s="213"/>
      <c r="O187" s="194"/>
      <c r="P187" s="200"/>
      <c r="Q187" s="200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200"/>
      <c r="B188" s="200"/>
      <c r="C188" s="200"/>
      <c r="D188" s="200"/>
      <c r="E188" s="194"/>
      <c r="F188" s="200"/>
      <c r="G188" s="200"/>
      <c r="H188" s="200"/>
      <c r="I188" s="200"/>
      <c r="J188" s="200"/>
      <c r="K188" s="200"/>
      <c r="L188" s="200"/>
      <c r="M188" s="200"/>
      <c r="N188" s="213"/>
      <c r="O188" s="194"/>
      <c r="P188" s="200"/>
      <c r="Q188" s="200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200"/>
      <c r="B189" s="200"/>
      <c r="C189" s="200"/>
      <c r="D189" s="200"/>
      <c r="E189" s="194"/>
      <c r="F189" s="200"/>
      <c r="G189" s="200"/>
      <c r="H189" s="200"/>
      <c r="I189" s="200"/>
      <c r="J189" s="200"/>
      <c r="K189" s="200"/>
      <c r="L189" s="200"/>
      <c r="M189" s="200"/>
      <c r="N189" s="213"/>
      <c r="O189" s="194"/>
      <c r="P189" s="200"/>
      <c r="Q189" s="200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200"/>
      <c r="B190" s="200"/>
      <c r="C190" s="200"/>
      <c r="D190" s="200"/>
      <c r="E190" s="194"/>
      <c r="F190" s="200"/>
      <c r="G190" s="200"/>
      <c r="H190" s="200"/>
      <c r="I190" s="200"/>
      <c r="J190" s="200"/>
      <c r="K190" s="200"/>
      <c r="L190" s="200"/>
      <c r="M190" s="200"/>
      <c r="N190" s="213"/>
      <c r="O190" s="194"/>
      <c r="P190" s="200"/>
      <c r="Q190" s="200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200"/>
      <c r="B191" s="200"/>
      <c r="C191" s="200"/>
      <c r="D191" s="200"/>
      <c r="E191" s="194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200"/>
      <c r="B192" s="200"/>
      <c r="C192" s="200"/>
      <c r="D192" s="200"/>
      <c r="E192" s="194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200"/>
      <c r="B193" s="200"/>
      <c r="C193" s="200"/>
      <c r="D193" s="200"/>
      <c r="E193" s="194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200"/>
      <c r="B194" s="200"/>
      <c r="C194" s="200"/>
      <c r="D194" s="200"/>
      <c r="E194" s="194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200"/>
      <c r="B195" s="200"/>
      <c r="C195" s="200"/>
      <c r="D195" s="200"/>
      <c r="E195" s="194"/>
      <c r="F195" s="200"/>
      <c r="G195" s="200"/>
      <c r="H195" s="200"/>
      <c r="I195" s="200"/>
      <c r="J195" s="200"/>
      <c r="K195" s="202"/>
      <c r="L195" s="202"/>
      <c r="M195" s="200"/>
      <c r="N195" s="200"/>
      <c r="O195" s="200"/>
      <c r="P195" s="200"/>
      <c r="Q195" s="20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200"/>
      <c r="B196" s="200"/>
      <c r="C196" s="200"/>
      <c r="D196" s="200"/>
      <c r="E196" s="194"/>
      <c r="F196" s="200"/>
      <c r="G196" s="200"/>
      <c r="H196" s="200"/>
      <c r="I196" s="200"/>
      <c r="J196" s="200"/>
      <c r="K196" s="202"/>
      <c r="L196" s="202"/>
      <c r="M196" s="200"/>
      <c r="N196" s="200"/>
      <c r="O196" s="200"/>
      <c r="P196" s="200"/>
      <c r="Q196" s="20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200"/>
      <c r="B197" s="200"/>
      <c r="C197" s="200"/>
      <c r="D197" s="200"/>
      <c r="E197" s="194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200"/>
      <c r="B198" s="200"/>
      <c r="C198" s="200"/>
      <c r="D198" s="200"/>
      <c r="E198" s="194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200"/>
      <c r="B199" s="200"/>
      <c r="C199" s="200"/>
      <c r="D199" s="200"/>
      <c r="E199" s="194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200"/>
      <c r="B200" s="200"/>
      <c r="C200" s="200"/>
      <c r="D200" s="200"/>
      <c r="E200" s="194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200"/>
      <c r="B201" s="200"/>
      <c r="C201" s="200"/>
      <c r="D201" s="200"/>
      <c r="E201" s="194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200"/>
      <c r="B202" s="200"/>
      <c r="C202" s="200"/>
      <c r="D202" s="200"/>
      <c r="E202" s="194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200"/>
      <c r="B203" s="200"/>
      <c r="C203" s="200"/>
      <c r="D203" s="200"/>
      <c r="E203" s="194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200"/>
      <c r="B204" s="200"/>
      <c r="C204" s="200"/>
      <c r="D204" s="200"/>
      <c r="E204" s="194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200"/>
      <c r="B205" s="200"/>
      <c r="C205" s="200"/>
      <c r="D205" s="200"/>
      <c r="E205" s="194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200"/>
      <c r="B206" s="200"/>
      <c r="C206" s="200"/>
      <c r="D206" s="200"/>
      <c r="E206" s="194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200"/>
      <c r="B207" s="200"/>
      <c r="C207" s="200"/>
      <c r="D207" s="200"/>
      <c r="E207" s="194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200"/>
      <c r="B208" s="200"/>
      <c r="C208" s="200"/>
      <c r="D208" s="200"/>
      <c r="E208" s="194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200"/>
      <c r="B209" s="200"/>
      <c r="C209" s="200"/>
      <c r="D209" s="200"/>
      <c r="E209" s="194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200"/>
      <c r="B210" s="200"/>
      <c r="C210" s="200"/>
      <c r="D210" s="200"/>
      <c r="E210" s="194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200"/>
      <c r="B211" s="200"/>
      <c r="C211" s="200"/>
      <c r="D211" s="200"/>
      <c r="E211" s="194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200"/>
      <c r="B212" s="200"/>
      <c r="C212" s="200"/>
      <c r="D212" s="200"/>
      <c r="E212" s="194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200"/>
      <c r="B213" s="200"/>
      <c r="C213" s="200"/>
      <c r="D213" s="200"/>
      <c r="E213" s="194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200"/>
      <c r="B214" s="200"/>
      <c r="C214" s="200"/>
      <c r="D214" s="200"/>
      <c r="E214" s="194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200"/>
      <c r="B215" s="200"/>
      <c r="C215" s="200"/>
      <c r="D215" s="200"/>
      <c r="E215" s="194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200"/>
      <c r="B216" s="200"/>
      <c r="C216" s="200"/>
      <c r="D216" s="200"/>
      <c r="E216" s="194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200"/>
      <c r="B217" s="200"/>
      <c r="C217" s="200"/>
      <c r="D217" s="200"/>
      <c r="E217" s="19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200"/>
      <c r="B218" s="200"/>
      <c r="C218" s="200"/>
      <c r="D218" s="200"/>
      <c r="E218" s="194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200"/>
      <c r="B219" s="200"/>
      <c r="C219" s="200"/>
      <c r="D219" s="200"/>
      <c r="E219" s="19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200"/>
      <c r="B220" s="200"/>
      <c r="C220" s="200"/>
      <c r="D220" s="200"/>
      <c r="E220" s="194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200"/>
      <c r="B221" s="200"/>
      <c r="C221" s="200"/>
      <c r="D221" s="200"/>
      <c r="E221" s="194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200"/>
      <c r="B222" s="200"/>
      <c r="C222" s="200"/>
      <c r="D222" s="200"/>
      <c r="E222" s="194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200"/>
      <c r="B223" s="200"/>
      <c r="C223" s="200"/>
      <c r="D223" s="200"/>
      <c r="E223" s="194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200"/>
      <c r="B224" s="200"/>
      <c r="C224" s="200"/>
      <c r="D224" s="200"/>
      <c r="E224" s="194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200"/>
      <c r="B225" s="200"/>
      <c r="C225" s="200"/>
      <c r="D225" s="200"/>
      <c r="E225" s="194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200"/>
      <c r="B226" s="200"/>
      <c r="C226" s="200"/>
      <c r="D226" s="200"/>
      <c r="E226" s="194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200"/>
      <c r="B227" s="200"/>
      <c r="C227" s="200"/>
      <c r="D227" s="200"/>
      <c r="E227" s="194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200"/>
      <c r="B228" s="200"/>
      <c r="C228" s="200"/>
      <c r="D228" s="200"/>
      <c r="E228" s="194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200"/>
      <c r="B229" s="200"/>
      <c r="C229" s="200"/>
      <c r="D229" s="200"/>
      <c r="E229" s="194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200"/>
      <c r="B230" s="200"/>
      <c r="C230" s="200"/>
      <c r="D230" s="200"/>
      <c r="E230" s="194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200"/>
      <c r="B231" s="200"/>
      <c r="C231" s="200"/>
      <c r="D231" s="200"/>
      <c r="E231" s="194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200"/>
      <c r="B232" s="200"/>
      <c r="C232" s="200"/>
      <c r="D232" s="200"/>
      <c r="E232" s="194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200"/>
      <c r="B233" s="200"/>
      <c r="C233" s="200"/>
      <c r="D233" s="200"/>
      <c r="E233" s="194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200"/>
      <c r="B234" s="200"/>
      <c r="C234" s="200"/>
      <c r="D234" s="200"/>
      <c r="E234" s="194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200"/>
      <c r="B235" s="200"/>
      <c r="C235" s="200"/>
      <c r="D235" s="200"/>
      <c r="E235" s="194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5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5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5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5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5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5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5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5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5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5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5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5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5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5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5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5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5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5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5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5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5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51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51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51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51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51"/>
    </row>
    <row r="262" spans="4:12" ht="15.75" customHeight="1" x14ac:dyDescent="0.2">
      <c r="E262" s="51"/>
    </row>
    <row r="263" spans="4:12" ht="15.75" customHeight="1" x14ac:dyDescent="0.2">
      <c r="E263" s="51"/>
    </row>
    <row r="264" spans="4:12" ht="15.75" customHeight="1" x14ac:dyDescent="0.2">
      <c r="E264" s="51"/>
    </row>
    <row r="265" spans="4:12" ht="15.75" customHeight="1" x14ac:dyDescent="0.2">
      <c r="E265" s="51"/>
    </row>
    <row r="266" spans="4:12" ht="15.75" customHeight="1" x14ac:dyDescent="0.2">
      <c r="E266" s="51"/>
    </row>
    <row r="267" spans="4:12" ht="15.75" customHeight="1" x14ac:dyDescent="0.2">
      <c r="E267" s="51"/>
    </row>
    <row r="268" spans="4:12" ht="15.75" customHeight="1" x14ac:dyDescent="0.2">
      <c r="E268" s="51"/>
    </row>
    <row r="269" spans="4:12" ht="15.75" customHeight="1" x14ac:dyDescent="0.2">
      <c r="E269" s="51"/>
    </row>
    <row r="270" spans="4:12" ht="15.75" customHeight="1" x14ac:dyDescent="0.2">
      <c r="E270" s="51"/>
    </row>
    <row r="271" spans="4:12" ht="15.75" customHeight="1" x14ac:dyDescent="0.2">
      <c r="E271" s="51"/>
    </row>
    <row r="272" spans="4:12" ht="15.75" customHeight="1" x14ac:dyDescent="0.2">
      <c r="E272" s="51"/>
    </row>
    <row r="273" spans="5:5" ht="15.75" customHeight="1" x14ac:dyDescent="0.2">
      <c r="E273" s="51"/>
    </row>
    <row r="274" spans="5:5" ht="15.75" customHeight="1" x14ac:dyDescent="0.2">
      <c r="E274" s="51"/>
    </row>
    <row r="275" spans="5:5" ht="15.75" customHeight="1" x14ac:dyDescent="0.2">
      <c r="E275" s="51"/>
    </row>
    <row r="276" spans="5:5" ht="15.75" customHeight="1" x14ac:dyDescent="0.2">
      <c r="E276" s="51"/>
    </row>
    <row r="277" spans="5:5" ht="15.75" customHeight="1" x14ac:dyDescent="0.2">
      <c r="E277" s="51"/>
    </row>
    <row r="278" spans="5:5" ht="15.75" customHeight="1" x14ac:dyDescent="0.2">
      <c r="E278" s="51"/>
    </row>
    <row r="279" spans="5:5" ht="15.75" customHeight="1" x14ac:dyDescent="0.2">
      <c r="E279" s="51"/>
    </row>
    <row r="280" spans="5:5" ht="15.75" customHeight="1" x14ac:dyDescent="0.2">
      <c r="E280" s="51"/>
    </row>
    <row r="281" spans="5:5" ht="15.75" customHeight="1" x14ac:dyDescent="0.2">
      <c r="E281" s="51"/>
    </row>
    <row r="282" spans="5:5" ht="15.75" customHeight="1" x14ac:dyDescent="0.2">
      <c r="E282" s="51"/>
    </row>
    <row r="283" spans="5:5" ht="15.75" customHeight="1" x14ac:dyDescent="0.2">
      <c r="E283" s="51"/>
    </row>
    <row r="284" spans="5:5" ht="15.75" customHeight="1" x14ac:dyDescent="0.2">
      <c r="E284" s="51"/>
    </row>
    <row r="285" spans="5:5" ht="15.75" customHeight="1" x14ac:dyDescent="0.2">
      <c r="E285" s="51"/>
    </row>
    <row r="286" spans="5:5" ht="15.75" customHeight="1" x14ac:dyDescent="0.2">
      <c r="E286" s="51"/>
    </row>
    <row r="287" spans="5:5" ht="15.75" customHeight="1" x14ac:dyDescent="0.2">
      <c r="E287" s="51"/>
    </row>
    <row r="288" spans="5:5" ht="15.75" customHeight="1" x14ac:dyDescent="0.2">
      <c r="E288" s="51"/>
    </row>
    <row r="289" spans="5:5" ht="15.75" customHeight="1" x14ac:dyDescent="0.2">
      <c r="E289" s="51"/>
    </row>
    <row r="290" spans="5:5" ht="15.75" customHeight="1" x14ac:dyDescent="0.2">
      <c r="E290" s="51"/>
    </row>
    <row r="291" spans="5:5" ht="15.75" customHeight="1" x14ac:dyDescent="0.2">
      <c r="E291" s="51"/>
    </row>
    <row r="292" spans="5:5" ht="15.75" customHeight="1" x14ac:dyDescent="0.2">
      <c r="E292" s="51"/>
    </row>
    <row r="293" spans="5:5" ht="15.75" customHeight="1" x14ac:dyDescent="0.2">
      <c r="E293" s="51"/>
    </row>
    <row r="294" spans="5:5" ht="15.75" customHeight="1" x14ac:dyDescent="0.2">
      <c r="E294" s="51"/>
    </row>
    <row r="295" spans="5:5" ht="15.75" customHeight="1" x14ac:dyDescent="0.2">
      <c r="E295" s="51"/>
    </row>
    <row r="296" spans="5:5" ht="15.75" customHeight="1" x14ac:dyDescent="0.2">
      <c r="E296" s="51"/>
    </row>
    <row r="297" spans="5:5" ht="15.75" customHeight="1" x14ac:dyDescent="0.2">
      <c r="E297" s="51"/>
    </row>
    <row r="298" spans="5:5" ht="15.75" customHeight="1" x14ac:dyDescent="0.2">
      <c r="E298" s="51"/>
    </row>
    <row r="299" spans="5:5" ht="15.75" customHeight="1" x14ac:dyDescent="0.2">
      <c r="E299" s="51"/>
    </row>
    <row r="300" spans="5:5" ht="15.75" customHeight="1" x14ac:dyDescent="0.2">
      <c r="E300" s="51"/>
    </row>
    <row r="301" spans="5:5" ht="15.75" customHeight="1" x14ac:dyDescent="0.2">
      <c r="E301" s="51"/>
    </row>
    <row r="302" spans="5:5" ht="15.75" customHeight="1" x14ac:dyDescent="0.2">
      <c r="E302" s="51"/>
    </row>
    <row r="303" spans="5:5" ht="15.75" customHeight="1" x14ac:dyDescent="0.2">
      <c r="E303" s="51"/>
    </row>
    <row r="304" spans="5:5" ht="15.75" customHeight="1" x14ac:dyDescent="0.2">
      <c r="E304" s="51"/>
    </row>
    <row r="305" spans="5:5" ht="15.75" customHeight="1" x14ac:dyDescent="0.2">
      <c r="E305" s="51"/>
    </row>
    <row r="306" spans="5:5" ht="15.75" customHeight="1" x14ac:dyDescent="0.2">
      <c r="E306" s="51"/>
    </row>
    <row r="307" spans="5:5" ht="15.75" customHeight="1" x14ac:dyDescent="0.2">
      <c r="E307" s="51"/>
    </row>
    <row r="308" spans="5:5" ht="15.75" customHeight="1" x14ac:dyDescent="0.2">
      <c r="E308" s="51"/>
    </row>
    <row r="309" spans="5:5" ht="15.75" customHeight="1" x14ac:dyDescent="0.2">
      <c r="E309" s="51"/>
    </row>
    <row r="310" spans="5:5" ht="15.75" customHeight="1" x14ac:dyDescent="0.2">
      <c r="E310" s="51"/>
    </row>
    <row r="311" spans="5:5" ht="15.75" customHeight="1" x14ac:dyDescent="0.2">
      <c r="E311" s="51"/>
    </row>
    <row r="312" spans="5:5" ht="15.75" customHeight="1" x14ac:dyDescent="0.2">
      <c r="E312" s="51"/>
    </row>
    <row r="313" spans="5:5" ht="15.75" customHeight="1" x14ac:dyDescent="0.2">
      <c r="E313" s="51"/>
    </row>
    <row r="314" spans="5:5" ht="15.75" customHeight="1" x14ac:dyDescent="0.2">
      <c r="E314" s="51"/>
    </row>
    <row r="315" spans="5:5" ht="15.75" customHeight="1" x14ac:dyDescent="0.2">
      <c r="E315" s="51"/>
    </row>
    <row r="316" spans="5:5" ht="15.75" customHeight="1" x14ac:dyDescent="0.2">
      <c r="E316" s="51"/>
    </row>
    <row r="317" spans="5:5" ht="15.75" customHeight="1" x14ac:dyDescent="0.2">
      <c r="E317" s="51"/>
    </row>
    <row r="318" spans="5:5" ht="15.75" customHeight="1" x14ac:dyDescent="0.2">
      <c r="E318" s="51"/>
    </row>
    <row r="319" spans="5:5" ht="15.75" customHeight="1" x14ac:dyDescent="0.2">
      <c r="E319" s="51"/>
    </row>
    <row r="320" spans="5:5" ht="15.75" customHeight="1" x14ac:dyDescent="0.2">
      <c r="E320" s="51"/>
    </row>
    <row r="321" spans="5:5" ht="15.75" customHeight="1" x14ac:dyDescent="0.2">
      <c r="E321" s="51"/>
    </row>
    <row r="322" spans="5:5" ht="15.75" customHeight="1" x14ac:dyDescent="0.2">
      <c r="E322" s="51"/>
    </row>
    <row r="323" spans="5:5" ht="15.75" customHeight="1" x14ac:dyDescent="0.2">
      <c r="E323" s="51"/>
    </row>
    <row r="324" spans="5:5" ht="15.75" customHeight="1" x14ac:dyDescent="0.2">
      <c r="E324" s="51"/>
    </row>
    <row r="325" spans="5:5" ht="15.75" customHeight="1" x14ac:dyDescent="0.2">
      <c r="E325" s="51"/>
    </row>
    <row r="326" spans="5:5" ht="15.75" customHeight="1" x14ac:dyDescent="0.2">
      <c r="E326" s="51"/>
    </row>
    <row r="327" spans="5:5" ht="15.75" customHeight="1" x14ac:dyDescent="0.2">
      <c r="E327" s="51"/>
    </row>
    <row r="328" spans="5:5" ht="15.75" customHeight="1" x14ac:dyDescent="0.2">
      <c r="E328" s="51"/>
    </row>
    <row r="329" spans="5:5" ht="15.75" customHeight="1" x14ac:dyDescent="0.2">
      <c r="E329" s="51"/>
    </row>
    <row r="330" spans="5:5" ht="15.75" customHeight="1" x14ac:dyDescent="0.2">
      <c r="E330" s="51"/>
    </row>
    <row r="331" spans="5:5" ht="15.75" customHeight="1" x14ac:dyDescent="0.2">
      <c r="E331" s="51"/>
    </row>
    <row r="332" spans="5:5" ht="15.75" customHeight="1" x14ac:dyDescent="0.2">
      <c r="E332" s="51"/>
    </row>
    <row r="333" spans="5:5" ht="15.75" customHeight="1" x14ac:dyDescent="0.2">
      <c r="E333" s="51"/>
    </row>
    <row r="334" spans="5:5" ht="15.75" customHeight="1" x14ac:dyDescent="0.2">
      <c r="E334" s="51"/>
    </row>
    <row r="335" spans="5:5" ht="15.75" customHeight="1" x14ac:dyDescent="0.2">
      <c r="E335" s="51"/>
    </row>
    <row r="336" spans="5:5" ht="15.75" customHeight="1" x14ac:dyDescent="0.2">
      <c r="E336" s="51"/>
    </row>
    <row r="337" spans="5:5" ht="15.75" customHeight="1" x14ac:dyDescent="0.2">
      <c r="E337" s="51"/>
    </row>
    <row r="338" spans="5:5" ht="15.75" customHeight="1" x14ac:dyDescent="0.2">
      <c r="E338" s="51"/>
    </row>
    <row r="339" spans="5:5" ht="15.75" customHeight="1" x14ac:dyDescent="0.2">
      <c r="E339" s="51"/>
    </row>
    <row r="340" spans="5:5" ht="15.75" customHeight="1" x14ac:dyDescent="0.2">
      <c r="E340" s="51"/>
    </row>
    <row r="341" spans="5:5" ht="15.75" customHeight="1" x14ac:dyDescent="0.2">
      <c r="E341" s="51"/>
    </row>
    <row r="342" spans="5:5" ht="15.75" customHeight="1" x14ac:dyDescent="0.2">
      <c r="E342" s="51"/>
    </row>
    <row r="343" spans="5:5" ht="15.75" customHeight="1" x14ac:dyDescent="0.2">
      <c r="E343" s="51"/>
    </row>
    <row r="344" spans="5:5" ht="15.75" customHeight="1" x14ac:dyDescent="0.2">
      <c r="E344" s="51"/>
    </row>
    <row r="345" spans="5:5" ht="15.75" customHeight="1" x14ac:dyDescent="0.2">
      <c r="E345" s="51"/>
    </row>
    <row r="346" spans="5:5" ht="15.75" customHeight="1" x14ac:dyDescent="0.2">
      <c r="E346" s="51"/>
    </row>
    <row r="347" spans="5:5" ht="15.75" customHeight="1" x14ac:dyDescent="0.2">
      <c r="E347" s="51"/>
    </row>
    <row r="348" spans="5:5" ht="15.75" customHeight="1" x14ac:dyDescent="0.2">
      <c r="E348" s="51"/>
    </row>
    <row r="349" spans="5:5" ht="15.75" customHeight="1" x14ac:dyDescent="0.2">
      <c r="E349" s="51"/>
    </row>
    <row r="350" spans="5:5" ht="15.75" customHeight="1" x14ac:dyDescent="0.2">
      <c r="E350" s="51"/>
    </row>
    <row r="351" spans="5:5" ht="15.75" customHeight="1" x14ac:dyDescent="0.2">
      <c r="E351" s="51"/>
    </row>
    <row r="352" spans="5:5" ht="15.75" customHeight="1" x14ac:dyDescent="0.2">
      <c r="E352" s="51"/>
    </row>
    <row r="353" spans="5:5" ht="15.75" customHeight="1" x14ac:dyDescent="0.2">
      <c r="E353" s="51"/>
    </row>
    <row r="354" spans="5:5" ht="15.75" customHeight="1" x14ac:dyDescent="0.2">
      <c r="E354" s="51"/>
    </row>
    <row r="355" spans="5:5" ht="15.75" customHeight="1" x14ac:dyDescent="0.2">
      <c r="E355" s="51"/>
    </row>
    <row r="356" spans="5:5" ht="15.75" customHeight="1" x14ac:dyDescent="0.2">
      <c r="E356" s="51"/>
    </row>
    <row r="357" spans="5:5" ht="15.75" customHeight="1" x14ac:dyDescent="0.2">
      <c r="E357" s="51"/>
    </row>
    <row r="358" spans="5:5" ht="15.75" customHeight="1" x14ac:dyDescent="0.2">
      <c r="E358" s="51"/>
    </row>
    <row r="359" spans="5:5" ht="15.75" customHeight="1" x14ac:dyDescent="0.2">
      <c r="E359" s="51"/>
    </row>
    <row r="360" spans="5:5" ht="15.75" customHeight="1" x14ac:dyDescent="0.2">
      <c r="E360" s="51"/>
    </row>
    <row r="361" spans="5:5" ht="15.75" customHeight="1" x14ac:dyDescent="0.2">
      <c r="E361" s="51"/>
    </row>
    <row r="362" spans="5:5" ht="15.75" customHeight="1" x14ac:dyDescent="0.2">
      <c r="E362" s="51"/>
    </row>
    <row r="363" spans="5:5" ht="15.75" customHeight="1" x14ac:dyDescent="0.2">
      <c r="E363" s="51"/>
    </row>
    <row r="364" spans="5:5" ht="15.75" customHeight="1" x14ac:dyDescent="0.2">
      <c r="E364" s="51"/>
    </row>
    <row r="365" spans="5:5" ht="15.75" customHeight="1" x14ac:dyDescent="0.2">
      <c r="E365" s="51"/>
    </row>
    <row r="366" spans="5:5" ht="15.75" customHeight="1" x14ac:dyDescent="0.2">
      <c r="E366" s="51"/>
    </row>
    <row r="367" spans="5:5" ht="15.75" customHeight="1" x14ac:dyDescent="0.2">
      <c r="E367" s="51"/>
    </row>
    <row r="368" spans="5:5" ht="15.75" customHeight="1" x14ac:dyDescent="0.2">
      <c r="E368" s="51"/>
    </row>
    <row r="369" spans="5:5" ht="15.75" customHeight="1" x14ac:dyDescent="0.2">
      <c r="E369" s="51"/>
    </row>
    <row r="370" spans="5:5" ht="15.75" customHeight="1" x14ac:dyDescent="0.2">
      <c r="E370" s="51"/>
    </row>
    <row r="371" spans="5:5" ht="15.75" customHeight="1" x14ac:dyDescent="0.2">
      <c r="E371" s="51"/>
    </row>
    <row r="372" spans="5:5" ht="15.75" customHeight="1" x14ac:dyDescent="0.2">
      <c r="E372" s="51"/>
    </row>
    <row r="373" spans="5:5" ht="15.75" customHeight="1" x14ac:dyDescent="0.2">
      <c r="E373" s="51"/>
    </row>
    <row r="374" spans="5:5" ht="15.75" customHeight="1" x14ac:dyDescent="0.2">
      <c r="E374" s="51"/>
    </row>
    <row r="375" spans="5:5" ht="15.75" customHeight="1" x14ac:dyDescent="0.2">
      <c r="E375" s="51"/>
    </row>
    <row r="376" spans="5:5" ht="15.75" customHeight="1" x14ac:dyDescent="0.2">
      <c r="E376" s="51"/>
    </row>
    <row r="377" spans="5:5" ht="15.75" customHeight="1" x14ac:dyDescent="0.2">
      <c r="E377" s="51"/>
    </row>
    <row r="378" spans="5:5" ht="15.75" customHeight="1" x14ac:dyDescent="0.2">
      <c r="E378" s="51"/>
    </row>
    <row r="379" spans="5:5" ht="15.75" customHeight="1" x14ac:dyDescent="0.2">
      <c r="E379" s="51"/>
    </row>
    <row r="380" spans="5:5" ht="15.75" customHeight="1" x14ac:dyDescent="0.2">
      <c r="E380" s="51"/>
    </row>
    <row r="381" spans="5:5" ht="15.75" customHeight="1" x14ac:dyDescent="0.2">
      <c r="E381" s="51"/>
    </row>
    <row r="382" spans="5:5" ht="15.75" customHeight="1" x14ac:dyDescent="0.2">
      <c r="E382" s="51"/>
    </row>
    <row r="383" spans="5:5" ht="15.75" customHeight="1" x14ac:dyDescent="0.2">
      <c r="E383" s="51"/>
    </row>
    <row r="384" spans="5:5" ht="15.75" customHeight="1" x14ac:dyDescent="0.2">
      <c r="E384" s="51"/>
    </row>
    <row r="385" spans="5:5" ht="15.75" customHeight="1" x14ac:dyDescent="0.2">
      <c r="E385" s="51"/>
    </row>
    <row r="386" spans="5:5" ht="15.75" customHeight="1" x14ac:dyDescent="0.2">
      <c r="E386" s="51"/>
    </row>
    <row r="387" spans="5:5" ht="15.75" customHeight="1" x14ac:dyDescent="0.2">
      <c r="E387" s="51"/>
    </row>
    <row r="388" spans="5:5" ht="15.75" customHeight="1" x14ac:dyDescent="0.2">
      <c r="E388" s="51"/>
    </row>
    <row r="389" spans="5:5" ht="15.75" customHeight="1" x14ac:dyDescent="0.2">
      <c r="E389" s="51"/>
    </row>
    <row r="390" spans="5:5" ht="15.75" customHeight="1" x14ac:dyDescent="0.2">
      <c r="E390" s="51"/>
    </row>
    <row r="391" spans="5:5" ht="15.75" customHeight="1" x14ac:dyDescent="0.2">
      <c r="E391" s="51"/>
    </row>
    <row r="392" spans="5:5" ht="15.75" customHeight="1" x14ac:dyDescent="0.2">
      <c r="E392" s="51"/>
    </row>
    <row r="393" spans="5:5" ht="15.75" customHeight="1" x14ac:dyDescent="0.2">
      <c r="E393" s="51"/>
    </row>
    <row r="394" spans="5:5" ht="15.75" customHeight="1" x14ac:dyDescent="0.2">
      <c r="E394" s="51"/>
    </row>
    <row r="395" spans="5:5" ht="15.75" customHeight="1" x14ac:dyDescent="0.2">
      <c r="E395" s="51"/>
    </row>
    <row r="396" spans="5:5" ht="15.75" customHeight="1" x14ac:dyDescent="0.2">
      <c r="E396" s="51"/>
    </row>
    <row r="397" spans="5:5" ht="15.75" customHeight="1" x14ac:dyDescent="0.2">
      <c r="E397" s="51"/>
    </row>
    <row r="398" spans="5:5" ht="15.75" customHeight="1" x14ac:dyDescent="0.2">
      <c r="E398" s="51"/>
    </row>
    <row r="399" spans="5:5" ht="15.75" customHeight="1" x14ac:dyDescent="0.2">
      <c r="E399" s="51"/>
    </row>
    <row r="400" spans="5:5" ht="15.75" customHeight="1" x14ac:dyDescent="0.2">
      <c r="E400" s="51"/>
    </row>
    <row r="401" spans="5:5" ht="15.75" customHeight="1" x14ac:dyDescent="0.2">
      <c r="E401" s="51"/>
    </row>
    <row r="402" spans="5:5" ht="15.75" customHeight="1" x14ac:dyDescent="0.2">
      <c r="E402" s="51"/>
    </row>
    <row r="403" spans="5:5" ht="15.75" customHeight="1" x14ac:dyDescent="0.2">
      <c r="E403" s="51"/>
    </row>
    <row r="404" spans="5:5" ht="15.75" customHeight="1" x14ac:dyDescent="0.2">
      <c r="E404" s="51"/>
    </row>
    <row r="405" spans="5:5" ht="15.75" customHeight="1" x14ac:dyDescent="0.2">
      <c r="E405" s="51"/>
    </row>
    <row r="406" spans="5:5" ht="15.75" customHeight="1" x14ac:dyDescent="0.2">
      <c r="E406" s="51"/>
    </row>
    <row r="407" spans="5:5" ht="15.75" customHeight="1" x14ac:dyDescent="0.2">
      <c r="E407" s="51"/>
    </row>
    <row r="408" spans="5:5" ht="15.75" customHeight="1" x14ac:dyDescent="0.2">
      <c r="E408" s="51"/>
    </row>
    <row r="409" spans="5:5" ht="15.75" customHeight="1" x14ac:dyDescent="0.2">
      <c r="E409" s="51"/>
    </row>
    <row r="410" spans="5:5" ht="15.75" customHeight="1" x14ac:dyDescent="0.2">
      <c r="E410" s="51"/>
    </row>
    <row r="411" spans="5:5" ht="15.75" customHeight="1" x14ac:dyDescent="0.2">
      <c r="E411" s="51"/>
    </row>
    <row r="412" spans="5:5" ht="15.75" customHeight="1" x14ac:dyDescent="0.2">
      <c r="E412" s="51"/>
    </row>
    <row r="413" spans="5:5" ht="15.75" customHeight="1" x14ac:dyDescent="0.2">
      <c r="E413" s="51"/>
    </row>
    <row r="414" spans="5:5" ht="15.75" customHeight="1" x14ac:dyDescent="0.2">
      <c r="E414" s="51"/>
    </row>
    <row r="415" spans="5:5" ht="15.75" customHeight="1" x14ac:dyDescent="0.2">
      <c r="E415" s="51"/>
    </row>
    <row r="416" spans="5:5" ht="15.75" customHeight="1" x14ac:dyDescent="0.2">
      <c r="E416" s="51"/>
    </row>
    <row r="417" spans="5:5" ht="15.75" customHeight="1" x14ac:dyDescent="0.2">
      <c r="E417" s="51"/>
    </row>
    <row r="418" spans="5:5" ht="15.75" customHeight="1" x14ac:dyDescent="0.2">
      <c r="E418" s="51"/>
    </row>
    <row r="419" spans="5:5" ht="15.75" customHeight="1" x14ac:dyDescent="0.2">
      <c r="E419" s="51"/>
    </row>
    <row r="420" spans="5:5" ht="15.75" customHeight="1" x14ac:dyDescent="0.2">
      <c r="E420" s="51"/>
    </row>
    <row r="421" spans="5:5" ht="15.75" customHeight="1" x14ac:dyDescent="0.2">
      <c r="E421" s="51"/>
    </row>
    <row r="422" spans="5:5" ht="15.75" customHeight="1" x14ac:dyDescent="0.2">
      <c r="E422" s="51"/>
    </row>
    <row r="423" spans="5:5" ht="15.75" customHeight="1" x14ac:dyDescent="0.2">
      <c r="E423" s="51"/>
    </row>
    <row r="424" spans="5:5" ht="15.75" customHeight="1" x14ac:dyDescent="0.2">
      <c r="E424" s="51"/>
    </row>
    <row r="425" spans="5:5" ht="15.75" customHeight="1" x14ac:dyDescent="0.2">
      <c r="E425" s="51"/>
    </row>
    <row r="426" spans="5:5" ht="15.75" customHeight="1" x14ac:dyDescent="0.2">
      <c r="E426" s="51"/>
    </row>
    <row r="427" spans="5:5" ht="15.75" customHeight="1" x14ac:dyDescent="0.2">
      <c r="E427" s="51"/>
    </row>
    <row r="428" spans="5:5" ht="15.75" customHeight="1" x14ac:dyDescent="0.2">
      <c r="E428" s="51"/>
    </row>
    <row r="429" spans="5:5" ht="15.75" customHeight="1" x14ac:dyDescent="0.2">
      <c r="E429" s="51"/>
    </row>
    <row r="430" spans="5:5" ht="15.75" customHeight="1" x14ac:dyDescent="0.2">
      <c r="E430" s="51"/>
    </row>
    <row r="431" spans="5:5" ht="15.75" customHeight="1" x14ac:dyDescent="0.2">
      <c r="E431" s="51"/>
    </row>
    <row r="432" spans="5:5" ht="15.75" customHeight="1" x14ac:dyDescent="0.2">
      <c r="E432" s="51"/>
    </row>
    <row r="433" spans="5:5" ht="15.75" customHeight="1" x14ac:dyDescent="0.2">
      <c r="E433" s="51"/>
    </row>
    <row r="434" spans="5:5" ht="15.75" customHeight="1" x14ac:dyDescent="0.2">
      <c r="E434" s="51"/>
    </row>
    <row r="435" spans="5:5" ht="15.75" customHeight="1" x14ac:dyDescent="0.2">
      <c r="E435" s="51"/>
    </row>
    <row r="436" spans="5:5" ht="15.75" customHeight="1" x14ac:dyDescent="0.2">
      <c r="E436" s="51"/>
    </row>
    <row r="437" spans="5:5" ht="15.75" customHeight="1" x14ac:dyDescent="0.2">
      <c r="E437" s="51"/>
    </row>
    <row r="438" spans="5:5" ht="15.75" customHeight="1" x14ac:dyDescent="0.2">
      <c r="E438" s="51"/>
    </row>
    <row r="439" spans="5:5" ht="15.75" customHeight="1" x14ac:dyDescent="0.2">
      <c r="E439" s="51"/>
    </row>
    <row r="440" spans="5:5" ht="15.75" customHeight="1" x14ac:dyDescent="0.2">
      <c r="E440" s="51"/>
    </row>
    <row r="441" spans="5:5" ht="15.75" customHeight="1" x14ac:dyDescent="0.2">
      <c r="E441" s="51"/>
    </row>
    <row r="442" spans="5:5" ht="15.75" customHeight="1" x14ac:dyDescent="0.2">
      <c r="E442" s="51"/>
    </row>
    <row r="443" spans="5:5" ht="15.75" customHeight="1" x14ac:dyDescent="0.2">
      <c r="E443" s="51"/>
    </row>
    <row r="444" spans="5:5" ht="15.75" customHeight="1" x14ac:dyDescent="0.2">
      <c r="E444" s="51"/>
    </row>
    <row r="445" spans="5:5" ht="15.75" customHeight="1" x14ac:dyDescent="0.2">
      <c r="E445" s="51"/>
    </row>
    <row r="446" spans="5:5" ht="15.75" customHeight="1" x14ac:dyDescent="0.2">
      <c r="E446" s="51"/>
    </row>
    <row r="447" spans="5:5" ht="15.75" customHeight="1" x14ac:dyDescent="0.2">
      <c r="E447" s="51"/>
    </row>
    <row r="448" spans="5:5" ht="15.75" customHeight="1" x14ac:dyDescent="0.2">
      <c r="E448" s="51"/>
    </row>
    <row r="449" spans="5:5" ht="15.75" customHeight="1" x14ac:dyDescent="0.2">
      <c r="E449" s="51"/>
    </row>
    <row r="450" spans="5:5" ht="15.75" customHeight="1" x14ac:dyDescent="0.2">
      <c r="E450" s="51"/>
    </row>
    <row r="451" spans="5:5" ht="15.75" customHeight="1" x14ac:dyDescent="0.2">
      <c r="E451" s="51"/>
    </row>
    <row r="452" spans="5:5" ht="15.75" customHeight="1" x14ac:dyDescent="0.2">
      <c r="E452" s="51"/>
    </row>
    <row r="453" spans="5:5" ht="15.75" customHeight="1" x14ac:dyDescent="0.2">
      <c r="E453" s="51"/>
    </row>
    <row r="454" spans="5:5" ht="15.75" customHeight="1" x14ac:dyDescent="0.2">
      <c r="E454" s="51"/>
    </row>
    <row r="455" spans="5:5" ht="15.75" customHeight="1" x14ac:dyDescent="0.2">
      <c r="E455" s="51"/>
    </row>
    <row r="456" spans="5:5" ht="15.75" customHeight="1" x14ac:dyDescent="0.2">
      <c r="E456" s="51"/>
    </row>
    <row r="457" spans="5:5" ht="15.75" customHeight="1" x14ac:dyDescent="0.2">
      <c r="E457" s="51"/>
    </row>
    <row r="458" spans="5:5" ht="15.75" customHeight="1" x14ac:dyDescent="0.2">
      <c r="E458" s="51"/>
    </row>
    <row r="459" spans="5:5" ht="15.75" customHeight="1" x14ac:dyDescent="0.2">
      <c r="E459" s="51"/>
    </row>
    <row r="460" spans="5:5" ht="15.75" customHeight="1" x14ac:dyDescent="0.2">
      <c r="E460" s="51"/>
    </row>
    <row r="461" spans="5:5" ht="15.75" customHeight="1" x14ac:dyDescent="0.2">
      <c r="E461" s="51"/>
    </row>
    <row r="462" spans="5:5" ht="15.75" customHeight="1" x14ac:dyDescent="0.2">
      <c r="E462" s="51"/>
    </row>
    <row r="463" spans="5:5" ht="15.75" customHeight="1" x14ac:dyDescent="0.2">
      <c r="E463" s="51"/>
    </row>
    <row r="464" spans="5:5" ht="15.75" customHeight="1" x14ac:dyDescent="0.2">
      <c r="E464" s="51"/>
    </row>
    <row r="465" spans="5:5" ht="15.75" customHeight="1" x14ac:dyDescent="0.2">
      <c r="E465" s="51"/>
    </row>
    <row r="466" spans="5:5" ht="15.75" customHeight="1" x14ac:dyDescent="0.2">
      <c r="E466" s="51"/>
    </row>
    <row r="467" spans="5:5" ht="15.75" customHeight="1" x14ac:dyDescent="0.2">
      <c r="E467" s="51"/>
    </row>
    <row r="468" spans="5:5" ht="15.75" customHeight="1" x14ac:dyDescent="0.2">
      <c r="E468" s="51"/>
    </row>
    <row r="469" spans="5:5" ht="15.75" customHeight="1" x14ac:dyDescent="0.2">
      <c r="E469" s="51"/>
    </row>
    <row r="470" spans="5:5" ht="15.75" customHeight="1" x14ac:dyDescent="0.2">
      <c r="E470" s="51"/>
    </row>
    <row r="471" spans="5:5" ht="15.75" customHeight="1" x14ac:dyDescent="0.2">
      <c r="E471" s="51"/>
    </row>
    <row r="472" spans="5:5" ht="15.75" customHeight="1" x14ac:dyDescent="0.2">
      <c r="E472" s="51"/>
    </row>
    <row r="473" spans="5:5" ht="15.75" customHeight="1" x14ac:dyDescent="0.2">
      <c r="E473" s="51"/>
    </row>
    <row r="474" spans="5:5" ht="15.75" customHeight="1" x14ac:dyDescent="0.2">
      <c r="E474" s="51"/>
    </row>
    <row r="475" spans="5:5" ht="15.75" customHeight="1" x14ac:dyDescent="0.2">
      <c r="E475" s="51"/>
    </row>
    <row r="476" spans="5:5" ht="15.75" customHeight="1" x14ac:dyDescent="0.2">
      <c r="E476" s="51"/>
    </row>
    <row r="477" spans="5:5" ht="15.75" customHeight="1" x14ac:dyDescent="0.2">
      <c r="E477" s="51"/>
    </row>
    <row r="478" spans="5:5" ht="15.75" customHeight="1" x14ac:dyDescent="0.2">
      <c r="E478" s="51"/>
    </row>
    <row r="479" spans="5:5" ht="15.75" customHeight="1" x14ac:dyDescent="0.2">
      <c r="E479" s="51"/>
    </row>
    <row r="480" spans="5:5" ht="15.75" customHeight="1" x14ac:dyDescent="0.2">
      <c r="E480" s="51"/>
    </row>
    <row r="481" spans="5:5" ht="15.75" customHeight="1" x14ac:dyDescent="0.2">
      <c r="E481" s="51"/>
    </row>
    <row r="482" spans="5:5" ht="15.75" customHeight="1" x14ac:dyDescent="0.2">
      <c r="E482" s="51"/>
    </row>
    <row r="483" spans="5:5" ht="15.75" customHeight="1" x14ac:dyDescent="0.2">
      <c r="E483" s="51"/>
    </row>
    <row r="484" spans="5:5" ht="15.75" customHeight="1" x14ac:dyDescent="0.2">
      <c r="E484" s="51"/>
    </row>
    <row r="485" spans="5:5" ht="15.75" customHeight="1" x14ac:dyDescent="0.2">
      <c r="E485" s="51"/>
    </row>
    <row r="486" spans="5:5" ht="15.75" customHeight="1" x14ac:dyDescent="0.2">
      <c r="E486" s="51"/>
    </row>
    <row r="487" spans="5:5" ht="15.75" customHeight="1" x14ac:dyDescent="0.2">
      <c r="E487" s="51"/>
    </row>
    <row r="488" spans="5:5" ht="15.75" customHeight="1" x14ac:dyDescent="0.2">
      <c r="E488" s="51"/>
    </row>
    <row r="489" spans="5:5" ht="15.75" customHeight="1" x14ac:dyDescent="0.2">
      <c r="E489" s="51"/>
    </row>
    <row r="490" spans="5:5" ht="15.75" customHeight="1" x14ac:dyDescent="0.2">
      <c r="E490" s="51"/>
    </row>
    <row r="491" spans="5:5" ht="15.75" customHeight="1" x14ac:dyDescent="0.2">
      <c r="E491" s="51"/>
    </row>
    <row r="492" spans="5:5" ht="15.75" customHeight="1" x14ac:dyDescent="0.2">
      <c r="E492" s="51"/>
    </row>
    <row r="493" spans="5:5" ht="15.75" customHeight="1" x14ac:dyDescent="0.2">
      <c r="E493" s="51"/>
    </row>
    <row r="494" spans="5:5" ht="15.75" customHeight="1" x14ac:dyDescent="0.2">
      <c r="E494" s="51"/>
    </row>
    <row r="495" spans="5:5" ht="15.75" customHeight="1" x14ac:dyDescent="0.2">
      <c r="E495" s="51"/>
    </row>
    <row r="496" spans="5:5" ht="15.75" customHeight="1" x14ac:dyDescent="0.2">
      <c r="E496" s="51"/>
    </row>
    <row r="497" spans="5:5" ht="15.75" customHeight="1" x14ac:dyDescent="0.2">
      <c r="E497" s="51"/>
    </row>
    <row r="498" spans="5:5" ht="15.75" customHeight="1" x14ac:dyDescent="0.2">
      <c r="E498" s="51"/>
    </row>
    <row r="499" spans="5:5" ht="15.75" customHeight="1" x14ac:dyDescent="0.2">
      <c r="E499" s="51"/>
    </row>
    <row r="500" spans="5:5" ht="15.75" customHeight="1" x14ac:dyDescent="0.2">
      <c r="E500" s="51"/>
    </row>
    <row r="501" spans="5:5" ht="15.75" customHeight="1" x14ac:dyDescent="0.2">
      <c r="E501" s="51"/>
    </row>
    <row r="502" spans="5:5" ht="15.75" customHeight="1" x14ac:dyDescent="0.2">
      <c r="E502" s="51"/>
    </row>
    <row r="503" spans="5:5" ht="15.75" customHeight="1" x14ac:dyDescent="0.2">
      <c r="E503" s="51"/>
    </row>
    <row r="504" spans="5:5" ht="15.75" customHeight="1" x14ac:dyDescent="0.2">
      <c r="E504" s="51"/>
    </row>
    <row r="505" spans="5:5" ht="15.75" customHeight="1" x14ac:dyDescent="0.2">
      <c r="E505" s="51"/>
    </row>
    <row r="506" spans="5:5" ht="15.75" customHeight="1" x14ac:dyDescent="0.2">
      <c r="E506" s="51"/>
    </row>
    <row r="507" spans="5:5" ht="15.75" customHeight="1" x14ac:dyDescent="0.2">
      <c r="E507" s="51"/>
    </row>
    <row r="508" spans="5:5" ht="15.75" customHeight="1" x14ac:dyDescent="0.2">
      <c r="E508" s="51"/>
    </row>
    <row r="509" spans="5:5" ht="15.75" customHeight="1" x14ac:dyDescent="0.2">
      <c r="E509" s="51"/>
    </row>
    <row r="510" spans="5:5" ht="15.75" customHeight="1" x14ac:dyDescent="0.2">
      <c r="E510" s="51"/>
    </row>
    <row r="511" spans="5:5" ht="15.75" customHeight="1" x14ac:dyDescent="0.2">
      <c r="E511" s="51"/>
    </row>
    <row r="512" spans="5:5" ht="15.75" customHeight="1" x14ac:dyDescent="0.2">
      <c r="E512" s="51"/>
    </row>
    <row r="513" spans="5:5" ht="15.75" customHeight="1" x14ac:dyDescent="0.2">
      <c r="E513" s="51"/>
    </row>
    <row r="514" spans="5:5" ht="15.75" customHeight="1" x14ac:dyDescent="0.2">
      <c r="E514" s="51"/>
    </row>
    <row r="515" spans="5:5" ht="15.75" customHeight="1" x14ac:dyDescent="0.2">
      <c r="E515" s="51"/>
    </row>
    <row r="516" spans="5:5" ht="15.75" customHeight="1" x14ac:dyDescent="0.2">
      <c r="E516" s="51"/>
    </row>
    <row r="517" spans="5:5" ht="15.75" customHeight="1" x14ac:dyDescent="0.2">
      <c r="E517" s="51"/>
    </row>
    <row r="518" spans="5:5" ht="15.75" customHeight="1" x14ac:dyDescent="0.2">
      <c r="E518" s="51"/>
    </row>
    <row r="519" spans="5:5" ht="15.75" customHeight="1" x14ac:dyDescent="0.2">
      <c r="E519" s="51"/>
    </row>
    <row r="520" spans="5:5" ht="15.75" customHeight="1" x14ac:dyDescent="0.2">
      <c r="E520" s="51"/>
    </row>
    <row r="521" spans="5:5" ht="15.75" customHeight="1" x14ac:dyDescent="0.2">
      <c r="E521" s="51"/>
    </row>
    <row r="522" spans="5:5" ht="15.75" customHeight="1" x14ac:dyDescent="0.2">
      <c r="E522" s="51"/>
    </row>
    <row r="523" spans="5:5" ht="15.75" customHeight="1" x14ac:dyDescent="0.2">
      <c r="E523" s="51"/>
    </row>
    <row r="524" spans="5:5" ht="15.75" customHeight="1" x14ac:dyDescent="0.2">
      <c r="E524" s="51"/>
    </row>
    <row r="525" spans="5:5" ht="15.75" customHeight="1" x14ac:dyDescent="0.2">
      <c r="E525" s="51"/>
    </row>
    <row r="526" spans="5:5" ht="15.75" customHeight="1" x14ac:dyDescent="0.2">
      <c r="E526" s="51"/>
    </row>
    <row r="527" spans="5:5" ht="15.75" customHeight="1" x14ac:dyDescent="0.2">
      <c r="E527" s="51"/>
    </row>
    <row r="528" spans="5:5" ht="15.75" customHeight="1" x14ac:dyDescent="0.2">
      <c r="E528" s="51"/>
    </row>
    <row r="529" spans="5:5" ht="15.75" customHeight="1" x14ac:dyDescent="0.2">
      <c r="E529" s="51"/>
    </row>
    <row r="530" spans="5:5" ht="15.75" customHeight="1" x14ac:dyDescent="0.2">
      <c r="E530" s="51"/>
    </row>
    <row r="531" spans="5:5" ht="15.75" customHeight="1" x14ac:dyDescent="0.2">
      <c r="E531" s="51"/>
    </row>
    <row r="532" spans="5:5" ht="15.75" customHeight="1" x14ac:dyDescent="0.2">
      <c r="E532" s="51"/>
    </row>
    <row r="533" spans="5:5" ht="15.75" customHeight="1" x14ac:dyDescent="0.2">
      <c r="E533" s="51"/>
    </row>
    <row r="534" spans="5:5" ht="15.75" customHeight="1" x14ac:dyDescent="0.2">
      <c r="E534" s="51"/>
    </row>
    <row r="535" spans="5:5" ht="15.75" customHeight="1" x14ac:dyDescent="0.2">
      <c r="E535" s="51"/>
    </row>
    <row r="536" spans="5:5" ht="15.75" customHeight="1" x14ac:dyDescent="0.2">
      <c r="E536" s="51"/>
    </row>
    <row r="537" spans="5:5" ht="15.75" customHeight="1" x14ac:dyDescent="0.2">
      <c r="E537" s="51"/>
    </row>
    <row r="538" spans="5:5" ht="15.75" customHeight="1" x14ac:dyDescent="0.2">
      <c r="E538" s="51"/>
    </row>
    <row r="539" spans="5:5" ht="15.75" customHeight="1" x14ac:dyDescent="0.2">
      <c r="E539" s="51"/>
    </row>
    <row r="540" spans="5:5" ht="15.75" customHeight="1" x14ac:dyDescent="0.2">
      <c r="E540" s="51"/>
    </row>
    <row r="541" spans="5:5" ht="15.75" customHeight="1" x14ac:dyDescent="0.2">
      <c r="E541" s="51"/>
    </row>
    <row r="542" spans="5:5" ht="15.75" customHeight="1" x14ac:dyDescent="0.2">
      <c r="E542" s="51"/>
    </row>
    <row r="543" spans="5:5" ht="15.75" customHeight="1" x14ac:dyDescent="0.2">
      <c r="E543" s="51"/>
    </row>
    <row r="544" spans="5:5" ht="15.75" customHeight="1" x14ac:dyDescent="0.2">
      <c r="E544" s="51"/>
    </row>
    <row r="545" spans="5:5" ht="15.75" customHeight="1" x14ac:dyDescent="0.2">
      <c r="E545" s="51"/>
    </row>
    <row r="546" spans="5:5" ht="15.75" customHeight="1" x14ac:dyDescent="0.2">
      <c r="E546" s="51"/>
    </row>
    <row r="547" spans="5:5" ht="15.75" customHeight="1" x14ac:dyDescent="0.2">
      <c r="E547" s="51"/>
    </row>
    <row r="548" spans="5:5" ht="15.75" customHeight="1" x14ac:dyDescent="0.2">
      <c r="E548" s="51"/>
    </row>
    <row r="549" spans="5:5" ht="15.75" customHeight="1" x14ac:dyDescent="0.2">
      <c r="E549" s="51"/>
    </row>
    <row r="550" spans="5:5" ht="15.75" customHeight="1" x14ac:dyDescent="0.2">
      <c r="E550" s="51"/>
    </row>
    <row r="551" spans="5:5" ht="15.75" customHeight="1" x14ac:dyDescent="0.2">
      <c r="E551" s="51"/>
    </row>
    <row r="552" spans="5:5" ht="15.75" customHeight="1" x14ac:dyDescent="0.2">
      <c r="E552" s="51"/>
    </row>
    <row r="553" spans="5:5" ht="15.75" customHeight="1" x14ac:dyDescent="0.2">
      <c r="E553" s="51"/>
    </row>
    <row r="554" spans="5:5" ht="15.75" customHeight="1" x14ac:dyDescent="0.2">
      <c r="E554" s="51"/>
    </row>
    <row r="555" spans="5:5" ht="15.75" customHeight="1" x14ac:dyDescent="0.2">
      <c r="E555" s="51"/>
    </row>
    <row r="556" spans="5:5" ht="15.75" customHeight="1" x14ac:dyDescent="0.2">
      <c r="E556" s="51"/>
    </row>
    <row r="557" spans="5:5" ht="15.75" customHeight="1" x14ac:dyDescent="0.2">
      <c r="E557" s="51"/>
    </row>
    <row r="558" spans="5:5" ht="15.75" customHeight="1" x14ac:dyDescent="0.2">
      <c r="E558" s="51"/>
    </row>
    <row r="559" spans="5:5" ht="15.75" customHeight="1" x14ac:dyDescent="0.2">
      <c r="E559" s="51"/>
    </row>
    <row r="560" spans="5:5" ht="15.75" customHeight="1" x14ac:dyDescent="0.2">
      <c r="E560" s="51"/>
    </row>
    <row r="561" spans="5:5" ht="15.75" customHeight="1" x14ac:dyDescent="0.2">
      <c r="E561" s="51"/>
    </row>
    <row r="562" spans="5:5" ht="15.75" customHeight="1" x14ac:dyDescent="0.2">
      <c r="E562" s="51"/>
    </row>
    <row r="563" spans="5:5" ht="15.75" customHeight="1" x14ac:dyDescent="0.2">
      <c r="E563" s="51"/>
    </row>
    <row r="564" spans="5:5" ht="15.75" customHeight="1" x14ac:dyDescent="0.2">
      <c r="E564" s="51"/>
    </row>
    <row r="565" spans="5:5" ht="15.75" customHeight="1" x14ac:dyDescent="0.2">
      <c r="E565" s="51"/>
    </row>
    <row r="566" spans="5:5" ht="15.75" customHeight="1" x14ac:dyDescent="0.2">
      <c r="E566" s="51"/>
    </row>
    <row r="567" spans="5:5" ht="15.75" customHeight="1" x14ac:dyDescent="0.2">
      <c r="E567" s="51"/>
    </row>
    <row r="568" spans="5:5" ht="15.75" customHeight="1" x14ac:dyDescent="0.2">
      <c r="E568" s="51"/>
    </row>
    <row r="569" spans="5:5" ht="15.75" customHeight="1" x14ac:dyDescent="0.2">
      <c r="E569" s="51"/>
    </row>
    <row r="570" spans="5:5" ht="15.75" customHeight="1" x14ac:dyDescent="0.2">
      <c r="E570" s="51"/>
    </row>
    <row r="571" spans="5:5" ht="15.75" customHeight="1" x14ac:dyDescent="0.2">
      <c r="E571" s="51"/>
    </row>
    <row r="572" spans="5:5" ht="15.75" customHeight="1" x14ac:dyDescent="0.2">
      <c r="E572" s="51"/>
    </row>
    <row r="573" spans="5:5" ht="15.75" customHeight="1" x14ac:dyDescent="0.2">
      <c r="E573" s="51"/>
    </row>
    <row r="574" spans="5:5" ht="15.75" customHeight="1" x14ac:dyDescent="0.2">
      <c r="E574" s="51"/>
    </row>
    <row r="575" spans="5:5" ht="15.75" customHeight="1" x14ac:dyDescent="0.2">
      <c r="E575" s="51"/>
    </row>
    <row r="576" spans="5:5" ht="15.75" customHeight="1" x14ac:dyDescent="0.2">
      <c r="E576" s="51"/>
    </row>
    <row r="577" spans="5:5" ht="15.75" customHeight="1" x14ac:dyDescent="0.2">
      <c r="E577" s="51"/>
    </row>
    <row r="578" spans="5:5" ht="15.75" customHeight="1" x14ac:dyDescent="0.2">
      <c r="E578" s="51"/>
    </row>
    <row r="579" spans="5:5" ht="15.75" customHeight="1" x14ac:dyDescent="0.2">
      <c r="E579" s="51"/>
    </row>
    <row r="580" spans="5:5" ht="15.75" customHeight="1" x14ac:dyDescent="0.2">
      <c r="E580" s="51"/>
    </row>
    <row r="581" spans="5:5" ht="15.75" customHeight="1" x14ac:dyDescent="0.2">
      <c r="E581" s="51"/>
    </row>
    <row r="582" spans="5:5" ht="15.75" customHeight="1" x14ac:dyDescent="0.2">
      <c r="E582" s="51"/>
    </row>
    <row r="583" spans="5:5" ht="15.75" customHeight="1" x14ac:dyDescent="0.2">
      <c r="E583" s="51"/>
    </row>
    <row r="584" spans="5:5" ht="15.75" customHeight="1" x14ac:dyDescent="0.2">
      <c r="E584" s="51"/>
    </row>
    <row r="585" spans="5:5" ht="15.75" customHeight="1" x14ac:dyDescent="0.2">
      <c r="E585" s="51"/>
    </row>
    <row r="586" spans="5:5" ht="15.75" customHeight="1" x14ac:dyDescent="0.2">
      <c r="E586" s="51"/>
    </row>
    <row r="587" spans="5:5" ht="15.75" customHeight="1" x14ac:dyDescent="0.2">
      <c r="E587" s="51"/>
    </row>
    <row r="588" spans="5:5" ht="15.75" customHeight="1" x14ac:dyDescent="0.2">
      <c r="E588" s="51"/>
    </row>
    <row r="589" spans="5:5" ht="15.75" customHeight="1" x14ac:dyDescent="0.2">
      <c r="E589" s="51"/>
    </row>
    <row r="590" spans="5:5" ht="15.75" customHeight="1" x14ac:dyDescent="0.2">
      <c r="E590" s="51"/>
    </row>
    <row r="591" spans="5:5" ht="15.75" customHeight="1" x14ac:dyDescent="0.2">
      <c r="E591" s="51"/>
    </row>
    <row r="592" spans="5:5" ht="15.75" customHeight="1" x14ac:dyDescent="0.2">
      <c r="E592" s="51"/>
    </row>
    <row r="593" spans="5:5" ht="15.75" customHeight="1" x14ac:dyDescent="0.2">
      <c r="E593" s="51"/>
    </row>
    <row r="594" spans="5:5" ht="15.75" customHeight="1" x14ac:dyDescent="0.2">
      <c r="E594" s="51"/>
    </row>
    <row r="595" spans="5:5" ht="15.75" customHeight="1" x14ac:dyDescent="0.2">
      <c r="E595" s="51"/>
    </row>
    <row r="596" spans="5:5" ht="15.75" customHeight="1" x14ac:dyDescent="0.2">
      <c r="E596" s="51"/>
    </row>
    <row r="597" spans="5:5" ht="15.75" customHeight="1" x14ac:dyDescent="0.2">
      <c r="E597" s="51"/>
    </row>
    <row r="598" spans="5:5" ht="15.75" customHeight="1" x14ac:dyDescent="0.2">
      <c r="E598" s="51"/>
    </row>
    <row r="599" spans="5:5" ht="15.75" customHeight="1" x14ac:dyDescent="0.2">
      <c r="E599" s="51"/>
    </row>
    <row r="600" spans="5:5" ht="15.75" customHeight="1" x14ac:dyDescent="0.2">
      <c r="E600" s="51"/>
    </row>
    <row r="601" spans="5:5" ht="15.75" customHeight="1" x14ac:dyDescent="0.2">
      <c r="E601" s="51"/>
    </row>
    <row r="602" spans="5:5" ht="15.75" customHeight="1" x14ac:dyDescent="0.2">
      <c r="E602" s="51"/>
    </row>
    <row r="603" spans="5:5" ht="15.75" customHeight="1" x14ac:dyDescent="0.2">
      <c r="E603" s="51"/>
    </row>
    <row r="604" spans="5:5" ht="15.75" customHeight="1" x14ac:dyDescent="0.2">
      <c r="E604" s="51"/>
    </row>
    <row r="605" spans="5:5" ht="15.75" customHeight="1" x14ac:dyDescent="0.2">
      <c r="E605" s="51"/>
    </row>
    <row r="606" spans="5:5" ht="15.75" customHeight="1" x14ac:dyDescent="0.2">
      <c r="E606" s="51"/>
    </row>
    <row r="607" spans="5:5" ht="15.75" customHeight="1" x14ac:dyDescent="0.2">
      <c r="E607" s="51"/>
    </row>
    <row r="608" spans="5:5" ht="15.75" customHeight="1" x14ac:dyDescent="0.2">
      <c r="E608" s="51"/>
    </row>
    <row r="609" spans="5:5" ht="15.75" customHeight="1" x14ac:dyDescent="0.2">
      <c r="E609" s="51"/>
    </row>
    <row r="610" spans="5:5" ht="15.75" customHeight="1" x14ac:dyDescent="0.2">
      <c r="E610" s="51"/>
    </row>
    <row r="611" spans="5:5" ht="15.75" customHeight="1" x14ac:dyDescent="0.2">
      <c r="E611" s="51"/>
    </row>
    <row r="612" spans="5:5" ht="15.75" customHeight="1" x14ac:dyDescent="0.2">
      <c r="E612" s="51"/>
    </row>
    <row r="613" spans="5:5" ht="15.75" customHeight="1" x14ac:dyDescent="0.2">
      <c r="E613" s="51"/>
    </row>
    <row r="614" spans="5:5" ht="15.75" customHeight="1" x14ac:dyDescent="0.2">
      <c r="E614" s="51"/>
    </row>
    <row r="615" spans="5:5" ht="15.75" customHeight="1" x14ac:dyDescent="0.2">
      <c r="E615" s="51"/>
    </row>
    <row r="616" spans="5:5" ht="15.75" customHeight="1" x14ac:dyDescent="0.2">
      <c r="E616" s="51"/>
    </row>
    <row r="617" spans="5:5" ht="15.75" customHeight="1" x14ac:dyDescent="0.2">
      <c r="E617" s="51"/>
    </row>
    <row r="618" spans="5:5" ht="15.75" customHeight="1" x14ac:dyDescent="0.2">
      <c r="E618" s="51"/>
    </row>
    <row r="619" spans="5:5" ht="15.75" customHeight="1" x14ac:dyDescent="0.2">
      <c r="E619" s="51"/>
    </row>
    <row r="620" spans="5:5" ht="15.75" customHeight="1" x14ac:dyDescent="0.2">
      <c r="E620" s="51"/>
    </row>
    <row r="621" spans="5:5" ht="15.75" customHeight="1" x14ac:dyDescent="0.2">
      <c r="E621" s="51"/>
    </row>
    <row r="622" spans="5:5" ht="15.75" customHeight="1" x14ac:dyDescent="0.2">
      <c r="E622" s="51"/>
    </row>
    <row r="623" spans="5:5" ht="15.75" customHeight="1" x14ac:dyDescent="0.2">
      <c r="E623" s="51"/>
    </row>
    <row r="624" spans="5:5" ht="15.75" customHeight="1" x14ac:dyDescent="0.2">
      <c r="E624" s="51"/>
    </row>
    <row r="625" spans="5:5" ht="15.75" customHeight="1" x14ac:dyDescent="0.2">
      <c r="E625" s="51"/>
    </row>
    <row r="626" spans="5:5" ht="15.75" customHeight="1" x14ac:dyDescent="0.2">
      <c r="E626" s="51"/>
    </row>
    <row r="627" spans="5:5" ht="15.75" customHeight="1" x14ac:dyDescent="0.2">
      <c r="E627" s="51"/>
    </row>
    <row r="628" spans="5:5" ht="15.75" customHeight="1" x14ac:dyDescent="0.2">
      <c r="E628" s="51"/>
    </row>
    <row r="629" spans="5:5" ht="15.75" customHeight="1" x14ac:dyDescent="0.2">
      <c r="E629" s="51"/>
    </row>
    <row r="630" spans="5:5" ht="15.75" customHeight="1" x14ac:dyDescent="0.2">
      <c r="E630" s="51"/>
    </row>
    <row r="631" spans="5:5" ht="15.75" customHeight="1" x14ac:dyDescent="0.2">
      <c r="E631" s="51"/>
    </row>
    <row r="632" spans="5:5" ht="15.75" customHeight="1" x14ac:dyDescent="0.2">
      <c r="E632" s="51"/>
    </row>
    <row r="633" spans="5:5" ht="15.75" customHeight="1" x14ac:dyDescent="0.2">
      <c r="E633" s="51"/>
    </row>
    <row r="634" spans="5:5" ht="15.75" customHeight="1" x14ac:dyDescent="0.2">
      <c r="E634" s="51"/>
    </row>
    <row r="635" spans="5:5" ht="15.75" customHeight="1" x14ac:dyDescent="0.2">
      <c r="E635" s="51"/>
    </row>
    <row r="636" spans="5:5" ht="15.75" customHeight="1" x14ac:dyDescent="0.2">
      <c r="E636" s="51"/>
    </row>
    <row r="637" spans="5:5" ht="15.75" customHeight="1" x14ac:dyDescent="0.2">
      <c r="E637" s="51"/>
    </row>
    <row r="638" spans="5:5" ht="15.75" customHeight="1" x14ac:dyDescent="0.2">
      <c r="E638" s="51"/>
    </row>
    <row r="639" spans="5:5" ht="15.75" customHeight="1" x14ac:dyDescent="0.2">
      <c r="E639" s="51"/>
    </row>
    <row r="640" spans="5:5" ht="15.75" customHeight="1" x14ac:dyDescent="0.2">
      <c r="E640" s="51"/>
    </row>
    <row r="641" spans="5:5" ht="15.75" customHeight="1" x14ac:dyDescent="0.2">
      <c r="E641" s="51"/>
    </row>
    <row r="642" spans="5:5" ht="15.75" customHeight="1" x14ac:dyDescent="0.2">
      <c r="E642" s="51"/>
    </row>
    <row r="643" spans="5:5" ht="15.75" customHeight="1" x14ac:dyDescent="0.2">
      <c r="E643" s="51"/>
    </row>
    <row r="644" spans="5:5" ht="15.75" customHeight="1" x14ac:dyDescent="0.2">
      <c r="E644" s="51"/>
    </row>
    <row r="645" spans="5:5" ht="15.75" customHeight="1" x14ac:dyDescent="0.2">
      <c r="E645" s="51"/>
    </row>
    <row r="646" spans="5:5" ht="15.75" customHeight="1" x14ac:dyDescent="0.2">
      <c r="E646" s="51"/>
    </row>
    <row r="647" spans="5:5" ht="15.75" customHeight="1" x14ac:dyDescent="0.2">
      <c r="E647" s="51"/>
    </row>
    <row r="648" spans="5:5" ht="15.75" customHeight="1" x14ac:dyDescent="0.2">
      <c r="E648" s="51"/>
    </row>
    <row r="649" spans="5:5" ht="15.75" customHeight="1" x14ac:dyDescent="0.2">
      <c r="E649" s="51"/>
    </row>
    <row r="650" spans="5:5" ht="15.75" customHeight="1" x14ac:dyDescent="0.2">
      <c r="E650" s="51"/>
    </row>
    <row r="651" spans="5:5" ht="15.75" customHeight="1" x14ac:dyDescent="0.2">
      <c r="E651" s="51"/>
    </row>
    <row r="652" spans="5:5" ht="15.75" customHeight="1" x14ac:dyDescent="0.2">
      <c r="E652" s="51"/>
    </row>
    <row r="653" spans="5:5" ht="15.75" customHeight="1" x14ac:dyDescent="0.2">
      <c r="E653" s="51"/>
    </row>
    <row r="654" spans="5:5" ht="15.75" customHeight="1" x14ac:dyDescent="0.2">
      <c r="E654" s="51"/>
    </row>
    <row r="655" spans="5:5" ht="15.75" customHeight="1" x14ac:dyDescent="0.2">
      <c r="E655" s="51"/>
    </row>
    <row r="656" spans="5:5" ht="15.75" customHeight="1" x14ac:dyDescent="0.2">
      <c r="E656" s="51"/>
    </row>
    <row r="657" spans="5:5" ht="15.75" customHeight="1" x14ac:dyDescent="0.2">
      <c r="E657" s="51"/>
    </row>
    <row r="658" spans="5:5" ht="15.75" customHeight="1" x14ac:dyDescent="0.2">
      <c r="E658" s="51"/>
    </row>
    <row r="659" spans="5:5" ht="15.75" customHeight="1" x14ac:dyDescent="0.2">
      <c r="E659" s="51"/>
    </row>
    <row r="660" spans="5:5" ht="15.75" customHeight="1" x14ac:dyDescent="0.2">
      <c r="E660" s="51"/>
    </row>
    <row r="661" spans="5:5" ht="15.75" customHeight="1" x14ac:dyDescent="0.2">
      <c r="E661" s="51"/>
    </row>
    <row r="662" spans="5:5" ht="15.75" customHeight="1" x14ac:dyDescent="0.2">
      <c r="E662" s="51"/>
    </row>
    <row r="663" spans="5:5" ht="15.75" customHeight="1" x14ac:dyDescent="0.2">
      <c r="E663" s="51"/>
    </row>
    <row r="664" spans="5:5" ht="15.75" customHeight="1" x14ac:dyDescent="0.2">
      <c r="E664" s="51"/>
    </row>
    <row r="665" spans="5:5" ht="15.75" customHeight="1" x14ac:dyDescent="0.2">
      <c r="E665" s="51"/>
    </row>
    <row r="666" spans="5:5" ht="15.75" customHeight="1" x14ac:dyDescent="0.2">
      <c r="E666" s="51"/>
    </row>
    <row r="667" spans="5:5" ht="15.75" customHeight="1" x14ac:dyDescent="0.2">
      <c r="E667" s="51"/>
    </row>
    <row r="668" spans="5:5" ht="15.75" customHeight="1" x14ac:dyDescent="0.2">
      <c r="E668" s="51"/>
    </row>
    <row r="669" spans="5:5" ht="15.75" customHeight="1" x14ac:dyDescent="0.2">
      <c r="E669" s="51"/>
    </row>
    <row r="670" spans="5:5" ht="15.75" customHeight="1" x14ac:dyDescent="0.2">
      <c r="E670" s="51"/>
    </row>
    <row r="671" spans="5:5" ht="15.75" customHeight="1" x14ac:dyDescent="0.2">
      <c r="E671" s="51"/>
    </row>
    <row r="672" spans="5:5" ht="15.75" customHeight="1" x14ac:dyDescent="0.2">
      <c r="E672" s="51"/>
    </row>
    <row r="673" spans="5:5" ht="15.75" customHeight="1" x14ac:dyDescent="0.2">
      <c r="E673" s="51"/>
    </row>
    <row r="674" spans="5:5" ht="15.75" customHeight="1" x14ac:dyDescent="0.2">
      <c r="E674" s="51"/>
    </row>
    <row r="675" spans="5:5" ht="15.75" customHeight="1" x14ac:dyDescent="0.2">
      <c r="E675" s="51"/>
    </row>
    <row r="676" spans="5:5" ht="15.75" customHeight="1" x14ac:dyDescent="0.2">
      <c r="E676" s="51"/>
    </row>
    <row r="677" spans="5:5" ht="15.75" customHeight="1" x14ac:dyDescent="0.2">
      <c r="E677" s="51"/>
    </row>
    <row r="678" spans="5:5" ht="15.75" customHeight="1" x14ac:dyDescent="0.2">
      <c r="E678" s="51"/>
    </row>
    <row r="679" spans="5:5" ht="15.75" customHeight="1" x14ac:dyDescent="0.2">
      <c r="E679" s="51"/>
    </row>
    <row r="680" spans="5:5" ht="15.75" customHeight="1" x14ac:dyDescent="0.2">
      <c r="E680" s="51"/>
    </row>
    <row r="681" spans="5:5" ht="15.75" customHeight="1" x14ac:dyDescent="0.2">
      <c r="E681" s="51"/>
    </row>
    <row r="682" spans="5:5" ht="15.75" customHeight="1" x14ac:dyDescent="0.2">
      <c r="E682" s="51"/>
    </row>
    <row r="683" spans="5:5" ht="15.75" customHeight="1" x14ac:dyDescent="0.2">
      <c r="E683" s="51"/>
    </row>
    <row r="684" spans="5:5" ht="15.75" customHeight="1" x14ac:dyDescent="0.2">
      <c r="E684" s="51"/>
    </row>
    <row r="685" spans="5:5" ht="15.75" customHeight="1" x14ac:dyDescent="0.2">
      <c r="E685" s="51"/>
    </row>
    <row r="686" spans="5:5" ht="15.75" customHeight="1" x14ac:dyDescent="0.2">
      <c r="E686" s="51"/>
    </row>
    <row r="687" spans="5:5" ht="15.75" customHeight="1" x14ac:dyDescent="0.2">
      <c r="E687" s="51"/>
    </row>
    <row r="688" spans="5:5" ht="15.75" customHeight="1" x14ac:dyDescent="0.2">
      <c r="E688" s="51"/>
    </row>
    <row r="689" spans="5:5" ht="15.75" customHeight="1" x14ac:dyDescent="0.2">
      <c r="E689" s="51"/>
    </row>
    <row r="690" spans="5:5" ht="15.75" customHeight="1" x14ac:dyDescent="0.2">
      <c r="E690" s="51"/>
    </row>
    <row r="691" spans="5:5" ht="15.75" customHeight="1" x14ac:dyDescent="0.2">
      <c r="E691" s="51"/>
    </row>
    <row r="692" spans="5:5" ht="15.75" customHeight="1" x14ac:dyDescent="0.2">
      <c r="E692" s="51"/>
    </row>
    <row r="693" spans="5:5" ht="15.75" customHeight="1" x14ac:dyDescent="0.2">
      <c r="E693" s="51"/>
    </row>
    <row r="694" spans="5:5" ht="15.75" customHeight="1" x14ac:dyDescent="0.2">
      <c r="E694" s="51"/>
    </row>
    <row r="695" spans="5:5" ht="15.75" customHeight="1" x14ac:dyDescent="0.2">
      <c r="E695" s="51"/>
    </row>
    <row r="696" spans="5:5" ht="15.75" customHeight="1" x14ac:dyDescent="0.2">
      <c r="E696" s="51"/>
    </row>
    <row r="697" spans="5:5" ht="15.75" customHeight="1" x14ac:dyDescent="0.2">
      <c r="E697" s="51"/>
    </row>
    <row r="698" spans="5:5" ht="15.75" customHeight="1" x14ac:dyDescent="0.2">
      <c r="E698" s="51"/>
    </row>
    <row r="699" spans="5:5" ht="15.75" customHeight="1" x14ac:dyDescent="0.2">
      <c r="E699" s="51"/>
    </row>
    <row r="700" spans="5:5" ht="15.75" customHeight="1" x14ac:dyDescent="0.2">
      <c r="E700" s="51"/>
    </row>
    <row r="701" spans="5:5" ht="15.75" customHeight="1" x14ac:dyDescent="0.2">
      <c r="E701" s="51"/>
    </row>
    <row r="702" spans="5:5" ht="15.75" customHeight="1" x14ac:dyDescent="0.2">
      <c r="E702" s="51"/>
    </row>
    <row r="703" spans="5:5" ht="15.75" customHeight="1" x14ac:dyDescent="0.2">
      <c r="E703" s="51"/>
    </row>
    <row r="704" spans="5:5" ht="15.75" customHeight="1" x14ac:dyDescent="0.2">
      <c r="E704" s="51"/>
    </row>
    <row r="705" spans="5:5" ht="15.75" customHeight="1" x14ac:dyDescent="0.2">
      <c r="E705" s="51"/>
    </row>
    <row r="706" spans="5:5" ht="15.75" customHeight="1" x14ac:dyDescent="0.2">
      <c r="E706" s="51"/>
    </row>
    <row r="707" spans="5:5" ht="15.75" customHeight="1" x14ac:dyDescent="0.2">
      <c r="E707" s="51"/>
    </row>
    <row r="708" spans="5:5" ht="15.75" customHeight="1" x14ac:dyDescent="0.2">
      <c r="E708" s="51"/>
    </row>
    <row r="709" spans="5:5" ht="15.75" customHeight="1" x14ac:dyDescent="0.2">
      <c r="E709" s="51"/>
    </row>
    <row r="710" spans="5:5" ht="15.75" customHeight="1" x14ac:dyDescent="0.2">
      <c r="E710" s="51"/>
    </row>
    <row r="711" spans="5:5" ht="15.75" customHeight="1" x14ac:dyDescent="0.2">
      <c r="E711" s="51"/>
    </row>
    <row r="712" spans="5:5" ht="15.75" customHeight="1" x14ac:dyDescent="0.2">
      <c r="E712" s="51"/>
    </row>
    <row r="713" spans="5:5" ht="15.75" customHeight="1" x14ac:dyDescent="0.2">
      <c r="E713" s="51"/>
    </row>
    <row r="714" spans="5:5" ht="15.75" customHeight="1" x14ac:dyDescent="0.2">
      <c r="E714" s="51"/>
    </row>
    <row r="715" spans="5:5" ht="15.75" customHeight="1" x14ac:dyDescent="0.2">
      <c r="E715" s="51"/>
    </row>
    <row r="716" spans="5:5" ht="15.75" customHeight="1" x14ac:dyDescent="0.2">
      <c r="E716" s="51"/>
    </row>
    <row r="717" spans="5:5" ht="15.75" customHeight="1" x14ac:dyDescent="0.2">
      <c r="E717" s="51"/>
    </row>
    <row r="718" spans="5:5" ht="15.75" customHeight="1" x14ac:dyDescent="0.2">
      <c r="E718" s="51"/>
    </row>
    <row r="719" spans="5:5" ht="15.75" customHeight="1" x14ac:dyDescent="0.2">
      <c r="E719" s="51"/>
    </row>
    <row r="720" spans="5:5" ht="15.75" customHeight="1" x14ac:dyDescent="0.2">
      <c r="E720" s="51"/>
    </row>
    <row r="721" spans="5:5" ht="15.75" customHeight="1" x14ac:dyDescent="0.2">
      <c r="E721" s="51"/>
    </row>
    <row r="722" spans="5:5" ht="15.75" customHeight="1" x14ac:dyDescent="0.2">
      <c r="E722" s="51"/>
    </row>
    <row r="723" spans="5:5" ht="15.75" customHeight="1" x14ac:dyDescent="0.2">
      <c r="E723" s="51"/>
    </row>
    <row r="724" spans="5:5" ht="15.75" customHeight="1" x14ac:dyDescent="0.2">
      <c r="E724" s="51"/>
    </row>
    <row r="725" spans="5:5" ht="15.75" customHeight="1" x14ac:dyDescent="0.2">
      <c r="E725" s="51"/>
    </row>
    <row r="726" spans="5:5" ht="15.75" customHeight="1" x14ac:dyDescent="0.2">
      <c r="E726" s="51"/>
    </row>
    <row r="727" spans="5:5" ht="15.75" customHeight="1" x14ac:dyDescent="0.2">
      <c r="E727" s="51"/>
    </row>
    <row r="728" spans="5:5" ht="15.75" customHeight="1" x14ac:dyDescent="0.2">
      <c r="E728" s="51"/>
    </row>
    <row r="729" spans="5:5" ht="15.75" customHeight="1" x14ac:dyDescent="0.2">
      <c r="E729" s="51"/>
    </row>
    <row r="730" spans="5:5" ht="15.75" customHeight="1" x14ac:dyDescent="0.2">
      <c r="E730" s="51"/>
    </row>
    <row r="731" spans="5:5" ht="15.75" customHeight="1" x14ac:dyDescent="0.2">
      <c r="E731" s="51"/>
    </row>
    <row r="732" spans="5:5" ht="15.75" customHeight="1" x14ac:dyDescent="0.2">
      <c r="E732" s="51"/>
    </row>
    <row r="733" spans="5:5" ht="15.75" customHeight="1" x14ac:dyDescent="0.2">
      <c r="E733" s="51"/>
    </row>
    <row r="734" spans="5:5" ht="15.75" customHeight="1" x14ac:dyDescent="0.2">
      <c r="E734" s="51"/>
    </row>
    <row r="735" spans="5:5" ht="15.75" customHeight="1" x14ac:dyDescent="0.2">
      <c r="E735" s="51"/>
    </row>
    <row r="736" spans="5:5" ht="15.75" customHeight="1" x14ac:dyDescent="0.2">
      <c r="E736" s="51"/>
    </row>
    <row r="737" spans="5:5" ht="15.75" customHeight="1" x14ac:dyDescent="0.2">
      <c r="E737" s="51"/>
    </row>
    <row r="738" spans="5:5" ht="15.75" customHeight="1" x14ac:dyDescent="0.2">
      <c r="E738" s="51"/>
    </row>
    <row r="739" spans="5:5" ht="15.75" customHeight="1" x14ac:dyDescent="0.2">
      <c r="E739" s="51"/>
    </row>
    <row r="740" spans="5:5" ht="15.75" customHeight="1" x14ac:dyDescent="0.2">
      <c r="E740" s="51"/>
    </row>
    <row r="741" spans="5:5" ht="15.75" customHeight="1" x14ac:dyDescent="0.2">
      <c r="E741" s="51"/>
    </row>
    <row r="742" spans="5:5" ht="15.75" customHeight="1" x14ac:dyDescent="0.2">
      <c r="E742" s="51"/>
    </row>
    <row r="743" spans="5:5" ht="15.75" customHeight="1" x14ac:dyDescent="0.2">
      <c r="E743" s="51"/>
    </row>
    <row r="744" spans="5:5" ht="15.75" customHeight="1" x14ac:dyDescent="0.2">
      <c r="E744" s="51"/>
    </row>
    <row r="745" spans="5:5" ht="15.75" customHeight="1" x14ac:dyDescent="0.2">
      <c r="E745" s="51"/>
    </row>
    <row r="746" spans="5:5" ht="15.75" customHeight="1" x14ac:dyDescent="0.2">
      <c r="E746" s="51"/>
    </row>
    <row r="747" spans="5:5" ht="15.75" customHeight="1" x14ac:dyDescent="0.2">
      <c r="E747" s="51"/>
    </row>
    <row r="748" spans="5:5" ht="15.75" customHeight="1" x14ac:dyDescent="0.2">
      <c r="E748" s="51"/>
    </row>
    <row r="749" spans="5:5" ht="15.75" customHeight="1" x14ac:dyDescent="0.2">
      <c r="E749" s="51"/>
    </row>
    <row r="750" spans="5:5" ht="15.75" customHeight="1" x14ac:dyDescent="0.2">
      <c r="E750" s="51"/>
    </row>
    <row r="751" spans="5:5" ht="15.75" customHeight="1" x14ac:dyDescent="0.2">
      <c r="E751" s="51"/>
    </row>
    <row r="752" spans="5:5" ht="15.75" customHeight="1" x14ac:dyDescent="0.2">
      <c r="E752" s="51"/>
    </row>
    <row r="753" spans="5:5" ht="15.75" customHeight="1" x14ac:dyDescent="0.2">
      <c r="E753" s="51"/>
    </row>
    <row r="754" spans="5:5" ht="15.75" customHeight="1" x14ac:dyDescent="0.2">
      <c r="E754" s="51"/>
    </row>
    <row r="755" spans="5:5" ht="15.75" customHeight="1" x14ac:dyDescent="0.2">
      <c r="E755" s="51"/>
    </row>
    <row r="756" spans="5:5" ht="15.75" customHeight="1" x14ac:dyDescent="0.2">
      <c r="E756" s="51"/>
    </row>
    <row r="757" spans="5:5" ht="15.75" customHeight="1" x14ac:dyDescent="0.2">
      <c r="E757" s="51"/>
    </row>
    <row r="758" spans="5:5" ht="15.75" customHeight="1" x14ac:dyDescent="0.2">
      <c r="E758" s="51"/>
    </row>
    <row r="759" spans="5:5" ht="15.75" customHeight="1" x14ac:dyDescent="0.2">
      <c r="E759" s="51"/>
    </row>
    <row r="760" spans="5:5" ht="15.75" customHeight="1" x14ac:dyDescent="0.2">
      <c r="E760" s="51"/>
    </row>
    <row r="761" spans="5:5" ht="15.75" customHeight="1" x14ac:dyDescent="0.2">
      <c r="E761" s="51"/>
    </row>
    <row r="762" spans="5:5" ht="15.75" customHeight="1" x14ac:dyDescent="0.2">
      <c r="E762" s="51"/>
    </row>
    <row r="763" spans="5:5" ht="15.75" customHeight="1" x14ac:dyDescent="0.2">
      <c r="E763" s="51"/>
    </row>
    <row r="764" spans="5:5" ht="15.75" customHeight="1" x14ac:dyDescent="0.2">
      <c r="E764" s="51"/>
    </row>
    <row r="765" spans="5:5" ht="15.75" customHeight="1" x14ac:dyDescent="0.2">
      <c r="E765" s="51"/>
    </row>
    <row r="766" spans="5:5" ht="15.75" customHeight="1" x14ac:dyDescent="0.2">
      <c r="E766" s="51"/>
    </row>
    <row r="767" spans="5:5" ht="15.75" customHeight="1" x14ac:dyDescent="0.2">
      <c r="E767" s="51"/>
    </row>
    <row r="768" spans="5:5" ht="15.75" customHeight="1" x14ac:dyDescent="0.2">
      <c r="E768" s="51"/>
    </row>
    <row r="769" spans="5:5" ht="15.75" customHeight="1" x14ac:dyDescent="0.2">
      <c r="E769" s="51"/>
    </row>
    <row r="770" spans="5:5" ht="15.75" customHeight="1" x14ac:dyDescent="0.2">
      <c r="E770" s="51"/>
    </row>
    <row r="771" spans="5:5" ht="15.75" customHeight="1" x14ac:dyDescent="0.2">
      <c r="E771" s="51"/>
    </row>
    <row r="772" spans="5:5" ht="15.75" customHeight="1" x14ac:dyDescent="0.2">
      <c r="E772" s="51"/>
    </row>
    <row r="773" spans="5:5" ht="15.75" customHeight="1" x14ac:dyDescent="0.2">
      <c r="E773" s="51"/>
    </row>
    <row r="774" spans="5:5" ht="15.75" customHeight="1" x14ac:dyDescent="0.2">
      <c r="E774" s="51"/>
    </row>
    <row r="775" spans="5:5" ht="15.75" customHeight="1" x14ac:dyDescent="0.2">
      <c r="E775" s="51"/>
    </row>
    <row r="776" spans="5:5" ht="15.75" customHeight="1" x14ac:dyDescent="0.2">
      <c r="E776" s="51"/>
    </row>
    <row r="777" spans="5:5" ht="15.75" customHeight="1" x14ac:dyDescent="0.2">
      <c r="E777" s="51"/>
    </row>
    <row r="778" spans="5:5" ht="15.75" customHeight="1" x14ac:dyDescent="0.2">
      <c r="E778" s="51"/>
    </row>
    <row r="779" spans="5:5" ht="15.75" customHeight="1" x14ac:dyDescent="0.2">
      <c r="E779" s="51"/>
    </row>
    <row r="780" spans="5:5" ht="15.75" customHeight="1" x14ac:dyDescent="0.2">
      <c r="E780" s="51"/>
    </row>
    <row r="781" spans="5:5" ht="15.75" customHeight="1" x14ac:dyDescent="0.2">
      <c r="E781" s="51"/>
    </row>
    <row r="782" spans="5:5" ht="15.75" customHeight="1" x14ac:dyDescent="0.2">
      <c r="E782" s="51"/>
    </row>
    <row r="783" spans="5:5" ht="15.75" customHeight="1" x14ac:dyDescent="0.2">
      <c r="E783" s="51"/>
    </row>
    <row r="784" spans="5:5" ht="15.75" customHeight="1" x14ac:dyDescent="0.2">
      <c r="E784" s="51"/>
    </row>
    <row r="785" spans="5:5" ht="15.75" customHeight="1" x14ac:dyDescent="0.2">
      <c r="E785" s="51"/>
    </row>
    <row r="786" spans="5:5" ht="15.75" customHeight="1" x14ac:dyDescent="0.2">
      <c r="E786" s="51"/>
    </row>
    <row r="787" spans="5:5" ht="15.75" customHeight="1" x14ac:dyDescent="0.2">
      <c r="E787" s="51"/>
    </row>
    <row r="788" spans="5:5" ht="15.75" customHeight="1" x14ac:dyDescent="0.2">
      <c r="E788" s="51"/>
    </row>
    <row r="789" spans="5:5" ht="15.75" customHeight="1" x14ac:dyDescent="0.2">
      <c r="E789" s="51"/>
    </row>
    <row r="790" spans="5:5" ht="15.75" customHeight="1" x14ac:dyDescent="0.2">
      <c r="E790" s="51"/>
    </row>
    <row r="791" spans="5:5" ht="15.75" customHeight="1" x14ac:dyDescent="0.2">
      <c r="E791" s="51"/>
    </row>
    <row r="792" spans="5:5" ht="15.75" customHeight="1" x14ac:dyDescent="0.2">
      <c r="E792" s="51"/>
    </row>
    <row r="793" spans="5:5" ht="15.75" customHeight="1" x14ac:dyDescent="0.2">
      <c r="E793" s="51"/>
    </row>
    <row r="794" spans="5:5" ht="15.75" customHeight="1" x14ac:dyDescent="0.2">
      <c r="E794" s="51"/>
    </row>
    <row r="795" spans="5:5" ht="15.75" customHeight="1" x14ac:dyDescent="0.2">
      <c r="E795" s="51"/>
    </row>
    <row r="796" spans="5:5" ht="15.75" customHeight="1" x14ac:dyDescent="0.2">
      <c r="E796" s="51"/>
    </row>
    <row r="797" spans="5:5" ht="15.75" customHeight="1" x14ac:dyDescent="0.2">
      <c r="E797" s="51"/>
    </row>
    <row r="798" spans="5:5" ht="15.75" customHeight="1" x14ac:dyDescent="0.2">
      <c r="E798" s="51"/>
    </row>
    <row r="799" spans="5:5" ht="15.75" customHeight="1" x14ac:dyDescent="0.2">
      <c r="E799" s="51"/>
    </row>
    <row r="800" spans="5:5" ht="15.75" customHeight="1" x14ac:dyDescent="0.2">
      <c r="E800" s="51"/>
    </row>
    <row r="801" spans="5:5" ht="15.75" customHeight="1" x14ac:dyDescent="0.2">
      <c r="E801" s="51"/>
    </row>
    <row r="802" spans="5:5" ht="15.75" customHeight="1" x14ac:dyDescent="0.2">
      <c r="E802" s="51"/>
    </row>
    <row r="803" spans="5:5" ht="15.75" customHeight="1" x14ac:dyDescent="0.2">
      <c r="E803" s="51"/>
    </row>
    <row r="804" spans="5:5" ht="15.75" customHeight="1" x14ac:dyDescent="0.2">
      <c r="E804" s="51"/>
    </row>
    <row r="805" spans="5:5" ht="15.75" customHeight="1" x14ac:dyDescent="0.2">
      <c r="E805" s="51"/>
    </row>
    <row r="806" spans="5:5" ht="15.75" customHeight="1" x14ac:dyDescent="0.2">
      <c r="E806" s="51"/>
    </row>
    <row r="807" spans="5:5" ht="15.75" customHeight="1" x14ac:dyDescent="0.2">
      <c r="E807" s="51"/>
    </row>
    <row r="808" spans="5:5" ht="15.75" customHeight="1" x14ac:dyDescent="0.2">
      <c r="E808" s="51"/>
    </row>
    <row r="809" spans="5:5" ht="15.75" customHeight="1" x14ac:dyDescent="0.2">
      <c r="E809" s="51"/>
    </row>
    <row r="810" spans="5:5" ht="15.75" customHeight="1" x14ac:dyDescent="0.2">
      <c r="E810" s="51"/>
    </row>
    <row r="811" spans="5:5" ht="15.75" customHeight="1" x14ac:dyDescent="0.2">
      <c r="E811" s="51"/>
    </row>
    <row r="812" spans="5:5" ht="15.75" customHeight="1" x14ac:dyDescent="0.2">
      <c r="E812" s="51"/>
    </row>
    <row r="813" spans="5:5" ht="15.75" customHeight="1" x14ac:dyDescent="0.2">
      <c r="E813" s="51"/>
    </row>
    <row r="814" spans="5:5" ht="15.75" customHeight="1" x14ac:dyDescent="0.2">
      <c r="E814" s="51"/>
    </row>
    <row r="815" spans="5:5" ht="15.75" customHeight="1" x14ac:dyDescent="0.2">
      <c r="E815" s="51"/>
    </row>
    <row r="816" spans="5:5" ht="15.75" customHeight="1" x14ac:dyDescent="0.2">
      <c r="E816" s="51"/>
    </row>
    <row r="817" spans="5:5" ht="15.75" customHeight="1" x14ac:dyDescent="0.2">
      <c r="E817" s="51"/>
    </row>
    <row r="818" spans="5:5" ht="15.75" customHeight="1" x14ac:dyDescent="0.2">
      <c r="E818" s="51"/>
    </row>
    <row r="819" spans="5:5" ht="15.75" customHeight="1" x14ac:dyDescent="0.2">
      <c r="E819" s="51"/>
    </row>
    <row r="820" spans="5:5" ht="15.75" customHeight="1" x14ac:dyDescent="0.2">
      <c r="E820" s="51"/>
    </row>
    <row r="821" spans="5:5" ht="15.75" customHeight="1" x14ac:dyDescent="0.2">
      <c r="E821" s="51"/>
    </row>
    <row r="822" spans="5:5" ht="15.75" customHeight="1" x14ac:dyDescent="0.2">
      <c r="E822" s="51"/>
    </row>
    <row r="823" spans="5:5" ht="15.75" customHeight="1" x14ac:dyDescent="0.2">
      <c r="E823" s="51"/>
    </row>
    <row r="824" spans="5:5" ht="15.75" customHeight="1" x14ac:dyDescent="0.2">
      <c r="E824" s="51"/>
    </row>
    <row r="825" spans="5:5" ht="15.75" customHeight="1" x14ac:dyDescent="0.2">
      <c r="E825" s="51"/>
    </row>
    <row r="826" spans="5:5" ht="15.75" customHeight="1" x14ac:dyDescent="0.2">
      <c r="E826" s="51"/>
    </row>
    <row r="827" spans="5:5" ht="15.75" customHeight="1" x14ac:dyDescent="0.2">
      <c r="E827" s="51"/>
    </row>
    <row r="828" spans="5:5" ht="15.75" customHeight="1" x14ac:dyDescent="0.2">
      <c r="E828" s="51"/>
    </row>
    <row r="829" spans="5:5" ht="15.75" customHeight="1" x14ac:dyDescent="0.2">
      <c r="E829" s="51"/>
    </row>
    <row r="830" spans="5:5" ht="15.75" customHeight="1" x14ac:dyDescent="0.2">
      <c r="E830" s="51"/>
    </row>
    <row r="831" spans="5:5" ht="15.75" customHeight="1" x14ac:dyDescent="0.2">
      <c r="E831" s="51"/>
    </row>
    <row r="832" spans="5:5" ht="15.75" customHeight="1" x14ac:dyDescent="0.2">
      <c r="E832" s="51"/>
    </row>
    <row r="833" spans="5:5" ht="15.75" customHeight="1" x14ac:dyDescent="0.2">
      <c r="E833" s="51"/>
    </row>
    <row r="834" spans="5:5" ht="15.75" customHeight="1" x14ac:dyDescent="0.2">
      <c r="E834" s="51"/>
    </row>
    <row r="835" spans="5:5" ht="15.75" customHeight="1" x14ac:dyDescent="0.2">
      <c r="E835" s="51"/>
    </row>
    <row r="836" spans="5:5" ht="15.75" customHeight="1" x14ac:dyDescent="0.2">
      <c r="E836" s="51"/>
    </row>
    <row r="837" spans="5:5" ht="15.75" customHeight="1" x14ac:dyDescent="0.2">
      <c r="E837" s="51"/>
    </row>
    <row r="838" spans="5:5" ht="15.75" customHeight="1" x14ac:dyDescent="0.2">
      <c r="E838" s="51"/>
    </row>
    <row r="839" spans="5:5" ht="15.75" customHeight="1" x14ac:dyDescent="0.2">
      <c r="E839" s="51"/>
    </row>
    <row r="840" spans="5:5" ht="15.75" customHeight="1" x14ac:dyDescent="0.2">
      <c r="E840" s="51"/>
    </row>
    <row r="841" spans="5:5" ht="15.75" customHeight="1" x14ac:dyDescent="0.2">
      <c r="E841" s="51"/>
    </row>
    <row r="842" spans="5:5" ht="15.75" customHeight="1" x14ac:dyDescent="0.2">
      <c r="E842" s="51"/>
    </row>
    <row r="843" spans="5:5" ht="15.75" customHeight="1" x14ac:dyDescent="0.2">
      <c r="E843" s="51"/>
    </row>
    <row r="844" spans="5:5" ht="15.75" customHeight="1" x14ac:dyDescent="0.2">
      <c r="E844" s="51"/>
    </row>
    <row r="845" spans="5:5" ht="15.75" customHeight="1" x14ac:dyDescent="0.2">
      <c r="E845" s="51"/>
    </row>
    <row r="846" spans="5:5" ht="15.75" customHeight="1" x14ac:dyDescent="0.2">
      <c r="E846" s="51"/>
    </row>
    <row r="847" spans="5:5" ht="15.75" customHeight="1" x14ac:dyDescent="0.2">
      <c r="E847" s="51"/>
    </row>
    <row r="848" spans="5:5" ht="15.75" customHeight="1" x14ac:dyDescent="0.2">
      <c r="E848" s="51"/>
    </row>
    <row r="849" spans="5:5" ht="15.75" customHeight="1" x14ac:dyDescent="0.2">
      <c r="E849" s="51"/>
    </row>
    <row r="850" spans="5:5" ht="15.75" customHeight="1" x14ac:dyDescent="0.2">
      <c r="E850" s="51"/>
    </row>
    <row r="851" spans="5:5" ht="15.75" customHeight="1" x14ac:dyDescent="0.2">
      <c r="E851" s="51"/>
    </row>
    <row r="852" spans="5:5" ht="15.75" customHeight="1" x14ac:dyDescent="0.2">
      <c r="E852" s="51"/>
    </row>
    <row r="853" spans="5:5" ht="15.75" customHeight="1" x14ac:dyDescent="0.2">
      <c r="E853" s="51"/>
    </row>
    <row r="854" spans="5:5" ht="15.75" customHeight="1" x14ac:dyDescent="0.2">
      <c r="E854" s="51"/>
    </row>
    <row r="855" spans="5:5" ht="15.75" customHeight="1" x14ac:dyDescent="0.2">
      <c r="E855" s="51"/>
    </row>
    <row r="856" spans="5:5" ht="15.75" customHeight="1" x14ac:dyDescent="0.2">
      <c r="E856" s="51"/>
    </row>
    <row r="857" spans="5:5" ht="15.75" customHeight="1" x14ac:dyDescent="0.2">
      <c r="E857" s="51"/>
    </row>
    <row r="858" spans="5:5" ht="15.75" customHeight="1" x14ac:dyDescent="0.2">
      <c r="E858" s="51"/>
    </row>
    <row r="859" spans="5:5" ht="15.75" customHeight="1" x14ac:dyDescent="0.2">
      <c r="E859" s="51"/>
    </row>
    <row r="860" spans="5:5" ht="15.75" customHeight="1" x14ac:dyDescent="0.2">
      <c r="E860" s="51"/>
    </row>
    <row r="861" spans="5:5" ht="15.75" customHeight="1" x14ac:dyDescent="0.2">
      <c r="E861" s="51"/>
    </row>
    <row r="862" spans="5:5" ht="15.75" customHeight="1" x14ac:dyDescent="0.2">
      <c r="E862" s="51"/>
    </row>
    <row r="863" spans="5:5" ht="15.75" customHeight="1" x14ac:dyDescent="0.2">
      <c r="E863" s="51"/>
    </row>
    <row r="864" spans="5:5" ht="15.75" customHeight="1" x14ac:dyDescent="0.2">
      <c r="E864" s="51"/>
    </row>
    <row r="865" spans="5:5" ht="15.75" customHeight="1" x14ac:dyDescent="0.2">
      <c r="E865" s="51"/>
    </row>
    <row r="866" spans="5:5" ht="15.75" customHeight="1" x14ac:dyDescent="0.2">
      <c r="E866" s="51"/>
    </row>
    <row r="867" spans="5:5" ht="15.75" customHeight="1" x14ac:dyDescent="0.2">
      <c r="E867" s="51"/>
    </row>
    <row r="868" spans="5:5" ht="15.75" customHeight="1" x14ac:dyDescent="0.2">
      <c r="E868" s="51"/>
    </row>
    <row r="869" spans="5:5" ht="15.75" customHeight="1" x14ac:dyDescent="0.2">
      <c r="E869" s="51"/>
    </row>
    <row r="870" spans="5:5" ht="15.75" customHeight="1" x14ac:dyDescent="0.2">
      <c r="E870" s="51"/>
    </row>
    <row r="871" spans="5:5" ht="15.75" customHeight="1" x14ac:dyDescent="0.2">
      <c r="E871" s="51"/>
    </row>
    <row r="872" spans="5:5" ht="15.75" customHeight="1" x14ac:dyDescent="0.2">
      <c r="E872" s="51"/>
    </row>
    <row r="873" spans="5:5" ht="15.75" customHeight="1" x14ac:dyDescent="0.2">
      <c r="E873" s="51"/>
    </row>
    <row r="874" spans="5:5" ht="15.75" customHeight="1" x14ac:dyDescent="0.2">
      <c r="E874" s="51"/>
    </row>
    <row r="875" spans="5:5" ht="15.75" customHeight="1" x14ac:dyDescent="0.2">
      <c r="E875" s="51"/>
    </row>
    <row r="876" spans="5:5" ht="15.75" customHeight="1" x14ac:dyDescent="0.2">
      <c r="E876" s="51"/>
    </row>
    <row r="877" spans="5:5" ht="15.75" customHeight="1" x14ac:dyDescent="0.2">
      <c r="E877" s="51"/>
    </row>
    <row r="878" spans="5:5" ht="15.75" customHeight="1" x14ac:dyDescent="0.2">
      <c r="E878" s="51"/>
    </row>
    <row r="879" spans="5:5" ht="15.75" customHeight="1" x14ac:dyDescent="0.2">
      <c r="E879" s="51"/>
    </row>
    <row r="880" spans="5:5" ht="15.75" customHeight="1" x14ac:dyDescent="0.2">
      <c r="E880" s="51"/>
    </row>
    <row r="881" spans="5:5" ht="15.75" customHeight="1" x14ac:dyDescent="0.2">
      <c r="E881" s="51"/>
    </row>
    <row r="882" spans="5:5" ht="15.75" customHeight="1" x14ac:dyDescent="0.2">
      <c r="E882" s="51"/>
    </row>
    <row r="883" spans="5:5" ht="15.75" customHeight="1" x14ac:dyDescent="0.2">
      <c r="E883" s="51"/>
    </row>
    <row r="884" spans="5:5" ht="15.75" customHeight="1" x14ac:dyDescent="0.2">
      <c r="E884" s="51"/>
    </row>
    <row r="885" spans="5:5" ht="15.75" customHeight="1" x14ac:dyDescent="0.2">
      <c r="E885" s="51"/>
    </row>
    <row r="886" spans="5:5" ht="15.75" customHeight="1" x14ac:dyDescent="0.2">
      <c r="E886" s="51"/>
    </row>
    <row r="887" spans="5:5" ht="15.75" customHeight="1" x14ac:dyDescent="0.2">
      <c r="E887" s="51"/>
    </row>
    <row r="888" spans="5:5" ht="15.75" customHeight="1" x14ac:dyDescent="0.2">
      <c r="E888" s="51"/>
    </row>
    <row r="889" spans="5:5" ht="15.75" customHeight="1" x14ac:dyDescent="0.2">
      <c r="E889" s="51"/>
    </row>
    <row r="890" spans="5:5" ht="15.75" customHeight="1" x14ac:dyDescent="0.2">
      <c r="E890" s="51"/>
    </row>
    <row r="891" spans="5:5" ht="15.75" customHeight="1" x14ac:dyDescent="0.2">
      <c r="E891" s="51"/>
    </row>
    <row r="892" spans="5:5" ht="15.75" customHeight="1" x14ac:dyDescent="0.2">
      <c r="E892" s="51"/>
    </row>
    <row r="893" spans="5:5" ht="15.75" customHeight="1" x14ac:dyDescent="0.2">
      <c r="E893" s="51"/>
    </row>
    <row r="894" spans="5:5" ht="15.75" customHeight="1" x14ac:dyDescent="0.2">
      <c r="E894" s="51"/>
    </row>
    <row r="895" spans="5:5" ht="15.75" customHeight="1" x14ac:dyDescent="0.2">
      <c r="E895" s="51"/>
    </row>
    <row r="896" spans="5:5" ht="15.75" customHeight="1" x14ac:dyDescent="0.2">
      <c r="E896" s="51"/>
    </row>
    <row r="897" spans="5:5" ht="15.75" customHeight="1" x14ac:dyDescent="0.2">
      <c r="E897" s="51"/>
    </row>
    <row r="898" spans="5:5" ht="15.75" customHeight="1" x14ac:dyDescent="0.2">
      <c r="E898" s="51"/>
    </row>
    <row r="899" spans="5:5" ht="15.75" customHeight="1" x14ac:dyDescent="0.2">
      <c r="E899" s="51"/>
    </row>
    <row r="900" spans="5:5" ht="15.75" customHeight="1" x14ac:dyDescent="0.2">
      <c r="E900" s="51"/>
    </row>
    <row r="901" spans="5:5" ht="15.75" customHeight="1" x14ac:dyDescent="0.2">
      <c r="E901" s="51"/>
    </row>
    <row r="902" spans="5:5" ht="15.75" customHeight="1" x14ac:dyDescent="0.2">
      <c r="E902" s="51"/>
    </row>
    <row r="903" spans="5:5" ht="15.75" customHeight="1" x14ac:dyDescent="0.2">
      <c r="E903" s="51"/>
    </row>
    <row r="904" spans="5:5" ht="15.75" customHeight="1" x14ac:dyDescent="0.2">
      <c r="E904" s="51"/>
    </row>
    <row r="905" spans="5:5" ht="15.75" customHeight="1" x14ac:dyDescent="0.2">
      <c r="E905" s="51"/>
    </row>
    <row r="906" spans="5:5" ht="15.75" customHeight="1" x14ac:dyDescent="0.2">
      <c r="E906" s="51"/>
    </row>
    <row r="907" spans="5:5" ht="15.75" customHeight="1" x14ac:dyDescent="0.2">
      <c r="E907" s="51"/>
    </row>
    <row r="908" spans="5:5" ht="15.75" customHeight="1" x14ac:dyDescent="0.2">
      <c r="E908" s="51"/>
    </row>
    <row r="909" spans="5:5" ht="15.75" customHeight="1" x14ac:dyDescent="0.2">
      <c r="E909" s="51"/>
    </row>
    <row r="910" spans="5:5" ht="15.75" customHeight="1" x14ac:dyDescent="0.2">
      <c r="E910" s="51"/>
    </row>
    <row r="911" spans="5:5" ht="15.75" customHeight="1" x14ac:dyDescent="0.2">
      <c r="E911" s="51"/>
    </row>
    <row r="912" spans="5:5" ht="15.75" customHeight="1" x14ac:dyDescent="0.2">
      <c r="E912" s="51"/>
    </row>
    <row r="913" spans="5:5" ht="15.75" customHeight="1" x14ac:dyDescent="0.2">
      <c r="E913" s="51"/>
    </row>
    <row r="914" spans="5:5" ht="15.75" customHeight="1" x14ac:dyDescent="0.2">
      <c r="E914" s="51"/>
    </row>
    <row r="915" spans="5:5" ht="15.75" customHeight="1" x14ac:dyDescent="0.2">
      <c r="E915" s="51"/>
    </row>
    <row r="916" spans="5:5" ht="15.75" customHeight="1" x14ac:dyDescent="0.2">
      <c r="E916" s="51"/>
    </row>
    <row r="917" spans="5:5" ht="15.75" customHeight="1" x14ac:dyDescent="0.2">
      <c r="E917" s="51"/>
    </row>
    <row r="918" spans="5:5" ht="15.75" customHeight="1" x14ac:dyDescent="0.2">
      <c r="E918" s="51"/>
    </row>
    <row r="919" spans="5:5" ht="15.75" customHeight="1" x14ac:dyDescent="0.2">
      <c r="E919" s="51"/>
    </row>
    <row r="920" spans="5:5" ht="15.75" customHeight="1" x14ac:dyDescent="0.2">
      <c r="E920" s="51"/>
    </row>
    <row r="921" spans="5:5" ht="15.75" customHeight="1" x14ac:dyDescent="0.2">
      <c r="E921" s="51"/>
    </row>
    <row r="922" spans="5:5" ht="15.75" customHeight="1" x14ac:dyDescent="0.2">
      <c r="E922" s="51"/>
    </row>
    <row r="923" spans="5:5" ht="15.75" customHeight="1" x14ac:dyDescent="0.2">
      <c r="E923" s="51"/>
    </row>
    <row r="924" spans="5:5" ht="15.75" customHeight="1" x14ac:dyDescent="0.2">
      <c r="E924" s="51"/>
    </row>
    <row r="925" spans="5:5" ht="15.75" customHeight="1" x14ac:dyDescent="0.2">
      <c r="E925" s="51"/>
    </row>
    <row r="926" spans="5:5" ht="15.75" customHeight="1" x14ac:dyDescent="0.2">
      <c r="E926" s="51"/>
    </row>
    <row r="927" spans="5:5" ht="15.75" customHeight="1" x14ac:dyDescent="0.2">
      <c r="E927" s="51"/>
    </row>
    <row r="928" spans="5:5" ht="15.75" customHeight="1" x14ac:dyDescent="0.2">
      <c r="E928" s="51"/>
    </row>
    <row r="929" spans="5:5" ht="15.75" customHeight="1" x14ac:dyDescent="0.2">
      <c r="E929" s="51"/>
    </row>
    <row r="930" spans="5:5" ht="15.75" customHeight="1" x14ac:dyDescent="0.2">
      <c r="E930" s="51"/>
    </row>
    <row r="931" spans="5:5" ht="15.75" customHeight="1" x14ac:dyDescent="0.2">
      <c r="E931" s="51"/>
    </row>
    <row r="932" spans="5:5" ht="15.75" customHeight="1" x14ac:dyDescent="0.2">
      <c r="E932" s="51"/>
    </row>
    <row r="933" spans="5:5" ht="15.75" customHeight="1" x14ac:dyDescent="0.2">
      <c r="E933" s="51"/>
    </row>
    <row r="934" spans="5:5" ht="15.75" customHeight="1" x14ac:dyDescent="0.2">
      <c r="E934" s="51"/>
    </row>
    <row r="935" spans="5:5" ht="15.75" customHeight="1" x14ac:dyDescent="0.2">
      <c r="E935" s="51"/>
    </row>
    <row r="936" spans="5:5" ht="15.75" customHeight="1" x14ac:dyDescent="0.2">
      <c r="E936" s="51"/>
    </row>
    <row r="937" spans="5:5" ht="15.75" customHeight="1" x14ac:dyDescent="0.2">
      <c r="E937" s="51"/>
    </row>
    <row r="938" spans="5:5" ht="15.75" customHeight="1" x14ac:dyDescent="0.2">
      <c r="E938" s="51"/>
    </row>
    <row r="939" spans="5:5" ht="15.75" customHeight="1" x14ac:dyDescent="0.2">
      <c r="E939" s="51"/>
    </row>
    <row r="940" spans="5:5" ht="15.75" customHeight="1" x14ac:dyDescent="0.2">
      <c r="E940" s="51"/>
    </row>
    <row r="941" spans="5:5" ht="15.75" customHeight="1" x14ac:dyDescent="0.2">
      <c r="E941" s="51"/>
    </row>
    <row r="942" spans="5:5" ht="15.75" customHeight="1" x14ac:dyDescent="0.2">
      <c r="E942" s="51"/>
    </row>
    <row r="943" spans="5:5" ht="15.75" customHeight="1" x14ac:dyDescent="0.2">
      <c r="E943" s="51"/>
    </row>
    <row r="944" spans="5:5" ht="15.75" customHeight="1" x14ac:dyDescent="0.2">
      <c r="E944" s="51"/>
    </row>
    <row r="945" spans="5:5" ht="15.75" customHeight="1" x14ac:dyDescent="0.2">
      <c r="E945" s="51"/>
    </row>
    <row r="946" spans="5:5" ht="15.75" customHeight="1" x14ac:dyDescent="0.2">
      <c r="E946" s="51"/>
    </row>
    <row r="947" spans="5:5" ht="15.75" customHeight="1" x14ac:dyDescent="0.2">
      <c r="E947" s="51"/>
    </row>
    <row r="948" spans="5:5" ht="15.75" customHeight="1" x14ac:dyDescent="0.2">
      <c r="E948" s="51"/>
    </row>
    <row r="949" spans="5:5" ht="15.75" customHeight="1" x14ac:dyDescent="0.2">
      <c r="E949" s="51"/>
    </row>
    <row r="950" spans="5:5" ht="15.75" customHeight="1" x14ac:dyDescent="0.2">
      <c r="E950" s="51"/>
    </row>
    <row r="951" spans="5:5" ht="15.75" customHeight="1" x14ac:dyDescent="0.2">
      <c r="E951" s="51"/>
    </row>
    <row r="952" spans="5:5" ht="15.75" customHeight="1" x14ac:dyDescent="0.2">
      <c r="E952" s="51"/>
    </row>
    <row r="953" spans="5:5" ht="15.75" customHeight="1" x14ac:dyDescent="0.2">
      <c r="E953" s="51"/>
    </row>
    <row r="954" spans="5:5" ht="15.75" customHeight="1" x14ac:dyDescent="0.2">
      <c r="E954" s="51"/>
    </row>
    <row r="955" spans="5:5" ht="15.75" customHeight="1" x14ac:dyDescent="0.2">
      <c r="E955" s="51"/>
    </row>
    <row r="956" spans="5:5" ht="15.75" customHeight="1" x14ac:dyDescent="0.2">
      <c r="E956" s="51"/>
    </row>
    <row r="957" spans="5:5" ht="15.75" customHeight="1" x14ac:dyDescent="0.2">
      <c r="E957" s="51"/>
    </row>
    <row r="958" spans="5:5" ht="15.75" customHeight="1" x14ac:dyDescent="0.2">
      <c r="E958" s="51"/>
    </row>
    <row r="959" spans="5:5" ht="15.75" customHeight="1" x14ac:dyDescent="0.2">
      <c r="E959" s="51"/>
    </row>
    <row r="960" spans="5:5" ht="15.75" customHeight="1" x14ac:dyDescent="0.2">
      <c r="E960" s="51"/>
    </row>
    <row r="961" spans="5:5" ht="15.75" customHeight="1" x14ac:dyDescent="0.2">
      <c r="E961" s="51"/>
    </row>
    <row r="962" spans="5:5" ht="15.75" customHeight="1" x14ac:dyDescent="0.2">
      <c r="E962" s="51"/>
    </row>
    <row r="963" spans="5:5" ht="15.75" customHeight="1" x14ac:dyDescent="0.2">
      <c r="E963" s="51"/>
    </row>
    <row r="964" spans="5:5" ht="15.75" customHeight="1" x14ac:dyDescent="0.2">
      <c r="E964" s="51"/>
    </row>
    <row r="965" spans="5:5" ht="15.75" customHeight="1" x14ac:dyDescent="0.2">
      <c r="E965" s="51"/>
    </row>
    <row r="966" spans="5:5" ht="15.75" customHeight="1" x14ac:dyDescent="0.2">
      <c r="E966" s="51"/>
    </row>
    <row r="967" spans="5:5" ht="15.75" customHeight="1" x14ac:dyDescent="0.2">
      <c r="E967" s="51"/>
    </row>
    <row r="968" spans="5:5" ht="15.75" customHeight="1" x14ac:dyDescent="0.2">
      <c r="E968" s="51"/>
    </row>
    <row r="969" spans="5:5" ht="15.75" customHeight="1" x14ac:dyDescent="0.2">
      <c r="E969" s="51"/>
    </row>
    <row r="970" spans="5:5" ht="15.75" customHeight="1" x14ac:dyDescent="0.2">
      <c r="E970" s="51"/>
    </row>
    <row r="971" spans="5:5" ht="15.75" customHeight="1" x14ac:dyDescent="0.2">
      <c r="E971" s="51"/>
    </row>
    <row r="972" spans="5:5" ht="15.75" customHeight="1" x14ac:dyDescent="0.2">
      <c r="E972" s="51"/>
    </row>
    <row r="973" spans="5:5" ht="15.75" customHeight="1" x14ac:dyDescent="0.2">
      <c r="E973" s="51"/>
    </row>
    <row r="974" spans="5:5" ht="15.75" customHeight="1" x14ac:dyDescent="0.2">
      <c r="E974" s="51"/>
    </row>
    <row r="975" spans="5:5" ht="15.75" customHeight="1" x14ac:dyDescent="0.2">
      <c r="E975" s="51"/>
    </row>
    <row r="976" spans="5:5" ht="15.75" customHeight="1" x14ac:dyDescent="0.2">
      <c r="E976" s="51"/>
    </row>
    <row r="977" spans="5:5" ht="15.75" customHeight="1" x14ac:dyDescent="0.2">
      <c r="E977" s="51"/>
    </row>
    <row r="978" spans="5:5" ht="15.75" customHeight="1" x14ac:dyDescent="0.2">
      <c r="E978" s="51"/>
    </row>
    <row r="979" spans="5:5" ht="15.75" customHeight="1" x14ac:dyDescent="0.2">
      <c r="E979" s="51"/>
    </row>
    <row r="980" spans="5:5" ht="15.75" customHeight="1" x14ac:dyDescent="0.2">
      <c r="E980" s="51"/>
    </row>
    <row r="981" spans="5:5" ht="15.75" customHeight="1" x14ac:dyDescent="0.2">
      <c r="E981" s="51"/>
    </row>
    <row r="982" spans="5:5" ht="15.75" customHeight="1" x14ac:dyDescent="0.2">
      <c r="E982" s="51"/>
    </row>
    <row r="983" spans="5:5" ht="15.75" customHeight="1" x14ac:dyDescent="0.2">
      <c r="E983" s="51"/>
    </row>
    <row r="984" spans="5:5" ht="15.75" customHeight="1" x14ac:dyDescent="0.2">
      <c r="E984" s="51"/>
    </row>
    <row r="985" spans="5:5" ht="15.75" customHeight="1" x14ac:dyDescent="0.2">
      <c r="E985" s="51"/>
    </row>
    <row r="986" spans="5:5" ht="15.75" customHeight="1" x14ac:dyDescent="0.2">
      <c r="E986" s="51"/>
    </row>
    <row r="987" spans="5:5" ht="15.75" customHeight="1" x14ac:dyDescent="0.2">
      <c r="E987" s="51"/>
    </row>
    <row r="988" spans="5:5" ht="15.75" customHeight="1" x14ac:dyDescent="0.2">
      <c r="E988" s="51"/>
    </row>
    <row r="989" spans="5:5" ht="15.75" customHeight="1" x14ac:dyDescent="0.2">
      <c r="E989" s="51"/>
    </row>
    <row r="990" spans="5:5" ht="15.75" customHeight="1" x14ac:dyDescent="0.2">
      <c r="E990" s="51"/>
    </row>
    <row r="991" spans="5:5" ht="15.75" customHeight="1" x14ac:dyDescent="0.2">
      <c r="E991" s="51"/>
    </row>
    <row r="992" spans="5:5" ht="15.75" customHeight="1" x14ac:dyDescent="0.2">
      <c r="E992" s="51"/>
    </row>
    <row r="993" spans="5:5" ht="15.75" customHeight="1" x14ac:dyDescent="0.2">
      <c r="E993" s="51"/>
    </row>
    <row r="994" spans="5:5" ht="15.75" customHeight="1" x14ac:dyDescent="0.2">
      <c r="E994" s="51"/>
    </row>
    <row r="995" spans="5:5" ht="15.75" customHeight="1" x14ac:dyDescent="0.2">
      <c r="E995" s="51"/>
    </row>
    <row r="996" spans="5:5" ht="15.75" customHeight="1" x14ac:dyDescent="0.2">
      <c r="E996" s="51"/>
    </row>
    <row r="997" spans="5:5" ht="15.75" customHeight="1" x14ac:dyDescent="0.2">
      <c r="E997" s="51"/>
    </row>
    <row r="998" spans="5:5" ht="15.75" customHeight="1" x14ac:dyDescent="0.2">
      <c r="E998" s="51"/>
    </row>
    <row r="999" spans="5:5" ht="15.75" customHeight="1" x14ac:dyDescent="0.2">
      <c r="E999" s="51"/>
    </row>
    <row r="1000" spans="5:5" ht="15.75" customHeight="1" x14ac:dyDescent="0.2">
      <c r="E1000" s="51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workbookViewId="0">
      <selection activeCell="D4" sqref="D4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221"/>
      <c r="C1" s="221"/>
      <c r="D1" s="221"/>
    </row>
    <row r="2" spans="2:18" ht="41" x14ac:dyDescent="0.3">
      <c r="B2" s="566" t="s">
        <v>145</v>
      </c>
      <c r="C2" s="567"/>
      <c r="D2" s="568"/>
      <c r="F2" s="566" t="s">
        <v>146</v>
      </c>
      <c r="G2" s="567"/>
      <c r="H2" s="568"/>
      <c r="J2" s="569" t="s">
        <v>147</v>
      </c>
      <c r="K2" s="486"/>
      <c r="L2" s="222"/>
      <c r="M2" s="223" t="s">
        <v>59</v>
      </c>
      <c r="N2" s="224" t="s">
        <v>148</v>
      </c>
    </row>
    <row r="3" spans="2:18" ht="24" x14ac:dyDescent="0.3">
      <c r="B3" s="225" t="s">
        <v>149</v>
      </c>
      <c r="C3" s="226" t="s">
        <v>51</v>
      </c>
      <c r="D3" s="226" t="s">
        <v>3</v>
      </c>
      <c r="F3" s="225" t="s">
        <v>149</v>
      </c>
      <c r="G3" s="226" t="s">
        <v>51</v>
      </c>
      <c r="H3" s="226" t="s">
        <v>3</v>
      </c>
      <c r="J3" s="227" t="s">
        <v>72</v>
      </c>
      <c r="K3" s="227" t="s">
        <v>62</v>
      </c>
      <c r="L3" s="228"/>
      <c r="M3" s="229"/>
      <c r="N3" s="229"/>
      <c r="Q3" s="225" t="s">
        <v>149</v>
      </c>
      <c r="R3" s="226" t="s">
        <v>144</v>
      </c>
    </row>
    <row r="4" spans="2:18" ht="24" x14ac:dyDescent="0.3">
      <c r="B4" s="225" t="s">
        <v>182</v>
      </c>
      <c r="C4" s="230">
        <f>Utilidad!A1</f>
        <v>790607.32597259618</v>
      </c>
      <c r="D4" s="231">
        <f>IF(Utilidad!C1&gt;1,Utilidad!C1/100,Utilidad!C1)</f>
        <v>0.60890535793133893</v>
      </c>
      <c r="F4" s="225" t="s">
        <v>182</v>
      </c>
      <c r="G4" s="230">
        <f>Utilidad!B1</f>
        <v>790607.32597259618</v>
      </c>
      <c r="H4" s="231">
        <f>IF(Utilidad!D1&gt;1,Utilidad!D1/100,Utilidad!D1)</f>
        <v>0.60890535793133893</v>
      </c>
      <c r="J4" s="232">
        <f t="shared" ref="J4:J30" si="0">+IF(C4&lt;&gt;0,(G4-C4)/C4,ABS(G4-C4))</f>
        <v>0</v>
      </c>
      <c r="K4" s="232">
        <f t="shared" ref="K4:K30" si="1">+IF(D4&lt;&gt;0,(H4-D4)/D4,0)</f>
        <v>0</v>
      </c>
      <c r="L4" s="233"/>
      <c r="M4" s="234">
        <f t="shared" ref="M4:M30" si="2">+IF(J4&lt;&gt;"",ABS(J4),0)</f>
        <v>0</v>
      </c>
      <c r="N4" s="234">
        <f t="shared" ref="N4:N30" si="3">+IF(J4&lt;&gt;"",ABS(K4),0)</f>
        <v>0</v>
      </c>
      <c r="Q4" s="225" t="s">
        <v>182</v>
      </c>
      <c r="R4" s="231">
        <f>Utilidad!E1</f>
        <v>0.01</v>
      </c>
    </row>
    <row r="5" spans="2:18" ht="24" x14ac:dyDescent="0.3">
      <c r="B5" s="225" t="s">
        <v>183</v>
      </c>
      <c r="C5" s="230">
        <f>Utilidad!A2</f>
        <v>237279.98709421905</v>
      </c>
      <c r="D5" s="231">
        <f>IF(Utilidad!C2&gt;1,Utilidad!C2/100,Utilidad!C2)</f>
        <v>0.62970000000000004</v>
      </c>
      <c r="F5" s="225" t="s">
        <v>183</v>
      </c>
      <c r="G5" s="230">
        <f>Utilidad!B2</f>
        <v>237279.98709421905</v>
      </c>
      <c r="H5" s="231">
        <f>IF(Utilidad!D2&gt;1,Utilidad!D2/100,Utilidad!D2)</f>
        <v>0.62970000000000004</v>
      </c>
      <c r="J5" s="232">
        <f t="shared" si="0"/>
        <v>0</v>
      </c>
      <c r="K5" s="232">
        <f t="shared" si="1"/>
        <v>0</v>
      </c>
      <c r="L5" s="233"/>
      <c r="M5" s="234">
        <f t="shared" si="2"/>
        <v>0</v>
      </c>
      <c r="N5" s="234">
        <f t="shared" si="3"/>
        <v>0</v>
      </c>
      <c r="Q5" s="225" t="s">
        <v>183</v>
      </c>
      <c r="R5" s="231">
        <f>Utilidad!E2</f>
        <v>0.01</v>
      </c>
    </row>
    <row r="6" spans="2:18" ht="24" x14ac:dyDescent="0.3">
      <c r="B6" s="225" t="s">
        <v>184</v>
      </c>
      <c r="C6" s="230">
        <f>Utilidad!A3</f>
        <v>174169.60000000001</v>
      </c>
      <c r="D6" s="231">
        <f>IF(Utilidad!C3&gt;1,Utilidad!C3/100,Utilidad!C3)</f>
        <v>0.64370000000000005</v>
      </c>
      <c r="F6" s="225" t="s">
        <v>184</v>
      </c>
      <c r="G6" s="230">
        <f>Utilidad!B3</f>
        <v>174169.60000000001</v>
      </c>
      <c r="H6" s="231">
        <f>IF(Utilidad!D3&gt;1,Utilidad!D3/100,Utilidad!D3)</f>
        <v>0.64370000000000005</v>
      </c>
      <c r="J6" s="232">
        <f t="shared" si="0"/>
        <v>0</v>
      </c>
      <c r="K6" s="232">
        <f t="shared" si="1"/>
        <v>0</v>
      </c>
      <c r="L6" s="1"/>
      <c r="M6" s="234">
        <f t="shared" si="2"/>
        <v>0</v>
      </c>
      <c r="N6" s="234">
        <f t="shared" si="3"/>
        <v>0</v>
      </c>
      <c r="Q6" s="225" t="s">
        <v>184</v>
      </c>
      <c r="R6" s="231">
        <f>Utilidad!E3</f>
        <v>0.01</v>
      </c>
    </row>
    <row r="7" spans="2:18" ht="24" x14ac:dyDescent="0.3">
      <c r="B7" s="225" t="s">
        <v>186</v>
      </c>
      <c r="C7" s="230">
        <f>Utilidad!A4</f>
        <v>553327.33887837711</v>
      </c>
      <c r="D7" s="231">
        <f>IF(Utilidad!C4&gt;1,Utilidad!C4/100,Utilidad!C4)</f>
        <v>0.6</v>
      </c>
      <c r="F7" s="225" t="s">
        <v>186</v>
      </c>
      <c r="G7" s="230">
        <f>Utilidad!B4</f>
        <v>553327.33887837711</v>
      </c>
      <c r="H7" s="231">
        <f>IF(Utilidad!D4&gt;1,Utilidad!D4/100,Utilidad!D4)</f>
        <v>0.6</v>
      </c>
      <c r="J7" s="232">
        <f t="shared" si="0"/>
        <v>0</v>
      </c>
      <c r="K7" s="232">
        <f t="shared" si="1"/>
        <v>0</v>
      </c>
      <c r="L7" s="1"/>
      <c r="M7" s="234">
        <f t="shared" si="2"/>
        <v>0</v>
      </c>
      <c r="N7" s="234">
        <f t="shared" si="3"/>
        <v>0</v>
      </c>
      <c r="Q7" s="225" t="s">
        <v>186</v>
      </c>
      <c r="R7" s="231">
        <f>Utilidad!E4</f>
        <v>0.01</v>
      </c>
    </row>
    <row r="8" spans="2:18" ht="24" x14ac:dyDescent="0.3">
      <c r="B8" s="225" t="s">
        <v>150</v>
      </c>
      <c r="C8" s="230">
        <f>Utilidad!A5</f>
        <v>557257.31239999994</v>
      </c>
      <c r="D8" s="231">
        <f>IF(Utilidad!C5&gt;1,Utilidad!C5/100,Utilidad!C5)</f>
        <v>0.60880000000000001</v>
      </c>
      <c r="F8" s="225" t="s">
        <v>150</v>
      </c>
      <c r="G8" s="230">
        <f>Utilidad!B5</f>
        <v>557257.31239999994</v>
      </c>
      <c r="H8" s="231">
        <f>IF(Utilidad!D5&gt;1,Utilidad!D5/100,Utilidad!D5)</f>
        <v>0.60880000000000001</v>
      </c>
      <c r="J8" s="232">
        <f t="shared" si="0"/>
        <v>0</v>
      </c>
      <c r="K8" s="232">
        <f t="shared" si="1"/>
        <v>0</v>
      </c>
      <c r="L8" s="1"/>
      <c r="M8" s="234">
        <f t="shared" si="2"/>
        <v>0</v>
      </c>
      <c r="N8" s="234">
        <f t="shared" si="3"/>
        <v>0</v>
      </c>
      <c r="Q8" s="225" t="s">
        <v>150</v>
      </c>
      <c r="R8" s="231">
        <f>Utilidad!E5</f>
        <v>0.01</v>
      </c>
    </row>
    <row r="9" spans="2:18" ht="24" x14ac:dyDescent="0.3">
      <c r="B9" s="225" t="s">
        <v>10</v>
      </c>
      <c r="C9" s="230">
        <f>Utilidad!A6</f>
        <v>-545.27</v>
      </c>
      <c r="D9" s="231">
        <f>IF(Utilidad!C6&gt;1,Utilidad!C6/100,Utilidad!C6)</f>
        <v>0.60880000000000001</v>
      </c>
      <c r="F9" s="225" t="s">
        <v>10</v>
      </c>
      <c r="G9" s="230">
        <f>Utilidad!B6</f>
        <v>-545.27</v>
      </c>
      <c r="H9" s="231">
        <f>IF(Utilidad!D6&gt;1,Utilidad!D6/100,Utilidad!D6)</f>
        <v>0.60880000000000001</v>
      </c>
      <c r="J9" s="232">
        <f t="shared" si="0"/>
        <v>0</v>
      </c>
      <c r="K9" s="232">
        <f t="shared" si="1"/>
        <v>0</v>
      </c>
      <c r="L9" s="1"/>
      <c r="M9" s="234">
        <f t="shared" si="2"/>
        <v>0</v>
      </c>
      <c r="N9" s="234">
        <f t="shared" si="3"/>
        <v>0</v>
      </c>
      <c r="Q9" s="225" t="s">
        <v>10</v>
      </c>
      <c r="R9" s="231">
        <f>Utilidad!E6</f>
        <v>0.01</v>
      </c>
    </row>
    <row r="10" spans="2:18" ht="24" x14ac:dyDescent="0.3">
      <c r="B10" s="225" t="s">
        <v>151</v>
      </c>
      <c r="C10" s="230">
        <f>Utilidad!A7</f>
        <v>556712.04239999992</v>
      </c>
      <c r="D10" s="231">
        <f>IF(Utilidad!C7&gt;1,Utilidad!C7/100,Utilidad!C7)</f>
        <v>0.60999257479888136</v>
      </c>
      <c r="F10" s="225" t="s">
        <v>151</v>
      </c>
      <c r="G10" s="230">
        <f>Utilidad!B7</f>
        <v>556712.04239999992</v>
      </c>
      <c r="H10" s="231">
        <f>IF(Utilidad!D7&gt;1,Utilidad!D7/100,Utilidad!D7)</f>
        <v>0.60999257479888136</v>
      </c>
      <c r="J10" s="232">
        <f t="shared" si="0"/>
        <v>0</v>
      </c>
      <c r="K10" s="232">
        <f t="shared" si="1"/>
        <v>0</v>
      </c>
      <c r="L10" s="1"/>
      <c r="M10" s="234">
        <f t="shared" si="2"/>
        <v>0</v>
      </c>
      <c r="N10" s="234">
        <f t="shared" si="3"/>
        <v>0</v>
      </c>
      <c r="Q10" s="225" t="s">
        <v>151</v>
      </c>
      <c r="R10" s="231">
        <f>Utilidad!E7</f>
        <v>0.01</v>
      </c>
    </row>
    <row r="11" spans="2:18" ht="24" x14ac:dyDescent="0.3">
      <c r="B11" s="225" t="s">
        <v>98</v>
      </c>
      <c r="C11" s="230">
        <f>Utilidad!A8</f>
        <v>80959.563825055302</v>
      </c>
      <c r="D11" s="231">
        <f>IF(Utilidad!C8&gt;1,Utilidad!C8/100,Utilidad!C8)</f>
        <v>8.3799220138465219E-2</v>
      </c>
      <c r="F11" s="225" t="s">
        <v>98</v>
      </c>
      <c r="G11" s="230">
        <f>Utilidad!B8</f>
        <v>80959.563825055302</v>
      </c>
      <c r="H11" s="231">
        <f>IF(Utilidad!D8&gt;1,Utilidad!D8/100,Utilidad!D8)</f>
        <v>8.3799220138465219E-2</v>
      </c>
      <c r="J11" s="232">
        <f t="shared" si="0"/>
        <v>0</v>
      </c>
      <c r="K11" s="232">
        <f t="shared" si="1"/>
        <v>0</v>
      </c>
      <c r="L11" s="1"/>
      <c r="M11" s="234">
        <f t="shared" si="2"/>
        <v>0</v>
      </c>
      <c r="N11" s="234">
        <f t="shared" si="3"/>
        <v>0</v>
      </c>
      <c r="Q11" s="225" t="s">
        <v>98</v>
      </c>
      <c r="R11" s="231">
        <f>Utilidad!E8</f>
        <v>0.01</v>
      </c>
    </row>
    <row r="12" spans="2:18" ht="24" x14ac:dyDescent="0.3">
      <c r="B12" s="225" t="s">
        <v>152</v>
      </c>
      <c r="C12" s="230">
        <f>Utilidad!A9</f>
        <v>475752.4785749446</v>
      </c>
      <c r="D12" s="231">
        <f>IF(Utilidad!C9&gt;1,Utilidad!C9/100,Utilidad!C9)</f>
        <v>0.68630000000000002</v>
      </c>
      <c r="F12" s="225" t="s">
        <v>152</v>
      </c>
      <c r="G12" s="230">
        <f>Utilidad!B9</f>
        <v>475752.4785749446</v>
      </c>
      <c r="H12" s="231">
        <f>IF(Utilidad!D9&gt;1,Utilidad!D9/100,Utilidad!D9)</f>
        <v>0.68630000000000002</v>
      </c>
      <c r="J12" s="232">
        <f t="shared" si="0"/>
        <v>0</v>
      </c>
      <c r="K12" s="232">
        <f t="shared" si="1"/>
        <v>0</v>
      </c>
      <c r="L12" s="1"/>
      <c r="M12" s="234">
        <f t="shared" si="2"/>
        <v>0</v>
      </c>
      <c r="N12" s="234">
        <f t="shared" si="3"/>
        <v>0</v>
      </c>
      <c r="Q12" s="225" t="s">
        <v>152</v>
      </c>
      <c r="R12" s="231">
        <f>Utilidad!E9</f>
        <v>0.01</v>
      </c>
    </row>
    <row r="13" spans="2:18" ht="24" x14ac:dyDescent="0.3">
      <c r="B13" s="225" t="s">
        <v>153</v>
      </c>
      <c r="C13" s="230">
        <f>Utilidad!A10</f>
        <v>466336.4785749446</v>
      </c>
      <c r="D13" s="231">
        <f>IF(Utilidad!C10&gt;1,Utilidad!C10/100,Utilidad!C10)</f>
        <v>0.68913249103666352</v>
      </c>
      <c r="F13" s="225" t="s">
        <v>153</v>
      </c>
      <c r="G13" s="230">
        <f>Utilidad!B10</f>
        <v>466336.4785749446</v>
      </c>
      <c r="H13" s="231">
        <f>IF(Utilidad!D10&gt;1,Utilidad!D10/100,Utilidad!D10)</f>
        <v>0.68913249103666352</v>
      </c>
      <c r="J13" s="232">
        <f t="shared" si="0"/>
        <v>0</v>
      </c>
      <c r="K13" s="232">
        <f t="shared" si="1"/>
        <v>0</v>
      </c>
      <c r="L13" s="1"/>
      <c r="M13" s="234">
        <f t="shared" si="2"/>
        <v>0</v>
      </c>
      <c r="N13" s="234">
        <f t="shared" si="3"/>
        <v>0</v>
      </c>
      <c r="Q13" s="225" t="s">
        <v>153</v>
      </c>
      <c r="R13" s="231">
        <f>Utilidad!E10</f>
        <v>0.01</v>
      </c>
    </row>
    <row r="14" spans="2:18" ht="24" x14ac:dyDescent="0.3">
      <c r="B14" s="225" t="s">
        <v>215</v>
      </c>
      <c r="C14" s="230">
        <f>Utilidad!A11</f>
        <v>1</v>
      </c>
      <c r="D14" s="231">
        <f>IF(Utilidad!C11&gt;1,Utilidad!C11/100,Utilidad!C11)</f>
        <v>0.6</v>
      </c>
      <c r="F14" s="225" t="s">
        <v>215</v>
      </c>
      <c r="G14" s="230">
        <f>Utilidad!B11</f>
        <v>1</v>
      </c>
      <c r="H14" s="231">
        <f>IF(Utilidad!D11&gt;1,Utilidad!D11/100,Utilidad!D11)</f>
        <v>0.6</v>
      </c>
      <c r="J14" s="232">
        <f t="shared" si="0"/>
        <v>0</v>
      </c>
      <c r="K14" s="232">
        <f t="shared" si="1"/>
        <v>0</v>
      </c>
      <c r="L14" s="1"/>
      <c r="M14" s="234">
        <f t="shared" si="2"/>
        <v>0</v>
      </c>
      <c r="N14" s="234">
        <f t="shared" si="3"/>
        <v>0</v>
      </c>
      <c r="Q14" s="225" t="s">
        <v>215</v>
      </c>
      <c r="R14" s="231">
        <f>Utilidad!E11</f>
        <v>0.01</v>
      </c>
    </row>
    <row r="15" spans="2:18" ht="24" x14ac:dyDescent="0.3">
      <c r="B15" s="225" t="s">
        <v>277</v>
      </c>
      <c r="C15" s="230">
        <f>Utilidad!A12</f>
        <v>183369.18950000001</v>
      </c>
      <c r="D15" s="231">
        <f>IF(Utilidad!C12&gt;1,Utilidad!C12/100,Utilidad!C12)</f>
        <v>0.68834294588788836</v>
      </c>
      <c r="F15" s="225" t="s">
        <v>277</v>
      </c>
      <c r="G15" s="230">
        <f>Utilidad!B12</f>
        <v>183369.18950000001</v>
      </c>
      <c r="H15" s="231">
        <f>IF(Utilidad!D12&gt;1,Utilidad!D12/100,Utilidad!D12)</f>
        <v>0.68834294588788836</v>
      </c>
      <c r="J15" s="232">
        <f t="shared" si="0"/>
        <v>0</v>
      </c>
      <c r="K15" s="232">
        <f t="shared" si="1"/>
        <v>0</v>
      </c>
      <c r="L15" s="1"/>
      <c r="M15" s="234">
        <f t="shared" si="2"/>
        <v>0</v>
      </c>
      <c r="N15" s="234">
        <f t="shared" si="3"/>
        <v>0</v>
      </c>
      <c r="Q15" s="225" t="s">
        <v>277</v>
      </c>
      <c r="R15" s="231">
        <f>Utilidad!E12</f>
        <v>0.01</v>
      </c>
    </row>
    <row r="16" spans="2:18" ht="24" x14ac:dyDescent="0.3">
      <c r="B16" s="225" t="s">
        <v>192</v>
      </c>
      <c r="C16" s="230">
        <f>Utilidad!A13</f>
        <v>183369.18950000001</v>
      </c>
      <c r="D16" s="231">
        <f>IF(Utilidad!C13&gt;1,Utilidad!C13/100,Utilidad!C13)</f>
        <v>0.68834294588788836</v>
      </c>
      <c r="F16" s="225" t="s">
        <v>192</v>
      </c>
      <c r="G16" s="230">
        <f>Utilidad!B13</f>
        <v>183369.18950000001</v>
      </c>
      <c r="H16" s="231">
        <f>IF(Utilidad!D13&gt;1,Utilidad!D13/100,Utilidad!D13)</f>
        <v>0.68834294588788836</v>
      </c>
      <c r="J16" s="232">
        <f t="shared" si="0"/>
        <v>0</v>
      </c>
      <c r="K16" s="232">
        <f t="shared" si="1"/>
        <v>0</v>
      </c>
      <c r="L16" s="1"/>
      <c r="M16" s="234">
        <f t="shared" si="2"/>
        <v>0</v>
      </c>
      <c r="N16" s="234">
        <f t="shared" si="3"/>
        <v>0</v>
      </c>
      <c r="Q16" s="225" t="s">
        <v>192</v>
      </c>
      <c r="R16" s="231">
        <f>Utilidad!E13</f>
        <v>0.01</v>
      </c>
    </row>
    <row r="17" spans="2:18" ht="24" x14ac:dyDescent="0.3">
      <c r="B17" s="225" t="s">
        <v>194</v>
      </c>
      <c r="C17" s="230">
        <f>Utilidad!A14</f>
        <v>0</v>
      </c>
      <c r="D17" s="231">
        <f>IF(Utilidad!C14&gt;1,Utilidad!C14/100,Utilidad!C14)</f>
        <v>0</v>
      </c>
      <c r="F17" s="225" t="s">
        <v>194</v>
      </c>
      <c r="G17" s="230">
        <f>Utilidad!B14</f>
        <v>0</v>
      </c>
      <c r="H17" s="231">
        <f>IF(Utilidad!D14&gt;1,Utilidad!D14/100,Utilidad!D14)</f>
        <v>0</v>
      </c>
      <c r="J17" s="232">
        <f t="shared" si="0"/>
        <v>0</v>
      </c>
      <c r="K17" s="232">
        <f t="shared" si="1"/>
        <v>0</v>
      </c>
      <c r="L17" s="1"/>
      <c r="M17" s="234">
        <f t="shared" si="2"/>
        <v>0</v>
      </c>
      <c r="N17" s="234">
        <f t="shared" si="3"/>
        <v>0</v>
      </c>
      <c r="Q17" s="225" t="s">
        <v>194</v>
      </c>
      <c r="R17" s="231">
        <f>Utilidad!E14</f>
        <v>0.01</v>
      </c>
    </row>
    <row r="18" spans="2:18" ht="24" x14ac:dyDescent="0.3">
      <c r="B18" s="225" t="s">
        <v>154</v>
      </c>
      <c r="C18" s="230">
        <f>Utilidad!A15</f>
        <v>274867.73500000004</v>
      </c>
      <c r="D18" s="231">
        <f>IF(Utilidad!C15&gt;1,Utilidad!C15/100,Utilidad!C15)</f>
        <v>0.68834294588788836</v>
      </c>
      <c r="F18" s="225" t="s">
        <v>154</v>
      </c>
      <c r="G18" s="230">
        <f>Utilidad!B15</f>
        <v>274867.73500000004</v>
      </c>
      <c r="H18" s="231">
        <f>IF(Utilidad!D15&gt;1,Utilidad!D15/100,Utilidad!D15)</f>
        <v>0.68834294588788836</v>
      </c>
      <c r="J18" s="232">
        <f t="shared" si="0"/>
        <v>0</v>
      </c>
      <c r="K18" s="232">
        <f t="shared" si="1"/>
        <v>0</v>
      </c>
      <c r="L18" s="1"/>
      <c r="M18" s="234">
        <f t="shared" si="2"/>
        <v>0</v>
      </c>
      <c r="N18" s="234">
        <f t="shared" si="3"/>
        <v>0</v>
      </c>
      <c r="Q18" s="225" t="s">
        <v>154</v>
      </c>
      <c r="R18" s="231">
        <f>Utilidad!E15</f>
        <v>0.01</v>
      </c>
    </row>
    <row r="19" spans="2:18" ht="24" x14ac:dyDescent="0.3">
      <c r="B19" s="225" t="s">
        <v>200</v>
      </c>
      <c r="C19" s="230">
        <f>Utilidad!A16</f>
        <v>332236.17460000003</v>
      </c>
      <c r="D19" s="231">
        <f>IF(Utilidad!C16&gt;1,Utilidad!C16/100,Utilidad!C16)</f>
        <v>0.68740042268907109</v>
      </c>
      <c r="F19" s="225" t="s">
        <v>200</v>
      </c>
      <c r="G19" s="230">
        <f>Utilidad!B16</f>
        <v>332236.17460000003</v>
      </c>
      <c r="H19" s="231">
        <f>IF(Utilidad!D16&gt;1,Utilidad!D16/100,Utilidad!D16)</f>
        <v>0.68740042268907109</v>
      </c>
      <c r="J19" s="232">
        <f t="shared" si="0"/>
        <v>0</v>
      </c>
      <c r="K19" s="232">
        <f t="shared" si="1"/>
        <v>0</v>
      </c>
      <c r="L19" s="1"/>
      <c r="M19" s="234">
        <f t="shared" si="2"/>
        <v>0</v>
      </c>
      <c r="N19" s="234">
        <f t="shared" si="3"/>
        <v>0</v>
      </c>
      <c r="Q19" s="225" t="s">
        <v>200</v>
      </c>
      <c r="R19" s="231">
        <f>Utilidad!E16</f>
        <v>0.01</v>
      </c>
    </row>
    <row r="20" spans="2:18" ht="24" x14ac:dyDescent="0.3">
      <c r="B20" s="225" t="s">
        <v>205</v>
      </c>
      <c r="C20" s="230">
        <f>Utilidad!A17</f>
        <v>13612.72</v>
      </c>
      <c r="D20" s="231">
        <f>IF(Utilidad!C17&gt;1,Utilidad!C17/100,Utilidad!C17)</f>
        <v>0</v>
      </c>
      <c r="F20" s="225" t="s">
        <v>205</v>
      </c>
      <c r="G20" s="230">
        <f>Utilidad!B17</f>
        <v>13612.72</v>
      </c>
      <c r="H20" s="231">
        <f>IF(Utilidad!D17&gt;1,Utilidad!D17/100,Utilidad!D17)</f>
        <v>0</v>
      </c>
      <c r="J20" s="232">
        <f t="shared" si="0"/>
        <v>0</v>
      </c>
      <c r="K20" s="232">
        <f t="shared" si="1"/>
        <v>0</v>
      </c>
      <c r="L20" s="1"/>
      <c r="M20" s="234">
        <f t="shared" si="2"/>
        <v>0</v>
      </c>
      <c r="N20" s="234">
        <f t="shared" si="3"/>
        <v>0</v>
      </c>
      <c r="Q20" s="225" t="s">
        <v>205</v>
      </c>
      <c r="R20" s="231">
        <f>Utilidad!E17</f>
        <v>0.01</v>
      </c>
    </row>
    <row r="21" spans="2:18" ht="15.75" customHeight="1" x14ac:dyDescent="0.3">
      <c r="B21" s="225" t="s">
        <v>209</v>
      </c>
      <c r="C21" s="230">
        <f>Utilidad!A18</f>
        <v>288480.45500000002</v>
      </c>
      <c r="D21" s="231">
        <f>IF(Utilidad!C18&gt;1,Utilidad!C18/100,Utilidad!C18)</f>
        <v>0.65711473548083466</v>
      </c>
      <c r="F21" s="225" t="s">
        <v>209</v>
      </c>
      <c r="G21" s="230">
        <f>Utilidad!B18</f>
        <v>288480.45500000002</v>
      </c>
      <c r="H21" s="231">
        <f>IF(Utilidad!D18&gt;1,Utilidad!D18/100,Utilidad!D18)</f>
        <v>0.65711473548083466</v>
      </c>
      <c r="J21" s="232">
        <f t="shared" si="0"/>
        <v>0</v>
      </c>
      <c r="K21" s="232">
        <f t="shared" si="1"/>
        <v>0</v>
      </c>
      <c r="L21" s="1"/>
      <c r="M21" s="234">
        <f t="shared" si="2"/>
        <v>0</v>
      </c>
      <c r="N21" s="234">
        <f t="shared" si="3"/>
        <v>0</v>
      </c>
      <c r="Q21" s="225" t="s">
        <v>209</v>
      </c>
      <c r="R21" s="231">
        <f>Utilidad!E18</f>
        <v>0.01</v>
      </c>
    </row>
    <row r="22" spans="2:18" ht="15.75" customHeight="1" x14ac:dyDescent="0.3">
      <c r="B22" s="225" t="s">
        <v>155</v>
      </c>
      <c r="C22" s="230">
        <f>Utilidad!A19</f>
        <v>5432.7</v>
      </c>
      <c r="D22" s="231">
        <f>IF(Utilidad!C19&gt;1,Utilidad!C19/100,Utilidad!C19)</f>
        <v>0.65535413283291699</v>
      </c>
      <c r="F22" s="225" t="s">
        <v>155</v>
      </c>
      <c r="G22" s="230">
        <f>Utilidad!B19</f>
        <v>5432.7</v>
      </c>
      <c r="H22" s="231">
        <f>IF(Utilidad!D19&gt;1,Utilidad!D19/100,Utilidad!D19)</f>
        <v>0.65535413283291699</v>
      </c>
      <c r="J22" s="232">
        <f t="shared" si="0"/>
        <v>0</v>
      </c>
      <c r="K22" s="232">
        <f t="shared" si="1"/>
        <v>0</v>
      </c>
      <c r="L22" s="1"/>
      <c r="M22" s="234">
        <f t="shared" si="2"/>
        <v>0</v>
      </c>
      <c r="N22" s="234">
        <f t="shared" si="3"/>
        <v>0</v>
      </c>
      <c r="Q22" s="225" t="s">
        <v>155</v>
      </c>
      <c r="R22" s="231">
        <f>Utilidad!E19</f>
        <v>0.01</v>
      </c>
    </row>
    <row r="23" spans="2:18" ht="15.75" customHeight="1" x14ac:dyDescent="0.3">
      <c r="B23" s="225" t="s">
        <v>156</v>
      </c>
      <c r="C23" s="230">
        <f>Utilidad!A20</f>
        <v>775</v>
      </c>
      <c r="D23" s="231">
        <f>IF(Utilidad!C20&gt;1,Utilidad!C20/100,Utilidad!C20)</f>
        <v>0</v>
      </c>
      <c r="F23" s="225" t="s">
        <v>156</v>
      </c>
      <c r="G23" s="230">
        <f>Utilidad!B20</f>
        <v>775</v>
      </c>
      <c r="H23" s="231">
        <f>IF(Utilidad!D20&gt;1,Utilidad!D20/100,Utilidad!D20)</f>
        <v>0</v>
      </c>
      <c r="J23" s="232">
        <f t="shared" si="0"/>
        <v>0</v>
      </c>
      <c r="K23" s="232">
        <f t="shared" si="1"/>
        <v>0</v>
      </c>
      <c r="L23" s="1"/>
      <c r="M23" s="234">
        <f t="shared" si="2"/>
        <v>0</v>
      </c>
      <c r="N23" s="234">
        <f t="shared" si="3"/>
        <v>0</v>
      </c>
      <c r="Q23" s="225" t="s">
        <v>156</v>
      </c>
      <c r="R23" s="231">
        <f>Utilidad!E20</f>
        <v>0.01</v>
      </c>
    </row>
    <row r="24" spans="2:18" ht="15.75" customHeight="1" x14ac:dyDescent="0.3">
      <c r="B24" s="225" t="s">
        <v>157</v>
      </c>
      <c r="C24" s="230">
        <f>Utilidad!A21</f>
        <v>289255.45500000002</v>
      </c>
      <c r="D24" s="231">
        <f>IF(Utilidad!C21&gt;1,Utilidad!C21/100,Utilidad!C21)</f>
        <v>0.65535413283291699</v>
      </c>
      <c r="F24" s="225" t="s">
        <v>157</v>
      </c>
      <c r="G24" s="230">
        <f>Utilidad!B21</f>
        <v>289255.45500000002</v>
      </c>
      <c r="H24" s="231">
        <f>IF(Utilidad!D21&gt;1,Utilidad!D21/100,Utilidad!D21)</f>
        <v>0.65535413283291699</v>
      </c>
      <c r="J24" s="232">
        <f t="shared" si="0"/>
        <v>0</v>
      </c>
      <c r="K24" s="232">
        <f t="shared" si="1"/>
        <v>0</v>
      </c>
      <c r="L24" s="1"/>
      <c r="M24" s="234">
        <f t="shared" si="2"/>
        <v>0</v>
      </c>
      <c r="N24" s="234">
        <f t="shared" si="3"/>
        <v>0</v>
      </c>
      <c r="Q24" s="225" t="s">
        <v>157</v>
      </c>
      <c r="R24" s="231">
        <f>Utilidad!E21</f>
        <v>0.01</v>
      </c>
    </row>
    <row r="25" spans="2:18" ht="15.75" customHeight="1" x14ac:dyDescent="0.3">
      <c r="B25" s="225" t="s">
        <v>158</v>
      </c>
      <c r="C25" s="230">
        <f>Utilidad!A22</f>
        <v>12496.205</v>
      </c>
      <c r="D25" s="231">
        <f>IF(Utilidad!C22&gt;1,Utilidad!C22/100,Utilidad!C22)</f>
        <v>0.65535413283291699</v>
      </c>
      <c r="F25" s="225" t="s">
        <v>158</v>
      </c>
      <c r="G25" s="230">
        <f>Utilidad!B22</f>
        <v>12496.205</v>
      </c>
      <c r="H25" s="231">
        <f>IF(Utilidad!D22&gt;1,Utilidad!D22/100,Utilidad!D22)</f>
        <v>0.65535413283291699</v>
      </c>
      <c r="J25" s="232">
        <f t="shared" si="0"/>
        <v>0</v>
      </c>
      <c r="K25" s="232">
        <f t="shared" si="1"/>
        <v>0</v>
      </c>
      <c r="L25" s="1"/>
      <c r="M25" s="234">
        <f t="shared" si="2"/>
        <v>0</v>
      </c>
      <c r="N25" s="234">
        <f t="shared" si="3"/>
        <v>0</v>
      </c>
      <c r="Q25" s="225" t="s">
        <v>158</v>
      </c>
      <c r="R25" s="231">
        <f>Utilidad!E22</f>
        <v>0.01</v>
      </c>
    </row>
    <row r="26" spans="2:18" ht="15.75" customHeight="1" x14ac:dyDescent="0.3">
      <c r="B26" s="225" t="s">
        <v>159</v>
      </c>
      <c r="C26" s="230">
        <f>Utilidad!A23</f>
        <v>271326.55</v>
      </c>
      <c r="D26" s="231">
        <f>IF(Utilidad!C23&gt;1,Utilidad!C23/100,Utilidad!C23)</f>
        <v>0.65535413283291699</v>
      </c>
      <c r="F26" s="225" t="s">
        <v>159</v>
      </c>
      <c r="G26" s="230">
        <f>Utilidad!B23</f>
        <v>271326.55</v>
      </c>
      <c r="H26" s="231">
        <f>IF(Utilidad!D23&gt;1,Utilidad!D23/100,Utilidad!D23)</f>
        <v>0.65535413283291699</v>
      </c>
      <c r="J26" s="232">
        <f t="shared" si="0"/>
        <v>0</v>
      </c>
      <c r="K26" s="232">
        <f t="shared" si="1"/>
        <v>0</v>
      </c>
      <c r="L26" s="1"/>
      <c r="M26" s="234">
        <f t="shared" si="2"/>
        <v>0</v>
      </c>
      <c r="N26" s="234">
        <f t="shared" si="3"/>
        <v>0</v>
      </c>
      <c r="Q26" s="225" t="s">
        <v>159</v>
      </c>
      <c r="R26" s="231">
        <f>Utilidad!E23</f>
        <v>0.01</v>
      </c>
    </row>
    <row r="27" spans="2:18" ht="15.75" customHeight="1" x14ac:dyDescent="0.3">
      <c r="B27" s="225" t="s">
        <v>18</v>
      </c>
      <c r="C27" s="230">
        <f>Utilidad!A24</f>
        <v>32361.38</v>
      </c>
      <c r="D27" s="231">
        <f>IF(Utilidad!C24&gt;1,Utilidad!C24/100,Utilidad!C24)</f>
        <v>0.65535413283291699</v>
      </c>
      <c r="F27" s="225" t="s">
        <v>18</v>
      </c>
      <c r="G27" s="230">
        <f>Utilidad!B24</f>
        <v>32361.38</v>
      </c>
      <c r="H27" s="231">
        <f>IF(Utilidad!D24&gt;1,Utilidad!D24/100,Utilidad!D24)</f>
        <v>0.65535413283291699</v>
      </c>
      <c r="J27" s="232">
        <f t="shared" si="0"/>
        <v>0</v>
      </c>
      <c r="K27" s="232">
        <f t="shared" si="1"/>
        <v>0</v>
      </c>
      <c r="L27" s="1"/>
      <c r="M27" s="234">
        <f t="shared" si="2"/>
        <v>0</v>
      </c>
      <c r="N27" s="234">
        <f t="shared" si="3"/>
        <v>0</v>
      </c>
      <c r="Q27" s="225" t="s">
        <v>18</v>
      </c>
      <c r="R27" s="231">
        <f>Utilidad!E24</f>
        <v>0.01</v>
      </c>
    </row>
    <row r="28" spans="2:18" ht="15.75" customHeight="1" x14ac:dyDescent="0.3">
      <c r="B28" s="225" t="s">
        <v>218</v>
      </c>
      <c r="C28" s="230">
        <f>Utilidad!A25</f>
        <v>238058.12169999999</v>
      </c>
      <c r="D28" s="231">
        <f>IF(Utilidad!C25&gt;1,Utilidad!C25/100,Utilidad!C25)</f>
        <v>0.65506562002568458</v>
      </c>
      <c r="F28" s="225" t="s">
        <v>218</v>
      </c>
      <c r="G28" s="230">
        <f>Utilidad!B25</f>
        <v>238058.12169999999</v>
      </c>
      <c r="H28" s="231">
        <f>IF(Utilidad!D25&gt;1,Utilidad!D25/100,Utilidad!D25)</f>
        <v>0.65506562002568458</v>
      </c>
      <c r="J28" s="232">
        <f t="shared" si="0"/>
        <v>0</v>
      </c>
      <c r="K28" s="232">
        <f t="shared" si="1"/>
        <v>0</v>
      </c>
      <c r="L28" s="1"/>
      <c r="M28" s="234">
        <f t="shared" si="2"/>
        <v>0</v>
      </c>
      <c r="N28" s="234">
        <f t="shared" si="3"/>
        <v>0</v>
      </c>
      <c r="Q28" s="225" t="s">
        <v>218</v>
      </c>
      <c r="R28" s="231">
        <f>Utilidad!E25</f>
        <v>0.01</v>
      </c>
    </row>
    <row r="29" spans="2:18" ht="15.75" customHeight="1" x14ac:dyDescent="0.3">
      <c r="B29" s="429" t="s">
        <v>278</v>
      </c>
      <c r="C29" s="430">
        <f>Utilidad!A26</f>
        <v>0</v>
      </c>
      <c r="D29" s="431">
        <f>IF(Utilidad!C26&gt;1,Utilidad!C26/100,Utilidad!C26)</f>
        <v>0</v>
      </c>
      <c r="E29" s="432"/>
      <c r="F29" s="429" t="s">
        <v>278</v>
      </c>
      <c r="G29" s="430">
        <f>Utilidad!B26</f>
        <v>0</v>
      </c>
      <c r="H29" s="431">
        <f>IF(Utilidad!D26&gt;1,Utilidad!D26/100,Utilidad!D26)</f>
        <v>0</v>
      </c>
      <c r="I29" s="432"/>
      <c r="J29" s="433">
        <f t="shared" si="0"/>
        <v>0</v>
      </c>
      <c r="K29" s="433">
        <f t="shared" si="1"/>
        <v>0</v>
      </c>
      <c r="L29" s="434"/>
      <c r="M29" s="435">
        <f t="shared" si="2"/>
        <v>0</v>
      </c>
      <c r="N29" s="435">
        <f t="shared" si="3"/>
        <v>0</v>
      </c>
      <c r="O29" s="432"/>
      <c r="P29" s="432"/>
      <c r="Q29" s="429" t="s">
        <v>278</v>
      </c>
      <c r="R29" s="431">
        <f>Utilidad!E26</f>
        <v>0.01</v>
      </c>
    </row>
    <row r="30" spans="2:18" ht="15.75" customHeight="1" x14ac:dyDescent="0.3">
      <c r="B30" s="441" t="s">
        <v>279</v>
      </c>
      <c r="C30" s="442">
        <f>Utilidad!A27</f>
        <v>0</v>
      </c>
      <c r="D30" s="443">
        <f>IF(Utilidad!C27&gt;1,Utilidad!C27/100,Utilidad!C27)</f>
        <v>0</v>
      </c>
      <c r="E30" s="444"/>
      <c r="F30" s="441" t="s">
        <v>279</v>
      </c>
      <c r="G30" s="442">
        <f>Utilidad!B27</f>
        <v>0</v>
      </c>
      <c r="H30" s="443">
        <f>IF(Utilidad!D27&gt;1,Utilidad!D27/100,Utilidad!D27)</f>
        <v>0</v>
      </c>
      <c r="I30" s="444"/>
      <c r="J30" s="445">
        <f t="shared" si="0"/>
        <v>0</v>
      </c>
      <c r="K30" s="445">
        <f t="shared" si="1"/>
        <v>0</v>
      </c>
      <c r="L30" s="446"/>
      <c r="M30" s="447">
        <f t="shared" si="2"/>
        <v>0</v>
      </c>
      <c r="N30" s="447">
        <f t="shared" si="3"/>
        <v>0</v>
      </c>
      <c r="O30" s="444"/>
      <c r="P30" s="444"/>
      <c r="Q30" s="441" t="s">
        <v>279</v>
      </c>
      <c r="R30" s="443">
        <f>Utilidad!E27</f>
        <v>0.01</v>
      </c>
    </row>
    <row r="31" spans="2:18" ht="15.75" customHeight="1" x14ac:dyDescent="0.3">
      <c r="B31" s="436"/>
      <c r="C31" s="437"/>
      <c r="D31" s="438"/>
      <c r="E31" s="432"/>
      <c r="F31" s="436"/>
      <c r="G31" s="437"/>
      <c r="H31" s="438"/>
      <c r="I31" s="432"/>
      <c r="J31" s="439"/>
      <c r="K31" s="439"/>
      <c r="L31" s="434"/>
      <c r="M31" s="440"/>
      <c r="N31" s="440"/>
      <c r="O31" s="432"/>
      <c r="P31" s="432"/>
      <c r="Q31" s="436"/>
      <c r="R31" s="438"/>
    </row>
    <row r="32" spans="2:18" ht="15.75" customHeight="1" x14ac:dyDescent="0.3">
      <c r="B32" s="436"/>
      <c r="C32" s="437"/>
      <c r="D32" s="438"/>
      <c r="E32" s="432"/>
      <c r="F32" s="436"/>
      <c r="G32" s="437"/>
      <c r="H32" s="438"/>
      <c r="I32" s="432"/>
      <c r="J32" s="439"/>
      <c r="K32" s="439"/>
      <c r="L32" s="434"/>
      <c r="M32" s="440"/>
      <c r="N32" s="440"/>
      <c r="O32" s="432"/>
      <c r="P32" s="432"/>
      <c r="Q32" s="436"/>
      <c r="R32" s="438"/>
    </row>
    <row r="33" spans="2:18" ht="15.75" customHeight="1" x14ac:dyDescent="0.3">
      <c r="B33" s="436"/>
      <c r="C33" s="437"/>
      <c r="D33" s="438"/>
      <c r="E33" s="432"/>
      <c r="F33" s="436"/>
      <c r="G33" s="437"/>
      <c r="H33" s="438"/>
      <c r="I33" s="432"/>
      <c r="J33" s="439"/>
      <c r="K33" s="439"/>
      <c r="L33" s="434"/>
      <c r="M33" s="440"/>
      <c r="N33" s="440"/>
      <c r="O33" s="432"/>
      <c r="P33" s="432"/>
      <c r="Q33" s="436"/>
      <c r="R33" s="438"/>
    </row>
    <row r="34" spans="2:18" ht="15.75" customHeight="1" x14ac:dyDescent="0.3">
      <c r="B34" s="436"/>
      <c r="C34" s="437"/>
      <c r="D34" s="438"/>
      <c r="E34" s="432"/>
      <c r="F34" s="436"/>
      <c r="G34" s="437"/>
      <c r="H34" s="438"/>
      <c r="I34" s="432"/>
      <c r="J34" s="439"/>
      <c r="K34" s="439"/>
      <c r="L34" s="434"/>
      <c r="M34" s="440"/>
      <c r="N34" s="440"/>
      <c r="O34" s="432"/>
      <c r="P34" s="432"/>
      <c r="Q34" s="436"/>
      <c r="R34" s="438"/>
    </row>
    <row r="35" spans="2:18" ht="15.75" customHeight="1" x14ac:dyDescent="0.3">
      <c r="B35" s="436"/>
      <c r="C35" s="437"/>
      <c r="D35" s="438"/>
      <c r="E35" s="432"/>
      <c r="F35" s="436"/>
      <c r="G35" s="437"/>
      <c r="H35" s="438"/>
      <c r="I35" s="432"/>
      <c r="J35" s="439"/>
      <c r="K35" s="439"/>
      <c r="L35" s="434"/>
      <c r="M35" s="440"/>
      <c r="N35" s="440"/>
      <c r="O35" s="432"/>
      <c r="P35" s="432"/>
      <c r="Q35" s="436"/>
      <c r="R35" s="438"/>
    </row>
    <row r="36" spans="2:18" ht="15.75" customHeight="1" x14ac:dyDescent="0.3">
      <c r="B36" s="436"/>
      <c r="C36" s="437"/>
      <c r="D36" s="438"/>
      <c r="E36" s="432"/>
      <c r="F36" s="436"/>
      <c r="G36" s="437"/>
      <c r="H36" s="438"/>
      <c r="I36" s="432"/>
      <c r="J36" s="439"/>
      <c r="K36" s="439"/>
      <c r="L36" s="434"/>
      <c r="M36" s="440"/>
      <c r="N36" s="440"/>
      <c r="O36" s="432"/>
      <c r="P36" s="432"/>
      <c r="Q36" s="436"/>
      <c r="R36" s="438"/>
    </row>
    <row r="37" spans="2:18" ht="15.75" customHeight="1" x14ac:dyDescent="0.3">
      <c r="B37" s="436"/>
      <c r="C37" s="437"/>
      <c r="D37" s="438"/>
      <c r="E37" s="432"/>
      <c r="F37" s="436"/>
      <c r="G37" s="437"/>
      <c r="H37" s="438"/>
      <c r="I37" s="432"/>
      <c r="J37" s="439"/>
      <c r="K37" s="439"/>
      <c r="L37" s="434"/>
      <c r="M37" s="440"/>
      <c r="N37" s="440"/>
      <c r="O37" s="432"/>
      <c r="P37" s="432"/>
      <c r="Q37" s="436"/>
      <c r="R37" s="438"/>
    </row>
    <row r="38" spans="2:18" ht="15.75" customHeight="1" x14ac:dyDescent="0.3">
      <c r="B38" s="436"/>
      <c r="C38" s="437"/>
      <c r="D38" s="438"/>
      <c r="E38" s="432"/>
      <c r="F38" s="436"/>
      <c r="G38" s="437"/>
      <c r="H38" s="438"/>
      <c r="I38" s="432"/>
      <c r="J38" s="439"/>
      <c r="K38" s="439"/>
      <c r="L38" s="434"/>
      <c r="M38" s="440"/>
      <c r="N38" s="440"/>
      <c r="O38" s="432"/>
      <c r="P38" s="432"/>
      <c r="Q38" s="436"/>
      <c r="R38" s="438"/>
    </row>
    <row r="39" spans="2:18" ht="15.75" customHeight="1" x14ac:dyDescent="0.3">
      <c r="B39" s="436"/>
      <c r="C39" s="437"/>
      <c r="D39" s="438"/>
      <c r="E39" s="432"/>
      <c r="F39" s="436"/>
      <c r="G39" s="437"/>
      <c r="H39" s="438"/>
      <c r="I39" s="432"/>
      <c r="J39" s="439"/>
      <c r="K39" s="439"/>
      <c r="L39" s="434"/>
      <c r="M39" s="440"/>
      <c r="N39" s="440"/>
      <c r="O39" s="432"/>
      <c r="P39" s="432"/>
      <c r="Q39" s="436"/>
      <c r="R39" s="438"/>
    </row>
    <row r="40" spans="2:18" ht="15.75" customHeight="1" x14ac:dyDescent="0.3">
      <c r="B40" s="436"/>
      <c r="C40" s="437"/>
      <c r="D40" s="438"/>
      <c r="E40" s="432"/>
      <c r="F40" s="436"/>
      <c r="G40" s="437"/>
      <c r="H40" s="438"/>
      <c r="I40" s="432"/>
      <c r="J40" s="439"/>
      <c r="K40" s="439"/>
      <c r="L40" s="434"/>
      <c r="M40" s="440"/>
      <c r="N40" s="440"/>
      <c r="O40" s="432"/>
      <c r="P40" s="432"/>
      <c r="Q40" s="436"/>
      <c r="R40" s="438"/>
    </row>
    <row r="41" spans="2:18" ht="15.75" customHeight="1" x14ac:dyDescent="0.3">
      <c r="B41" s="436"/>
      <c r="C41" s="437"/>
      <c r="D41" s="438"/>
      <c r="E41" s="432"/>
      <c r="F41" s="436"/>
      <c r="G41" s="437"/>
      <c r="H41" s="438"/>
      <c r="I41" s="432"/>
      <c r="J41" s="439"/>
      <c r="K41" s="439"/>
      <c r="L41" s="434"/>
      <c r="M41" s="440"/>
      <c r="N41" s="440"/>
      <c r="O41" s="432"/>
      <c r="P41" s="432"/>
      <c r="Q41" s="436"/>
      <c r="R41" s="438"/>
    </row>
    <row r="42" spans="2:18" ht="15.75" customHeight="1" x14ac:dyDescent="0.3">
      <c r="B42" s="436"/>
      <c r="C42" s="437"/>
      <c r="D42" s="438"/>
      <c r="E42" s="432"/>
      <c r="F42" s="436"/>
      <c r="G42" s="437"/>
      <c r="H42" s="438"/>
      <c r="I42" s="432"/>
      <c r="J42" s="439"/>
      <c r="K42" s="439"/>
      <c r="L42" s="434"/>
      <c r="M42" s="440"/>
      <c r="N42" s="440"/>
      <c r="O42" s="432"/>
      <c r="P42" s="432"/>
      <c r="Q42" s="436"/>
      <c r="R42" s="438"/>
    </row>
    <row r="43" spans="2:18" ht="15.75" customHeight="1" x14ac:dyDescent="0.3">
      <c r="B43" s="436"/>
      <c r="C43" s="437"/>
      <c r="D43" s="438"/>
      <c r="E43" s="432"/>
      <c r="F43" s="436"/>
      <c r="G43" s="437"/>
      <c r="H43" s="438"/>
      <c r="I43" s="432"/>
      <c r="J43" s="439"/>
      <c r="K43" s="439"/>
      <c r="L43" s="434"/>
      <c r="M43" s="440"/>
      <c r="N43" s="440"/>
      <c r="O43" s="432"/>
      <c r="P43" s="432"/>
      <c r="Q43" s="436"/>
      <c r="R43" s="438"/>
    </row>
    <row r="44" spans="2:18" ht="15.75" customHeight="1" x14ac:dyDescent="0.3">
      <c r="B44" s="436"/>
      <c r="C44" s="437"/>
      <c r="D44" s="438"/>
      <c r="E44" s="432"/>
      <c r="F44" s="436"/>
      <c r="G44" s="437"/>
      <c r="H44" s="438"/>
      <c r="I44" s="432"/>
      <c r="J44" s="439"/>
      <c r="K44" s="439"/>
      <c r="L44" s="434"/>
      <c r="M44" s="440"/>
      <c r="N44" s="440"/>
      <c r="O44" s="432"/>
      <c r="P44" s="432"/>
      <c r="Q44" s="436"/>
      <c r="R44" s="438"/>
    </row>
    <row r="45" spans="2:18" ht="15.75" customHeight="1" x14ac:dyDescent="0.3">
      <c r="B45" s="436"/>
      <c r="C45" s="437"/>
      <c r="D45" s="438"/>
      <c r="E45" s="432"/>
      <c r="F45" s="436"/>
      <c r="G45" s="437"/>
      <c r="H45" s="438"/>
      <c r="I45" s="432"/>
      <c r="J45" s="439"/>
      <c r="K45" s="439"/>
      <c r="L45" s="434"/>
      <c r="M45" s="440"/>
      <c r="N45" s="440"/>
      <c r="O45" s="432"/>
      <c r="P45" s="432"/>
      <c r="Q45" s="436"/>
      <c r="R45" s="438"/>
    </row>
    <row r="46" spans="2:18" ht="15.75" customHeight="1" x14ac:dyDescent="0.3">
      <c r="B46" s="436"/>
      <c r="C46" s="437"/>
      <c r="D46" s="438"/>
      <c r="E46" s="432"/>
      <c r="F46" s="436"/>
      <c r="G46" s="437"/>
      <c r="H46" s="438"/>
      <c r="I46" s="432"/>
      <c r="J46" s="439"/>
      <c r="K46" s="439"/>
      <c r="L46" s="434"/>
      <c r="M46" s="440"/>
      <c r="N46" s="440"/>
      <c r="O46" s="432"/>
      <c r="P46" s="432"/>
      <c r="Q46" s="436"/>
      <c r="R46" s="438"/>
    </row>
    <row r="47" spans="2:18" ht="15.75" customHeight="1" x14ac:dyDescent="0.3">
      <c r="B47" s="436"/>
      <c r="C47" s="437"/>
      <c r="D47" s="438"/>
      <c r="E47" s="432"/>
      <c r="F47" s="436"/>
      <c r="G47" s="437"/>
      <c r="H47" s="438"/>
      <c r="I47" s="432"/>
      <c r="J47" s="439"/>
      <c r="K47" s="439"/>
      <c r="L47" s="434"/>
      <c r="M47" s="440"/>
      <c r="N47" s="440"/>
      <c r="O47" s="432"/>
      <c r="P47" s="432"/>
      <c r="Q47" s="436"/>
      <c r="R47" s="438"/>
    </row>
    <row r="48" spans="2:18" ht="15.75" customHeight="1" x14ac:dyDescent="0.3">
      <c r="B48" s="436"/>
      <c r="C48" s="437"/>
      <c r="D48" s="438"/>
      <c r="E48" s="432"/>
      <c r="F48" s="436"/>
      <c r="G48" s="437"/>
      <c r="H48" s="438"/>
      <c r="I48" s="432"/>
      <c r="J48" s="439"/>
      <c r="K48" s="439"/>
      <c r="L48" s="434"/>
      <c r="M48" s="440"/>
      <c r="N48" s="440"/>
      <c r="O48" s="432"/>
      <c r="P48" s="432"/>
      <c r="Q48" s="436"/>
      <c r="R48" s="438"/>
    </row>
    <row r="49" spans="2:18" ht="15.75" customHeight="1" x14ac:dyDescent="0.3">
      <c r="B49" s="436"/>
      <c r="C49" s="437"/>
      <c r="D49" s="438"/>
      <c r="E49" s="432"/>
      <c r="F49" s="436"/>
      <c r="G49" s="437"/>
      <c r="H49" s="438"/>
      <c r="I49" s="432"/>
      <c r="J49" s="439"/>
      <c r="K49" s="439"/>
      <c r="L49" s="434"/>
      <c r="M49" s="440"/>
      <c r="N49" s="440"/>
      <c r="O49" s="432"/>
      <c r="P49" s="432"/>
      <c r="Q49" s="436"/>
      <c r="R49" s="438"/>
    </row>
    <row r="50" spans="2:18" ht="15.75" customHeight="1" x14ac:dyDescent="0.3">
      <c r="B50" s="436"/>
      <c r="C50" s="437"/>
      <c r="D50" s="438"/>
      <c r="E50" s="432"/>
      <c r="F50" s="436"/>
      <c r="G50" s="437"/>
      <c r="H50" s="438"/>
      <c r="I50" s="432"/>
      <c r="J50" s="439"/>
      <c r="K50" s="439"/>
      <c r="L50" s="434"/>
      <c r="M50" s="440"/>
      <c r="N50" s="440"/>
      <c r="O50" s="432"/>
      <c r="P50" s="432"/>
      <c r="Q50" s="436"/>
      <c r="R50" s="438"/>
    </row>
    <row r="51" spans="2:18" ht="15.75" customHeight="1" x14ac:dyDescent="0.3">
      <c r="B51" s="436"/>
      <c r="C51" s="437"/>
      <c r="D51" s="438"/>
      <c r="E51" s="432"/>
      <c r="F51" s="436"/>
      <c r="G51" s="437"/>
      <c r="H51" s="438"/>
      <c r="I51" s="432"/>
      <c r="J51" s="439"/>
      <c r="K51" s="439"/>
      <c r="L51" s="434"/>
      <c r="M51" s="440"/>
      <c r="N51" s="440"/>
      <c r="O51" s="432"/>
      <c r="P51" s="432"/>
      <c r="Q51" s="436"/>
      <c r="R51" s="438"/>
    </row>
    <row r="52" spans="2:18" ht="15.75" customHeight="1" x14ac:dyDescent="0.3">
      <c r="B52" s="436"/>
      <c r="C52" s="437"/>
      <c r="D52" s="438"/>
      <c r="E52" s="432"/>
      <c r="F52" s="436"/>
      <c r="G52" s="437"/>
      <c r="H52" s="438"/>
      <c r="I52" s="432"/>
      <c r="J52" s="439"/>
      <c r="K52" s="439"/>
      <c r="L52" s="434"/>
      <c r="M52" s="440"/>
      <c r="N52" s="440"/>
      <c r="O52" s="432"/>
      <c r="P52" s="432"/>
      <c r="Q52" s="436"/>
      <c r="R52" s="438"/>
    </row>
    <row r="53" spans="2:18" ht="15.75" customHeight="1" x14ac:dyDescent="0.3">
      <c r="B53" s="436"/>
      <c r="C53" s="437"/>
      <c r="D53" s="438"/>
      <c r="E53" s="432"/>
      <c r="F53" s="436"/>
      <c r="G53" s="437"/>
      <c r="H53" s="438"/>
      <c r="I53" s="432"/>
      <c r="J53" s="439"/>
      <c r="K53" s="439"/>
      <c r="L53" s="434"/>
      <c r="M53" s="440"/>
      <c r="N53" s="440"/>
      <c r="O53" s="432"/>
      <c r="P53" s="432"/>
      <c r="Q53" s="436"/>
      <c r="R53" s="438"/>
    </row>
    <row r="54" spans="2:18" ht="15.75" customHeight="1" x14ac:dyDescent="0.3">
      <c r="B54" s="436"/>
      <c r="C54" s="437"/>
      <c r="D54" s="438"/>
      <c r="E54" s="432"/>
      <c r="F54" s="436"/>
      <c r="G54" s="437"/>
      <c r="H54" s="438"/>
      <c r="I54" s="432"/>
      <c r="J54" s="439"/>
      <c r="K54" s="439"/>
      <c r="L54" s="434"/>
      <c r="M54" s="440"/>
      <c r="N54" s="440"/>
      <c r="O54" s="432"/>
      <c r="P54" s="432"/>
      <c r="Q54" s="436"/>
      <c r="R54" s="438"/>
    </row>
    <row r="55" spans="2:18" ht="15.75" customHeight="1" x14ac:dyDescent="0.3">
      <c r="B55" s="436"/>
      <c r="C55" s="437"/>
      <c r="D55" s="438"/>
      <c r="E55" s="432"/>
      <c r="F55" s="436"/>
      <c r="G55" s="437"/>
      <c r="H55" s="438"/>
      <c r="I55" s="432"/>
      <c r="J55" s="439"/>
      <c r="K55" s="439"/>
      <c r="L55" s="434"/>
      <c r="M55" s="440"/>
      <c r="N55" s="440"/>
      <c r="O55" s="432"/>
      <c r="P55" s="432"/>
      <c r="Q55" s="436"/>
      <c r="R55" s="438"/>
    </row>
    <row r="56" spans="2:18" ht="15.75" customHeight="1" x14ac:dyDescent="0.3">
      <c r="B56" s="436"/>
      <c r="C56" s="437"/>
      <c r="D56" s="438"/>
      <c r="E56" s="432"/>
      <c r="F56" s="436"/>
      <c r="G56" s="437"/>
      <c r="H56" s="438"/>
      <c r="I56" s="432"/>
      <c r="J56" s="439"/>
      <c r="K56" s="439"/>
      <c r="L56" s="434"/>
      <c r="M56" s="440"/>
      <c r="N56" s="440"/>
      <c r="O56" s="432"/>
      <c r="P56" s="432"/>
      <c r="Q56" s="436"/>
      <c r="R56" s="438"/>
    </row>
    <row r="57" spans="2:18" ht="15.75" customHeight="1" x14ac:dyDescent="0.3">
      <c r="B57" s="436"/>
      <c r="C57" s="437"/>
      <c r="D57" s="438"/>
      <c r="E57" s="432"/>
      <c r="F57" s="436"/>
      <c r="G57" s="437"/>
      <c r="H57" s="438"/>
      <c r="I57" s="432"/>
      <c r="J57" s="439"/>
      <c r="K57" s="439"/>
      <c r="L57" s="434"/>
      <c r="M57" s="440"/>
      <c r="N57" s="440"/>
      <c r="O57" s="432"/>
      <c r="P57" s="432"/>
      <c r="Q57" s="436"/>
      <c r="R57" s="438"/>
    </row>
    <row r="58" spans="2:18" ht="15.75" customHeight="1" x14ac:dyDescent="0.3">
      <c r="B58" s="436"/>
      <c r="C58" s="437"/>
      <c r="D58" s="438"/>
      <c r="E58" s="432"/>
      <c r="F58" s="436"/>
      <c r="G58" s="437"/>
      <c r="H58" s="438"/>
      <c r="I58" s="432"/>
      <c r="J58" s="439"/>
      <c r="K58" s="439"/>
      <c r="L58" s="434"/>
      <c r="M58" s="440"/>
      <c r="N58" s="440"/>
      <c r="O58" s="432"/>
      <c r="P58" s="432"/>
      <c r="Q58" s="436"/>
      <c r="R58" s="438"/>
    </row>
    <row r="59" spans="2:18" ht="15.75" customHeight="1" x14ac:dyDescent="0.3">
      <c r="B59" s="436"/>
      <c r="C59" s="437"/>
      <c r="D59" s="438"/>
      <c r="E59" s="432"/>
      <c r="F59" s="436"/>
      <c r="G59" s="437"/>
      <c r="H59" s="438"/>
      <c r="I59" s="432"/>
      <c r="J59" s="439"/>
      <c r="K59" s="439"/>
      <c r="L59" s="434"/>
      <c r="M59" s="440"/>
      <c r="N59" s="440"/>
      <c r="O59" s="432"/>
      <c r="P59" s="432"/>
      <c r="Q59" s="436"/>
      <c r="R59" s="438"/>
    </row>
    <row r="60" spans="2:18" ht="15.75" customHeight="1" x14ac:dyDescent="0.3">
      <c r="B60" s="436"/>
      <c r="C60" s="437"/>
      <c r="D60" s="438"/>
      <c r="E60" s="432"/>
      <c r="F60" s="436"/>
      <c r="G60" s="437"/>
      <c r="H60" s="438"/>
      <c r="I60" s="432"/>
      <c r="J60" s="439"/>
      <c r="K60" s="439"/>
      <c r="L60" s="434"/>
      <c r="M60" s="440"/>
      <c r="N60" s="440"/>
      <c r="O60" s="432"/>
      <c r="P60" s="432"/>
      <c r="Q60" s="436"/>
      <c r="R60" s="438"/>
    </row>
    <row r="61" spans="2:18" ht="15.75" customHeight="1" x14ac:dyDescent="0.3">
      <c r="B61" s="436"/>
      <c r="C61" s="437"/>
      <c r="D61" s="438"/>
      <c r="E61" s="432"/>
      <c r="F61" s="436"/>
      <c r="G61" s="437"/>
      <c r="H61" s="438"/>
      <c r="I61" s="432"/>
      <c r="J61" s="439"/>
      <c r="K61" s="439"/>
      <c r="L61" s="434"/>
      <c r="M61" s="440"/>
      <c r="N61" s="440"/>
      <c r="O61" s="432"/>
      <c r="P61" s="432"/>
      <c r="Q61" s="436"/>
      <c r="R61" s="438"/>
    </row>
    <row r="62" spans="2:18" ht="15.75" customHeight="1" x14ac:dyDescent="0.3">
      <c r="B62" s="436"/>
      <c r="C62" s="437"/>
      <c r="D62" s="438"/>
      <c r="E62" s="432"/>
      <c r="F62" s="436"/>
      <c r="G62" s="437"/>
      <c r="H62" s="438"/>
      <c r="I62" s="432"/>
      <c r="J62" s="439"/>
      <c r="K62" s="439"/>
      <c r="L62" s="434"/>
      <c r="M62" s="440"/>
      <c r="N62" s="440"/>
      <c r="O62" s="432"/>
      <c r="P62" s="432"/>
      <c r="Q62" s="436"/>
      <c r="R62" s="438"/>
    </row>
    <row r="63" spans="2:18" ht="15.75" customHeight="1" x14ac:dyDescent="0.3">
      <c r="B63" s="436"/>
      <c r="C63" s="437"/>
      <c r="D63" s="438"/>
      <c r="E63" s="432"/>
      <c r="F63" s="436"/>
      <c r="G63" s="437"/>
      <c r="H63" s="438"/>
      <c r="I63" s="432"/>
      <c r="J63" s="439"/>
      <c r="K63" s="439"/>
      <c r="L63" s="434"/>
      <c r="M63" s="440"/>
      <c r="N63" s="440"/>
      <c r="O63" s="432"/>
      <c r="P63" s="432"/>
      <c r="Q63" s="436"/>
      <c r="R63" s="438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F61" zoomScale="112" zoomScaleNormal="90" workbookViewId="0">
      <selection activeCell="K83" sqref="K83"/>
    </sheetView>
  </sheetViews>
  <sheetFormatPr baseColWidth="10" defaultColWidth="14.5" defaultRowHeight="15" customHeight="1" x14ac:dyDescent="0.2"/>
  <cols>
    <col min="1" max="1" width="2.5" style="238" customWidth="1"/>
    <col min="2" max="2" width="10.5" style="238" customWidth="1"/>
    <col min="3" max="3" width="15" style="238" bestFit="1" customWidth="1"/>
    <col min="4" max="4" width="30.5" style="238" customWidth="1"/>
    <col min="5" max="5" width="17.1640625" style="238" customWidth="1"/>
    <col min="6" max="6" width="12.5" style="238" customWidth="1"/>
    <col min="7" max="7" width="15.5" style="238" customWidth="1"/>
    <col min="8" max="8" width="17.5" style="238" customWidth="1"/>
    <col min="9" max="9" width="14.5" style="238"/>
    <col min="10" max="10" width="17.5" style="238" customWidth="1"/>
    <col min="11" max="11" width="16.1640625" style="238" customWidth="1"/>
    <col min="12" max="12" width="10.5" style="238" customWidth="1"/>
    <col min="13" max="13" width="12.5" style="238" customWidth="1"/>
    <col min="14" max="14" width="13" style="238" customWidth="1"/>
    <col min="15" max="15" width="13.5" style="238" customWidth="1"/>
    <col min="16" max="16" width="10.5" style="238" customWidth="1"/>
    <col min="17" max="17" width="13.5" style="238" customWidth="1"/>
    <col min="18" max="18" width="15.1640625" style="238" customWidth="1"/>
    <col min="19" max="19" width="16.5" style="238" customWidth="1"/>
    <col min="20" max="20" width="11.5" style="238" customWidth="1"/>
    <col min="21" max="21" width="15" style="238" customWidth="1"/>
    <col min="22" max="22" width="18.5" style="238" customWidth="1"/>
    <col min="23" max="24" width="12" style="238" customWidth="1"/>
    <col min="25" max="28" width="10.5" style="238" customWidth="1"/>
    <col min="29" max="29" width="18.1640625" style="238" customWidth="1"/>
    <col min="30" max="30" width="14.5" style="238" customWidth="1"/>
    <col min="31" max="36" width="14.5" style="238"/>
    <col min="37" max="37" width="23.5" style="238" customWidth="1"/>
    <col min="38" max="42" width="14.5" style="238"/>
    <col min="43" max="43" width="21.83203125" style="238" bestFit="1" customWidth="1"/>
    <col min="44" max="16384" width="14.5" style="238"/>
  </cols>
  <sheetData>
    <row r="1" spans="2:50" ht="15" customHeight="1" thickBot="1" x14ac:dyDescent="0.25"/>
    <row r="2" spans="2:50" x14ac:dyDescent="0.2">
      <c r="B2" s="235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7"/>
    </row>
    <row r="3" spans="2:50" x14ac:dyDescent="0.2"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1" t="s">
        <v>171</v>
      </c>
      <c r="V3" s="240"/>
      <c r="W3" s="242" t="s">
        <v>172</v>
      </c>
      <c r="X3" s="243">
        <f>+S15+V13+X13</f>
        <v>33786.22</v>
      </c>
      <c r="Y3" s="244"/>
      <c r="AU3" s="238">
        <f>+AU8*AU10/100</f>
        <v>0</v>
      </c>
      <c r="AV3" s="238">
        <f t="shared" ref="AV3:AX3" si="0">+AV8*AV10/100</f>
        <v>0</v>
      </c>
      <c r="AW3" s="238">
        <f t="shared" si="0"/>
        <v>0</v>
      </c>
      <c r="AX3" s="238">
        <f t="shared" si="0"/>
        <v>0</v>
      </c>
    </row>
    <row r="4" spans="2:50" ht="19" x14ac:dyDescent="0.25">
      <c r="B4" s="245" t="s">
        <v>173</v>
      </c>
      <c r="C4" s="246">
        <f ca="1">TODAY()</f>
        <v>45121</v>
      </c>
      <c r="D4" s="247"/>
      <c r="E4" s="240"/>
      <c r="H4" s="248">
        <f>+AF7</f>
        <v>237279.98709421905</v>
      </c>
      <c r="I4" s="249" t="s">
        <v>174</v>
      </c>
      <c r="J4" s="249" t="s">
        <v>175</v>
      </c>
      <c r="N4" s="250">
        <f>+AF8</f>
        <v>174169.60000000001</v>
      </c>
      <c r="O4" s="240"/>
      <c r="P4" s="240"/>
      <c r="Q4" s="240"/>
      <c r="R4" s="240"/>
      <c r="T4" s="240"/>
      <c r="V4" s="240"/>
      <c r="W4" s="242" t="s">
        <v>176</v>
      </c>
      <c r="X4" s="243">
        <f>+W28+W27+U27+U28+S27+S28</f>
        <v>0</v>
      </c>
      <c r="Y4" s="244"/>
      <c r="AD4" s="595" t="s">
        <v>282</v>
      </c>
      <c r="AE4" s="595"/>
      <c r="AF4" s="595"/>
      <c r="AG4" s="595"/>
      <c r="AH4" s="251"/>
      <c r="AI4" s="251"/>
      <c r="AL4" s="588"/>
      <c r="AM4" s="588"/>
      <c r="AN4" s="588"/>
      <c r="AO4" s="588"/>
      <c r="AP4" s="588"/>
      <c r="AQ4" s="251"/>
      <c r="AR4" s="251"/>
    </row>
    <row r="5" spans="2:50" ht="16" x14ac:dyDescent="0.2">
      <c r="B5" s="245"/>
      <c r="C5" s="247"/>
      <c r="D5" s="247"/>
      <c r="E5" s="240"/>
      <c r="H5" s="252">
        <f>+AG7</f>
        <v>0.62970000000000004</v>
      </c>
      <c r="I5" s="253">
        <f>+AQ7</f>
        <v>0</v>
      </c>
      <c r="J5" s="253">
        <f>+AR7</f>
        <v>0</v>
      </c>
      <c r="N5" s="254">
        <f>+AG8</f>
        <v>0.64370000000000005</v>
      </c>
      <c r="O5" s="240"/>
      <c r="P5" s="240"/>
      <c r="Q5" s="240"/>
      <c r="R5" s="240"/>
      <c r="T5" s="240"/>
      <c r="U5" s="240"/>
      <c r="V5" s="240"/>
      <c r="W5" s="240"/>
      <c r="X5" s="240"/>
      <c r="Y5" s="244"/>
      <c r="AA5" s="586" t="s">
        <v>177</v>
      </c>
      <c r="AB5" s="596"/>
      <c r="AC5" s="587"/>
      <c r="AD5" s="255" t="s">
        <v>284</v>
      </c>
      <c r="AE5" s="255" t="s">
        <v>178</v>
      </c>
      <c r="AF5" s="255" t="s">
        <v>283</v>
      </c>
      <c r="AG5" s="255" t="s">
        <v>179</v>
      </c>
      <c r="AH5" s="255" t="s">
        <v>180</v>
      </c>
      <c r="AI5" s="255" t="s">
        <v>285</v>
      </c>
      <c r="AL5" s="251"/>
      <c r="AM5" s="251"/>
      <c r="AN5" s="251"/>
      <c r="AO5" s="251"/>
      <c r="AP5" s="251"/>
      <c r="AQ5" s="251"/>
      <c r="AR5" s="251"/>
      <c r="AU5" s="592"/>
      <c r="AV5" s="592"/>
      <c r="AW5" s="592"/>
      <c r="AX5" s="592"/>
    </row>
    <row r="6" spans="2:50" ht="16" x14ac:dyDescent="0.2">
      <c r="B6" s="245"/>
      <c r="C6" s="247"/>
      <c r="D6" s="247"/>
      <c r="F6" s="256" t="s">
        <v>181</v>
      </c>
      <c r="H6" s="257">
        <f>+H4*H5</f>
        <v>149415.20787322975</v>
      </c>
      <c r="J6" s="258">
        <f>+J5-I5</f>
        <v>0</v>
      </c>
      <c r="K6" s="240"/>
      <c r="N6" s="259">
        <f>+N4*N5</f>
        <v>112112.97152000001</v>
      </c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4"/>
      <c r="Z6" s="260">
        <f>+AD6-AD7-AD9</f>
        <v>2.3186310454038903</v>
      </c>
      <c r="AA6" s="589" t="s">
        <v>182</v>
      </c>
      <c r="AB6" s="590"/>
      <c r="AC6" s="591"/>
      <c r="AD6" s="264">
        <f>Flujos!C4*(1-AE6)</f>
        <v>784079.65167734167</v>
      </c>
      <c r="AE6" s="265">
        <f>'Datos Extra'!D2</f>
        <v>8.2565315053515272E-3</v>
      </c>
      <c r="AF6" s="266">
        <f>Flujos!G4</f>
        <v>790607.32597259618</v>
      </c>
      <c r="AG6" s="448">
        <f>Flujos!H4</f>
        <v>0.60890535793133893</v>
      </c>
      <c r="AH6" s="268"/>
      <c r="AI6" s="268">
        <f t="shared" ref="AI6:AI28" si="1">+AF6/(1-AE6)</f>
        <v>797189.34491461422</v>
      </c>
      <c r="AL6" s="481"/>
      <c r="AM6" s="481"/>
      <c r="AN6" s="481"/>
      <c r="AO6" s="482"/>
      <c r="AP6" s="481"/>
      <c r="AQ6" s="481"/>
      <c r="AR6" s="481"/>
      <c r="AS6" s="472"/>
      <c r="AU6" s="473"/>
      <c r="AV6" s="473"/>
      <c r="AW6" s="473"/>
      <c r="AX6" s="473"/>
    </row>
    <row r="7" spans="2:50" ht="16" x14ac:dyDescent="0.2">
      <c r="B7" s="239"/>
      <c r="C7" s="240"/>
      <c r="D7" s="240"/>
      <c r="F7" s="250">
        <f>+AF6</f>
        <v>790607.32597259618</v>
      </c>
      <c r="G7" s="240"/>
      <c r="H7" s="240"/>
      <c r="I7" s="240"/>
      <c r="J7" s="240"/>
      <c r="K7" s="240"/>
      <c r="L7" s="248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 t="s">
        <v>160</v>
      </c>
      <c r="Y7" s="244"/>
      <c r="AA7" s="589" t="s">
        <v>183</v>
      </c>
      <c r="AB7" s="590"/>
      <c r="AC7" s="591"/>
      <c r="AD7" s="264">
        <f>Flujos!C5*(1-AE7)</f>
        <v>235539.83038087943</v>
      </c>
      <c r="AE7" s="265">
        <f>'Datos Extra'!D3</f>
        <v>7.3337694200423E-3</v>
      </c>
      <c r="AF7" s="266">
        <f>Flujos!G5</f>
        <v>237279.98709421905</v>
      </c>
      <c r="AG7" s="448">
        <f>Flujos!H5</f>
        <v>0.62970000000000004</v>
      </c>
      <c r="AH7" s="268"/>
      <c r="AI7" s="268">
        <f t="shared" si="1"/>
        <v>239033</v>
      </c>
      <c r="AL7" s="481"/>
      <c r="AM7" s="481"/>
      <c r="AN7" s="481"/>
      <c r="AO7" s="482"/>
      <c r="AP7" s="481"/>
      <c r="AQ7" s="481"/>
      <c r="AR7" s="481"/>
      <c r="AS7" s="472"/>
      <c r="AT7" s="474"/>
      <c r="AU7" s="475"/>
      <c r="AV7" s="475"/>
      <c r="AW7" s="475"/>
      <c r="AX7" s="475"/>
    </row>
    <row r="8" spans="2:50" ht="16" x14ac:dyDescent="0.2">
      <c r="B8" s="239"/>
      <c r="C8" s="240"/>
      <c r="D8" s="240"/>
      <c r="F8" s="254">
        <f>+AG6</f>
        <v>0.60890535793133893</v>
      </c>
      <c r="G8" s="240"/>
      <c r="H8" s="240"/>
      <c r="I8" s="240"/>
      <c r="J8" s="240"/>
      <c r="K8" s="240"/>
      <c r="L8" s="240"/>
      <c r="M8" s="240"/>
      <c r="N8" s="240"/>
      <c r="P8" s="240"/>
      <c r="Q8" s="240"/>
      <c r="R8" s="272">
        <f>+AF30</f>
        <v>2908.7999999999997</v>
      </c>
      <c r="S8" s="240"/>
      <c r="U8" s="248">
        <f>+AF35</f>
        <v>767.26937499999997</v>
      </c>
      <c r="W8" s="248">
        <f>+AF41</f>
        <v>13476.933117999999</v>
      </c>
      <c r="X8" s="248"/>
      <c r="Y8" s="244"/>
      <c r="AA8" s="589" t="s">
        <v>184</v>
      </c>
      <c r="AB8" s="590"/>
      <c r="AC8" s="591"/>
      <c r="AD8" s="264">
        <f>Flujos!C6*(1-AE8)</f>
        <v>172358.23616</v>
      </c>
      <c r="AE8" s="265">
        <f>'Datos Extra'!D4</f>
        <v>1.04E-2</v>
      </c>
      <c r="AF8" s="266">
        <f>Flujos!G6</f>
        <v>174169.60000000001</v>
      </c>
      <c r="AG8" s="448">
        <f>Flujos!H6</f>
        <v>0.64370000000000005</v>
      </c>
      <c r="AH8" s="268"/>
      <c r="AI8" s="268">
        <f t="shared" si="1"/>
        <v>176000</v>
      </c>
      <c r="AL8" s="481"/>
      <c r="AM8" s="481"/>
      <c r="AN8" s="481"/>
      <c r="AO8" s="482"/>
      <c r="AP8" s="481"/>
      <c r="AQ8" s="481"/>
      <c r="AR8" s="481"/>
      <c r="AS8" s="472"/>
      <c r="AT8" s="474"/>
      <c r="AU8" s="475"/>
      <c r="AV8" s="475"/>
      <c r="AW8" s="475"/>
      <c r="AX8" s="475"/>
    </row>
    <row r="9" spans="2:50" ht="16" x14ac:dyDescent="0.2">
      <c r="B9" s="239"/>
      <c r="C9" s="240"/>
      <c r="D9" s="240"/>
      <c r="F9" s="259">
        <f>+F7*F8</f>
        <v>481405.03680448246</v>
      </c>
      <c r="G9" s="240"/>
      <c r="H9" s="248">
        <f>+AF9</f>
        <v>553327.33887837711</v>
      </c>
      <c r="I9" s="240"/>
      <c r="J9" s="240"/>
      <c r="K9" s="240"/>
      <c r="L9" s="240"/>
      <c r="M9" s="240"/>
      <c r="N9" s="240"/>
      <c r="P9" s="240"/>
      <c r="Q9" s="240"/>
      <c r="R9" s="273"/>
      <c r="S9" s="240"/>
      <c r="T9" s="240"/>
      <c r="U9" s="240"/>
      <c r="W9" s="240"/>
      <c r="X9" s="240"/>
      <c r="Y9" s="244"/>
      <c r="AA9" s="589" t="s">
        <v>186</v>
      </c>
      <c r="AB9" s="590"/>
      <c r="AC9" s="591"/>
      <c r="AD9" s="264">
        <f>Flujos!C7*(1-AE9)</f>
        <v>548537.5026654168</v>
      </c>
      <c r="AE9" s="265">
        <f>'Datos Extra'!D5</f>
        <v>8.6564242834441009E-3</v>
      </c>
      <c r="AF9" s="266">
        <f>Flujos!G7</f>
        <v>553327.33887837711</v>
      </c>
      <c r="AG9" s="448">
        <f>Flujos!H7</f>
        <v>0.6</v>
      </c>
      <c r="AH9" s="264"/>
      <c r="AI9" s="268">
        <f t="shared" si="1"/>
        <v>558159</v>
      </c>
      <c r="AL9" s="481"/>
      <c r="AM9" s="481"/>
      <c r="AN9" s="481"/>
      <c r="AO9" s="482"/>
      <c r="AP9" s="481"/>
      <c r="AQ9" s="481"/>
      <c r="AR9" s="481"/>
      <c r="AS9" s="472"/>
      <c r="AT9" s="474"/>
      <c r="AU9" s="476"/>
      <c r="AV9" s="476"/>
      <c r="AW9" s="476"/>
      <c r="AX9" s="476"/>
    </row>
    <row r="10" spans="2:50" ht="16" x14ac:dyDescent="0.2">
      <c r="B10" s="239"/>
      <c r="C10" s="240"/>
      <c r="D10" s="240"/>
      <c r="E10" s="240"/>
      <c r="F10" s="240"/>
      <c r="G10" s="240"/>
      <c r="H10" s="252">
        <f>+AG9</f>
        <v>0.6</v>
      </c>
      <c r="I10" s="240"/>
      <c r="J10" s="240"/>
      <c r="K10" s="240"/>
      <c r="L10" s="274">
        <f>+AF34</f>
        <v>0</v>
      </c>
      <c r="M10" s="274">
        <f>+AD39</f>
        <v>0</v>
      </c>
      <c r="N10" s="274">
        <f>+AD45</f>
        <v>0</v>
      </c>
      <c r="O10" s="240"/>
      <c r="P10" s="240"/>
      <c r="Q10" s="240"/>
      <c r="R10" s="275"/>
      <c r="S10" s="240"/>
      <c r="T10" s="240"/>
      <c r="U10" s="240"/>
      <c r="W10" s="240"/>
      <c r="X10" s="240"/>
      <c r="Y10" s="244"/>
      <c r="AA10" s="261" t="s">
        <v>150</v>
      </c>
      <c r="AB10" s="262"/>
      <c r="AC10" s="263"/>
      <c r="AD10" s="264">
        <f>Flujos!C8*(1-AE10)</f>
        <v>552409.17378211988</v>
      </c>
      <c r="AE10" s="265">
        <f>'Datos Extra'!D6</f>
        <v>8.6999999999999994E-3</v>
      </c>
      <c r="AF10" s="266">
        <f>Flujos!G8</f>
        <v>557257.31239999994</v>
      </c>
      <c r="AG10" s="448">
        <f>Flujos!H8</f>
        <v>0.60880000000000001</v>
      </c>
      <c r="AH10" s="268">
        <f>+(-25000)*(1-AE10)</f>
        <v>-24782.5</v>
      </c>
      <c r="AI10" s="268">
        <f t="shared" si="1"/>
        <v>562148</v>
      </c>
      <c r="AL10" s="481"/>
      <c r="AM10" s="481"/>
      <c r="AN10" s="481"/>
      <c r="AO10" s="482"/>
      <c r="AP10" s="481"/>
      <c r="AQ10" s="481"/>
      <c r="AR10" s="481"/>
      <c r="AS10" s="472"/>
      <c r="AT10" s="477"/>
      <c r="AU10" s="478"/>
      <c r="AV10" s="478"/>
      <c r="AW10" s="478"/>
      <c r="AX10" s="478"/>
    </row>
    <row r="11" spans="2:50" ht="16" x14ac:dyDescent="0.2">
      <c r="B11" s="239"/>
      <c r="C11" s="240"/>
      <c r="D11" s="240"/>
      <c r="E11" s="240"/>
      <c r="F11" s="240"/>
      <c r="G11" s="240"/>
      <c r="H11" s="257">
        <f>+H9*H10</f>
        <v>331996.40332702623</v>
      </c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W11" s="240"/>
      <c r="X11" s="240"/>
      <c r="Y11" s="244"/>
      <c r="AA11" s="261" t="s">
        <v>10</v>
      </c>
      <c r="AB11" s="262"/>
      <c r="AC11" s="263"/>
      <c r="AD11" s="264">
        <f>Flujos!C9*(1-AE11)</f>
        <v>-540.58067799999992</v>
      </c>
      <c r="AE11" s="265">
        <f>'Datos Extra'!D7</f>
        <v>8.6E-3</v>
      </c>
      <c r="AF11" s="266">
        <f>Flujos!G9</f>
        <v>-545.27</v>
      </c>
      <c r="AG11" s="448">
        <f>Flujos!H9</f>
        <v>0.60880000000000001</v>
      </c>
      <c r="AH11" s="264"/>
      <c r="AI11" s="268">
        <f t="shared" si="1"/>
        <v>-550</v>
      </c>
      <c r="AL11" s="481"/>
      <c r="AM11" s="481"/>
      <c r="AN11" s="481"/>
      <c r="AO11" s="482"/>
      <c r="AP11" s="481"/>
      <c r="AQ11" s="481"/>
      <c r="AR11" s="481"/>
      <c r="AS11" s="472"/>
      <c r="AT11" s="477"/>
      <c r="AU11" s="476"/>
      <c r="AV11" s="476"/>
      <c r="AW11" s="476"/>
      <c r="AX11" s="476"/>
    </row>
    <row r="12" spans="2:50" ht="16" x14ac:dyDescent="0.2">
      <c r="B12" s="239"/>
      <c r="C12" s="240"/>
      <c r="D12" s="240"/>
      <c r="E12" s="240"/>
      <c r="F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76"/>
      <c r="T12" s="240"/>
      <c r="U12" s="240"/>
      <c r="W12" s="240"/>
      <c r="X12" s="240"/>
      <c r="Y12" s="244"/>
      <c r="AA12" s="261" t="s">
        <v>151</v>
      </c>
      <c r="AB12" s="262"/>
      <c r="AC12" s="263"/>
      <c r="AD12" s="264">
        <f>Flujos!C10*(1-AE12)</f>
        <v>552481.03087775991</v>
      </c>
      <c r="AE12" s="265">
        <f>'Datos Extra'!D8</f>
        <v>7.6E-3</v>
      </c>
      <c r="AF12" s="266">
        <f>Flujos!G10</f>
        <v>556712.04239999992</v>
      </c>
      <c r="AG12" s="448">
        <f>Flujos!H10</f>
        <v>0.60999257479888136</v>
      </c>
      <c r="AH12" s="264"/>
      <c r="AI12" s="268">
        <f t="shared" si="1"/>
        <v>560975.45586457069</v>
      </c>
      <c r="AL12" s="481"/>
      <c r="AM12" s="481"/>
      <c r="AN12" s="481"/>
      <c r="AO12" s="482"/>
      <c r="AP12" s="481"/>
      <c r="AQ12" s="481"/>
      <c r="AR12" s="481"/>
      <c r="AS12" s="472"/>
      <c r="AT12" s="477"/>
      <c r="AU12" s="479"/>
    </row>
    <row r="13" spans="2:50" x14ac:dyDescent="0.2">
      <c r="B13" s="239"/>
      <c r="C13" s="240"/>
      <c r="D13" s="240"/>
      <c r="E13" s="240"/>
      <c r="F13" s="240"/>
      <c r="H13" s="240"/>
      <c r="K13" s="240"/>
      <c r="M13" s="240"/>
      <c r="N13" s="240"/>
      <c r="O13" s="240"/>
      <c r="P13" s="240"/>
      <c r="Q13" s="240"/>
      <c r="R13" s="277">
        <v>0</v>
      </c>
      <c r="T13" s="240"/>
      <c r="V13" s="277">
        <f>+AF36</f>
        <v>26237.154999999999</v>
      </c>
      <c r="W13" s="240"/>
      <c r="X13" s="277">
        <f>+AF42</f>
        <v>7549.0649999999996</v>
      </c>
      <c r="Y13" s="244"/>
      <c r="AA13" s="261" t="s">
        <v>98</v>
      </c>
      <c r="AB13" s="262"/>
      <c r="AC13" s="263"/>
      <c r="AD13" s="264">
        <f>Flujos!C11*(1-AE13)</f>
        <v>80959.563825055302</v>
      </c>
      <c r="AE13" s="265">
        <f>'Datos Extra'!D9</f>
        <v>0</v>
      </c>
      <c r="AF13" s="266">
        <f>Flujos!G11</f>
        <v>80959.563825055302</v>
      </c>
      <c r="AG13" s="448">
        <f>Flujos!H11</f>
        <v>8.3799220138465219E-2</v>
      </c>
      <c r="AH13" s="268"/>
      <c r="AI13" s="268">
        <f t="shared" si="1"/>
        <v>80959.563825055302</v>
      </c>
      <c r="AL13" s="481"/>
      <c r="AM13" s="481"/>
      <c r="AN13" s="481"/>
      <c r="AO13" s="482"/>
      <c r="AP13" s="481"/>
      <c r="AQ13" s="481"/>
      <c r="AR13" s="481"/>
      <c r="AS13" s="472"/>
      <c r="AT13" s="477"/>
      <c r="AU13" s="477"/>
    </row>
    <row r="14" spans="2:50" x14ac:dyDescent="0.2">
      <c r="B14" s="239"/>
      <c r="C14" s="240"/>
      <c r="D14" s="240"/>
      <c r="E14" s="278"/>
      <c r="F14" s="249" t="s">
        <v>174</v>
      </c>
      <c r="G14" s="249" t="s">
        <v>175</v>
      </c>
      <c r="H14" s="240"/>
      <c r="K14" s="240"/>
      <c r="M14" s="240"/>
      <c r="N14" s="240"/>
      <c r="O14" s="240"/>
      <c r="P14" s="240"/>
      <c r="Q14" s="279"/>
      <c r="T14" s="240"/>
      <c r="U14" s="240"/>
      <c r="W14" s="240"/>
      <c r="Y14" s="244"/>
      <c r="AA14" s="261" t="s">
        <v>152</v>
      </c>
      <c r="AB14" s="262"/>
      <c r="AC14" s="263"/>
      <c r="AD14" s="264">
        <f>Flujos!C12*(1-AE14)</f>
        <v>422591.1388263586</v>
      </c>
      <c r="AE14" s="265">
        <f>'Datos Extra'!D10</f>
        <v>0.11174159282958218</v>
      </c>
      <c r="AF14" s="266">
        <f>Flujos!G12</f>
        <v>475752.4785749446</v>
      </c>
      <c r="AG14" s="448">
        <f>Flujos!H12</f>
        <v>0.68630000000000002</v>
      </c>
      <c r="AH14" s="264"/>
      <c r="AI14" s="268">
        <f t="shared" si="1"/>
        <v>535601.43617494474</v>
      </c>
      <c r="AL14" s="481"/>
      <c r="AM14" s="481"/>
      <c r="AN14" s="481"/>
      <c r="AO14" s="482"/>
      <c r="AP14" s="481"/>
      <c r="AQ14" s="481"/>
      <c r="AR14" s="481"/>
      <c r="AS14" s="472"/>
      <c r="AT14" s="477"/>
      <c r="AU14" s="592"/>
      <c r="AV14" s="592"/>
    </row>
    <row r="15" spans="2:50" ht="16" x14ac:dyDescent="0.2">
      <c r="B15" s="239"/>
      <c r="C15" s="240"/>
      <c r="D15" s="240"/>
      <c r="E15" s="280" t="s">
        <v>51</v>
      </c>
      <c r="F15" s="281">
        <f>+(AL6*(1-AO6))+H9-G20</f>
        <v>-3929.9735216228291</v>
      </c>
      <c r="G15" s="281">
        <f>+AR6</f>
        <v>0</v>
      </c>
      <c r="H15" s="240"/>
      <c r="I15" s="275"/>
      <c r="J15" s="240"/>
      <c r="P15" s="240"/>
      <c r="R15" s="282"/>
      <c r="S15" s="283">
        <f>+AF31</f>
        <v>0</v>
      </c>
      <c r="T15" s="284"/>
      <c r="W15" s="240"/>
      <c r="X15" s="240"/>
      <c r="Y15" s="244"/>
      <c r="Z15" s="285">
        <f>+AD15-J29</f>
        <v>412239.80084388261</v>
      </c>
      <c r="AA15" s="261" t="s">
        <v>153</v>
      </c>
      <c r="AB15" s="262"/>
      <c r="AC15" s="263"/>
      <c r="AD15" s="264">
        <f>Flujos!C13*(1-AE15)</f>
        <v>420215.80084388261</v>
      </c>
      <c r="AE15" s="265">
        <f>'Datos Extra'!D11</f>
        <v>9.8900000000000002E-2</v>
      </c>
      <c r="AF15" s="266">
        <f>Flujos!G13</f>
        <v>466336.4785749446</v>
      </c>
      <c r="AG15" s="448">
        <f>Flujos!H13</f>
        <v>0.68913249103666352</v>
      </c>
      <c r="AH15" s="264"/>
      <c r="AI15" s="268">
        <f t="shared" si="1"/>
        <v>517519.11949278059</v>
      </c>
      <c r="AL15" s="481"/>
      <c r="AM15" s="481"/>
      <c r="AN15" s="483"/>
      <c r="AO15" s="482"/>
      <c r="AP15" s="481"/>
      <c r="AQ15" s="481"/>
      <c r="AR15" s="481"/>
      <c r="AS15" s="472"/>
      <c r="AT15" s="477"/>
      <c r="AU15" s="473"/>
      <c r="AV15" s="473"/>
    </row>
    <row r="16" spans="2:50" x14ac:dyDescent="0.2">
      <c r="B16" s="239"/>
      <c r="C16" s="240"/>
      <c r="D16" s="240"/>
      <c r="G16" s="258">
        <f>+G15-F15</f>
        <v>3929.9735216228291</v>
      </c>
      <c r="H16" s="240"/>
      <c r="J16" s="240"/>
      <c r="P16" s="240"/>
      <c r="Q16" s="240"/>
      <c r="R16" s="240"/>
      <c r="S16" s="240"/>
      <c r="T16" s="240"/>
      <c r="U16" s="240"/>
      <c r="W16" s="240"/>
      <c r="X16" s="240"/>
      <c r="Y16" s="244"/>
      <c r="AA16" s="261" t="s">
        <v>192</v>
      </c>
      <c r="AB16" s="262"/>
      <c r="AC16" s="263"/>
      <c r="AD16" s="264">
        <f>Flujos!C14*(1-AE16)</f>
        <v>0.91149999999999998</v>
      </c>
      <c r="AE16" s="265">
        <f>'Datos Extra'!D12</f>
        <v>8.8499999999999995E-2</v>
      </c>
      <c r="AF16" s="266">
        <f>Flujos!G16</f>
        <v>183369.18950000001</v>
      </c>
      <c r="AG16" s="448">
        <f>Flujos!H16</f>
        <v>0.68834294588788836</v>
      </c>
      <c r="AH16" s="268">
        <f>3000*(1-AE16)</f>
        <v>2734.5</v>
      </c>
      <c r="AI16" s="268">
        <f t="shared" si="1"/>
        <v>201173</v>
      </c>
      <c r="AK16" s="484"/>
      <c r="AS16" s="472"/>
      <c r="AT16" s="474"/>
      <c r="AU16" s="475"/>
      <c r="AV16" s="475"/>
    </row>
    <row r="17" spans="2:50" ht="16" x14ac:dyDescent="0.2">
      <c r="B17" s="239"/>
      <c r="C17" s="240"/>
      <c r="D17" s="240"/>
      <c r="H17" s="240"/>
      <c r="J17" s="240"/>
      <c r="K17" s="240"/>
      <c r="M17" s="240"/>
      <c r="N17" s="240"/>
      <c r="O17" s="256" t="s">
        <v>193</v>
      </c>
      <c r="P17" s="240"/>
      <c r="Q17" s="240"/>
      <c r="R17" s="240"/>
      <c r="S17" s="240"/>
      <c r="T17" s="240"/>
      <c r="U17" s="272"/>
      <c r="W17" s="240"/>
      <c r="X17" s="240"/>
      <c r="Y17" s="244"/>
      <c r="AA17" s="261" t="s">
        <v>194</v>
      </c>
      <c r="AB17" s="262"/>
      <c r="AC17" s="263"/>
      <c r="AD17" s="264">
        <f>Flujos!C15*(1-AE17)</f>
        <v>183369.18950000001</v>
      </c>
      <c r="AE17" s="265">
        <f>'Datos Extra'!D13</f>
        <v>0</v>
      </c>
      <c r="AF17" s="266">
        <f>Flujos!G17</f>
        <v>0</v>
      </c>
      <c r="AG17" s="448">
        <f>Flujos!H17</f>
        <v>0</v>
      </c>
      <c r="AH17" s="268"/>
      <c r="AI17" s="268">
        <f t="shared" si="1"/>
        <v>0</v>
      </c>
      <c r="AQ17" s="238">
        <f>+AQ10/(1-AO10)</f>
        <v>0</v>
      </c>
      <c r="AS17" s="472"/>
      <c r="AT17" s="474"/>
      <c r="AU17" s="475"/>
      <c r="AV17" s="475"/>
    </row>
    <row r="18" spans="2:50" ht="16" x14ac:dyDescent="0.2">
      <c r="B18" s="239"/>
      <c r="C18" s="240"/>
      <c r="D18" s="240"/>
      <c r="E18" s="240"/>
      <c r="F18" s="240"/>
      <c r="H18" s="240"/>
      <c r="I18" s="240"/>
      <c r="J18" s="240"/>
      <c r="K18" s="286"/>
      <c r="L18" s="287" t="s">
        <v>195</v>
      </c>
      <c r="M18" s="287" t="s">
        <v>196</v>
      </c>
      <c r="N18" s="240"/>
      <c r="O18" s="287" t="s">
        <v>197</v>
      </c>
      <c r="P18" s="240"/>
      <c r="Q18" s="240"/>
      <c r="R18" s="288"/>
      <c r="S18" s="240"/>
      <c r="T18" s="289">
        <f>-S19+S15</f>
        <v>0</v>
      </c>
      <c r="U18" s="273"/>
      <c r="W18" s="240"/>
      <c r="X18" s="240"/>
      <c r="Y18" s="244"/>
      <c r="AA18" s="261" t="s">
        <v>154</v>
      </c>
      <c r="AB18" s="262"/>
      <c r="AC18" s="263"/>
      <c r="AD18" s="264">
        <f>Flujos!C16*(1-AE18)</f>
        <v>183369.18950000001</v>
      </c>
      <c r="AE18" s="265">
        <f>'Datos Extra'!D14</f>
        <v>0</v>
      </c>
      <c r="AF18" s="266">
        <f>Flujos!G18</f>
        <v>274867.73500000004</v>
      </c>
      <c r="AG18" s="448">
        <f>Flujos!H18</f>
        <v>0.68834294588788836</v>
      </c>
      <c r="AH18" s="264"/>
      <c r="AI18" s="268">
        <f t="shared" si="1"/>
        <v>274867.73500000004</v>
      </c>
      <c r="AK18" s="290" t="s">
        <v>198</v>
      </c>
      <c r="AM18" s="291"/>
      <c r="AN18" s="290" t="s">
        <v>198</v>
      </c>
      <c r="AO18" s="291"/>
      <c r="AQ18" s="292">
        <f>+AQ17-L72</f>
        <v>-219121</v>
      </c>
      <c r="AR18" s="292"/>
      <c r="AS18" s="472"/>
      <c r="AT18" s="474"/>
      <c r="AU18" s="476"/>
      <c r="AV18" s="476"/>
    </row>
    <row r="19" spans="2:50" ht="16" x14ac:dyDescent="0.2">
      <c r="B19" s="239"/>
      <c r="C19" s="240"/>
      <c r="D19" s="240"/>
      <c r="E19" s="240"/>
      <c r="F19" s="240"/>
      <c r="G19" s="240"/>
      <c r="H19" s="240"/>
      <c r="J19" s="240"/>
      <c r="K19" s="242" t="s">
        <v>199</v>
      </c>
      <c r="L19" s="293">
        <f>+I25+G34+K35+O35</f>
        <v>571099.76239999989</v>
      </c>
      <c r="M19" s="293">
        <f>+I27</f>
        <v>334354.38743999996</v>
      </c>
      <c r="N19" s="240"/>
      <c r="O19" s="294">
        <f>(I33-AO40-AO45*(J39/P49))/I25</f>
        <v>0.86635997358641803</v>
      </c>
      <c r="P19" s="294">
        <f>+(P49+R47+H40)/I25</f>
        <v>0.83919856032918472</v>
      </c>
      <c r="Q19" s="240"/>
      <c r="R19" s="275"/>
      <c r="S19" s="295"/>
      <c r="T19" s="240"/>
      <c r="U19" s="275"/>
      <c r="W19" s="240"/>
      <c r="X19" s="240"/>
      <c r="Y19" s="244"/>
      <c r="AA19" s="261" t="s">
        <v>200</v>
      </c>
      <c r="AB19" s="262"/>
      <c r="AC19" s="263"/>
      <c r="AD19" s="264">
        <f>Flujos!C17*(1-AE19)</f>
        <v>0</v>
      </c>
      <c r="AE19" s="265">
        <f>'Datos Extra'!D15</f>
        <v>8.8099999999999998E-2</v>
      </c>
      <c r="AF19" s="266">
        <f>Flujos!G19</f>
        <v>332236.17460000003</v>
      </c>
      <c r="AG19" s="448">
        <f>Flujos!H19</f>
        <v>0.68740042268907109</v>
      </c>
      <c r="AH19" s="268"/>
      <c r="AI19" s="268">
        <f t="shared" si="1"/>
        <v>364334</v>
      </c>
      <c r="AK19" s="286" t="s">
        <v>201</v>
      </c>
      <c r="AL19" s="270">
        <v>812104</v>
      </c>
      <c r="AN19" s="238" t="s">
        <v>202</v>
      </c>
      <c r="AQ19" s="296">
        <f>+AL10-K72</f>
        <v>-382282</v>
      </c>
      <c r="AS19" s="472"/>
      <c r="AT19" s="477"/>
      <c r="AU19" s="478"/>
      <c r="AV19" s="478"/>
    </row>
    <row r="20" spans="2:50" ht="16" x14ac:dyDescent="0.2">
      <c r="B20" s="239"/>
      <c r="C20" s="240"/>
      <c r="D20" s="240"/>
      <c r="E20" s="240"/>
      <c r="F20" s="240"/>
      <c r="G20" s="272">
        <f>+AF10</f>
        <v>557257.31239999994</v>
      </c>
      <c r="H20" s="240"/>
      <c r="J20" s="240"/>
      <c r="K20" s="242" t="s">
        <v>203</v>
      </c>
      <c r="L20" s="293">
        <f>+F27+H40+P41</f>
        <v>561628.44144305529</v>
      </c>
      <c r="M20" s="293">
        <f>+F29+H42+P51+R49+R45</f>
        <v>327841.81569486292</v>
      </c>
      <c r="N20" s="240"/>
      <c r="O20" s="287" t="s">
        <v>204</v>
      </c>
      <c r="P20" s="297"/>
      <c r="Q20" s="240"/>
      <c r="S20" s="298"/>
      <c r="T20" s="240"/>
      <c r="U20" s="240"/>
      <c r="W20" s="277">
        <f>+X13-W28</f>
        <v>7549.0649999999996</v>
      </c>
      <c r="X20" s="277">
        <f>+W28+W27</f>
        <v>0</v>
      </c>
      <c r="Y20" s="244"/>
      <c r="AA20" s="261" t="s">
        <v>205</v>
      </c>
      <c r="AB20" s="262"/>
      <c r="AC20" s="263"/>
      <c r="AD20" s="264">
        <f>Flujos!C18*(1-AE20)</f>
        <v>274317.99953000003</v>
      </c>
      <c r="AE20" s="265">
        <f>'Datos Extra'!D16</f>
        <v>2E-3</v>
      </c>
      <c r="AF20" s="266">
        <f>Flujos!G20</f>
        <v>13612.72</v>
      </c>
      <c r="AG20" s="448">
        <f>Flujos!H20</f>
        <v>0</v>
      </c>
      <c r="AH20" s="268"/>
      <c r="AI20" s="268">
        <f t="shared" si="1"/>
        <v>13640</v>
      </c>
      <c r="AK20" s="286" t="s">
        <v>206</v>
      </c>
      <c r="AL20" s="270">
        <f>783793+13399</f>
        <v>797192</v>
      </c>
      <c r="AN20" s="238" t="s">
        <v>207</v>
      </c>
      <c r="AT20" s="477"/>
      <c r="AU20" s="476"/>
      <c r="AV20" s="476"/>
    </row>
    <row r="21" spans="2:50" ht="15.75" customHeight="1" x14ac:dyDescent="0.2">
      <c r="B21" s="239"/>
      <c r="C21" s="240"/>
      <c r="D21" s="240"/>
      <c r="E21" s="240"/>
      <c r="F21" s="240"/>
      <c r="G21" s="273">
        <f>+AG9</f>
        <v>0.6</v>
      </c>
      <c r="H21" s="240"/>
      <c r="J21" s="240"/>
      <c r="K21" s="242" t="s">
        <v>208</v>
      </c>
      <c r="L21" s="293">
        <f>+L20-L19</f>
        <v>-9471.3209569446044</v>
      </c>
      <c r="M21" s="293">
        <f>+M20-M19</f>
        <v>-6512.5717451370438</v>
      </c>
      <c r="N21" s="240"/>
      <c r="O21" s="299">
        <f>(I35-AO40*AG19-AO45*AG28*J39/P49)/I27</f>
        <v>0.99336272867831332</v>
      </c>
      <c r="P21" s="294">
        <f>+(P51+R49+H42)/I27</f>
        <v>0.93381548230111933</v>
      </c>
      <c r="Q21" s="240"/>
      <c r="R21" s="240"/>
      <c r="S21" s="240"/>
      <c r="T21" s="240"/>
      <c r="U21" s="240"/>
      <c r="V21" s="277">
        <f>+V13</f>
        <v>26237.154999999999</v>
      </c>
      <c r="W21" s="240"/>
      <c r="X21" s="240"/>
      <c r="Y21" s="244"/>
      <c r="AA21" s="261" t="s">
        <v>209</v>
      </c>
      <c r="AB21" s="262"/>
      <c r="AC21" s="263"/>
      <c r="AD21" s="264">
        <f>Flujos!C19*(1-AE21)</f>
        <v>273520.57325694559</v>
      </c>
      <c r="AE21" s="265">
        <f>'Datos Extra'!D17</f>
        <v>0.17672850168632548</v>
      </c>
      <c r="AF21" s="266">
        <f>Flujos!G21</f>
        <v>288480.45500000002</v>
      </c>
      <c r="AG21" s="448">
        <f>Flujos!H21</f>
        <v>0.65711473548083466</v>
      </c>
      <c r="AH21" s="264"/>
      <c r="AI21" s="268">
        <f t="shared" si="1"/>
        <v>350407.43617494474</v>
      </c>
      <c r="AK21" s="291" t="s">
        <v>210</v>
      </c>
      <c r="AL21" s="292">
        <f>+AL19-AL20</f>
        <v>14912</v>
      </c>
      <c r="AT21" s="477"/>
      <c r="AU21" s="479"/>
      <c r="AX21" s="480"/>
    </row>
    <row r="22" spans="2:50" ht="15.75" customHeight="1" x14ac:dyDescent="0.2">
      <c r="B22" s="239"/>
      <c r="C22" s="240"/>
      <c r="D22" s="240"/>
      <c r="E22" s="240"/>
      <c r="F22" s="240"/>
      <c r="G22" s="259">
        <f>+G20*G21</f>
        <v>334354.38743999996</v>
      </c>
      <c r="H22" s="240"/>
      <c r="I22" s="300">
        <f>-AP8</f>
        <v>0</v>
      </c>
      <c r="J22" s="240"/>
      <c r="K22" s="242" t="s">
        <v>211</v>
      </c>
      <c r="L22" s="274">
        <f>AO40+AO45+AO50+AO55</f>
        <v>-18573</v>
      </c>
      <c r="M22" s="301"/>
      <c r="N22" s="240"/>
      <c r="O22" s="240"/>
      <c r="P22" s="240"/>
      <c r="Q22" s="240"/>
      <c r="S22" s="240"/>
      <c r="U22" s="240"/>
      <c r="W22" s="240"/>
      <c r="Y22" s="244"/>
      <c r="AA22" s="261" t="s">
        <v>155</v>
      </c>
      <c r="AB22" s="262"/>
      <c r="AC22" s="263"/>
      <c r="AD22" s="264">
        <f>Flujos!C20*(1-AE22)</f>
        <v>13544.6564</v>
      </c>
      <c r="AE22" s="265">
        <f>'Datos Extra'!D18</f>
        <v>5.0000000000000001E-3</v>
      </c>
      <c r="AF22" s="266">
        <f>Flujos!G22</f>
        <v>5432.7</v>
      </c>
      <c r="AG22" s="448">
        <f>Flujos!H22</f>
        <v>0.65535413283291699</v>
      </c>
      <c r="AH22" s="264"/>
      <c r="AI22" s="268">
        <f t="shared" si="1"/>
        <v>5460</v>
      </c>
      <c r="AQ22" s="302"/>
    </row>
    <row r="23" spans="2:50" ht="15.75" customHeight="1" x14ac:dyDescent="0.2">
      <c r="B23" s="239"/>
      <c r="C23" s="240"/>
      <c r="D23" s="240"/>
      <c r="E23" s="240"/>
      <c r="F23" s="240"/>
      <c r="G23" s="240"/>
      <c r="H23" s="240"/>
      <c r="I23" s="303">
        <f>+I22*G21</f>
        <v>0</v>
      </c>
      <c r="J23" s="240"/>
      <c r="K23" s="242" t="s">
        <v>212</v>
      </c>
      <c r="L23" s="304">
        <f>+L21-L22</f>
        <v>9101.6790430553956</v>
      </c>
      <c r="M23" s="301"/>
      <c r="N23" s="240"/>
      <c r="O23" s="240"/>
      <c r="P23" s="240"/>
      <c r="Q23" s="240"/>
      <c r="S23" s="240"/>
      <c r="T23" s="240"/>
      <c r="U23" s="240"/>
      <c r="W23" s="240"/>
      <c r="X23" s="240"/>
      <c r="Y23" s="244"/>
      <c r="AA23" s="261" t="s">
        <v>156</v>
      </c>
      <c r="AB23" s="262"/>
      <c r="AC23" s="263"/>
      <c r="AD23" s="264">
        <f>Flujos!C21*(1-AE23)</f>
        <v>286991.52361935488</v>
      </c>
      <c r="AE23" s="265">
        <f>'Datos Extra'!D19</f>
        <v>5.1612903225806139E-3</v>
      </c>
      <c r="AF23" s="266">
        <f>Flujos!G23</f>
        <v>775</v>
      </c>
      <c r="AG23" s="448">
        <f>Flujos!H23</f>
        <v>0</v>
      </c>
      <c r="AH23" s="264"/>
      <c r="AI23" s="268">
        <f t="shared" si="1"/>
        <v>779.02075226977945</v>
      </c>
      <c r="AK23" s="290" t="s">
        <v>213</v>
      </c>
      <c r="AQ23" s="302"/>
    </row>
    <row r="24" spans="2:50" ht="15.75" customHeight="1" x14ac:dyDescent="0.2">
      <c r="B24" s="239"/>
      <c r="C24" s="240"/>
      <c r="D24" s="240"/>
      <c r="E24" s="240"/>
      <c r="F24" s="305">
        <f>I25-F27-J29-I33</f>
        <v>1440</v>
      </c>
      <c r="G24" s="305"/>
      <c r="H24" s="240"/>
      <c r="I24" s="240"/>
      <c r="J24" s="240"/>
      <c r="N24" s="240"/>
      <c r="O24" s="240"/>
      <c r="P24" s="240"/>
      <c r="Q24" s="240"/>
      <c r="S24" s="240"/>
      <c r="T24" s="240"/>
      <c r="U24" s="240"/>
      <c r="W24" s="240"/>
      <c r="X24" s="240"/>
      <c r="Y24" s="244"/>
      <c r="AA24" s="261" t="s">
        <v>157</v>
      </c>
      <c r="AB24" s="262"/>
      <c r="AC24" s="263"/>
      <c r="AD24" s="264">
        <f>Flujos!C22*(1-AE24)</f>
        <v>5405.5365000000002</v>
      </c>
      <c r="AE24" s="265">
        <f>'Datos Extra'!D20</f>
        <v>4.9999999999998934E-3</v>
      </c>
      <c r="AF24" s="266">
        <f>Flujos!G24</f>
        <v>289255.45500000002</v>
      </c>
      <c r="AG24" s="448">
        <f>Flujos!H24</f>
        <v>0.65535413283291699</v>
      </c>
      <c r="AH24" s="264"/>
      <c r="AI24" s="268">
        <f t="shared" si="1"/>
        <v>290709</v>
      </c>
      <c r="AK24" s="286" t="s">
        <v>201</v>
      </c>
      <c r="AL24" s="270">
        <v>612276</v>
      </c>
      <c r="AN24" s="302">
        <f>+AI15-AI16-AI17</f>
        <v>316346.11949278059</v>
      </c>
      <c r="AP24" s="296">
        <f>+AL24+H73</f>
        <v>612276</v>
      </c>
      <c r="AQ24" s="302"/>
    </row>
    <row r="25" spans="2:50" ht="15.75" customHeight="1" x14ac:dyDescent="0.2">
      <c r="B25" s="239"/>
      <c r="C25" s="240"/>
      <c r="D25" s="240"/>
      <c r="E25" s="240"/>
      <c r="F25" s="240"/>
      <c r="G25" s="305"/>
      <c r="H25" s="240"/>
      <c r="I25" s="248">
        <f>+AF12</f>
        <v>556712.04239999992</v>
      </c>
      <c r="J25" s="305"/>
      <c r="R25" s="240"/>
      <c r="S25" s="240"/>
      <c r="T25" s="240"/>
      <c r="U25" s="240"/>
      <c r="W25" s="240"/>
      <c r="X25" s="240"/>
      <c r="Y25" s="244"/>
      <c r="AA25" s="261" t="s">
        <v>158</v>
      </c>
      <c r="AB25" s="262"/>
      <c r="AC25" s="263"/>
      <c r="AD25" s="264">
        <f>Flujos!C23*(1-AE25)</f>
        <v>771.125</v>
      </c>
      <c r="AE25" s="265">
        <f>'Datos Extra'!D21</f>
        <v>5.0000000000000001E-3</v>
      </c>
      <c r="AF25" s="266">
        <f>Flujos!G25</f>
        <v>12496.205</v>
      </c>
      <c r="AG25" s="448">
        <f>Flujos!H25</f>
        <v>0.65535413283291699</v>
      </c>
      <c r="AH25" s="268"/>
      <c r="AI25" s="268">
        <f t="shared" si="1"/>
        <v>12559</v>
      </c>
      <c r="AK25" s="286" t="s">
        <v>206</v>
      </c>
      <c r="AL25" s="270">
        <f>587148</f>
        <v>587148</v>
      </c>
      <c r="AP25" s="296">
        <f>+AL25+H76</f>
        <v>587148</v>
      </c>
      <c r="AQ25" s="306"/>
    </row>
    <row r="26" spans="2:50" ht="15.75" customHeight="1" x14ac:dyDescent="0.2">
      <c r="B26" s="239"/>
      <c r="C26" s="240"/>
      <c r="D26" s="240"/>
      <c r="E26" s="240"/>
      <c r="F26" s="240"/>
      <c r="G26" s="240"/>
      <c r="H26" s="240"/>
      <c r="I26" s="252">
        <f>+I27/I25</f>
        <v>0.60058766826488896</v>
      </c>
      <c r="J26" s="240"/>
      <c r="R26" s="240"/>
      <c r="S26" s="240"/>
      <c r="T26" s="305"/>
      <c r="U26" s="240"/>
      <c r="W26" s="240"/>
      <c r="X26" s="240"/>
      <c r="Y26" s="244"/>
      <c r="AA26" s="261" t="s">
        <v>159</v>
      </c>
      <c r="AB26" s="262"/>
      <c r="AC26" s="263"/>
      <c r="AD26" s="264">
        <f>Flujos!C24*(1-AE26)</f>
        <v>287809.17772500002</v>
      </c>
      <c r="AE26" s="265">
        <f>'Datos Extra'!D22</f>
        <v>5.0000000000000001E-3</v>
      </c>
      <c r="AF26" s="266">
        <f>Flujos!G26</f>
        <v>271326.55</v>
      </c>
      <c r="AG26" s="448">
        <f>Flujos!H26</f>
        <v>0.65535413283291699</v>
      </c>
      <c r="AH26" s="268"/>
      <c r="AI26" s="268">
        <f t="shared" si="1"/>
        <v>272690</v>
      </c>
      <c r="AK26" s="291" t="s">
        <v>210</v>
      </c>
      <c r="AL26" s="292">
        <f>+AL24-AL25</f>
        <v>25128</v>
      </c>
    </row>
    <row r="27" spans="2:50" ht="15.75" customHeight="1" x14ac:dyDescent="0.2">
      <c r="B27" s="239"/>
      <c r="C27" s="240"/>
      <c r="D27" s="240"/>
      <c r="E27" s="240"/>
      <c r="F27" s="250">
        <f>+AF13</f>
        <v>80959.563825055302</v>
      </c>
      <c r="G27" s="240"/>
      <c r="H27" s="307">
        <f>+I25-F27-J29-I33+G34</f>
        <v>1440</v>
      </c>
      <c r="I27" s="257">
        <f>+G22+I23</f>
        <v>334354.38743999996</v>
      </c>
      <c r="J27" s="240"/>
      <c r="K27" s="240"/>
      <c r="L27" s="240"/>
      <c r="M27" s="240"/>
      <c r="O27" s="240"/>
      <c r="P27" s="240"/>
      <c r="Q27" s="240"/>
      <c r="R27" s="290" t="s">
        <v>214</v>
      </c>
      <c r="S27" s="282">
        <f>+AF34</f>
        <v>0</v>
      </c>
      <c r="T27" s="240"/>
      <c r="U27" s="308">
        <f>+AF40</f>
        <v>0</v>
      </c>
      <c r="W27" s="308">
        <f>+AF45</f>
        <v>0</v>
      </c>
      <c r="X27" s="240"/>
      <c r="Y27" s="244"/>
      <c r="AA27" s="261" t="s">
        <v>18</v>
      </c>
      <c r="AB27" s="262"/>
      <c r="AC27" s="263"/>
      <c r="AD27" s="264">
        <f>Flujos!C25*(1-AE27)</f>
        <v>12433.723974999999</v>
      </c>
      <c r="AE27" s="265">
        <f>'Datos Extra'!D23</f>
        <v>5.0000000000000001E-3</v>
      </c>
      <c r="AF27" s="266">
        <f>Flujos!G27</f>
        <v>32361.38</v>
      </c>
      <c r="AG27" s="448">
        <f>Flujos!H27</f>
        <v>0.65535413283291699</v>
      </c>
      <c r="AH27" s="264"/>
      <c r="AI27" s="268">
        <f t="shared" si="1"/>
        <v>32524</v>
      </c>
      <c r="AN27" s="238">
        <v>474948</v>
      </c>
    </row>
    <row r="28" spans="2:50" ht="15.75" customHeight="1" thickBot="1" x14ac:dyDescent="0.25">
      <c r="B28" s="239"/>
      <c r="C28" s="240"/>
      <c r="D28" s="240"/>
      <c r="E28" s="240"/>
      <c r="F28" s="254">
        <f>+AG13</f>
        <v>8.3799220138465219E-2</v>
      </c>
      <c r="G28" s="240"/>
      <c r="H28" s="307">
        <f>+I27-I35-F29-J31+G35</f>
        <v>1319.5127870927618</v>
      </c>
      <c r="I28" s="240"/>
      <c r="J28" s="256" t="s">
        <v>215</v>
      </c>
      <c r="K28" s="309" t="s">
        <v>216</v>
      </c>
      <c r="L28" s="240"/>
      <c r="M28" s="240"/>
      <c r="N28" s="240"/>
      <c r="O28" s="240"/>
      <c r="P28" s="240"/>
      <c r="Q28" s="240"/>
      <c r="R28" s="290" t="s">
        <v>217</v>
      </c>
      <c r="S28" s="284">
        <f>+AF33</f>
        <v>0</v>
      </c>
      <c r="T28" s="240"/>
      <c r="U28" s="241"/>
      <c r="W28" s="310">
        <f>+AF44</f>
        <v>0</v>
      </c>
      <c r="X28" s="305"/>
      <c r="Y28" s="244"/>
      <c r="AA28" s="311" t="s">
        <v>218</v>
      </c>
      <c r="AB28" s="312"/>
      <c r="AC28" s="313"/>
      <c r="AD28" s="264">
        <f>Flujos!C26*(1-AE28)</f>
        <v>268447.780277465</v>
      </c>
      <c r="AE28" s="265">
        <f>'Datos Extra'!D24</f>
        <v>1.0609981671660898E-2</v>
      </c>
      <c r="AF28" s="266">
        <f>Flujos!G28</f>
        <v>238058.12169999999</v>
      </c>
      <c r="AG28" s="448">
        <f>Flujos!H28</f>
        <v>0.65506562002568458</v>
      </c>
      <c r="AH28" s="314"/>
      <c r="AI28" s="314">
        <f t="shared" si="1"/>
        <v>240611</v>
      </c>
      <c r="AK28" s="290" t="s">
        <v>118</v>
      </c>
      <c r="AN28" s="238">
        <v>3826</v>
      </c>
    </row>
    <row r="29" spans="2:50" ht="15.75" customHeight="1" thickBot="1" x14ac:dyDescent="0.25">
      <c r="B29" s="239"/>
      <c r="C29" s="240"/>
      <c r="D29" s="240"/>
      <c r="E29" s="240"/>
      <c r="F29" s="259">
        <f>+F27*F28</f>
        <v>6784.3483112899348</v>
      </c>
      <c r="G29" s="240"/>
      <c r="H29" s="240"/>
      <c r="J29" s="315">
        <f>10000-2024</f>
        <v>7976</v>
      </c>
      <c r="K29" s="316">
        <f>+I25-F27-H40-P41+K35+O35+G34+L22</f>
        <v>-9101.6790430554265</v>
      </c>
      <c r="M29" s="317"/>
      <c r="N29" s="296"/>
      <c r="O29" s="305"/>
      <c r="P29" s="240"/>
      <c r="Q29" s="240"/>
      <c r="R29" s="240"/>
      <c r="S29" s="240"/>
      <c r="T29" s="240"/>
      <c r="U29" s="240"/>
      <c r="W29" s="240"/>
      <c r="X29" s="240"/>
      <c r="Y29" s="244"/>
      <c r="AA29" s="593" t="s">
        <v>171</v>
      </c>
      <c r="AB29" s="594"/>
      <c r="AC29" s="594"/>
      <c r="AD29" s="594"/>
      <c r="AE29" s="594"/>
      <c r="AF29" s="594"/>
      <c r="AG29" s="594"/>
      <c r="AH29" s="594"/>
      <c r="AI29" s="318"/>
      <c r="AK29" s="286" t="s">
        <v>201</v>
      </c>
      <c r="AL29" s="270">
        <v>191229</v>
      </c>
      <c r="AN29" s="238">
        <v>264630</v>
      </c>
    </row>
    <row r="30" spans="2:50" ht="15.75" customHeight="1" x14ac:dyDescent="0.2">
      <c r="B30" s="239"/>
      <c r="C30" s="240"/>
      <c r="D30" s="240"/>
      <c r="E30" s="240"/>
      <c r="F30" s="240"/>
      <c r="G30" s="240"/>
      <c r="H30" s="240"/>
      <c r="J30" s="319">
        <v>0.61219999999999997</v>
      </c>
      <c r="M30" s="320"/>
      <c r="N30" s="320"/>
      <c r="U30" s="240"/>
      <c r="W30" s="240"/>
      <c r="X30" s="240"/>
      <c r="Y30" s="244"/>
      <c r="AA30" s="321" t="s">
        <v>219</v>
      </c>
      <c r="AB30" s="322"/>
      <c r="AC30" s="323"/>
      <c r="AD30" s="324">
        <v>3030</v>
      </c>
      <c r="AE30" s="325">
        <v>0.04</v>
      </c>
      <c r="AF30" s="326">
        <f t="shared" ref="AF30:AF36" si="2">+AD30*(1-AE30)+AH30</f>
        <v>2908.7999999999997</v>
      </c>
      <c r="AG30" s="325">
        <v>0.57999999999999996</v>
      </c>
      <c r="AH30" s="324"/>
      <c r="AI30" s="324"/>
      <c r="AK30" s="286" t="s">
        <v>206</v>
      </c>
      <c r="AL30" s="270">
        <v>198173</v>
      </c>
      <c r="AN30" s="238">
        <v>8225</v>
      </c>
    </row>
    <row r="31" spans="2:50" ht="15.75" customHeight="1" x14ac:dyDescent="0.2">
      <c r="B31" s="239"/>
      <c r="C31" s="240"/>
      <c r="D31" s="240"/>
      <c r="E31" s="240"/>
      <c r="G31" s="240"/>
      <c r="H31" s="240"/>
      <c r="J31" s="327">
        <f>+J29*J30</f>
        <v>4882.9071999999996</v>
      </c>
      <c r="U31" s="248"/>
      <c r="V31" s="240"/>
      <c r="W31" s="240"/>
      <c r="Y31" s="244"/>
      <c r="AA31" s="261" t="s">
        <v>220</v>
      </c>
      <c r="AB31" s="262"/>
      <c r="AC31" s="263"/>
      <c r="AD31" s="268">
        <v>0</v>
      </c>
      <c r="AE31" s="267">
        <v>0</v>
      </c>
      <c r="AF31" s="266">
        <f t="shared" si="2"/>
        <v>0</v>
      </c>
      <c r="AG31" s="267">
        <v>0</v>
      </c>
      <c r="AH31" s="268"/>
      <c r="AI31" s="268"/>
      <c r="AK31" s="291" t="s">
        <v>210</v>
      </c>
      <c r="AL31" s="292">
        <f>+AL29-AL30</f>
        <v>-6944</v>
      </c>
    </row>
    <row r="32" spans="2:50" ht="15.75" customHeight="1" x14ac:dyDescent="0.2">
      <c r="B32" s="239"/>
      <c r="C32" s="240"/>
      <c r="D32" s="240"/>
      <c r="E32" s="240"/>
      <c r="G32" s="240"/>
      <c r="H32" s="240"/>
      <c r="I32" s="240"/>
      <c r="J32" s="240"/>
      <c r="U32" s="252"/>
      <c r="W32" s="240"/>
      <c r="X32" s="240"/>
      <c r="Y32" s="244"/>
      <c r="AA32" s="261" t="s">
        <v>221</v>
      </c>
      <c r="AB32" s="262"/>
      <c r="AC32" s="263"/>
      <c r="AD32" s="268"/>
      <c r="AE32" s="267"/>
      <c r="AF32" s="266">
        <f t="shared" si="2"/>
        <v>0</v>
      </c>
      <c r="AG32" s="267"/>
      <c r="AH32" s="268"/>
      <c r="AI32" s="268"/>
    </row>
    <row r="33" spans="2:43" ht="15.75" customHeight="1" x14ac:dyDescent="0.2">
      <c r="B33" s="239"/>
      <c r="C33" s="240"/>
      <c r="D33" s="240"/>
      <c r="E33" s="305"/>
      <c r="G33" s="240"/>
      <c r="H33" s="240"/>
      <c r="I33" s="248">
        <f>+AF15</f>
        <v>466336.4785749446</v>
      </c>
      <c r="J33" s="305"/>
      <c r="Q33" s="296"/>
      <c r="U33" s="257"/>
      <c r="V33" s="240"/>
      <c r="Y33" s="244"/>
      <c r="AA33" s="261" t="s">
        <v>222</v>
      </c>
      <c r="AB33" s="262"/>
      <c r="AC33" s="263"/>
      <c r="AD33" s="268"/>
      <c r="AE33" s="267"/>
      <c r="AF33" s="266">
        <f t="shared" si="2"/>
        <v>0</v>
      </c>
      <c r="AG33" s="267"/>
      <c r="AH33" s="268"/>
      <c r="AI33" s="268"/>
      <c r="AK33" s="290" t="s">
        <v>223</v>
      </c>
      <c r="AN33" s="328" t="s">
        <v>224</v>
      </c>
      <c r="AO33" s="328" t="s">
        <v>225</v>
      </c>
    </row>
    <row r="34" spans="2:43" ht="15.75" customHeight="1" x14ac:dyDescent="0.2">
      <c r="B34" s="239"/>
      <c r="C34" s="240"/>
      <c r="D34" s="240"/>
      <c r="E34" s="240"/>
      <c r="F34" s="240"/>
      <c r="G34" s="329">
        <f>-AP9</f>
        <v>0</v>
      </c>
      <c r="H34" s="240"/>
      <c r="I34" s="252">
        <f>+AG15</f>
        <v>0.68913249103666352</v>
      </c>
      <c r="U34" s="241"/>
      <c r="V34" s="240"/>
      <c r="Y34" s="244"/>
      <c r="AA34" s="261" t="s">
        <v>226</v>
      </c>
      <c r="AB34" s="262"/>
      <c r="AC34" s="263"/>
      <c r="AD34" s="268">
        <v>0</v>
      </c>
      <c r="AE34" s="267">
        <v>0</v>
      </c>
      <c r="AF34" s="264">
        <f t="shared" si="2"/>
        <v>0</v>
      </c>
      <c r="AG34" s="267">
        <v>0</v>
      </c>
      <c r="AH34" s="268"/>
      <c r="AI34" s="268">
        <f>+AF34/(1-AE34)</f>
        <v>0</v>
      </c>
      <c r="AK34" s="286" t="s">
        <v>201</v>
      </c>
      <c r="AL34" s="270">
        <v>278637</v>
      </c>
      <c r="AN34" s="328">
        <v>39050</v>
      </c>
      <c r="AO34" s="328">
        <v>253801</v>
      </c>
    </row>
    <row r="35" spans="2:43" ht="15.75" customHeight="1" x14ac:dyDescent="0.2">
      <c r="B35" s="239"/>
      <c r="C35" s="240"/>
      <c r="D35" s="249" t="s">
        <v>174</v>
      </c>
      <c r="E35" s="249" t="s">
        <v>175</v>
      </c>
      <c r="F35" s="240"/>
      <c r="G35" s="330">
        <f>+G34*I34</f>
        <v>0</v>
      </c>
      <c r="H35" s="240"/>
      <c r="I35" s="257">
        <f>+I33*I34</f>
        <v>321367.61914161727</v>
      </c>
      <c r="J35" s="290" t="s">
        <v>227</v>
      </c>
      <c r="K35" s="315">
        <f>+AF20</f>
        <v>13612.72</v>
      </c>
      <c r="O35" s="248">
        <f>+AF23</f>
        <v>775</v>
      </c>
      <c r="V35" s="240"/>
      <c r="Y35" s="244"/>
      <c r="AA35" s="261" t="s">
        <v>228</v>
      </c>
      <c r="AB35" s="262"/>
      <c r="AC35" s="263"/>
      <c r="AD35" s="264">
        <f>+AD25</f>
        <v>771.125</v>
      </c>
      <c r="AE35" s="265">
        <f>+AE25</f>
        <v>5.0000000000000001E-3</v>
      </c>
      <c r="AF35" s="264">
        <f t="shared" si="2"/>
        <v>767.26937499999997</v>
      </c>
      <c r="AG35" s="265">
        <f>+AG25</f>
        <v>0.65535413283291699</v>
      </c>
      <c r="AH35" s="268"/>
      <c r="AI35" s="268"/>
      <c r="AK35" s="286" t="s">
        <v>206</v>
      </c>
      <c r="AL35" s="270">
        <v>272690</v>
      </c>
      <c r="AN35" s="328">
        <v>39050</v>
      </c>
      <c r="AO35" s="328">
        <v>254001</v>
      </c>
    </row>
    <row r="36" spans="2:43" ht="15.75" customHeight="1" x14ac:dyDescent="0.2">
      <c r="B36" s="239"/>
      <c r="C36" s="280" t="s">
        <v>51</v>
      </c>
      <c r="D36" s="253">
        <f>+AQ10</f>
        <v>0</v>
      </c>
      <c r="E36" s="253">
        <f>+AR10</f>
        <v>0</v>
      </c>
      <c r="F36" s="240"/>
      <c r="H36" s="240"/>
      <c r="I36" s="240"/>
      <c r="J36" s="331">
        <v>8100</v>
      </c>
      <c r="V36" s="240"/>
      <c r="W36" s="273"/>
      <c r="X36" s="273"/>
      <c r="Y36" s="244"/>
      <c r="AA36" s="261" t="s">
        <v>229</v>
      </c>
      <c r="AB36" s="262"/>
      <c r="AC36" s="263"/>
      <c r="AD36" s="268">
        <v>26369</v>
      </c>
      <c r="AE36" s="267">
        <v>5.0000000000000001E-3</v>
      </c>
      <c r="AF36" s="264">
        <f t="shared" si="2"/>
        <v>26237.154999999999</v>
      </c>
      <c r="AG36" s="267">
        <f>+AG26</f>
        <v>0.65535413283291699</v>
      </c>
      <c r="AH36" s="268"/>
      <c r="AI36" s="268"/>
      <c r="AK36" s="291" t="s">
        <v>210</v>
      </c>
      <c r="AL36" s="292">
        <f>+AL34-AL35</f>
        <v>5947</v>
      </c>
    </row>
    <row r="37" spans="2:43" ht="15.75" customHeight="1" x14ac:dyDescent="0.2">
      <c r="B37" s="239"/>
      <c r="E37" s="258">
        <f>+E36-D36</f>
        <v>0</v>
      </c>
      <c r="G37" s="331">
        <f>+I33-J39-H40-J36</f>
        <v>-0.44592505545006134</v>
      </c>
      <c r="H37" s="240"/>
      <c r="I37" s="248"/>
      <c r="J37" s="331">
        <f>+J36*I34</f>
        <v>5581.9731773969743</v>
      </c>
      <c r="Q37" s="331">
        <f>+M39+O35-P41</f>
        <v>-8044.2331179999746</v>
      </c>
      <c r="R37" s="296"/>
      <c r="W37" s="275"/>
      <c r="X37" s="275"/>
      <c r="Y37" s="244"/>
      <c r="AA37" s="261" t="s">
        <v>230</v>
      </c>
      <c r="AB37" s="262"/>
      <c r="AC37" s="263"/>
      <c r="AD37" s="268"/>
      <c r="AE37" s="267"/>
      <c r="AF37" s="264"/>
      <c r="AG37" s="267"/>
      <c r="AH37" s="268"/>
      <c r="AI37" s="268"/>
    </row>
    <row r="38" spans="2:43" ht="15.75" customHeight="1" x14ac:dyDescent="0.2">
      <c r="B38" s="239"/>
      <c r="G38" s="331">
        <f>+I35-J41-H42-J37</f>
        <v>0</v>
      </c>
      <c r="H38" s="240"/>
      <c r="I38" s="252"/>
      <c r="J38" s="240"/>
      <c r="Q38" s="331">
        <f>+M41-P43</f>
        <v>-5271.8214193527238</v>
      </c>
      <c r="R38" s="296"/>
      <c r="W38" s="240"/>
      <c r="X38" s="240"/>
      <c r="Y38" s="244"/>
      <c r="AA38" s="261" t="s">
        <v>231</v>
      </c>
      <c r="AB38" s="262"/>
      <c r="AC38" s="263"/>
      <c r="AD38" s="268"/>
      <c r="AE38" s="267"/>
      <c r="AF38" s="264">
        <f>+AD38*(1-AE38)+AH38</f>
        <v>0</v>
      </c>
      <c r="AG38" s="267"/>
      <c r="AH38" s="268"/>
      <c r="AI38" s="268"/>
    </row>
    <row r="39" spans="2:43" ht="15.75" customHeight="1" x14ac:dyDescent="0.2">
      <c r="B39" s="239"/>
      <c r="C39" s="240"/>
      <c r="D39" s="240"/>
      <c r="G39" s="240"/>
      <c r="H39" s="240"/>
      <c r="I39" s="257"/>
      <c r="J39" s="248">
        <f>+AF18</f>
        <v>274867.73500000004</v>
      </c>
      <c r="M39" s="248">
        <f>+AF21</f>
        <v>288480.45500000002</v>
      </c>
      <c r="W39" s="240"/>
      <c r="X39" s="240"/>
      <c r="Y39" s="244"/>
      <c r="AA39" s="261" t="s">
        <v>232</v>
      </c>
      <c r="AB39" s="262"/>
      <c r="AC39" s="263"/>
      <c r="AD39" s="268"/>
      <c r="AE39" s="267"/>
      <c r="AF39" s="264">
        <f>+AD39*(1-AE39)+AH39</f>
        <v>0</v>
      </c>
      <c r="AG39" s="267"/>
      <c r="AH39" s="268"/>
      <c r="AI39" s="268"/>
      <c r="AK39" s="595" t="s">
        <v>233</v>
      </c>
      <c r="AL39" s="595"/>
      <c r="AM39" s="251" t="s">
        <v>201</v>
      </c>
      <c r="AN39" s="251" t="s">
        <v>234</v>
      </c>
      <c r="AP39" s="238" t="s">
        <v>235</v>
      </c>
      <c r="AQ39" s="238" t="s">
        <v>236</v>
      </c>
    </row>
    <row r="40" spans="2:43" ht="15.75" customHeight="1" x14ac:dyDescent="0.2">
      <c r="B40" s="239"/>
      <c r="C40" s="240"/>
      <c r="D40" s="240"/>
      <c r="F40" s="248">
        <f>+AF16</f>
        <v>183369.18950000001</v>
      </c>
      <c r="G40" s="240"/>
      <c r="H40" s="272">
        <f>+F40+G45</f>
        <v>183369.18950000001</v>
      </c>
      <c r="J40" s="252">
        <f>+AG18</f>
        <v>0.68834294588788836</v>
      </c>
      <c r="K40" s="307">
        <f>+J39-M39+K35</f>
        <v>2.7284841053187847E-11</v>
      </c>
      <c r="M40" s="252">
        <f>+AG21</f>
        <v>0.65711473548083466</v>
      </c>
      <c r="W40" s="240"/>
      <c r="X40" s="240"/>
      <c r="Y40" s="244"/>
      <c r="AA40" s="261" t="s">
        <v>237</v>
      </c>
      <c r="AB40" s="262"/>
      <c r="AC40" s="263"/>
      <c r="AD40" s="268"/>
      <c r="AE40" s="267"/>
      <c r="AF40" s="264">
        <f>+AD40*(1-AE40)+AH40</f>
        <v>0</v>
      </c>
      <c r="AG40" s="267"/>
      <c r="AH40" s="268"/>
      <c r="AI40" s="268"/>
      <c r="AK40" s="586" t="s">
        <v>118</v>
      </c>
      <c r="AL40" s="587"/>
      <c r="AM40" s="332">
        <f>+SUM(AM41:AM44)</f>
        <v>373670</v>
      </c>
      <c r="AN40" s="332">
        <f>+SUM(AN41:AN44)</f>
        <v>364334</v>
      </c>
      <c r="AO40" s="333">
        <f>+AN40-AM40</f>
        <v>-9336</v>
      </c>
      <c r="AP40" s="334">
        <f>+SUMPRODUCT(AN41:AN44,AP41:AP44)/AN40</f>
        <v>68.740042268907104</v>
      </c>
      <c r="AQ40" s="334">
        <f>+SUMPRODUCT(AN41:AN44,AQ41:AQ44)/AN40</f>
        <v>8.0017510306477018</v>
      </c>
    </row>
    <row r="41" spans="2:43" ht="15.75" customHeight="1" x14ac:dyDescent="0.2">
      <c r="B41" s="239"/>
      <c r="C41" s="248">
        <f>+AF19</f>
        <v>332236.17460000003</v>
      </c>
      <c r="E41" s="240"/>
      <c r="F41" s="252">
        <f>+AG16</f>
        <v>0.68834294588788836</v>
      </c>
      <c r="G41" s="240"/>
      <c r="H41" s="273">
        <f>+H42/H40</f>
        <v>0.68834294588788836</v>
      </c>
      <c r="J41" s="257">
        <f>+M41</f>
        <v>189564.75787871584</v>
      </c>
      <c r="K41" s="307">
        <f>+J41-M41</f>
        <v>0</v>
      </c>
      <c r="M41" s="257">
        <f>+M39*M40</f>
        <v>189564.75787871584</v>
      </c>
      <c r="P41" s="248">
        <f>+P49+R47+R43</f>
        <v>297299.68811799999</v>
      </c>
      <c r="U41" s="240"/>
      <c r="V41" s="240"/>
      <c r="W41" s="240"/>
      <c r="X41" s="240"/>
      <c r="Y41" s="244"/>
      <c r="AA41" s="261" t="s">
        <v>238</v>
      </c>
      <c r="AB41" s="262"/>
      <c r="AC41" s="263"/>
      <c r="AD41" s="264">
        <f>+AD22</f>
        <v>13544.6564</v>
      </c>
      <c r="AE41" s="335">
        <f>+AE22</f>
        <v>5.0000000000000001E-3</v>
      </c>
      <c r="AF41" s="264">
        <f>+AD41*(1-AE41)+AH41</f>
        <v>13476.933117999999</v>
      </c>
      <c r="AG41" s="267">
        <f>+AG22</f>
        <v>0.65535413283291699</v>
      </c>
      <c r="AH41" s="268"/>
      <c r="AI41" s="268"/>
      <c r="AK41" s="584" t="s">
        <v>239</v>
      </c>
      <c r="AL41" s="585"/>
      <c r="AM41" s="336">
        <v>197740</v>
      </c>
      <c r="AN41" s="336">
        <v>192928</v>
      </c>
      <c r="AO41" s="337"/>
      <c r="AP41" s="334">
        <v>68.900000000000006</v>
      </c>
      <c r="AQ41" s="334">
        <v>7.95</v>
      </c>
    </row>
    <row r="42" spans="2:43" ht="15.75" customHeight="1" x14ac:dyDescent="0.2">
      <c r="B42" s="239"/>
      <c r="C42" s="252">
        <f>+AG19</f>
        <v>0.68740042268907109</v>
      </c>
      <c r="E42" s="240"/>
      <c r="F42" s="257">
        <f>+F40*F41</f>
        <v>126220.88808550446</v>
      </c>
      <c r="G42" s="240"/>
      <c r="H42" s="275">
        <f>+F42+G47</f>
        <v>126220.88808550446</v>
      </c>
      <c r="J42" s="240"/>
      <c r="P42" s="252">
        <f>+M41/P41</f>
        <v>0.63762178520509072</v>
      </c>
      <c r="U42" s="240"/>
      <c r="V42" s="240"/>
      <c r="W42" s="240"/>
      <c r="X42" s="240"/>
      <c r="Y42" s="244"/>
      <c r="AA42" s="261" t="s">
        <v>240</v>
      </c>
      <c r="AB42" s="262"/>
      <c r="AC42" s="263"/>
      <c r="AD42" s="268">
        <v>7587</v>
      </c>
      <c r="AE42" s="335">
        <v>5.0000000000000001E-3</v>
      </c>
      <c r="AF42" s="264">
        <f>+AD42*(1-AE42)+AH42</f>
        <v>7549.0649999999996</v>
      </c>
      <c r="AG42" s="267">
        <f>+AG41</f>
        <v>0.65535413283291699</v>
      </c>
      <c r="AH42" s="268"/>
      <c r="AI42" s="268"/>
      <c r="AK42" s="584" t="s">
        <v>241</v>
      </c>
      <c r="AL42" s="585"/>
      <c r="AM42" s="338">
        <v>175930</v>
      </c>
      <c r="AN42" s="338">
        <v>171406</v>
      </c>
      <c r="AO42" s="337"/>
      <c r="AP42" s="334">
        <v>68.56</v>
      </c>
      <c r="AQ42" s="334">
        <v>8.06</v>
      </c>
    </row>
    <row r="43" spans="2:43" ht="15.75" customHeight="1" x14ac:dyDescent="0.2">
      <c r="B43" s="239"/>
      <c r="C43" s="257">
        <f>+C41*C42</f>
        <v>228379.28685264004</v>
      </c>
      <c r="E43" s="339"/>
      <c r="F43" s="240"/>
      <c r="G43" s="240"/>
      <c r="J43" s="240"/>
      <c r="P43" s="257">
        <f>+R45+R49+P51</f>
        <v>194836.57929806857</v>
      </c>
      <c r="R43" s="272">
        <f>+AF41</f>
        <v>13476.933117999999</v>
      </c>
      <c r="U43" s="240"/>
      <c r="V43" s="240"/>
      <c r="W43" s="240"/>
      <c r="X43" s="240"/>
      <c r="Y43" s="244"/>
      <c r="AA43" s="261" t="s">
        <v>242</v>
      </c>
      <c r="AB43" s="262"/>
      <c r="AC43" s="263"/>
      <c r="AD43" s="268"/>
      <c r="AE43" s="335"/>
      <c r="AF43" s="264"/>
      <c r="AG43" s="267"/>
      <c r="AH43" s="268"/>
      <c r="AI43" s="268"/>
      <c r="AK43" s="584" t="s">
        <v>243</v>
      </c>
      <c r="AL43" s="585"/>
      <c r="AM43" s="338"/>
      <c r="AN43" s="338"/>
      <c r="AO43" s="337"/>
      <c r="AP43" s="334"/>
      <c r="AQ43" s="334"/>
    </row>
    <row r="44" spans="2:43" ht="15.75" customHeight="1" x14ac:dyDescent="0.2">
      <c r="B44" s="239"/>
      <c r="E44" s="257"/>
      <c r="G44" s="240"/>
      <c r="J44" s="296"/>
      <c r="R44" s="273">
        <f>+AG22</f>
        <v>0.65535413283291699</v>
      </c>
      <c r="U44" s="240"/>
      <c r="V44" s="240"/>
      <c r="W44" s="240"/>
      <c r="X44" s="240"/>
      <c r="Y44" s="244"/>
      <c r="AA44" s="261" t="s">
        <v>244</v>
      </c>
      <c r="AB44" s="262"/>
      <c r="AC44" s="263"/>
      <c r="AD44" s="268"/>
      <c r="AE44" s="267"/>
      <c r="AF44" s="266">
        <f>+AD44*(1-AE44)+AH44</f>
        <v>0</v>
      </c>
      <c r="AG44" s="267"/>
      <c r="AH44" s="268"/>
      <c r="AI44" s="268"/>
      <c r="AK44" s="584" t="s">
        <v>245</v>
      </c>
      <c r="AL44" s="585"/>
      <c r="AM44" s="338"/>
      <c r="AN44" s="338"/>
      <c r="AO44" s="337"/>
      <c r="AP44" s="334"/>
      <c r="AQ44" s="334"/>
    </row>
    <row r="45" spans="2:43" ht="15.75" customHeight="1" x14ac:dyDescent="0.2">
      <c r="B45" s="239"/>
      <c r="D45" s="240"/>
      <c r="E45" s="240"/>
      <c r="G45" s="272">
        <f>+AF17</f>
        <v>0</v>
      </c>
      <c r="I45" s="296"/>
      <c r="J45" s="340"/>
      <c r="M45" s="307">
        <f>+P41-R43-R47-P49</f>
        <v>0</v>
      </c>
      <c r="R45" s="275">
        <f>+R43*R44</f>
        <v>8832.1638167941092</v>
      </c>
      <c r="U45" s="240"/>
      <c r="V45" s="240"/>
      <c r="Y45" s="244"/>
      <c r="AA45" s="261" t="s">
        <v>246</v>
      </c>
      <c r="AB45" s="262"/>
      <c r="AC45" s="263"/>
      <c r="AD45" s="268"/>
      <c r="AE45" s="267"/>
      <c r="AF45" s="266">
        <f>+AD45*(1-AE45)+AH45</f>
        <v>0</v>
      </c>
      <c r="AG45" s="267"/>
      <c r="AH45" s="268"/>
      <c r="AI45" s="268"/>
      <c r="AK45" s="586" t="s">
        <v>120</v>
      </c>
      <c r="AL45" s="587"/>
      <c r="AM45" s="332">
        <f>+SUM(AM46:AM49)</f>
        <v>247166</v>
      </c>
      <c r="AN45" s="269">
        <f>+SUM(AN46:AN49)</f>
        <v>240611</v>
      </c>
      <c r="AO45" s="333">
        <f>+AN45-AM45</f>
        <v>-6555</v>
      </c>
      <c r="AP45" s="334">
        <f>+SUMPRODUCT(AN46:AN49,AP46:AP49)/AN45</f>
        <v>65.506562002568458</v>
      </c>
      <c r="AQ45" s="334">
        <f>+SUMPRODUCT(AN46:AN49,AQ46:AQ49)/AN45</f>
        <v>1.0609981671660897</v>
      </c>
    </row>
    <row r="46" spans="2:43" ht="15.75" customHeight="1" x14ac:dyDescent="0.2">
      <c r="B46" s="239"/>
      <c r="E46" s="240"/>
      <c r="G46" s="273">
        <f>+AG17</f>
        <v>0</v>
      </c>
      <c r="I46" s="292">
        <f>I25-F27-I33-J29</f>
        <v>1440</v>
      </c>
      <c r="M46" s="307">
        <f>+P43-R45-R49-P51</f>
        <v>0</v>
      </c>
      <c r="U46" s="240"/>
      <c r="V46" s="240"/>
      <c r="Y46" s="244"/>
      <c r="AK46" s="584" t="s">
        <v>239</v>
      </c>
      <c r="AL46" s="585"/>
      <c r="AM46" s="336">
        <v>209362</v>
      </c>
      <c r="AN46" s="338">
        <v>202807</v>
      </c>
      <c r="AO46" s="337"/>
      <c r="AP46" s="334">
        <v>65.45</v>
      </c>
      <c r="AQ46" s="334">
        <v>1.05</v>
      </c>
    </row>
    <row r="47" spans="2:43" ht="15.75" customHeight="1" x14ac:dyDescent="0.2">
      <c r="B47" s="239"/>
      <c r="E47" s="248">
        <f>+G45</f>
        <v>0</v>
      </c>
      <c r="G47" s="275">
        <f>+G45*G46</f>
        <v>0</v>
      </c>
      <c r="I47" s="305"/>
      <c r="J47" s="305"/>
      <c r="K47" s="296"/>
      <c r="R47" s="272">
        <f>+AF25</f>
        <v>12496.205</v>
      </c>
      <c r="U47" s="240"/>
      <c r="V47" s="240"/>
      <c r="Y47" s="244"/>
      <c r="Z47" s="240" t="s">
        <v>160</v>
      </c>
      <c r="AC47" s="588" t="s">
        <v>247</v>
      </c>
      <c r="AD47" s="588"/>
      <c r="AE47" s="588"/>
      <c r="AF47" s="588"/>
      <c r="AK47" s="584" t="s">
        <v>241</v>
      </c>
      <c r="AL47" s="585"/>
      <c r="AM47" s="338">
        <v>37804</v>
      </c>
      <c r="AN47" s="338">
        <v>37804</v>
      </c>
      <c r="AO47" s="341"/>
      <c r="AP47" s="334">
        <v>65.81</v>
      </c>
      <c r="AQ47" s="334">
        <v>1.1200000000000001</v>
      </c>
    </row>
    <row r="48" spans="2:43" ht="15.75" customHeight="1" x14ac:dyDescent="0.2">
      <c r="B48" s="239"/>
      <c r="C48" s="240"/>
      <c r="E48" s="252">
        <f>+G46</f>
        <v>0</v>
      </c>
      <c r="F48" s="240"/>
      <c r="G48" s="240"/>
      <c r="H48" s="240"/>
      <c r="I48" s="296"/>
      <c r="J48" s="305"/>
      <c r="R48" s="273">
        <f>+AG25</f>
        <v>0.65535413283291699</v>
      </c>
      <c r="U48" s="240"/>
      <c r="V48" s="240"/>
      <c r="W48" s="240"/>
      <c r="X48" s="240"/>
      <c r="Y48" s="244"/>
      <c r="AC48" s="251" t="s">
        <v>248</v>
      </c>
      <c r="AD48" s="251" t="s">
        <v>249</v>
      </c>
      <c r="AE48" s="251" t="s">
        <v>250</v>
      </c>
      <c r="AF48" s="251" t="s">
        <v>195</v>
      </c>
      <c r="AG48" s="251" t="s">
        <v>175</v>
      </c>
      <c r="AH48" s="251" t="s">
        <v>251</v>
      </c>
      <c r="AK48" s="584" t="s">
        <v>243</v>
      </c>
      <c r="AL48" s="585"/>
      <c r="AM48" s="338"/>
      <c r="AN48" s="338"/>
      <c r="AO48" s="341"/>
      <c r="AP48" s="334"/>
      <c r="AQ48" s="334"/>
    </row>
    <row r="49" spans="2:43" ht="15.75" customHeight="1" x14ac:dyDescent="0.2">
      <c r="B49" s="239"/>
      <c r="E49" s="257">
        <f>+E47*E48</f>
        <v>0</v>
      </c>
      <c r="F49" s="240"/>
      <c r="H49" s="240"/>
      <c r="I49" s="296"/>
      <c r="P49" s="342">
        <f>+AF26</f>
        <v>271326.55</v>
      </c>
      <c r="R49" s="275">
        <f>+R47*R48</f>
        <v>8189.4395914773613</v>
      </c>
      <c r="U49" s="240"/>
      <c r="V49" s="240"/>
      <c r="W49" s="240"/>
      <c r="X49" s="240"/>
      <c r="Y49" s="244"/>
      <c r="AA49" s="238" t="s">
        <v>252</v>
      </c>
      <c r="AC49" s="271">
        <v>36780</v>
      </c>
      <c r="AD49" s="271">
        <v>36848</v>
      </c>
      <c r="AE49" s="271">
        <f>+AD49-AC49</f>
        <v>68</v>
      </c>
      <c r="AF49" s="271">
        <f>+AE49*(1-AE31)</f>
        <v>68</v>
      </c>
      <c r="AG49" s="269"/>
      <c r="AH49" s="269"/>
      <c r="AK49" s="584" t="s">
        <v>245</v>
      </c>
      <c r="AL49" s="585"/>
      <c r="AM49" s="338"/>
      <c r="AN49" s="338"/>
      <c r="AO49" s="341"/>
      <c r="AP49" s="334"/>
      <c r="AQ49" s="334"/>
    </row>
    <row r="50" spans="2:43" ht="15.75" customHeight="1" x14ac:dyDescent="0.2">
      <c r="B50" s="239"/>
      <c r="E50" s="240"/>
      <c r="F50" s="240"/>
      <c r="G50" s="343"/>
      <c r="H50" s="240"/>
      <c r="P50" s="344">
        <f>+AG27</f>
        <v>0.65535413283291699</v>
      </c>
      <c r="U50" s="240"/>
      <c r="V50" s="240"/>
      <c r="W50" s="240"/>
      <c r="X50" s="240"/>
      <c r="Y50" s="244"/>
      <c r="AA50" s="238" t="s">
        <v>253</v>
      </c>
      <c r="AC50" s="271">
        <v>18126</v>
      </c>
      <c r="AD50" s="271">
        <v>21873</v>
      </c>
      <c r="AE50" s="271">
        <f>+AD50-AC50</f>
        <v>3747</v>
      </c>
      <c r="AF50" s="271">
        <f>+AE50*(1-AE35)</f>
        <v>3728.2649999999999</v>
      </c>
      <c r="AG50" s="345">
        <f>+AC50+AF41-AF42</f>
        <v>24053.868118000002</v>
      </c>
      <c r="AH50" s="346">
        <f>17644+2400-1290</f>
        <v>18754</v>
      </c>
      <c r="AK50" s="586" t="s">
        <v>104</v>
      </c>
      <c r="AL50" s="587"/>
      <c r="AM50" s="269">
        <f>+SUM(AM51:AM54)</f>
        <v>178682</v>
      </c>
      <c r="AN50" s="269">
        <f>+SUM(AN51:AN54)</f>
        <v>176000</v>
      </c>
      <c r="AO50" s="347">
        <f>+AN50-AM50</f>
        <v>-2682</v>
      </c>
      <c r="AP50" s="334">
        <f>+SUMPRODUCT(AN51:AN54,AP51:AP54)/AN50</f>
        <v>64.37</v>
      </c>
      <c r="AQ50" s="334">
        <f>+SUMPRODUCT(AN51:AN54,AQ51:AQ54)/AN50</f>
        <v>1.04</v>
      </c>
    </row>
    <row r="51" spans="2:43" ht="15.75" customHeight="1" x14ac:dyDescent="0.2">
      <c r="B51" s="239"/>
      <c r="F51" s="240"/>
      <c r="G51" s="327"/>
      <c r="H51" s="240"/>
      <c r="I51" s="240"/>
      <c r="J51" s="240"/>
      <c r="P51" s="275">
        <f>+P49*P50</f>
        <v>177814.97588979709</v>
      </c>
      <c r="R51" s="240"/>
      <c r="S51" s="240"/>
      <c r="T51" s="240"/>
      <c r="U51" s="240"/>
      <c r="V51" s="240"/>
      <c r="W51" s="240"/>
      <c r="X51" s="240"/>
      <c r="Y51" s="244"/>
      <c r="AK51" s="584" t="s">
        <v>239</v>
      </c>
      <c r="AL51" s="585"/>
      <c r="AM51" s="338">
        <v>178682</v>
      </c>
      <c r="AN51" s="338">
        <v>176000</v>
      </c>
      <c r="AO51" s="341"/>
      <c r="AP51" s="334">
        <v>64.37</v>
      </c>
      <c r="AQ51" s="334">
        <v>1.04</v>
      </c>
    </row>
    <row r="52" spans="2:43" ht="15.75" customHeight="1" x14ac:dyDescent="0.2">
      <c r="B52" s="239"/>
      <c r="C52" s="240"/>
      <c r="D52" s="240"/>
      <c r="E52" s="240"/>
      <c r="H52" s="240"/>
      <c r="I52" s="240"/>
      <c r="J52" s="240"/>
      <c r="M52" s="272">
        <f>+AF28</f>
        <v>238058.12169999999</v>
      </c>
      <c r="P52" s="275"/>
      <c r="R52" s="274">
        <f>+AF33</f>
        <v>0</v>
      </c>
      <c r="S52" s="274">
        <f>+AF38</f>
        <v>0</v>
      </c>
      <c r="T52" s="274">
        <f>+AF44</f>
        <v>0</v>
      </c>
      <c r="U52" s="305"/>
      <c r="V52" s="240"/>
      <c r="W52" s="240"/>
      <c r="X52" s="240"/>
      <c r="Y52" s="244"/>
      <c r="AD52" s="296"/>
      <c r="AK52" s="584" t="s">
        <v>241</v>
      </c>
      <c r="AL52" s="585"/>
      <c r="AM52" s="338"/>
      <c r="AN52" s="338"/>
      <c r="AO52" s="341"/>
      <c r="AP52" s="334"/>
      <c r="AQ52" s="334"/>
    </row>
    <row r="53" spans="2:43" ht="15.75" customHeight="1" x14ac:dyDescent="0.2">
      <c r="B53" s="239"/>
      <c r="C53" s="240"/>
      <c r="D53" s="240"/>
      <c r="E53" s="240"/>
      <c r="F53" s="339"/>
      <c r="H53" s="240"/>
      <c r="M53" s="273">
        <f>+AG28</f>
        <v>0.65506562002568458</v>
      </c>
      <c r="R53" s="240"/>
      <c r="S53" s="240"/>
      <c r="T53" s="240"/>
      <c r="U53" s="240"/>
      <c r="V53" s="240"/>
      <c r="W53" s="240"/>
      <c r="X53" s="240"/>
      <c r="Y53" s="244"/>
      <c r="AG53" s="306"/>
      <c r="AK53" s="584" t="s">
        <v>243</v>
      </c>
      <c r="AL53" s="585"/>
      <c r="AM53" s="338"/>
      <c r="AN53" s="338"/>
      <c r="AO53" s="341"/>
      <c r="AP53" s="334"/>
      <c r="AQ53" s="334"/>
    </row>
    <row r="54" spans="2:43" ht="15.75" customHeight="1" x14ac:dyDescent="0.2">
      <c r="B54" s="239"/>
      <c r="C54" s="240"/>
      <c r="D54" s="240"/>
      <c r="E54" s="240"/>
      <c r="F54" s="240"/>
      <c r="H54" s="240"/>
      <c r="M54" s="275">
        <f>+M52*M53</f>
        <v>155943.69109356037</v>
      </c>
      <c r="R54" s="240"/>
      <c r="S54" s="240"/>
      <c r="T54" s="240"/>
      <c r="U54" s="240"/>
      <c r="V54" s="240"/>
      <c r="W54" s="240"/>
      <c r="X54" s="240"/>
      <c r="Y54" s="244"/>
      <c r="AG54" s="306"/>
      <c r="AK54" s="584" t="s">
        <v>245</v>
      </c>
      <c r="AL54" s="585"/>
      <c r="AM54" s="338"/>
      <c r="AN54" s="338"/>
      <c r="AO54" s="347"/>
      <c r="AP54" s="334"/>
      <c r="AQ54" s="334"/>
    </row>
    <row r="55" spans="2:43" ht="15.75" customHeight="1" x14ac:dyDescent="0.2">
      <c r="B55" s="239"/>
      <c r="C55" s="240"/>
      <c r="D55" s="240"/>
      <c r="H55" s="240"/>
      <c r="R55" s="348"/>
      <c r="U55" s="240"/>
      <c r="V55" s="240"/>
      <c r="W55" s="240"/>
      <c r="X55" s="240"/>
      <c r="Y55" s="244"/>
      <c r="AK55" s="586" t="s">
        <v>254</v>
      </c>
      <c r="AL55" s="587"/>
      <c r="AM55" s="269">
        <f>+SUM(AM56:AM57)</f>
        <v>0</v>
      </c>
      <c r="AN55" s="269">
        <f>+SUM(AN56:AN57)</f>
        <v>0</v>
      </c>
      <c r="AO55" s="347">
        <f>+AN55-AM55</f>
        <v>0</v>
      </c>
      <c r="AP55" s="334" t="e">
        <f>+SUMPRODUCT(AN56:AN57,AP56:AP57)/AN55</f>
        <v>#DIV/0!</v>
      </c>
      <c r="AQ55" s="334" t="e">
        <f>+SUMPRODUCT(AN56:AN57,AQ56:AQ57)/AN55</f>
        <v>#DIV/0!</v>
      </c>
    </row>
    <row r="56" spans="2:43" ht="15.75" customHeight="1" x14ac:dyDescent="0.2">
      <c r="B56" s="239"/>
      <c r="C56" s="240"/>
      <c r="D56" s="240"/>
      <c r="F56" s="273"/>
      <c r="G56" s="240"/>
      <c r="H56" s="240"/>
      <c r="I56" s="240"/>
      <c r="J56" s="240"/>
      <c r="L56" s="252"/>
      <c r="M56" s="240"/>
      <c r="O56" s="249" t="s">
        <v>174</v>
      </c>
      <c r="P56" s="249" t="s">
        <v>175</v>
      </c>
      <c r="R56" s="252"/>
      <c r="T56" s="240"/>
      <c r="U56" s="240"/>
      <c r="V56" s="240"/>
      <c r="W56" s="240"/>
      <c r="X56" s="240"/>
      <c r="Y56" s="244"/>
      <c r="AK56" s="584" t="s">
        <v>239</v>
      </c>
      <c r="AL56" s="585"/>
      <c r="AM56" s="338"/>
      <c r="AN56" s="338"/>
      <c r="AO56" s="341"/>
      <c r="AP56" s="334"/>
      <c r="AQ56" s="334"/>
    </row>
    <row r="57" spans="2:43" ht="15.75" customHeight="1" x14ac:dyDescent="0.2">
      <c r="B57" s="239"/>
      <c r="C57" s="240"/>
      <c r="F57" s="275"/>
      <c r="G57" s="240"/>
      <c r="H57" s="240"/>
      <c r="J57" s="240"/>
      <c r="K57" s="240"/>
      <c r="L57" s="257"/>
      <c r="M57" s="240"/>
      <c r="N57" s="280" t="s">
        <v>51</v>
      </c>
      <c r="O57" s="253">
        <f>+AQ12+R52+S52+T52</f>
        <v>0</v>
      </c>
      <c r="P57" s="253">
        <f>+AR12</f>
        <v>0</v>
      </c>
      <c r="R57" s="257"/>
      <c r="S57" s="339"/>
      <c r="T57" s="240"/>
      <c r="U57" s="240"/>
      <c r="V57" s="240"/>
      <c r="W57" s="240"/>
      <c r="X57" s="240"/>
      <c r="Y57" s="244"/>
      <c r="AK57" s="584" t="s">
        <v>241</v>
      </c>
      <c r="AL57" s="585"/>
      <c r="AM57" s="338"/>
      <c r="AN57" s="338"/>
      <c r="AO57" s="341"/>
      <c r="AP57" s="334"/>
      <c r="AQ57" s="334"/>
    </row>
    <row r="58" spans="2:43" ht="15.75" customHeight="1" x14ac:dyDescent="0.2">
      <c r="B58" s="239"/>
      <c r="C58" s="240"/>
      <c r="D58" s="240"/>
      <c r="E58" s="240"/>
      <c r="F58" s="240"/>
      <c r="G58" s="240"/>
      <c r="H58" s="240"/>
      <c r="K58" s="240"/>
      <c r="L58" s="240"/>
      <c r="P58" s="258">
        <f>+P57-O57</f>
        <v>0</v>
      </c>
      <c r="Q58" s="240"/>
      <c r="R58" s="240"/>
      <c r="S58" s="257"/>
      <c r="T58" s="240"/>
      <c r="U58" s="240"/>
      <c r="V58" s="240"/>
      <c r="W58" s="240"/>
      <c r="X58" s="240"/>
      <c r="Y58" s="244"/>
      <c r="AM58" s="306">
        <f>AM55+AM50+AM45+AM40</f>
        <v>799518</v>
      </c>
      <c r="AN58" s="238">
        <f>AN55+AN50+AN45+AN40</f>
        <v>780945</v>
      </c>
      <c r="AO58" s="347">
        <f>+AN58-AM58</f>
        <v>-18573</v>
      </c>
      <c r="AP58" s="334"/>
      <c r="AQ58" s="334"/>
    </row>
    <row r="59" spans="2:43" ht="15.75" customHeight="1" x14ac:dyDescent="0.2">
      <c r="B59" s="239"/>
      <c r="C59" s="248"/>
      <c r="D59" s="240"/>
      <c r="E59" s="240"/>
      <c r="F59" s="240"/>
      <c r="G59" s="240"/>
      <c r="H59" s="240"/>
      <c r="L59" s="240"/>
      <c r="S59" s="240"/>
      <c r="T59" s="240"/>
      <c r="U59" s="240"/>
      <c r="V59" s="240"/>
      <c r="W59" s="240"/>
      <c r="X59" s="240"/>
      <c r="Y59" s="244"/>
    </row>
    <row r="60" spans="2:43" ht="15.75" customHeight="1" x14ac:dyDescent="0.2">
      <c r="B60" s="239"/>
      <c r="C60" s="252"/>
      <c r="D60" s="240"/>
      <c r="E60" s="248"/>
      <c r="F60" s="240"/>
      <c r="G60" s="240"/>
      <c r="H60" s="240"/>
      <c r="I60" s="240"/>
      <c r="L60" s="240"/>
      <c r="O60" s="240"/>
      <c r="Q60" s="240"/>
      <c r="R60" s="240"/>
      <c r="S60" s="240"/>
      <c r="T60" s="240"/>
      <c r="U60" s="240"/>
      <c r="V60" s="240"/>
      <c r="W60" s="240"/>
      <c r="X60" s="240"/>
      <c r="Y60" s="244"/>
    </row>
    <row r="61" spans="2:43" ht="15.75" customHeight="1" x14ac:dyDescent="0.2">
      <c r="B61" s="239"/>
      <c r="C61" s="240"/>
      <c r="D61" s="240"/>
      <c r="E61" s="240"/>
      <c r="F61" s="240"/>
      <c r="G61" s="240"/>
      <c r="H61" s="240"/>
      <c r="J61" s="240"/>
      <c r="K61" s="240"/>
      <c r="L61" s="240"/>
      <c r="M61" s="240"/>
      <c r="N61" s="240"/>
      <c r="Q61" s="240"/>
      <c r="R61" s="240"/>
      <c r="S61" s="240"/>
      <c r="T61" s="240"/>
      <c r="U61" s="240"/>
      <c r="V61" s="240"/>
      <c r="W61" s="240"/>
      <c r="X61" s="240"/>
      <c r="Y61" s="244"/>
    </row>
    <row r="62" spans="2:43" ht="15.75" customHeight="1" x14ac:dyDescent="0.2">
      <c r="B62" s="239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Q62" s="240"/>
      <c r="R62" s="240"/>
      <c r="S62" s="240"/>
      <c r="T62" s="240"/>
      <c r="U62" s="240"/>
      <c r="V62" s="240"/>
      <c r="W62" s="240"/>
      <c r="X62" s="240"/>
      <c r="Y62" s="244"/>
    </row>
    <row r="63" spans="2:43" ht="15.75" customHeight="1" x14ac:dyDescent="0.2">
      <c r="B63" s="239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Q63" s="240"/>
      <c r="R63" s="240"/>
      <c r="S63" s="240"/>
      <c r="T63" s="240"/>
      <c r="U63" s="240"/>
      <c r="V63" s="240"/>
      <c r="W63" s="240"/>
      <c r="X63" s="240"/>
      <c r="Y63" s="244"/>
    </row>
    <row r="64" spans="2:43" ht="15.75" customHeight="1" x14ac:dyDescent="0.2">
      <c r="B64" s="239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4"/>
    </row>
    <row r="65" spans="2:26" ht="15.75" customHeight="1" x14ac:dyDescent="0.2">
      <c r="B65" s="239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4"/>
    </row>
    <row r="66" spans="2:26" ht="15.75" customHeight="1" thickBot="1" x14ac:dyDescent="0.25">
      <c r="B66" s="349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1"/>
    </row>
    <row r="67" spans="2:26" ht="15.75" customHeight="1" x14ac:dyDescent="0.2">
      <c r="B67" s="352"/>
      <c r="C67" s="352"/>
      <c r="D67" s="352"/>
      <c r="J67" s="296"/>
      <c r="K67" s="240"/>
      <c r="P67" s="240"/>
      <c r="Q67" s="240"/>
    </row>
    <row r="68" spans="2:26" ht="15.75" customHeight="1" thickBot="1" x14ac:dyDescent="0.25">
      <c r="E68" s="353"/>
      <c r="F68" s="240"/>
      <c r="G68" s="579" t="s">
        <v>255</v>
      </c>
      <c r="H68" s="580"/>
      <c r="I68" s="581"/>
      <c r="J68" s="305"/>
      <c r="K68" s="240"/>
      <c r="L68" s="240"/>
      <c r="M68" s="305"/>
      <c r="N68" s="305"/>
      <c r="O68" s="240"/>
      <c r="P68" s="240"/>
      <c r="R68" s="240"/>
      <c r="S68" s="240"/>
      <c r="T68" s="240"/>
      <c r="U68" s="240"/>
      <c r="V68" s="240"/>
      <c r="W68" s="240"/>
      <c r="X68" s="240"/>
      <c r="Y68" s="240"/>
    </row>
    <row r="69" spans="2:26" ht="36.5" customHeight="1" x14ac:dyDescent="0.2">
      <c r="B69" s="354" t="s">
        <v>256</v>
      </c>
      <c r="C69" s="582" t="s">
        <v>79</v>
      </c>
      <c r="D69" s="583"/>
      <c r="E69" s="355" t="s">
        <v>161</v>
      </c>
      <c r="F69" s="355" t="s">
        <v>162</v>
      </c>
      <c r="G69" s="355" t="s">
        <v>257</v>
      </c>
      <c r="H69" s="354" t="s">
        <v>258</v>
      </c>
      <c r="I69" s="356" t="s">
        <v>163</v>
      </c>
      <c r="J69" s="357" t="s">
        <v>164</v>
      </c>
      <c r="K69" s="358" t="s">
        <v>165</v>
      </c>
      <c r="L69" s="355" t="s">
        <v>166</v>
      </c>
      <c r="M69" s="355" t="s">
        <v>259</v>
      </c>
      <c r="N69" s="355" t="s">
        <v>260</v>
      </c>
      <c r="O69" s="354" t="s">
        <v>167</v>
      </c>
      <c r="P69" s="359" t="s">
        <v>168</v>
      </c>
      <c r="Q69" s="240"/>
      <c r="R69" s="240"/>
      <c r="S69" s="240"/>
      <c r="T69" s="240"/>
      <c r="U69" s="240"/>
      <c r="V69" s="240"/>
      <c r="W69" s="240"/>
      <c r="X69" s="240"/>
      <c r="Y69" s="240"/>
    </row>
    <row r="70" spans="2:26" ht="18" customHeight="1" x14ac:dyDescent="0.2">
      <c r="B70" s="360">
        <f>+AD26</f>
        <v>287809.17772500002</v>
      </c>
      <c r="C70" s="577" t="s">
        <v>169</v>
      </c>
      <c r="D70" s="578"/>
      <c r="E70" s="361">
        <f>+AI26</f>
        <v>272690</v>
      </c>
      <c r="F70" s="362">
        <f>+AI28</f>
        <v>240611</v>
      </c>
      <c r="G70" s="363"/>
      <c r="H70" s="364"/>
      <c r="I70" s="365">
        <f>+E70+G70</f>
        <v>272690</v>
      </c>
      <c r="J70" s="366">
        <f>+F70+H70</f>
        <v>240611</v>
      </c>
      <c r="K70" s="367">
        <f>'Datos Extra'!B35</f>
        <v>200437</v>
      </c>
      <c r="L70" s="368">
        <f>+K70+I70-J70</f>
        <v>232516</v>
      </c>
      <c r="M70" s="363">
        <f>+'Datos Extra'!C31/(1-'Datos Extra'!D31)+G70-H70</f>
        <v>233821</v>
      </c>
      <c r="N70" s="369">
        <f t="shared" ref="N70:N80" si="3">M70-L70</f>
        <v>1305</v>
      </c>
      <c r="O70" s="370">
        <v>97.84</v>
      </c>
      <c r="P70" s="371">
        <f>+N70*O70</f>
        <v>127681.20000000001</v>
      </c>
      <c r="Q70" s="372"/>
      <c r="R70" s="240"/>
      <c r="S70" s="373">
        <v>38889</v>
      </c>
      <c r="T70" s="240"/>
      <c r="U70" s="240"/>
      <c r="V70" s="240"/>
      <c r="W70" s="240"/>
      <c r="X70" s="240"/>
      <c r="Y70" s="240"/>
    </row>
    <row r="71" spans="2:26" ht="14.25" customHeight="1" x14ac:dyDescent="0.2">
      <c r="B71" s="360">
        <f>+AD25</f>
        <v>771.125</v>
      </c>
      <c r="C71" s="577" t="s">
        <v>99</v>
      </c>
      <c r="D71" s="578"/>
      <c r="E71" s="374">
        <f>+AI25</f>
        <v>12559</v>
      </c>
      <c r="F71" s="362">
        <v>0</v>
      </c>
      <c r="G71" s="375"/>
      <c r="H71" s="376"/>
      <c r="I71" s="365">
        <f t="shared" ref="I71:J80" si="4">+E71+G71</f>
        <v>12559</v>
      </c>
      <c r="J71" s="377">
        <f t="shared" si="4"/>
        <v>0</v>
      </c>
      <c r="K71" s="367">
        <f>'Datos Extra'!B36</f>
        <v>88708</v>
      </c>
      <c r="L71" s="368">
        <f>+K71+I71-J71</f>
        <v>101267</v>
      </c>
      <c r="M71" s="363">
        <f>+'Datos Extra'!C32/(1-'Datos Extra'!D32)</f>
        <v>99746</v>
      </c>
      <c r="N71" s="369">
        <f t="shared" si="3"/>
        <v>-1521</v>
      </c>
      <c r="O71" s="370">
        <v>33.365380000000002</v>
      </c>
      <c r="P71" s="371">
        <f t="shared" ref="P71:P80" si="5">+N71*O71</f>
        <v>-50748.742980000003</v>
      </c>
      <c r="Q71" s="372"/>
      <c r="R71" s="240"/>
      <c r="S71" s="240"/>
      <c r="T71" s="240"/>
      <c r="U71" s="240"/>
      <c r="V71" s="240"/>
      <c r="W71" s="240"/>
      <c r="X71" s="240"/>
      <c r="Y71" s="240"/>
    </row>
    <row r="72" spans="2:26" ht="14.25" customHeight="1" x14ac:dyDescent="0.2">
      <c r="B72" s="360">
        <f>+AD16+AD17</f>
        <v>183370.101</v>
      </c>
      <c r="C72" s="577" t="s">
        <v>100</v>
      </c>
      <c r="D72" s="578"/>
      <c r="E72" s="374">
        <f>+AI16+AI17</f>
        <v>201173</v>
      </c>
      <c r="F72" s="362">
        <f>+AI19</f>
        <v>364334</v>
      </c>
      <c r="G72" s="375"/>
      <c r="H72" s="376"/>
      <c r="I72" s="365">
        <f t="shared" si="4"/>
        <v>201173</v>
      </c>
      <c r="J72" s="378">
        <f>+F72+H72</f>
        <v>364334</v>
      </c>
      <c r="K72" s="367">
        <f>'Datos Extra'!B37</f>
        <v>382282</v>
      </c>
      <c r="L72" s="368">
        <f>+K72+I72-J72</f>
        <v>219121</v>
      </c>
      <c r="M72" s="363">
        <f>'Datos Extra'!C29/(1-'Datos Extra'!D29)+G72-H72</f>
        <v>218541.48310889813</v>
      </c>
      <c r="N72" s="369">
        <f t="shared" si="3"/>
        <v>-579.51689110186999</v>
      </c>
      <c r="O72" s="370">
        <v>43.87</v>
      </c>
      <c r="P72" s="371">
        <f t="shared" si="5"/>
        <v>-25423.406012639036</v>
      </c>
      <c r="Q72" s="379"/>
      <c r="R72" s="240"/>
      <c r="S72" s="240"/>
      <c r="T72" s="240"/>
      <c r="U72" s="240"/>
      <c r="V72" s="240"/>
      <c r="W72" s="240"/>
      <c r="X72" s="240"/>
      <c r="Y72" s="240"/>
    </row>
    <row r="73" spans="2:26" ht="14.25" customHeight="1" x14ac:dyDescent="0.2">
      <c r="B73" s="360">
        <f>+AD10</f>
        <v>552409.17378211988</v>
      </c>
      <c r="C73" s="577" t="s">
        <v>170</v>
      </c>
      <c r="D73" s="578"/>
      <c r="E73" s="374">
        <f>+AI10</f>
        <v>562148</v>
      </c>
      <c r="F73" s="362">
        <v>0</v>
      </c>
      <c r="G73" s="375"/>
      <c r="H73" s="380"/>
      <c r="I73" s="381"/>
      <c r="J73" s="382">
        <f>+E73+H73</f>
        <v>562148</v>
      </c>
      <c r="K73" s="367">
        <f>'Datos Extra'!B38</f>
        <v>0</v>
      </c>
      <c r="L73" s="383"/>
      <c r="M73" s="384"/>
      <c r="N73" s="385"/>
      <c r="O73" s="386"/>
      <c r="P73" s="387"/>
      <c r="Q73" s="372"/>
      <c r="R73" s="240"/>
      <c r="S73" s="373">
        <f>+M70-S70</f>
        <v>194932</v>
      </c>
      <c r="T73" s="240"/>
      <c r="U73" s="240"/>
      <c r="V73" s="240"/>
      <c r="W73" s="240"/>
      <c r="X73" s="240"/>
      <c r="Y73" s="240"/>
    </row>
    <row r="74" spans="2:26" ht="14.25" customHeight="1" x14ac:dyDescent="0.2">
      <c r="B74" s="360"/>
      <c r="C74" s="577" t="s">
        <v>101</v>
      </c>
      <c r="D74" s="578"/>
      <c r="E74" s="374">
        <f>+AI15</f>
        <v>517519.11949278059</v>
      </c>
      <c r="F74" s="362"/>
      <c r="G74" s="375"/>
      <c r="I74" s="381"/>
      <c r="J74" s="382">
        <f>+E74/E73*J73</f>
        <v>517519.11949278059</v>
      </c>
      <c r="K74" s="367">
        <f>'Datos Extra'!B39</f>
        <v>0</v>
      </c>
      <c r="L74" s="383"/>
      <c r="M74" s="384"/>
      <c r="N74" s="385"/>
      <c r="O74" s="386"/>
      <c r="P74" s="387"/>
      <c r="Q74" s="372"/>
      <c r="R74" s="240"/>
      <c r="S74" s="240"/>
      <c r="T74" s="240"/>
      <c r="U74" s="240"/>
      <c r="V74" s="240"/>
      <c r="W74" s="240"/>
      <c r="X74" s="240"/>
      <c r="Y74" s="240"/>
    </row>
    <row r="75" spans="2:26" ht="14.25" customHeight="1" x14ac:dyDescent="0.2">
      <c r="B75" s="360"/>
      <c r="C75" s="577" t="s">
        <v>102</v>
      </c>
      <c r="D75" s="578"/>
      <c r="E75" s="374">
        <f>+AI13</f>
        <v>80959.563825055302</v>
      </c>
      <c r="F75" s="362"/>
      <c r="G75" s="375"/>
      <c r="H75" s="376"/>
      <c r="I75" s="381"/>
      <c r="J75" s="382">
        <f>+E75+G75</f>
        <v>80959.563825055302</v>
      </c>
      <c r="K75" s="367">
        <f>'Datos Extra'!B40</f>
        <v>0</v>
      </c>
      <c r="L75" s="383"/>
      <c r="M75" s="384"/>
      <c r="N75" s="385"/>
      <c r="O75" s="386"/>
      <c r="P75" s="387"/>
      <c r="Q75" s="372"/>
      <c r="R75" s="240"/>
      <c r="S75" s="240"/>
      <c r="T75" s="305"/>
      <c r="U75" s="284"/>
      <c r="V75" s="284"/>
      <c r="W75" s="305"/>
      <c r="X75" s="305"/>
      <c r="Y75" s="388"/>
      <c r="Z75" s="292"/>
    </row>
    <row r="76" spans="2:26" ht="14.25" customHeight="1" x14ac:dyDescent="0.2">
      <c r="B76" s="360">
        <f>+AD9</f>
        <v>548537.5026654168</v>
      </c>
      <c r="C76" s="577" t="s">
        <v>103</v>
      </c>
      <c r="D76" s="578"/>
      <c r="E76" s="374">
        <f>+AI9</f>
        <v>558159</v>
      </c>
      <c r="F76" s="362"/>
      <c r="G76" s="375"/>
      <c r="H76" s="380">
        <f>H73</f>
        <v>0</v>
      </c>
      <c r="I76" s="365">
        <f t="shared" si="4"/>
        <v>558159</v>
      </c>
      <c r="J76" s="366">
        <f>+E73+H76</f>
        <v>562148</v>
      </c>
      <c r="K76" s="367">
        <f>'Datos Extra'!B41</f>
        <v>8766</v>
      </c>
      <c r="L76" s="368">
        <f>+K76+I76-J76</f>
        <v>4777</v>
      </c>
      <c r="M76" s="363">
        <f>+'Datos Extra'!C25/(1-'Datos Extra'!D25)</f>
        <v>9561.2951012849808</v>
      </c>
      <c r="N76" s="369">
        <f t="shared" si="3"/>
        <v>4784.2951012849808</v>
      </c>
      <c r="O76" s="370">
        <v>20.14</v>
      </c>
      <c r="P76" s="371">
        <f t="shared" si="5"/>
        <v>96355.703339879517</v>
      </c>
      <c r="Q76" s="372"/>
      <c r="R76" s="373"/>
      <c r="S76" s="240"/>
      <c r="T76" s="284"/>
      <c r="U76" s="284"/>
      <c r="V76" s="284"/>
      <c r="W76" s="305"/>
      <c r="X76" s="305"/>
      <c r="Y76" s="388"/>
      <c r="Z76" s="292"/>
    </row>
    <row r="77" spans="2:26" ht="14.25" customHeight="1" x14ac:dyDescent="0.2">
      <c r="B77" s="360">
        <f>+AD7</f>
        <v>235539.83038087943</v>
      </c>
      <c r="C77" s="577" t="s">
        <v>104</v>
      </c>
      <c r="D77" s="578"/>
      <c r="E77" s="374">
        <f>+AI7</f>
        <v>239033</v>
      </c>
      <c r="F77" s="362">
        <f>+AI8</f>
        <v>176000</v>
      </c>
      <c r="G77" s="375"/>
      <c r="H77" s="376"/>
      <c r="I77" s="365">
        <f t="shared" si="4"/>
        <v>239033</v>
      </c>
      <c r="J77" s="366">
        <f t="shared" si="4"/>
        <v>176000</v>
      </c>
      <c r="K77" s="367">
        <f>'Datos Extra'!B42</f>
        <v>146083</v>
      </c>
      <c r="L77" s="368">
        <f>+K77+I77-J77+AD34</f>
        <v>209116</v>
      </c>
      <c r="M77" s="363">
        <f>+AM7</f>
        <v>0</v>
      </c>
      <c r="N77" s="369">
        <f t="shared" si="3"/>
        <v>-209116</v>
      </c>
      <c r="O77" s="370">
        <v>21.37</v>
      </c>
      <c r="P77" s="371">
        <f t="shared" si="5"/>
        <v>-4468808.92</v>
      </c>
      <c r="Q77" s="372"/>
      <c r="R77" s="373"/>
      <c r="S77" s="240"/>
      <c r="T77" s="284"/>
      <c r="U77" s="240"/>
      <c r="V77" s="240"/>
      <c r="W77" s="240"/>
      <c r="X77" s="240"/>
      <c r="Y77" s="240"/>
      <c r="Z77" s="284"/>
    </row>
    <row r="78" spans="2:26" ht="14.25" customHeight="1" x14ac:dyDescent="0.2">
      <c r="B78" s="360"/>
      <c r="C78" s="577" t="s">
        <v>105</v>
      </c>
      <c r="D78" s="578"/>
      <c r="E78" s="374">
        <v>0</v>
      </c>
      <c r="F78" s="362">
        <v>0</v>
      </c>
      <c r="G78" s="375"/>
      <c r="H78" s="376"/>
      <c r="I78" s="389">
        <f t="shared" si="4"/>
        <v>0</v>
      </c>
      <c r="J78" s="377">
        <f t="shared" si="4"/>
        <v>0</v>
      </c>
      <c r="K78" s="367">
        <f>'Datos Extra'!B43</f>
        <v>0</v>
      </c>
      <c r="L78" s="375">
        <f>+K78+AD32-AD34</f>
        <v>0</v>
      </c>
      <c r="M78" s="363">
        <f>'Datos Extra'!B33</f>
        <v>0</v>
      </c>
      <c r="N78" s="369">
        <f t="shared" si="3"/>
        <v>0</v>
      </c>
      <c r="O78" s="370">
        <v>8.5485399999999991</v>
      </c>
      <c r="P78" s="371">
        <f t="shared" si="5"/>
        <v>0</v>
      </c>
      <c r="Q78" s="372"/>
      <c r="R78" s="240"/>
      <c r="S78" s="240"/>
      <c r="T78" s="240"/>
      <c r="U78" s="240"/>
      <c r="V78" s="240"/>
      <c r="W78" s="240"/>
      <c r="X78" s="240"/>
      <c r="Y78" s="240"/>
    </row>
    <row r="79" spans="2:26" ht="14.25" customHeight="1" x14ac:dyDescent="0.2">
      <c r="B79" s="360"/>
      <c r="C79" s="577" t="s">
        <v>106</v>
      </c>
      <c r="D79" s="578"/>
      <c r="E79" s="374">
        <v>0</v>
      </c>
      <c r="F79" s="374">
        <v>0</v>
      </c>
      <c r="G79" s="375"/>
      <c r="H79" s="376"/>
      <c r="I79" s="389">
        <f t="shared" si="4"/>
        <v>0</v>
      </c>
      <c r="J79" s="377">
        <f t="shared" si="4"/>
        <v>0</v>
      </c>
      <c r="K79" s="367">
        <f>'Datos Extra'!B44</f>
        <v>27</v>
      </c>
      <c r="L79" s="390">
        <f>+K79+E79-F79</f>
        <v>27</v>
      </c>
      <c r="M79" s="391">
        <v>1415.5</v>
      </c>
      <c r="N79" s="369">
        <f t="shared" si="3"/>
        <v>1388.5</v>
      </c>
      <c r="O79" s="370">
        <v>40.32</v>
      </c>
      <c r="P79" s="371">
        <f t="shared" si="5"/>
        <v>55984.32</v>
      </c>
      <c r="Q79" s="372"/>
      <c r="R79" s="240"/>
      <c r="S79" s="240"/>
      <c r="T79" s="388"/>
      <c r="U79" s="373"/>
      <c r="V79" s="373"/>
      <c r="W79" s="388"/>
      <c r="X79" s="388"/>
      <c r="Y79" s="388"/>
    </row>
    <row r="80" spans="2:26" ht="14.25" customHeight="1" x14ac:dyDescent="0.2">
      <c r="B80" s="360"/>
      <c r="C80" s="577" t="s">
        <v>107</v>
      </c>
      <c r="D80" s="578"/>
      <c r="E80" s="374">
        <v>0</v>
      </c>
      <c r="F80" s="374">
        <v>0</v>
      </c>
      <c r="G80" s="375"/>
      <c r="H80" s="376"/>
      <c r="I80" s="389">
        <f t="shared" si="4"/>
        <v>0</v>
      </c>
      <c r="J80" s="377">
        <f t="shared" si="4"/>
        <v>0</v>
      </c>
      <c r="K80" s="367">
        <f>'Datos Extra'!B45</f>
        <v>25122</v>
      </c>
      <c r="L80" s="390">
        <f>+K80+E80-F80</f>
        <v>25122</v>
      </c>
      <c r="M80" s="391">
        <v>31676</v>
      </c>
      <c r="N80" s="369">
        <f t="shared" si="3"/>
        <v>6554</v>
      </c>
      <c r="O80" s="370">
        <v>29.61</v>
      </c>
      <c r="P80" s="371">
        <f t="shared" si="5"/>
        <v>194063.94</v>
      </c>
      <c r="Q80" s="372"/>
      <c r="R80" s="240"/>
      <c r="S80" s="240"/>
      <c r="T80" s="240"/>
      <c r="U80" s="240"/>
      <c r="V80" s="240"/>
      <c r="W80" s="240"/>
      <c r="X80" s="240"/>
      <c r="Y80" s="240"/>
    </row>
    <row r="81" spans="3:26" ht="15.75" customHeight="1" thickBot="1" x14ac:dyDescent="0.25">
      <c r="C81" s="392"/>
      <c r="D81" s="392"/>
      <c r="E81" s="369">
        <f>+E70+E71+E72+E77+E78</f>
        <v>725455</v>
      </c>
      <c r="F81" s="369">
        <f>+F70+F71+F72+F77+F78</f>
        <v>780945</v>
      </c>
      <c r="G81" s="305"/>
      <c r="H81" s="305"/>
      <c r="I81" s="393">
        <f>+I70+I71+I72+I77+I78</f>
        <v>725455</v>
      </c>
      <c r="J81" s="394">
        <f>+J70+J71+J72+J77+J78</f>
        <v>780945</v>
      </c>
      <c r="K81" s="395"/>
      <c r="L81" s="395"/>
      <c r="M81" s="395"/>
      <c r="N81" s="369">
        <f>SUM(N70:N80)</f>
        <v>-197184.72178981689</v>
      </c>
      <c r="O81" s="396"/>
      <c r="P81" s="397">
        <f>SUM(P70:P80)</f>
        <v>-4070895.9056527591</v>
      </c>
      <c r="Q81" s="240"/>
      <c r="R81" s="240"/>
      <c r="S81" s="240"/>
      <c r="T81" s="240"/>
      <c r="U81" s="240"/>
      <c r="V81" s="240"/>
      <c r="W81" s="240"/>
      <c r="X81" s="240"/>
      <c r="Y81" s="240"/>
    </row>
    <row r="82" spans="3:26" ht="14.25" customHeight="1" x14ac:dyDescent="0.2">
      <c r="C82" s="395"/>
      <c r="D82" s="395"/>
      <c r="E82" s="305"/>
      <c r="F82" s="305"/>
      <c r="G82" s="305"/>
      <c r="H82" s="305"/>
      <c r="I82" s="305"/>
      <c r="J82" s="398">
        <f>+J81-J72</f>
        <v>416611</v>
      </c>
      <c r="N82" s="369">
        <f>SUM(N70:N80)-N76</f>
        <v>-201969.01689110187</v>
      </c>
      <c r="O82" s="396"/>
      <c r="P82" s="397">
        <f>SUM(P70:P80)-P76</f>
        <v>-4167251.6089926385</v>
      </c>
      <c r="Q82" s="240"/>
      <c r="R82" s="240"/>
      <c r="S82" s="240"/>
      <c r="T82" s="240"/>
      <c r="U82" s="240"/>
      <c r="V82" s="240"/>
      <c r="W82" s="240"/>
      <c r="X82" s="240"/>
      <c r="Y82" s="240"/>
    </row>
    <row r="83" spans="3:26" ht="15.75" customHeight="1" x14ac:dyDescent="0.2">
      <c r="E83" s="241"/>
      <c r="F83" s="353"/>
      <c r="G83" s="241"/>
      <c r="H83" s="241"/>
      <c r="I83" s="240"/>
      <c r="J83" s="305"/>
      <c r="K83" s="373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</row>
    <row r="84" spans="3:26" ht="26" customHeight="1" x14ac:dyDescent="0.2">
      <c r="C84" s="574"/>
      <c r="D84" s="576"/>
      <c r="E84" s="399" t="s">
        <v>261</v>
      </c>
      <c r="F84" s="399" t="s">
        <v>197</v>
      </c>
      <c r="G84" s="399" t="s">
        <v>262</v>
      </c>
      <c r="H84" s="400" t="s">
        <v>263</v>
      </c>
      <c r="I84" s="305"/>
      <c r="J84" s="305"/>
      <c r="K84" s="305"/>
      <c r="L84" s="305"/>
      <c r="M84" s="305"/>
      <c r="N84" s="305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</row>
    <row r="85" spans="3:26" ht="14.25" customHeight="1" x14ac:dyDescent="0.2">
      <c r="C85" s="574" t="s">
        <v>264</v>
      </c>
      <c r="D85" s="575"/>
      <c r="E85" s="575"/>
      <c r="F85" s="575"/>
      <c r="G85" s="575"/>
      <c r="H85" s="576"/>
      <c r="I85" s="305"/>
      <c r="J85" s="305">
        <f>+J74*(1-AE14)</f>
        <v>459690.70876089443</v>
      </c>
      <c r="K85" s="305"/>
      <c r="L85" s="305"/>
      <c r="M85" s="305"/>
      <c r="N85" s="305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</row>
    <row r="86" spans="3:26" ht="14.25" customHeight="1" x14ac:dyDescent="0.2">
      <c r="C86" s="570" t="s">
        <v>265</v>
      </c>
      <c r="D86" s="571"/>
      <c r="E86" s="270">
        <f>'Datos Extra'!B46</f>
        <v>841140</v>
      </c>
      <c r="F86" s="459">
        <f>'Datos Extra'!C46</f>
        <v>1</v>
      </c>
      <c r="G86" s="460">
        <f>'Datos Extra'!D46</f>
        <v>2.65</v>
      </c>
      <c r="H86" s="403">
        <f>+E86*G86</f>
        <v>2229021</v>
      </c>
      <c r="I86" s="373"/>
      <c r="J86" s="373"/>
      <c r="K86" s="373"/>
      <c r="L86" s="373"/>
      <c r="M86" s="373"/>
      <c r="N86" s="373"/>
      <c r="O86" s="240"/>
      <c r="P86" s="240"/>
      <c r="Q86" s="240"/>
      <c r="R86" s="572"/>
      <c r="S86" s="573"/>
      <c r="T86" s="305"/>
      <c r="U86" s="305"/>
      <c r="V86" s="305"/>
    </row>
    <row r="87" spans="3:26" ht="14.25" customHeight="1" x14ac:dyDescent="0.2">
      <c r="C87" s="401" t="s">
        <v>266</v>
      </c>
      <c r="D87" s="402"/>
      <c r="E87" s="270">
        <f>'Datos Extra'!B47</f>
        <v>841140</v>
      </c>
      <c r="F87" s="459">
        <f>'Datos Extra'!C47</f>
        <v>1</v>
      </c>
      <c r="G87" s="460">
        <f>'Datos Extra'!D47</f>
        <v>1.7937498607364257</v>
      </c>
      <c r="H87" s="403">
        <f t="shared" ref="H87:H90" si="6">+E87*G87</f>
        <v>1508794.757859837</v>
      </c>
      <c r="I87" s="373"/>
      <c r="J87" s="373"/>
      <c r="K87" s="373"/>
      <c r="L87" s="404"/>
      <c r="M87" s="373"/>
      <c r="N87" s="373"/>
      <c r="O87" s="240"/>
      <c r="P87" s="240"/>
      <c r="Q87" s="240"/>
      <c r="R87" s="395"/>
      <c r="T87" s="305"/>
      <c r="U87" s="305"/>
      <c r="V87" s="305"/>
    </row>
    <row r="88" spans="3:26" ht="15.75" customHeight="1" x14ac:dyDescent="0.2">
      <c r="C88" s="570" t="s">
        <v>267</v>
      </c>
      <c r="D88" s="571"/>
      <c r="E88" s="270">
        <f>'Datos Extra'!B48</f>
        <v>799464</v>
      </c>
      <c r="F88" s="459">
        <f>'Datos Extra'!C48</f>
        <v>0.85</v>
      </c>
      <c r="G88" s="460">
        <f>'Datos Extra'!D48</f>
        <v>0.93275003802393297</v>
      </c>
      <c r="H88" s="403">
        <f t="shared" si="6"/>
        <v>745700.07639876555</v>
      </c>
      <c r="I88" s="373"/>
      <c r="J88" s="373"/>
      <c r="K88" s="373"/>
      <c r="L88" s="373" t="s">
        <v>286</v>
      </c>
      <c r="M88" s="373"/>
      <c r="N88" s="373"/>
      <c r="O88" s="240"/>
      <c r="P88" s="572"/>
      <c r="Q88" s="573"/>
      <c r="R88" s="305"/>
      <c r="S88" s="305"/>
      <c r="T88" s="305"/>
    </row>
    <row r="89" spans="3:26" ht="15.75" customHeight="1" x14ac:dyDescent="0.2">
      <c r="C89" s="570" t="s">
        <v>268</v>
      </c>
      <c r="D89" s="571"/>
      <c r="E89" s="270">
        <f>'Datos Extra'!B49</f>
        <v>309440</v>
      </c>
      <c r="F89" s="459">
        <f>'Datos Extra'!C49</f>
        <v>0.15</v>
      </c>
      <c r="G89" s="460">
        <f>'Datos Extra'!D49</f>
        <v>1.1554858656662388</v>
      </c>
      <c r="H89" s="403">
        <f t="shared" si="6"/>
        <v>357553.54627176095</v>
      </c>
      <c r="I89" s="240"/>
      <c r="J89" s="240"/>
      <c r="K89" s="240"/>
      <c r="L89" s="240" t="s">
        <v>287</v>
      </c>
      <c r="M89" s="240"/>
      <c r="N89" s="305"/>
      <c r="O89" s="240"/>
      <c r="P89" s="572"/>
      <c r="Q89" s="573"/>
      <c r="R89" s="305"/>
      <c r="S89" s="305"/>
      <c r="T89" s="305"/>
    </row>
    <row r="90" spans="3:26" ht="14.25" customHeight="1" x14ac:dyDescent="0.2">
      <c r="C90" s="570" t="s">
        <v>269</v>
      </c>
      <c r="D90" s="571"/>
      <c r="E90" s="270">
        <f>'Datos Extra'!B50</f>
        <v>719345</v>
      </c>
      <c r="F90" s="459">
        <f>'Datos Extra'!C50</f>
        <v>1</v>
      </c>
      <c r="G90" s="460">
        <f>'Datos Extra'!D50</f>
        <v>6.7708475606506466</v>
      </c>
      <c r="H90" s="403">
        <f t="shared" si="6"/>
        <v>4870575.3385162391</v>
      </c>
      <c r="I90" s="240"/>
      <c r="J90" s="240"/>
      <c r="K90" s="240"/>
      <c r="L90" s="240" t="s">
        <v>288</v>
      </c>
      <c r="M90" s="240"/>
      <c r="N90" s="305"/>
      <c r="O90" s="240"/>
      <c r="P90" s="572"/>
      <c r="Q90" s="573"/>
      <c r="R90" s="305"/>
      <c r="S90" s="305"/>
      <c r="T90" s="305"/>
    </row>
    <row r="91" spans="3:26" ht="14.25" customHeight="1" x14ac:dyDescent="0.2">
      <c r="G91" s="405">
        <f>SUM(G86:G90)</f>
        <v>13.302833325077245</v>
      </c>
      <c r="H91" s="243">
        <f>SUM(H86:H90)</f>
        <v>9711644.7190466039</v>
      </c>
      <c r="I91" s="373"/>
      <c r="J91" s="373"/>
      <c r="K91" s="240"/>
      <c r="L91" s="240"/>
      <c r="M91" s="240"/>
      <c r="N91" s="305"/>
      <c r="O91" s="240"/>
      <c r="P91" s="572"/>
      <c r="Q91" s="573"/>
      <c r="R91" s="305"/>
      <c r="S91" s="305"/>
      <c r="T91" s="305"/>
    </row>
    <row r="92" spans="3:26" ht="14.25" customHeight="1" x14ac:dyDescent="0.2">
      <c r="C92" s="574" t="s">
        <v>270</v>
      </c>
      <c r="D92" s="575"/>
      <c r="E92" s="575"/>
      <c r="F92" s="575"/>
      <c r="G92" s="575"/>
      <c r="H92" s="576"/>
      <c r="I92" s="373"/>
      <c r="J92" s="373"/>
      <c r="K92" s="240"/>
      <c r="L92" s="305"/>
      <c r="M92" s="240"/>
      <c r="N92" s="305"/>
      <c r="O92" s="240"/>
      <c r="P92" s="572"/>
      <c r="Q92" s="573"/>
      <c r="R92" s="305"/>
      <c r="S92" s="305"/>
      <c r="T92" s="305"/>
    </row>
    <row r="93" spans="3:26" ht="14.25" customHeight="1" x14ac:dyDescent="0.2">
      <c r="C93" s="570" t="s">
        <v>271</v>
      </c>
      <c r="D93" s="571"/>
      <c r="E93" s="271">
        <f>+AF10/(1-AE10)</f>
        <v>562148</v>
      </c>
      <c r="F93" s="406">
        <f>+O19</f>
        <v>0.86635997358641803</v>
      </c>
      <c r="G93" s="407">
        <f>'Datos Extra'!D51</f>
        <v>12.73464883638535</v>
      </c>
      <c r="H93" s="403">
        <f>+E93*G93</f>
        <v>7158757.3740763515</v>
      </c>
      <c r="I93" s="240"/>
      <c r="J93" s="240"/>
      <c r="K93" s="240"/>
      <c r="L93" s="305"/>
      <c r="M93" s="240"/>
      <c r="N93" s="240"/>
      <c r="O93" s="240"/>
      <c r="P93" s="572"/>
      <c r="Q93" s="573"/>
      <c r="R93" s="305"/>
      <c r="S93" s="305"/>
    </row>
    <row r="94" spans="3:26" ht="14.25" customHeight="1" x14ac:dyDescent="0.2">
      <c r="C94" s="570" t="s">
        <v>272</v>
      </c>
      <c r="D94" s="571"/>
      <c r="E94" s="271">
        <f>+AF18/(1-AE18)</f>
        <v>274867.73500000004</v>
      </c>
      <c r="F94" s="408">
        <f>+P49/J39</f>
        <v>0.9871167672699015</v>
      </c>
      <c r="G94" s="407">
        <f>'Datos Extra'!D52</f>
        <v>20.331616421326252</v>
      </c>
      <c r="H94" s="403">
        <f t="shared" ref="H94:H96" si="7">+E94*G94</f>
        <v>5588505.3546187533</v>
      </c>
      <c r="I94" s="240"/>
      <c r="J94" s="240"/>
      <c r="K94" s="240"/>
      <c r="L94" s="240"/>
      <c r="M94" s="240"/>
      <c r="N94" s="240"/>
      <c r="O94" s="240"/>
      <c r="P94" s="572"/>
      <c r="Q94" s="573"/>
      <c r="R94" s="305"/>
      <c r="S94" s="305"/>
    </row>
    <row r="95" spans="3:26" ht="14.25" customHeight="1" x14ac:dyDescent="0.2">
      <c r="C95" s="570" t="s">
        <v>273</v>
      </c>
      <c r="D95" s="571"/>
      <c r="E95" s="271">
        <f>+AF26/(1-AE26)+AF25/(1-AE25)+AF17/(1-AE17)+AF16/(1-AE16)</f>
        <v>486422</v>
      </c>
      <c r="F95" s="406">
        <f>+P19</f>
        <v>0.83919856032918472</v>
      </c>
      <c r="G95" s="407">
        <f>'Datos Extra'!D53</f>
        <v>8.225477491060424</v>
      </c>
      <c r="H95" s="403">
        <f t="shared" si="7"/>
        <v>4001053.2121565938</v>
      </c>
      <c r="I95" s="240"/>
      <c r="J95" s="240"/>
      <c r="K95" s="240"/>
      <c r="L95" s="240"/>
      <c r="M95" s="240"/>
      <c r="N95" s="240"/>
      <c r="O95" s="240"/>
      <c r="P95" s="572"/>
      <c r="Q95" s="573"/>
      <c r="R95" s="305"/>
      <c r="S95" s="305"/>
    </row>
    <row r="96" spans="3:26" ht="14.25" customHeight="1" x14ac:dyDescent="0.2">
      <c r="C96" s="570" t="s">
        <v>274</v>
      </c>
      <c r="D96" s="571"/>
      <c r="E96" s="271">
        <f>+E95</f>
        <v>486422</v>
      </c>
      <c r="F96" s="409">
        <v>1</v>
      </c>
      <c r="G96" s="407">
        <f>'Datos Extra'!D54</f>
        <v>2.7579753151123789</v>
      </c>
      <c r="H96" s="403">
        <f t="shared" si="7"/>
        <v>1341539.8687275937</v>
      </c>
      <c r="I96" s="240"/>
      <c r="J96" s="240"/>
      <c r="K96" s="240"/>
      <c r="L96" s="240"/>
      <c r="M96" s="240"/>
      <c r="N96" s="240"/>
      <c r="O96" s="240"/>
      <c r="P96" s="572"/>
      <c r="Q96" s="573"/>
      <c r="R96" s="305"/>
      <c r="S96" s="305"/>
    </row>
    <row r="97" spans="5:18" ht="14.25" customHeight="1" x14ac:dyDescent="0.2">
      <c r="E97" s="240"/>
      <c r="F97" s="353"/>
      <c r="G97" s="405">
        <f>SUM(G93:G96)</f>
        <v>44.049718063884413</v>
      </c>
      <c r="H97" s="243">
        <f>SUM(H93:H96)</f>
        <v>18089855.809579294</v>
      </c>
      <c r="I97" s="240"/>
      <c r="J97" s="240"/>
      <c r="K97" s="240"/>
      <c r="L97" s="240"/>
      <c r="M97" s="240"/>
      <c r="N97" s="240"/>
      <c r="O97" s="240"/>
      <c r="P97" s="240"/>
      <c r="Q97" s="240"/>
      <c r="R97" s="305"/>
    </row>
    <row r="98" spans="5:18" ht="14.25" customHeight="1" x14ac:dyDescent="0.2">
      <c r="E98" s="240"/>
      <c r="F98" s="353"/>
      <c r="G98" s="291" t="s">
        <v>275</v>
      </c>
      <c r="H98" s="243">
        <f>+H91+H97</f>
        <v>27801500.528625898</v>
      </c>
      <c r="J98" s="240"/>
      <c r="K98" s="240"/>
      <c r="L98" s="240"/>
      <c r="M98" s="240"/>
      <c r="N98" s="240"/>
      <c r="O98" s="240"/>
      <c r="P98" s="240"/>
      <c r="Q98" s="240"/>
      <c r="R98" s="305"/>
    </row>
    <row r="99" spans="5:18" ht="14.25" customHeight="1" x14ac:dyDescent="0.2">
      <c r="E99" s="240"/>
      <c r="F99" s="353"/>
      <c r="G99" s="410" t="s">
        <v>276</v>
      </c>
      <c r="H99" s="411">
        <f>+H98/E96</f>
        <v>57.155105091105867</v>
      </c>
      <c r="I99" s="412"/>
      <c r="J99" s="240"/>
      <c r="K99" s="240"/>
      <c r="L99" s="240"/>
      <c r="M99" s="240"/>
      <c r="N99" s="240"/>
      <c r="O99" s="240"/>
      <c r="P99" s="240"/>
      <c r="Q99" s="240"/>
      <c r="R99" s="305"/>
    </row>
    <row r="100" spans="5:18" ht="14.25" customHeight="1" x14ac:dyDescent="0.2">
      <c r="E100" s="240"/>
      <c r="F100" s="353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305"/>
    </row>
    <row r="101" spans="5:18" ht="14.25" customHeight="1" x14ac:dyDescent="0.2">
      <c r="E101" s="240"/>
      <c r="F101" s="353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305"/>
    </row>
    <row r="102" spans="5:18" ht="14.25" customHeight="1" x14ac:dyDescent="0.2">
      <c r="E102" s="240"/>
      <c r="F102" s="353"/>
      <c r="G102" s="240"/>
      <c r="R102" s="305"/>
    </row>
    <row r="103" spans="5:18" ht="15.75" customHeight="1" x14ac:dyDescent="0.2">
      <c r="E103" s="240"/>
      <c r="F103" s="353"/>
      <c r="G103" s="240"/>
    </row>
    <row r="104" spans="5:18" ht="15.75" customHeight="1" x14ac:dyDescent="0.2">
      <c r="E104" s="240"/>
      <c r="F104" s="353"/>
      <c r="G104" s="240"/>
    </row>
    <row r="105" spans="5:18" ht="15.75" customHeight="1" x14ac:dyDescent="0.2">
      <c r="E105" s="240"/>
      <c r="F105" s="353"/>
      <c r="G105" s="240"/>
    </row>
    <row r="106" spans="5:18" ht="15.75" customHeight="1" x14ac:dyDescent="0.2">
      <c r="F106" s="353"/>
      <c r="G106" s="240"/>
    </row>
    <row r="107" spans="5:18" ht="15.75" customHeight="1" x14ac:dyDescent="0.2">
      <c r="F107" s="353"/>
      <c r="G107" s="240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