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8_{A45F284F-4108-204B-9FB1-6555BBBCD007}" xr6:coauthVersionLast="45" xr6:coauthVersionMax="45" xr10:uidLastSave="{00000000-0000-0000-0000-000000000000}"/>
  <bookViews>
    <workbookView xWindow="0" yWindow="0" windowWidth="51200" windowHeight="21600" tabRatio="749" activeTab="5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Utilidad" sheetId="1" r:id="rId4"/>
    <sheet name="Flujos" sheetId="16" r:id="rId5"/>
    <sheet name="Diagrama" sheetId="13" r:id="rId6"/>
    <sheet name="Inventarios" sheetId="17" r:id="rId7"/>
  </sheets>
  <externalReferences>
    <externalReference r:id="rId8"/>
    <externalReference r:id="rId9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Utilidad!$N$67:$O$126</definedName>
    <definedName name="solver_cvg" localSheetId="1" hidden="1">0.0001</definedName>
    <definedName name="solver_cvg" localSheetId="5" hidden="1">0.0001</definedName>
    <definedName name="solver_cvg" localSheetId="3" hidden="1">0.0001</definedName>
    <definedName name="solver_drv" localSheetId="1" hidden="1">1</definedName>
    <definedName name="solver_drv" localSheetId="5" hidden="1">2</definedName>
    <definedName name="solver_drv" localSheetId="3" hidden="1">1</definedName>
    <definedName name="solver_eng" localSheetId="1" hidden="1">1</definedName>
    <definedName name="solver_eng" localSheetId="5" hidden="1">1</definedName>
    <definedName name="solver_eng" localSheetId="3" hidden="1">1</definedName>
    <definedName name="solver_est" localSheetId="1" hidden="1">1</definedName>
    <definedName name="solver_est" localSheetId="5" hidden="1">1</definedName>
    <definedName name="solver_est" localSheetId="3" hidden="1">1</definedName>
    <definedName name="solver_itr" localSheetId="1" hidden="1">2147483647</definedName>
    <definedName name="solver_itr" localSheetId="5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Utilidad!$AB$67:$AB$90</definedName>
    <definedName name="solver_lhs10" localSheetId="1" hidden="1">'Bal Los Colorados'!$AB$54</definedName>
    <definedName name="solver_lhs10" localSheetId="3" hidden="1">Utilidad!$U$68</definedName>
    <definedName name="solver_lhs11" localSheetId="1" hidden="1">'Bal Los Colorados'!$AB$55</definedName>
    <definedName name="solver_lhs11" localSheetId="3" hidden="1">Utilidad!$U$69</definedName>
    <definedName name="solver_lhs12" localSheetId="1" hidden="1">'Bal Los Colorados'!$AC$45</definedName>
    <definedName name="solver_lhs12" localSheetId="3" hidden="1">Utilidad!$U$80</definedName>
    <definedName name="solver_lhs13" localSheetId="1" hidden="1">'Bal Los Colorados'!$AC$46</definedName>
    <definedName name="solver_lhs13" localSheetId="3" hidden="1">Utilidad!$U$89</definedName>
    <definedName name="solver_lhs14" localSheetId="1" hidden="1">'Bal Los Colorados'!$AC$47</definedName>
    <definedName name="solver_lhs14" localSheetId="3" hidden="1">Utilidad!$V$120</definedName>
    <definedName name="solver_lhs15" localSheetId="1" hidden="1">'Bal Los Colorados'!$AC$48</definedName>
    <definedName name="solver_lhs15" localSheetId="3" hidden="1">Utilidad!$W$105</definedName>
    <definedName name="solver_lhs16" localSheetId="1" hidden="1">'Bal Los Colorados'!$AC$49</definedName>
    <definedName name="solver_lhs16" localSheetId="3" hidden="1">Utilidad!$W$122</definedName>
    <definedName name="solver_lhs17" localSheetId="1" hidden="1">'Bal Los Colorados'!$AC$50</definedName>
    <definedName name="solver_lhs17" localSheetId="3" hidden="1">Utilidad!$W$124</definedName>
    <definedName name="solver_lhs18" localSheetId="1" hidden="1">'Bal Los Colorados'!$AC$51</definedName>
    <definedName name="solver_lhs18" localSheetId="3" hidden="1">Utilidad!$W$68</definedName>
    <definedName name="solver_lhs19" localSheetId="1" hidden="1">'Bal Los Colorados'!$AC$52</definedName>
    <definedName name="solver_lhs19" localSheetId="3" hidden="1">Utilidad!$W$89</definedName>
    <definedName name="solver_lhs2" localSheetId="1" hidden="1">'Bal Los Colorados'!$AB$46</definedName>
    <definedName name="solver_lhs2" localSheetId="3" hidden="1">Utilidad!$AC$67:$AC$90</definedName>
    <definedName name="solver_lhs20" localSheetId="1" hidden="1">'Bal Los Colorados'!$AC$53</definedName>
    <definedName name="solver_lhs20" localSheetId="3" hidden="1">Utilidad!$W$89</definedName>
    <definedName name="solver_lhs21" localSheetId="1" hidden="1">'Bal Los Colorados'!$AC$54</definedName>
    <definedName name="solver_lhs21" localSheetId="3" hidden="1">Utilidad!$W$101</definedName>
    <definedName name="solver_lhs22" localSheetId="1" hidden="1">'Bal Los Colorados'!$AC$55</definedName>
    <definedName name="solver_lhs22" localSheetId="3" hidden="1">Utilidad!$W$101</definedName>
    <definedName name="solver_lhs23" localSheetId="1" hidden="1">'Bal Los Colorados'!$T$48</definedName>
    <definedName name="solver_lhs23" localSheetId="3" hidden="1">Utilidad!$W$101</definedName>
    <definedName name="solver_lhs24" localSheetId="1" hidden="1">'Bal Los Colorados'!$T$53</definedName>
    <definedName name="solver_lhs24" localSheetId="3" hidden="1">Utilidad!$W$101</definedName>
    <definedName name="solver_lhs25" localSheetId="1" hidden="1">'Bal Los Colorados'!$T$55</definedName>
    <definedName name="solver_lhs25" localSheetId="3" hidden="1">Utilidad!$W$89</definedName>
    <definedName name="solver_lhs26" localSheetId="1" hidden="1">'Bal Los Colorados'!$T$57</definedName>
    <definedName name="solver_lhs26" localSheetId="3" hidden="1">Utilidad!$W$101</definedName>
    <definedName name="solver_lhs27" localSheetId="1" hidden="1">'Bal Los Colorados'!$T$58</definedName>
    <definedName name="solver_lhs27" localSheetId="3" hidden="1">Utilidad!$W$101</definedName>
    <definedName name="solver_lhs28" localSheetId="1" hidden="1">'Bal Los Colorados'!$T$59</definedName>
    <definedName name="solver_lhs28" localSheetId="3" hidden="1">Utilidad!#REF!</definedName>
    <definedName name="solver_lhs29" localSheetId="1" hidden="1">'Bal Los Colorados'!$T$68</definedName>
    <definedName name="solver_lhs29" localSheetId="3" hidden="1">Utilidad!#REF!</definedName>
    <definedName name="solver_lhs3" localSheetId="1" hidden="1">'Bal Los Colorados'!$AB$47</definedName>
    <definedName name="solver_lhs3" localSheetId="3" hidden="1">Utilidad!$U$101</definedName>
    <definedName name="solver_lhs30" localSheetId="1" hidden="1">'Bal Los Colorados'!$T$69</definedName>
    <definedName name="solver_lhs30" localSheetId="3" hidden="1">Utilidad!#REF!</definedName>
    <definedName name="solver_lhs31" localSheetId="1" hidden="1">'Bal Los Colorados'!$V$46</definedName>
    <definedName name="solver_lhs31" localSheetId="3" hidden="1">Utilidad!#REF!</definedName>
    <definedName name="solver_lhs32" localSheetId="1" hidden="1">'Bal Los Colorados'!$V$55</definedName>
    <definedName name="solver_lhs32" localSheetId="3" hidden="1">Utilidad!#REF!</definedName>
    <definedName name="solver_lhs33" localSheetId="1" hidden="1">'Bal Los Colorados'!$V$57</definedName>
    <definedName name="solver_lhs33" localSheetId="3" hidden="1">Utilidad!#REF!</definedName>
    <definedName name="solver_lhs34" localSheetId="1" hidden="1">'Bal Los Colorados'!$V$59</definedName>
    <definedName name="solver_lhs34" localSheetId="3" hidden="1">Utilidad!#REF!</definedName>
    <definedName name="solver_lhs35" localSheetId="1" hidden="1">'Bal Los Colorados'!$V$63</definedName>
    <definedName name="solver_lhs35" localSheetId="3" hidden="1">Utilidad!#REF!</definedName>
    <definedName name="solver_lhs36" localSheetId="1" hidden="1">'Bal Los Colorados'!$V$66</definedName>
    <definedName name="solver_lhs36" localSheetId="3" hidden="1">Utilidad!#REF!</definedName>
    <definedName name="solver_lhs37" localSheetId="1" hidden="1">'Bal Los Colorados'!$V$68</definedName>
    <definedName name="solver_lhs37" localSheetId="3" hidden="1">Utilidad!#REF!</definedName>
    <definedName name="solver_lhs38" localSheetId="1" hidden="1">'Bal Los Colorados'!$V$69</definedName>
    <definedName name="solver_lhs38" localSheetId="3" hidden="1">Utilidad!#REF!</definedName>
    <definedName name="solver_lhs39" localSheetId="1" hidden="1">'Bal Los Colorados'!$V$69</definedName>
    <definedName name="solver_lhs39" localSheetId="3" hidden="1">Utilidad!#REF!</definedName>
    <definedName name="solver_lhs4" localSheetId="1" hidden="1">'Bal Los Colorados'!$AB$48</definedName>
    <definedName name="solver_lhs4" localSheetId="3" hidden="1">Utilidad!$U$103</definedName>
    <definedName name="solver_lhs40" localSheetId="1" hidden="1">'Bal Los Colorados'!$AB$49</definedName>
    <definedName name="solver_lhs40" localSheetId="3" hidden="1">Utilidad!#REF!</definedName>
    <definedName name="solver_lhs41" localSheetId="1" hidden="1">'Bal Los Colorados'!$AB$49</definedName>
    <definedName name="solver_lhs41" localSheetId="3" hidden="1">Utilidad!#REF!</definedName>
    <definedName name="solver_lhs42" localSheetId="3" hidden="1">Utilidad!#REF!</definedName>
    <definedName name="solver_lhs43" localSheetId="3" hidden="1">Utilidad!#REF!</definedName>
    <definedName name="solver_lhs44" localSheetId="3" hidden="1">Utilidad!#REF!</definedName>
    <definedName name="solver_lhs45" localSheetId="3" hidden="1">Utilidad!#REF!</definedName>
    <definedName name="solver_lhs46" localSheetId="3" hidden="1">Utilidad!#REF!</definedName>
    <definedName name="solver_lhs47" localSheetId="3" hidden="1">Utilidad!#REF!</definedName>
    <definedName name="solver_lhs48" localSheetId="3" hidden="1">Utilidad!#REF!</definedName>
    <definedName name="solver_lhs49" localSheetId="3" hidden="1">Utilidad!#REF!</definedName>
    <definedName name="solver_lhs5" localSheetId="1" hidden="1">'Bal Los Colorados'!$AB$49</definedName>
    <definedName name="solver_lhs5" localSheetId="3" hidden="1">Utilidad!$U$105</definedName>
    <definedName name="solver_lhs50" localSheetId="3" hidden="1">Utilidad!#REF!</definedName>
    <definedName name="solver_lhs51" localSheetId="3" hidden="1">Utilidad!#REF!</definedName>
    <definedName name="solver_lhs52" localSheetId="3" hidden="1">Utilidad!#REF!</definedName>
    <definedName name="solver_lhs53" localSheetId="3" hidden="1">Utilidad!#REF!</definedName>
    <definedName name="solver_lhs54" localSheetId="3" hidden="1">Utilidad!#REF!</definedName>
    <definedName name="solver_lhs55" localSheetId="3" hidden="1">Utilidad!#REF!</definedName>
    <definedName name="solver_lhs56" localSheetId="3" hidden="1">Utilidad!#REF!</definedName>
    <definedName name="solver_lhs57" localSheetId="3" hidden="1">Utilidad!#REF!</definedName>
    <definedName name="solver_lhs58" localSheetId="3" hidden="1">Utilidad!#REF!</definedName>
    <definedName name="solver_lhs59" localSheetId="3" hidden="1">Utilidad!#REF!</definedName>
    <definedName name="solver_lhs6" localSheetId="1" hidden="1">'Bal Los Colorados'!$AB$50</definedName>
    <definedName name="solver_lhs6" localSheetId="3" hidden="1">Utilidad!$U$122</definedName>
    <definedName name="solver_lhs60" localSheetId="3" hidden="1">Utilidad!#REF!</definedName>
    <definedName name="solver_lhs61" localSheetId="3" hidden="1">Utilidad!#REF!</definedName>
    <definedName name="solver_lhs62" localSheetId="3" hidden="1">Utilidad!#REF!</definedName>
    <definedName name="solver_lhs63" localSheetId="3" hidden="1">Utilidad!#REF!</definedName>
    <definedName name="solver_lhs64" localSheetId="3" hidden="1">Utilidad!#REF!</definedName>
    <definedName name="solver_lhs65" localSheetId="3" hidden="1">Utilidad!#REF!</definedName>
    <definedName name="solver_lhs66" localSheetId="3" hidden="1">Utilidad!$W$90</definedName>
    <definedName name="solver_lhs67" localSheetId="3" hidden="1">Utilidad!$W$96</definedName>
    <definedName name="solver_lhs68" localSheetId="3" hidden="1">Utilidad!$W$96</definedName>
    <definedName name="solver_lhs69" localSheetId="3" hidden="1">Utilidad!$W$96</definedName>
    <definedName name="solver_lhs7" localSheetId="1" hidden="1">'Bal Los Colorados'!$AB$51</definedName>
    <definedName name="solver_lhs7" localSheetId="3" hidden="1">Utilidad!$U$124</definedName>
    <definedName name="solver_lhs70" localSheetId="3" hidden="1">Utilidad!$W$96</definedName>
    <definedName name="solver_lhs71" localSheetId="3" hidden="1">Utilidad!$W$96</definedName>
    <definedName name="solver_lhs72" localSheetId="3" hidden="1">Utilidad!$W$96</definedName>
    <definedName name="solver_lhs73" localSheetId="3" hidden="1">Utilidad!$W$96</definedName>
    <definedName name="solver_lhs74" localSheetId="3" hidden="1">Utilidad!$W$96</definedName>
    <definedName name="solver_lhs75" localSheetId="3" hidden="1">Utilidad!$W$96</definedName>
    <definedName name="solver_lhs76" localSheetId="3" hidden="1">Utilidad!$W$96</definedName>
    <definedName name="solver_lhs77" localSheetId="3" hidden="1">Utilidad!$W$96</definedName>
    <definedName name="solver_lhs78" localSheetId="3" hidden="1">Utilidad!$W$96</definedName>
    <definedName name="solver_lhs79" localSheetId="3" hidden="1">Utilidad!$W$96</definedName>
    <definedName name="solver_lhs8" localSheetId="1" hidden="1">'Bal Los Colorados'!$AB$52</definedName>
    <definedName name="solver_lhs8" localSheetId="3" hidden="1">Utilidad!$U$126</definedName>
    <definedName name="solver_lhs80" localSheetId="3" hidden="1">Utilidad!$W$96</definedName>
    <definedName name="solver_lhs81" localSheetId="3" hidden="1">Utilidad!#REF!</definedName>
    <definedName name="solver_lhs82" localSheetId="3" hidden="1">Utilidad!$W$96</definedName>
    <definedName name="solver_lhs9" localSheetId="1" hidden="1">'Bal Los Colorados'!$AB$53</definedName>
    <definedName name="solver_lhs9" localSheetId="3" hidden="1">Utilidad!$U$67</definedName>
    <definedName name="solver_lin" localSheetId="3" hidden="1">2</definedName>
    <definedName name="solver_mip" localSheetId="1" hidden="1">2147483647</definedName>
    <definedName name="solver_mip" localSheetId="5" hidden="1">2147483647</definedName>
    <definedName name="solver_mip" localSheetId="3" hidden="1">2147483647</definedName>
    <definedName name="solver_mni" localSheetId="1" hidden="1">30</definedName>
    <definedName name="solver_mni" localSheetId="5" hidden="1">30</definedName>
    <definedName name="solver_mni" localSheetId="3" hidden="1">30</definedName>
    <definedName name="solver_mrt" localSheetId="1" hidden="1">0.075</definedName>
    <definedName name="solver_mrt" localSheetId="5" hidden="1">0.075</definedName>
    <definedName name="solver_mrt" localSheetId="3" hidden="1">0.075</definedName>
    <definedName name="solver_msl" localSheetId="1" hidden="1">2</definedName>
    <definedName name="solver_msl" localSheetId="5" hidden="1">2</definedName>
    <definedName name="solver_msl" localSheetId="3" hidden="1">2</definedName>
    <definedName name="solver_neg" localSheetId="1" hidden="1">1</definedName>
    <definedName name="solver_neg" localSheetId="5" hidden="1">1</definedName>
    <definedName name="solver_neg" localSheetId="3" hidden="1">1</definedName>
    <definedName name="solver_nod" localSheetId="1" hidden="1">2147483647</definedName>
    <definedName name="solver_nod" localSheetId="5" hidden="1">2147483647</definedName>
    <definedName name="solver_nod" localSheetId="3" hidden="1">2147483647</definedName>
    <definedName name="solver_num" localSheetId="1" hidden="1">38</definedName>
    <definedName name="solver_num" localSheetId="5" hidden="1">0</definedName>
    <definedName name="solver_num" localSheetId="3" hidden="1">19</definedName>
    <definedName name="solver_nwt" localSheetId="1" hidden="1">1</definedName>
    <definedName name="solver_nwt" localSheetId="5" hidden="1">1</definedName>
    <definedName name="solver_nwt" localSheetId="3" hidden="1">1</definedName>
    <definedName name="solver_opt" localSheetId="1" hidden="1">'Bal Los Colorados'!$AB$58</definedName>
    <definedName name="solver_opt" localSheetId="5" hidden="1">Diagrama!$Q$32</definedName>
    <definedName name="solver_opt" localSheetId="3" hidden="1">Utilidad!$AB$93</definedName>
    <definedName name="solver_pre" localSheetId="1" hidden="1">0.000001</definedName>
    <definedName name="solver_pre" localSheetId="5" hidden="1">0.000001</definedName>
    <definedName name="solver_pre" localSheetId="3" hidden="1">0.000001</definedName>
    <definedName name="solver_rbv" localSheetId="1" hidden="1">1</definedName>
    <definedName name="solver_rbv" localSheetId="5" hidden="1">2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Utilidad!$AE$67:$AE$90</definedName>
    <definedName name="solver_rhs10" localSheetId="1" hidden="1">0</definedName>
    <definedName name="solver_rhs10" localSheetId="3" hidden="1">Utilidad!$V$68</definedName>
    <definedName name="solver_rhs11" localSheetId="1" hidden="1">0</definedName>
    <definedName name="solver_rhs11" localSheetId="3" hidden="1">Utilidad!$V$69</definedName>
    <definedName name="solver_rhs12" localSheetId="1" hidden="1">0</definedName>
    <definedName name="solver_rhs12" localSheetId="3" hidden="1">Utilidad!$V$80</definedName>
    <definedName name="solver_rhs13" localSheetId="1" hidden="1">0</definedName>
    <definedName name="solver_rhs13" localSheetId="3" hidden="1">Utilidad!$V$89</definedName>
    <definedName name="solver_rhs14" localSheetId="1" hidden="1">0</definedName>
    <definedName name="solver_rhs14" localSheetId="3" hidden="1">Utilidad!$X$120</definedName>
    <definedName name="solver_rhs15" localSheetId="1" hidden="1">0</definedName>
    <definedName name="solver_rhs15" localSheetId="3" hidden="1">Utilidad!$X$105</definedName>
    <definedName name="solver_rhs16" localSheetId="1" hidden="1">0</definedName>
    <definedName name="solver_rhs16" localSheetId="3" hidden="1">Utilidad!$X$122</definedName>
    <definedName name="solver_rhs17" localSheetId="1" hidden="1">0</definedName>
    <definedName name="solver_rhs17" localSheetId="3" hidden="1">Utilidad!$X$124</definedName>
    <definedName name="solver_rhs18" localSheetId="1" hidden="1">0</definedName>
    <definedName name="solver_rhs18" localSheetId="3" hidden="1">Utilidad!$X$68</definedName>
    <definedName name="solver_rhs19" localSheetId="1" hidden="1">0</definedName>
    <definedName name="solver_rhs19" localSheetId="3" hidden="1">Utilidad!$X$89</definedName>
    <definedName name="solver_rhs2" localSheetId="1" hidden="1">0</definedName>
    <definedName name="solver_rhs2" localSheetId="3" hidden="1">Utilidad!$AE$67:$AE$90</definedName>
    <definedName name="solver_rhs20" localSheetId="1" hidden="1">0</definedName>
    <definedName name="solver_rhs20" localSheetId="3" hidden="1">Utilidad!$X$89</definedName>
    <definedName name="solver_rhs21" localSheetId="1" hidden="1">0</definedName>
    <definedName name="solver_rhs21" localSheetId="3" hidden="1">Utilidad!$X$101</definedName>
    <definedName name="solver_rhs22" localSheetId="1" hidden="1">0</definedName>
    <definedName name="solver_rhs22" localSheetId="3" hidden="1">Utilidad!$X$101</definedName>
    <definedName name="solver_rhs23" localSheetId="1" hidden="1">'Bal Los Colorados'!$U$48</definedName>
    <definedName name="solver_rhs23" localSheetId="3" hidden="1">Utilidad!$X$101</definedName>
    <definedName name="solver_rhs24" localSheetId="1" hidden="1">'Bal Los Colorados'!$U$53</definedName>
    <definedName name="solver_rhs24" localSheetId="3" hidden="1">Utilidad!$X$101</definedName>
    <definedName name="solver_rhs25" localSheetId="1" hidden="1">'Bal Los Colorados'!$U$55</definedName>
    <definedName name="solver_rhs25" localSheetId="3" hidden="1">Utilidad!$X$89</definedName>
    <definedName name="solver_rhs26" localSheetId="1" hidden="1">'Bal Los Colorados'!$U$57</definedName>
    <definedName name="solver_rhs26" localSheetId="3" hidden="1">Utilidad!$X$101</definedName>
    <definedName name="solver_rhs27" localSheetId="1" hidden="1">'Bal Los Colorados'!$U$58</definedName>
    <definedName name="solver_rhs27" localSheetId="3" hidden="1">Utilidad!$X$101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Utilidad!$V$101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Utilidad!$V$103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Utilidad!$V$105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Utilidad!$V$122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Utilidad!$X$90</definedName>
    <definedName name="solver_rhs67" localSheetId="3" hidden="1">Utilidad!$X$96</definedName>
    <definedName name="solver_rhs68" localSheetId="3" hidden="1">Utilidad!$X$96</definedName>
    <definedName name="solver_rhs69" localSheetId="3" hidden="1">Utilidad!$X$96</definedName>
    <definedName name="solver_rhs7" localSheetId="1" hidden="1">0</definedName>
    <definedName name="solver_rhs7" localSheetId="3" hidden="1">Utilidad!$V$124</definedName>
    <definedName name="solver_rhs70" localSheetId="3" hidden="1">Utilidad!$X$96</definedName>
    <definedName name="solver_rhs71" localSheetId="3" hidden="1">Utilidad!$X$96</definedName>
    <definedName name="solver_rhs72" localSheetId="3" hidden="1">Utilidad!$X$96</definedName>
    <definedName name="solver_rhs73" localSheetId="3" hidden="1">Utilidad!$X$96</definedName>
    <definedName name="solver_rhs74" localSheetId="3" hidden="1">Utilidad!$X$96</definedName>
    <definedName name="solver_rhs75" localSheetId="3" hidden="1">Utilidad!$X$96</definedName>
    <definedName name="solver_rhs76" localSheetId="3" hidden="1">Utilidad!$X$96</definedName>
    <definedName name="solver_rhs77" localSheetId="3" hidden="1">Utilidad!$X$96</definedName>
    <definedName name="solver_rhs78" localSheetId="3" hidden="1">Utilidad!$X$96</definedName>
    <definedName name="solver_rhs79" localSheetId="3" hidden="1">Utilidad!$X$96</definedName>
    <definedName name="solver_rhs8" localSheetId="1" hidden="1">0</definedName>
    <definedName name="solver_rhs8" localSheetId="3" hidden="1">Utilidad!$V$126</definedName>
    <definedName name="solver_rhs80" localSheetId="3" hidden="1">Utilidad!$X$96</definedName>
    <definedName name="solver_rhs81" localSheetId="3" hidden="1">0</definedName>
    <definedName name="solver_rhs82" localSheetId="3" hidden="1">Utilidad!$X$96</definedName>
    <definedName name="solver_rhs9" localSheetId="1" hidden="1">0</definedName>
    <definedName name="solver_rhs9" localSheetId="3" hidden="1">Utilidad!$V$67</definedName>
    <definedName name="solver_rlx" localSheetId="1" hidden="1">2</definedName>
    <definedName name="solver_rlx" localSheetId="5" hidden="1">2</definedName>
    <definedName name="solver_rlx" localSheetId="3" hidden="1">2</definedName>
    <definedName name="solver_rsd" localSheetId="1" hidden="1">0</definedName>
    <definedName name="solver_rsd" localSheetId="5" hidden="1">0</definedName>
    <definedName name="solver_rsd" localSheetId="3" hidden="1">0</definedName>
    <definedName name="solver_scl" localSheetId="1" hidden="1">1</definedName>
    <definedName name="solver_scl" localSheetId="5" hidden="1">2</definedName>
    <definedName name="solver_scl" localSheetId="3" hidden="1">1</definedName>
    <definedName name="solver_sho" localSheetId="1" hidden="1">2</definedName>
    <definedName name="solver_sho" localSheetId="5" hidden="1">2</definedName>
    <definedName name="solver_sho" localSheetId="3" hidden="1">2</definedName>
    <definedName name="solver_ssz" localSheetId="1" hidden="1">100</definedName>
    <definedName name="solver_ssz" localSheetId="5" hidden="1">100</definedName>
    <definedName name="solver_ssz" localSheetId="3" hidden="1">100</definedName>
    <definedName name="solver_tim" localSheetId="1" hidden="1">2147483647</definedName>
    <definedName name="solver_tim" localSheetId="5" hidden="1">2147483647</definedName>
    <definedName name="solver_tim" localSheetId="3" hidden="1">2147483647</definedName>
    <definedName name="solver_tol" localSheetId="1" hidden="1">0.01</definedName>
    <definedName name="solver_tol" localSheetId="5" hidden="1">0.01</definedName>
    <definedName name="solver_tol" localSheetId="3" hidden="1">0.01</definedName>
    <definedName name="solver_typ" localSheetId="1" hidden="1">2</definedName>
    <definedName name="solver_typ" localSheetId="5" hidden="1">1</definedName>
    <definedName name="solver_typ" localSheetId="3" hidden="1">2</definedName>
    <definedName name="solver_val" localSheetId="1" hidden="1">0</definedName>
    <definedName name="solver_val" localSheetId="5" hidden="1">0</definedName>
    <definedName name="solver_val" localSheetId="3" hidden="1">0</definedName>
    <definedName name="solver_ver" localSheetId="1" hidden="1">3</definedName>
    <definedName name="solver_ver" localSheetId="5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N95" i="13"/>
  <c r="N94" i="13"/>
  <c r="N86" i="13"/>
  <c r="N93" i="13"/>
  <c r="M98" i="13"/>
  <c r="M97" i="13"/>
  <c r="M96" i="13"/>
  <c r="N88" i="13"/>
  <c r="N87" i="13"/>
  <c r="D40" i="16"/>
  <c r="C40" i="16"/>
  <c r="D24" i="16"/>
  <c r="D58" i="16"/>
  <c r="D56" i="16"/>
  <c r="D39" i="16"/>
  <c r="D12" i="16"/>
  <c r="D7" i="16" l="1"/>
  <c r="D57" i="16"/>
  <c r="D54" i="16"/>
  <c r="E95" i="13"/>
  <c r="D6" i="16"/>
  <c r="D22" i="16"/>
  <c r="D36" i="16"/>
  <c r="D38" i="16"/>
  <c r="D5" i="16"/>
  <c r="D4" i="16"/>
  <c r="D8" i="16"/>
  <c r="D9" i="16"/>
  <c r="D11" i="16"/>
  <c r="D13" i="16"/>
  <c r="D14" i="16"/>
  <c r="D15" i="16"/>
  <c r="D16" i="16"/>
  <c r="D17" i="16"/>
  <c r="D18" i="16"/>
  <c r="D19" i="16"/>
  <c r="D20" i="16"/>
  <c r="D21" i="16"/>
  <c r="E88" i="13"/>
  <c r="D23" i="16"/>
  <c r="D25" i="16"/>
  <c r="D26" i="16"/>
  <c r="D27" i="16"/>
  <c r="D28" i="16"/>
  <c r="D29" i="16"/>
  <c r="D30" i="16"/>
  <c r="D31" i="16"/>
  <c r="D32" i="16"/>
  <c r="D33" i="16"/>
  <c r="D34" i="16"/>
  <c r="D35" i="16"/>
  <c r="E86" i="13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5" i="16"/>
  <c r="D59" i="16"/>
  <c r="D60" i="16"/>
  <c r="D61" i="16"/>
  <c r="D3" i="16"/>
  <c r="D2" i="16"/>
  <c r="E90" i="13"/>
  <c r="E89" i="13"/>
  <c r="E87" i="13"/>
  <c r="B95" i="13"/>
  <c r="B94" i="13"/>
  <c r="B93" i="13"/>
  <c r="B89" i="13"/>
  <c r="B88" i="13"/>
  <c r="B87" i="13"/>
  <c r="B86" i="13"/>
  <c r="G87" i="13" l="1"/>
  <c r="G103" i="13"/>
  <c r="O98" i="13"/>
  <c r="Q98" i="13" s="1"/>
  <c r="O97" i="13"/>
  <c r="Q97" i="13" s="1"/>
  <c r="O96" i="13"/>
  <c r="Q96" i="13" s="1"/>
  <c r="P93" i="13"/>
  <c r="Q92" i="13"/>
  <c r="O92" i="13"/>
  <c r="Q91" i="13"/>
  <c r="O91" i="13"/>
  <c r="O90" i="13"/>
  <c r="Q90" i="13" s="1"/>
  <c r="O89" i="13"/>
  <c r="Q89" i="13" s="1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Q126" i="1"/>
  <c r="O126" i="1"/>
  <c r="W46" i="13" s="1"/>
  <c r="N126" i="1"/>
  <c r="W45" i="13" s="1"/>
  <c r="Q125" i="1"/>
  <c r="O125" i="1"/>
  <c r="N125" i="1"/>
  <c r="S57" i="13" s="1"/>
  <c r="Q124" i="1"/>
  <c r="O124" i="1"/>
  <c r="T49" i="13" s="1"/>
  <c r="N124" i="1"/>
  <c r="T48" i="13" s="1"/>
  <c r="Q123" i="1"/>
  <c r="O123" i="1"/>
  <c r="N123" i="1"/>
  <c r="R18" i="13" s="1"/>
  <c r="Q122" i="1"/>
  <c r="O122" i="1"/>
  <c r="U18" i="13" s="1"/>
  <c r="N122" i="1"/>
  <c r="U17" i="13" s="1"/>
  <c r="Q121" i="1"/>
  <c r="O121" i="1"/>
  <c r="N121" i="1"/>
  <c r="S40" i="13" s="1"/>
  <c r="Q120" i="1"/>
  <c r="O120" i="1"/>
  <c r="T40" i="13" s="1"/>
  <c r="N120" i="1"/>
  <c r="T39" i="13" s="1"/>
  <c r="Q119" i="1"/>
  <c r="O119" i="1"/>
  <c r="R23" i="13" s="1"/>
  <c r="N119" i="1"/>
  <c r="R22" i="13" s="1"/>
  <c r="Q118" i="1"/>
  <c r="O118" i="1"/>
  <c r="R57" i="13" s="1"/>
  <c r="N118" i="1"/>
  <c r="R56" i="13" s="1"/>
  <c r="Q117" i="1"/>
  <c r="O117" i="1"/>
  <c r="R52" i="13" s="1"/>
  <c r="N117" i="1"/>
  <c r="R51" i="13" s="1"/>
  <c r="Q116" i="1"/>
  <c r="O116" i="1"/>
  <c r="R46" i="13" s="1"/>
  <c r="N116" i="1"/>
  <c r="R45" i="13" s="1"/>
  <c r="Q115" i="1"/>
  <c r="O115" i="1"/>
  <c r="O52" i="13" s="1"/>
  <c r="N115" i="1"/>
  <c r="O51" i="13" s="1"/>
  <c r="Q114" i="1"/>
  <c r="O114" i="1"/>
  <c r="P72" i="13" s="1"/>
  <c r="N114" i="1"/>
  <c r="P71" i="13" s="1"/>
  <c r="Q113" i="1"/>
  <c r="O113" i="1"/>
  <c r="Q41" i="13" s="1"/>
  <c r="N113" i="1"/>
  <c r="Q40" i="13" s="1"/>
  <c r="Q112" i="1"/>
  <c r="O112" i="1"/>
  <c r="O40" i="13" s="1"/>
  <c r="N112" i="1"/>
  <c r="O39" i="13" s="1"/>
  <c r="Q111" i="1"/>
  <c r="O111" i="1"/>
  <c r="O45" i="13" s="1"/>
  <c r="N111" i="1"/>
  <c r="O44" i="13" s="1"/>
  <c r="Q110" i="1"/>
  <c r="O110" i="1"/>
  <c r="L15" i="13" s="1"/>
  <c r="N110" i="1"/>
  <c r="L14" i="13" s="1"/>
  <c r="Q109" i="1"/>
  <c r="O109" i="1"/>
  <c r="R36" i="13" s="1"/>
  <c r="N109" i="1"/>
  <c r="R35" i="13" s="1"/>
  <c r="Q108" i="1"/>
  <c r="O108" i="1"/>
  <c r="Q33" i="13" s="1"/>
  <c r="N108" i="1"/>
  <c r="Q32" i="13" s="1"/>
  <c r="Q107" i="1"/>
  <c r="O107" i="1"/>
  <c r="N30" i="13" s="1"/>
  <c r="N107" i="1"/>
  <c r="N29" i="13" s="1"/>
  <c r="Q106" i="1"/>
  <c r="O106" i="1"/>
  <c r="O35" i="13" s="1"/>
  <c r="N106" i="1"/>
  <c r="O34" i="13" s="1"/>
  <c r="Q105" i="1"/>
  <c r="O105" i="1"/>
  <c r="T63" i="13" s="1"/>
  <c r="N105" i="1"/>
  <c r="T62" i="13" s="1"/>
  <c r="Q104" i="1"/>
  <c r="O104" i="1"/>
  <c r="N104" i="1"/>
  <c r="S65" i="13" s="1"/>
  <c r="Q103" i="1"/>
  <c r="O103" i="1"/>
  <c r="R63" i="13" s="1"/>
  <c r="N103" i="1"/>
  <c r="R62" i="13" s="1"/>
  <c r="Q102" i="1"/>
  <c r="O102" i="1"/>
  <c r="N102" i="1"/>
  <c r="O56" i="13" s="1"/>
  <c r="Q101" i="1"/>
  <c r="O101" i="1"/>
  <c r="N59" i="13" s="1"/>
  <c r="N101" i="1"/>
  <c r="N58" i="13" s="1"/>
  <c r="Q100" i="1"/>
  <c r="O100" i="1"/>
  <c r="N100" i="1"/>
  <c r="O76" i="13" s="1"/>
  <c r="Q99" i="1"/>
  <c r="O99" i="1"/>
  <c r="O69" i="13" s="1"/>
  <c r="N99" i="1"/>
  <c r="O68" i="13" s="1"/>
  <c r="Q98" i="1"/>
  <c r="O98" i="1"/>
  <c r="L69" i="13" s="1"/>
  <c r="N98" i="1"/>
  <c r="L68" i="13" s="1"/>
  <c r="Q97" i="1"/>
  <c r="O97" i="1"/>
  <c r="M73" i="13" s="1"/>
  <c r="N97" i="1"/>
  <c r="M72" i="13" s="1"/>
  <c r="Q96" i="1"/>
  <c r="O96" i="1"/>
  <c r="G75" i="13" s="1"/>
  <c r="N96" i="1"/>
  <c r="G74" i="13" s="1"/>
  <c r="Q95" i="1"/>
  <c r="O95" i="1"/>
  <c r="N95" i="1"/>
  <c r="M46" i="13" s="1"/>
  <c r="Q94" i="1"/>
  <c r="O94" i="1"/>
  <c r="L51" i="13" s="1"/>
  <c r="N94" i="1"/>
  <c r="L50" i="13" s="1"/>
  <c r="Q93" i="1"/>
  <c r="O93" i="1"/>
  <c r="N93" i="1"/>
  <c r="M38" i="13" s="1"/>
  <c r="Q92" i="1"/>
  <c r="O92" i="1"/>
  <c r="K60" i="13" s="1"/>
  <c r="N92" i="1"/>
  <c r="K59" i="13" s="1"/>
  <c r="Q91" i="1"/>
  <c r="O91" i="1"/>
  <c r="H68" i="13" s="1"/>
  <c r="N91" i="1"/>
  <c r="H67" i="13" s="1"/>
  <c r="Q90" i="1"/>
  <c r="O90" i="1"/>
  <c r="F66" i="13" s="1"/>
  <c r="N90" i="1"/>
  <c r="F65" i="13" s="1"/>
  <c r="Q89" i="1"/>
  <c r="O89" i="1"/>
  <c r="C45" i="13" s="1"/>
  <c r="U69" i="13" s="1"/>
  <c r="N89" i="1"/>
  <c r="C44" i="13" s="1"/>
  <c r="U68" i="13" s="1"/>
  <c r="Q88" i="1"/>
  <c r="O88" i="1"/>
  <c r="N88" i="1"/>
  <c r="D46" i="13" s="1"/>
  <c r="Q87" i="1"/>
  <c r="O87" i="1"/>
  <c r="F45" i="13" s="1"/>
  <c r="N87" i="1"/>
  <c r="F44" i="13" s="1"/>
  <c r="J88" i="13" s="1"/>
  <c r="Q86" i="1"/>
  <c r="O86" i="1"/>
  <c r="D50" i="13" s="1"/>
  <c r="N86" i="1"/>
  <c r="D49" i="13" s="1"/>
  <c r="Q85" i="1"/>
  <c r="O85" i="1"/>
  <c r="E61" i="13" s="1"/>
  <c r="N85" i="1"/>
  <c r="E60" i="13" s="1"/>
  <c r="Q84" i="1"/>
  <c r="O84" i="1"/>
  <c r="N84" i="1"/>
  <c r="Q83" i="1"/>
  <c r="O83" i="1"/>
  <c r="E56" i="13" s="1"/>
  <c r="N83" i="1"/>
  <c r="E55" i="13" s="1"/>
  <c r="D57" i="13" s="1"/>
  <c r="Q82" i="1"/>
  <c r="O82" i="1"/>
  <c r="J54" i="13" s="1"/>
  <c r="N82" i="1"/>
  <c r="J53" i="13" s="1"/>
  <c r="Q81" i="1"/>
  <c r="O81" i="1"/>
  <c r="I58" i="13" s="1"/>
  <c r="N81" i="1"/>
  <c r="I57" i="13" s="1"/>
  <c r="Q80" i="1"/>
  <c r="O80" i="1"/>
  <c r="G54" i="13" s="1"/>
  <c r="N80" i="1"/>
  <c r="G53" i="13" s="1"/>
  <c r="Q79" i="1"/>
  <c r="O79" i="1"/>
  <c r="I49" i="13" s="1"/>
  <c r="N79" i="1"/>
  <c r="I48" i="13" s="1"/>
  <c r="Q78" i="1"/>
  <c r="O78" i="1"/>
  <c r="J45" i="13" s="1"/>
  <c r="N78" i="1"/>
  <c r="J44" i="13" s="1"/>
  <c r="Q77" i="1"/>
  <c r="O77" i="1"/>
  <c r="N77" i="1"/>
  <c r="H46" i="13" s="1"/>
  <c r="Q76" i="1"/>
  <c r="O76" i="1"/>
  <c r="I38" i="13" s="1"/>
  <c r="N76" i="1"/>
  <c r="I37" i="13" s="1"/>
  <c r="Q75" i="1"/>
  <c r="O75" i="1"/>
  <c r="F32" i="13" s="1"/>
  <c r="N75" i="1"/>
  <c r="F31" i="13" s="1"/>
  <c r="E92" i="13" s="1"/>
  <c r="J92" i="13" s="1"/>
  <c r="Q74" i="1"/>
  <c r="O74" i="1"/>
  <c r="J35" i="13" s="1"/>
  <c r="N74" i="1"/>
  <c r="J34" i="13" s="1"/>
  <c r="Q73" i="1"/>
  <c r="O73" i="1"/>
  <c r="I30" i="13" s="1"/>
  <c r="N73" i="1"/>
  <c r="I29" i="13" s="1"/>
  <c r="Q72" i="1"/>
  <c r="O72" i="1"/>
  <c r="N72" i="1"/>
  <c r="I26" i="13" s="1"/>
  <c r="Q71" i="1"/>
  <c r="O71" i="1"/>
  <c r="I20" i="13" s="1"/>
  <c r="N71" i="1"/>
  <c r="I19" i="13" s="1"/>
  <c r="G93" i="13" s="1"/>
  <c r="K93" i="13" s="1"/>
  <c r="Q70" i="1"/>
  <c r="O70" i="1"/>
  <c r="N70" i="1"/>
  <c r="I16" i="13" s="1"/>
  <c r="Q69" i="1"/>
  <c r="O69" i="1"/>
  <c r="G13" i="13" s="1"/>
  <c r="N69" i="1"/>
  <c r="G12" i="13" s="1"/>
  <c r="Q68" i="1"/>
  <c r="O68" i="1"/>
  <c r="O10" i="13" s="1"/>
  <c r="N68" i="1"/>
  <c r="O9" i="13" s="1"/>
  <c r="E94" i="13" s="1"/>
  <c r="J94" i="13" s="1"/>
  <c r="Q67" i="1"/>
  <c r="O67" i="1"/>
  <c r="F5" i="13" s="1"/>
  <c r="N67" i="1"/>
  <c r="F4" i="13" s="1"/>
  <c r="D60" i="1"/>
  <c r="P126" i="1" s="1"/>
  <c r="W47" i="13" s="1"/>
  <c r="D59" i="1"/>
  <c r="P125" i="1" s="1"/>
  <c r="S58" i="13" s="1"/>
  <c r="D58" i="1"/>
  <c r="P124" i="1" s="1"/>
  <c r="T50" i="13" s="1"/>
  <c r="D57" i="1"/>
  <c r="P123" i="1" s="1"/>
  <c r="R19" i="13" s="1"/>
  <c r="D56" i="1"/>
  <c r="P122" i="1" s="1"/>
  <c r="U19" i="13" s="1"/>
  <c r="D55" i="1"/>
  <c r="P121" i="1" s="1"/>
  <c r="S41" i="13" s="1"/>
  <c r="D54" i="1"/>
  <c r="P120" i="1" s="1"/>
  <c r="T41" i="13" s="1"/>
  <c r="D53" i="1"/>
  <c r="P119" i="1" s="1"/>
  <c r="R24" i="13" s="1"/>
  <c r="D52" i="1"/>
  <c r="P118" i="1" s="1"/>
  <c r="R58" i="13" s="1"/>
  <c r="D51" i="1"/>
  <c r="P117" i="1" s="1"/>
  <c r="R53" i="13" s="1"/>
  <c r="D50" i="1"/>
  <c r="P116" i="1" s="1"/>
  <c r="R47" i="13" s="1"/>
  <c r="D49" i="1"/>
  <c r="P115" i="1" s="1"/>
  <c r="O53" i="13" s="1"/>
  <c r="D48" i="1"/>
  <c r="P114" i="1" s="1"/>
  <c r="P73" i="13" s="1"/>
  <c r="D47" i="1"/>
  <c r="P113" i="1" s="1"/>
  <c r="Q42" i="13" s="1"/>
  <c r="D46" i="1"/>
  <c r="P112" i="1" s="1"/>
  <c r="O41" i="13" s="1"/>
  <c r="D45" i="1"/>
  <c r="P111" i="1" s="1"/>
  <c r="O46" i="13" s="1"/>
  <c r="D44" i="1"/>
  <c r="P110" i="1" s="1"/>
  <c r="L16" i="13" s="1"/>
  <c r="D43" i="1"/>
  <c r="P109" i="1" s="1"/>
  <c r="R37" i="13" s="1"/>
  <c r="D42" i="1"/>
  <c r="P108" i="1" s="1"/>
  <c r="Q34" i="13" s="1"/>
  <c r="D41" i="1"/>
  <c r="P107" i="1" s="1"/>
  <c r="N31" i="13" s="1"/>
  <c r="D40" i="1"/>
  <c r="P106" i="1" s="1"/>
  <c r="O36" i="13" s="1"/>
  <c r="D39" i="1"/>
  <c r="P105" i="1" s="1"/>
  <c r="T64" i="13" s="1"/>
  <c r="D38" i="1"/>
  <c r="P104" i="1" s="1"/>
  <c r="S66" i="13" s="1"/>
  <c r="D37" i="1"/>
  <c r="P103" i="1" s="1"/>
  <c r="R64" i="13" s="1"/>
  <c r="D36" i="1"/>
  <c r="P102" i="1" s="1"/>
  <c r="O57" i="13" s="1"/>
  <c r="D35" i="1"/>
  <c r="P101" i="1" s="1"/>
  <c r="N60" i="13" s="1"/>
  <c r="D34" i="1"/>
  <c r="P100" i="1" s="1"/>
  <c r="O77" i="13" s="1"/>
  <c r="D33" i="1"/>
  <c r="P99" i="1" s="1"/>
  <c r="O70" i="13" s="1"/>
  <c r="D32" i="1"/>
  <c r="P98" i="1" s="1"/>
  <c r="L70" i="13" s="1"/>
  <c r="D31" i="1"/>
  <c r="P97" i="1" s="1"/>
  <c r="M74" i="13" s="1"/>
  <c r="D30" i="1"/>
  <c r="P96" i="1" s="1"/>
  <c r="G76" i="13" s="1"/>
  <c r="D29" i="1"/>
  <c r="P95" i="1" s="1"/>
  <c r="M47" i="13" s="1"/>
  <c r="D28" i="1"/>
  <c r="P94" i="1" s="1"/>
  <c r="L52" i="13" s="1"/>
  <c r="D27" i="1"/>
  <c r="P93" i="1" s="1"/>
  <c r="D26" i="1"/>
  <c r="P92" i="1" s="1"/>
  <c r="K61" i="13" s="1"/>
  <c r="D25" i="1"/>
  <c r="P91" i="1" s="1"/>
  <c r="H69" i="13" s="1"/>
  <c r="D24" i="1"/>
  <c r="P90" i="1" s="1"/>
  <c r="F67" i="13" s="1"/>
  <c r="D23" i="1"/>
  <c r="P89" i="1" s="1"/>
  <c r="C46" i="13" s="1"/>
  <c r="U70" i="13" s="1"/>
  <c r="D22" i="1"/>
  <c r="P88" i="1" s="1"/>
  <c r="D47" i="13" s="1"/>
  <c r="D21" i="1"/>
  <c r="P87" i="1" s="1"/>
  <c r="F46" i="13" s="1"/>
  <c r="D20" i="1"/>
  <c r="P86" i="1" s="1"/>
  <c r="D51" i="13" s="1"/>
  <c r="D19" i="1"/>
  <c r="P85" i="1" s="1"/>
  <c r="E62" i="13" s="1"/>
  <c r="D18" i="1"/>
  <c r="P84" i="1" s="1"/>
  <c r="D17" i="1"/>
  <c r="P83" i="1" s="1"/>
  <c r="E57" i="13" s="1"/>
  <c r="D16" i="1"/>
  <c r="P82" i="1" s="1"/>
  <c r="J55" i="13" s="1"/>
  <c r="D15" i="1"/>
  <c r="P81" i="1" s="1"/>
  <c r="I59" i="13" s="1"/>
  <c r="D14" i="1"/>
  <c r="P80" i="1" s="1"/>
  <c r="G55" i="13" s="1"/>
  <c r="D13" i="1"/>
  <c r="P79" i="1" s="1"/>
  <c r="I50" i="13" s="1"/>
  <c r="D12" i="1"/>
  <c r="P78" i="1" s="1"/>
  <c r="J46" i="13" s="1"/>
  <c r="D11" i="1"/>
  <c r="P77" i="1" s="1"/>
  <c r="H47" i="13" s="1"/>
  <c r="D10" i="1"/>
  <c r="P76" i="1" s="1"/>
  <c r="I39" i="13" s="1"/>
  <c r="D9" i="1"/>
  <c r="P75" i="1" s="1"/>
  <c r="F33" i="13" s="1"/>
  <c r="D8" i="1"/>
  <c r="P74" i="1" s="1"/>
  <c r="J36" i="13" s="1"/>
  <c r="D7" i="1"/>
  <c r="P73" i="1" s="1"/>
  <c r="I31" i="13" s="1"/>
  <c r="D6" i="1"/>
  <c r="P72" i="1" s="1"/>
  <c r="I27" i="13" s="1"/>
  <c r="D5" i="1"/>
  <c r="P71" i="1" s="1"/>
  <c r="I21" i="13" s="1"/>
  <c r="D4" i="1"/>
  <c r="P70" i="1" s="1"/>
  <c r="I17" i="13" s="1"/>
  <c r="D3" i="1"/>
  <c r="P69" i="1" s="1"/>
  <c r="G14" i="13" s="1"/>
  <c r="D2" i="1"/>
  <c r="P68" i="1" s="1"/>
  <c r="O11" i="13" s="1"/>
  <c r="D1" i="1"/>
  <c r="P67" i="1" s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N76" i="5" l="1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G88" i="13"/>
  <c r="J87" i="13"/>
  <c r="G86" i="13"/>
  <c r="J95" i="13"/>
  <c r="K59" i="5"/>
  <c r="E93" i="13"/>
  <c r="J93" i="13" s="1"/>
  <c r="M93" i="13" s="1"/>
  <c r="O93" i="13" s="1"/>
  <c r="L36" i="13"/>
  <c r="J90" i="13"/>
  <c r="F38" i="13"/>
  <c r="E91" i="13" s="1"/>
  <c r="F37" i="13"/>
  <c r="J65" i="13"/>
  <c r="J59" i="13"/>
  <c r="P32" i="13"/>
  <c r="G95" i="13"/>
  <c r="K95" i="13" s="1"/>
  <c r="G94" i="13"/>
  <c r="K94" i="13" s="1"/>
  <c r="M94" i="13" s="1"/>
  <c r="O94" i="13" s="1"/>
  <c r="Q94" i="13" s="1"/>
  <c r="U52" i="13"/>
  <c r="AA30" i="13"/>
  <c r="Y37" i="13" s="1"/>
  <c r="K87" i="13"/>
  <c r="M95" i="13" l="1"/>
  <c r="O95" i="13" s="1"/>
  <c r="Q95" i="13" s="1"/>
  <c r="V28" i="13"/>
  <c r="V30" i="13" s="1"/>
  <c r="Y39" i="13"/>
  <c r="N77" i="5"/>
  <c r="K104" i="5" s="1"/>
  <c r="K52" i="5"/>
  <c r="S50" i="5"/>
  <c r="V50" i="5" s="1"/>
  <c r="M87" i="13"/>
  <c r="O87" i="13" s="1"/>
  <c r="Q87" i="13" s="1"/>
  <c r="E99" i="13"/>
  <c r="N11" i="5"/>
  <c r="H6" i="3"/>
  <c r="P53" i="5" s="1"/>
  <c r="M14" i="5"/>
  <c r="H7" i="3"/>
  <c r="P56" i="5" s="1"/>
  <c r="Q20" i="5"/>
  <c r="H8" i="3"/>
  <c r="P62" i="5" s="1"/>
  <c r="L38" i="13"/>
  <c r="L37" i="13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R62" i="5" l="1"/>
  <c r="T62" i="5" s="1"/>
  <c r="M89" i="5"/>
  <c r="J116" i="5" s="1"/>
  <c r="Q62" i="5"/>
  <c r="M79" i="5"/>
  <c r="J106" i="5" s="1"/>
  <c r="R52" i="5"/>
  <c r="T52" i="5" s="1"/>
  <c r="K88" i="13"/>
  <c r="M88" i="13" s="1"/>
  <c r="O88" i="13" s="1"/>
  <c r="Q88" i="13" s="1"/>
  <c r="S52" i="5"/>
  <c r="V52" i="5" s="1"/>
  <c r="N79" i="5"/>
  <c r="K106" i="5" s="1"/>
  <c r="N80" i="5"/>
  <c r="K107" i="5" s="1"/>
  <c r="S53" i="5"/>
  <c r="V53" i="5" s="1"/>
  <c r="M86" i="13"/>
  <c r="O86" i="13" s="1"/>
  <c r="Q86" i="13" l="1"/>
  <c r="O99" i="13"/>
  <c r="O100" i="13"/>
  <c r="K99" i="13"/>
  <c r="Q99" i="13" l="1"/>
  <c r="Q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" authorId="0" shapeId="0" xr:uid="{953284EC-B038-454F-85BE-00623328960A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  <comment ref="C2" authorId="0" shapeId="0" xr:uid="{EB4EBCAC-CAD6-EE4C-94F6-92616206EDDE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<sst xmlns="http://schemas.openxmlformats.org/spreadsheetml/2006/main" count="303" uniqueCount="179">
  <si>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</si>
  <si>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</si>
  <si>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</si>
  <si>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</si>
  <si>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</si>
  <si>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</si>
  <si>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</si>
  <si>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</si>
  <si>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</si>
  <si>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</si>
  <si>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</si>
  <si>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</si>
  <si>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</si>
  <si>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</si>
  <si>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</si>
  <si>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</si>
  <si>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</si>
  <si>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</si>
  <si>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</si>
  <si>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</si>
  <si>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</si>
  <si>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</si>
  <si>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</si>
  <si>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</si>
  <si>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</si>
  <si>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</si>
  <si>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</si>
  <si>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</si>
  <si>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</si>
  <si>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</si>
  <si>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</si>
  <si>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</si>
  <si>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</si>
  <si>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</si>
  <si>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</si>
  <si>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</si>
  <si>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</si>
  <si>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</si>
  <si>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</si>
  <si>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</si>
  <si>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</si>
  <si>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</si>
  <si>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</si>
  <si>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</si>
  <si>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</si>
  <si>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</si>
  <si>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</si>
  <si>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</si>
  <si>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</si>
  <si>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</si>
  <si>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</si>
  <si>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</si>
  <si>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</si>
  <si>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</si>
  <si>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</si>
  <si>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</si>
  <si>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</si>
  <si>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</si>
  <si>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</si>
  <si>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</si>
  <si>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</si>
  <si>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</si>
  <si>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</si>
  <si>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</si>
  <si>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</si>
  <si>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</si>
  <si>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</si>
  <si>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</si>
  <si>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</si>
  <si>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</si>
  <si>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</si>
  <si>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</si>
  <si>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</si>
  <si>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</si>
  <si>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</si>
  <si>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</si>
  <si>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</si>
  <si>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</si>
  <si>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</si>
  <si>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</si>
  <si>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</si>
  <si>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</si>
  <si>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</si>
  <si>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</si>
  <si>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</si>
  <si>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</si>
  <si>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</si>
  <si>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</si>
  <si>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</si>
  <si>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</si>
  <si>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</si>
  <si>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</si>
  <si>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</si>
  <si>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</si>
  <si>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</si>
  <si>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</si>
  <si>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</si>
  <si>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</si>
  <si>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</si>
  <si>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</si>
  <si>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</si>
  <si>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</si>
  <si>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</si>
  <si>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</si>
  <si>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</si>
  <si>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</si>
  <si>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</si>
  <si>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</si>
  <si>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</si>
  <si>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</si>
  <si>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</si>
  <si>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</si>
  <si>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</si>
  <si>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</si>
  <si>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</si>
  <si>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</si>
  <si>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</si>
  <si>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</si>
  <si>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</si>
  <si>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</si>
  <si>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</si>
  <si>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</si>
  <si>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</si>
  <si>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</si>
  <si>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</si>
  <si>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</si>
  <si>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</si>
  <si>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</si>
  <si>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</si>
  <si>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</si>
  <si>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</si>
  <si>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</si>
  <si>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</si>
  <si>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</si>
  <si>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</si>
  <si>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</si>
  <si>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</si>
  <si>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</si>
  <si>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</si>
  <si>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</si>
  <si>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</si>
  <si>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</si>
  <si>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</si>
  <si>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</si>
  <si>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</si>
  <si>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</si>
  <si>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</si>
  <si>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</si>
  <si>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</si>
  <si>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</si>
  <si>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</si>
  <si>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</si>
  <si>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</si>
  <si>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</si>
  <si>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</si>
  <si>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</si>
  <si>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</si>
  <si>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</si>
  <si>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</si>
  <si>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</si>
  <si>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</si>
  <si>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</si>
  <si>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</si>
  <si>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</si>
  <si>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</si>
  <si>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</si>
  <si>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</si>
  <si>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</si>
  <si>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</si>
  <si>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</si>
  <si>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</si>
  <si>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</si>
  <si>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</si>
  <si>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</si>
  <si>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consume</t>
  </si>
  <si>
    <t>mantiene</t>
  </si>
  <si>
    <t>aumenta</t>
  </si>
  <si>
    <t>Ingreso
31</t>
  </si>
  <si>
    <t>Salida
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</si>
</sst>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0.0000%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8" fillId="0" borderId="1" xfId="0" applyNumberFormat="1" applyFont="1" applyBorder="1"/>
    <xf numFmtId="0" fontId="27" fillId="0" borderId="23" xfId="0" applyFont="1" applyBorder="1"/>
    <xf numFmtId="0" fontId="27" fillId="17" borderId="24" xfId="0" applyFont="1" applyFill="1" applyBorder="1"/>
    <xf numFmtId="0" fontId="27" fillId="17" borderId="25" xfId="0" applyFont="1" applyFill="1" applyBorder="1"/>
    <xf numFmtId="0" fontId="0" fillId="13" borderId="0" xfId="0" applyFont="1" applyFill="1" applyBorder="1"/>
    <xf numFmtId="0" fontId="2" fillId="13" borderId="0" xfId="0" applyFont="1" applyFill="1" applyBorder="1"/>
    <xf numFmtId="0" fontId="2" fillId="13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0" fontId="0" fillId="13" borderId="0" xfId="0" applyFont="1" applyFill="1" applyBorder="1" applyAlignment="1">
      <alignment horizontal="center"/>
    </xf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8" fillId="13" borderId="0" xfId="0" applyNumberFormat="1" applyFont="1" applyFill="1" applyBorder="1"/>
    <xf numFmtId="10" fontId="8" fillId="13" borderId="0" xfId="0" applyNumberFormat="1" applyFont="1" applyFill="1" applyBorder="1"/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165" fontId="0" fillId="13" borderId="0" xfId="0" applyNumberFormat="1" applyFont="1" applyFill="1" applyBorder="1"/>
    <xf numFmtId="3" fontId="8" fillId="13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7" fillId="16" borderId="26" xfId="0" applyFont="1" applyFill="1" applyBorder="1"/>
    <xf numFmtId="0" fontId="27" fillId="16" borderId="24" xfId="0" applyFont="1" applyFill="1" applyBorder="1"/>
    <xf numFmtId="0" fontId="27" fillId="16" borderId="27" xfId="0" applyFont="1" applyFill="1" applyBorder="1"/>
    <xf numFmtId="0" fontId="27" fillId="17" borderId="27" xfId="0" applyFont="1" applyFill="1" applyBorder="1"/>
    <xf numFmtId="0" fontId="27" fillId="18" borderId="24" xfId="0" applyFont="1" applyFill="1" applyBorder="1"/>
    <xf numFmtId="0" fontId="27" fillId="18" borderId="27" xfId="0" applyFont="1" applyFill="1" applyBorder="1"/>
    <xf numFmtId="0" fontId="27" fillId="20" borderId="26" xfId="0" applyFont="1" applyFill="1" applyBorder="1"/>
    <xf numFmtId="0" fontId="27" fillId="20" borderId="24" xfId="0" applyFont="1" applyFill="1" applyBorder="1"/>
    <xf numFmtId="0" fontId="27" fillId="20" borderId="27" xfId="0" applyFont="1" applyFill="1" applyBorder="1"/>
    <xf numFmtId="0" fontId="27" fillId="21" borderId="26" xfId="0" applyFont="1" applyFill="1" applyBorder="1"/>
    <xf numFmtId="0" fontId="27" fillId="21" borderId="24" xfId="0" applyFont="1" applyFill="1" applyBorder="1"/>
    <xf numFmtId="0" fontId="27" fillId="21" borderId="27" xfId="0" applyFont="1" applyFill="1" applyBorder="1"/>
    <xf numFmtId="0" fontId="27" fillId="19" borderId="26" xfId="0" applyFont="1" applyFill="1" applyBorder="1"/>
    <xf numFmtId="0" fontId="27" fillId="19" borderId="24" xfId="0" applyFont="1" applyFill="1" applyBorder="1"/>
    <xf numFmtId="0" fontId="27" fillId="19" borderId="27" xfId="0" applyFont="1" applyFill="1" applyBorder="1"/>
    <xf numFmtId="0" fontId="27" fillId="15" borderId="1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9" fontId="0" fillId="13" borderId="0" xfId="0" applyNumberFormat="1" applyFont="1" applyFill="1"/>
    <xf numFmtId="0" fontId="0" fillId="0" borderId="0" xfId="2" applyFont="1" applyFill="1" applyBorder="1" applyAlignment="1">
      <alignment horizontal="center"/>
    </xf>
    <xf numFmtId="9" fontId="0" fillId="13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Border="1"/>
    <xf numFmtId="168" fontId="0" fillId="0" borderId="1" xfId="0" applyNumberFormat="1" applyBorder="1"/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22" borderId="0" xfId="0" applyFill="1"/>
    <xf numFmtId="0" fontId="0" fillId="22" borderId="1" xfId="0" applyFill="1" applyBorder="1"/>
    <xf numFmtId="1" fontId="28" fillId="0" borderId="1" xfId="0" applyNumberFormat="1" applyFont="1" applyBorder="1"/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Agosto%20Pellet%20Mes%20re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lanta Pellets"/>
      <sheetName val="Nuevo Ingreso Dat Plantas"/>
      <sheetName val="Nodos Variac Inventarios"/>
      <sheetName val="Bal Los Colorados"/>
      <sheetName val="Diag Proc Los Colorados"/>
      <sheetName val="Bal Fet Pta Pellets"/>
      <sheetName val="Diag Proc Pta Pellets"/>
      <sheetName val="Hoja1"/>
    </sheetNames>
    <sheetDataSet>
      <sheetData sheetId="0" refreshError="1"/>
      <sheetData sheetId="1">
        <row r="50">
          <cell r="C50">
            <v>524267</v>
          </cell>
        </row>
        <row r="51">
          <cell r="C51">
            <v>279602</v>
          </cell>
        </row>
        <row r="59">
          <cell r="C59">
            <v>410420</v>
          </cell>
        </row>
        <row r="67">
          <cell r="C67">
            <v>26100</v>
          </cell>
        </row>
        <row r="68">
          <cell r="C68">
            <v>323511</v>
          </cell>
        </row>
        <row r="73">
          <cell r="C73">
            <v>1157</v>
          </cell>
        </row>
        <row r="75">
          <cell r="C75">
            <v>15450</v>
          </cell>
        </row>
        <row r="80">
          <cell r="C80">
            <v>0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208" t="s">
        <v>39</v>
      </c>
      <c r="K44" s="209"/>
      <c r="M44" s="205" t="s">
        <v>40</v>
      </c>
      <c r="N44" s="206"/>
      <c r="O44" s="207"/>
      <c r="R44" s="211" t="s">
        <v>42</v>
      </c>
      <c r="S44" s="212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210" t="s">
        <v>60</v>
      </c>
      <c r="K71" s="210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224" t="s">
        <v>106</v>
      </c>
      <c r="Q7" s="224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24" t="s">
        <v>25</v>
      </c>
      <c r="Q10" s="224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225" t="s">
        <v>109</v>
      </c>
      <c r="Q13" s="225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226" t="s">
        <v>71</v>
      </c>
      <c r="F44" s="226"/>
      <c r="G44" s="227"/>
      <c r="H44" s="226" t="s">
        <v>82</v>
      </c>
      <c r="I44" s="226"/>
      <c r="J44" s="226"/>
      <c r="K44" s="223" t="s">
        <v>70</v>
      </c>
      <c r="L44" s="223"/>
      <c r="M44" s="223"/>
      <c r="N44" s="223"/>
    </row>
    <row r="45" spans="2:20">
      <c r="E45" s="68" t="s">
        <v>72</v>
      </c>
      <c r="F45" s="68"/>
      <c r="G45" s="66">
        <f>+I6</f>
        <v>502781.82030850503</v>
      </c>
      <c r="H45" s="217" t="s">
        <v>73</v>
      </c>
      <c r="I45" s="217"/>
      <c r="J45" s="66">
        <f>+E7</f>
        <v>1770.5761999999995</v>
      </c>
      <c r="K45" s="217" t="s">
        <v>78</v>
      </c>
      <c r="L45" s="217"/>
      <c r="M45" s="217"/>
      <c r="N45" s="66">
        <f>+C8</f>
        <v>12961.629000000001</v>
      </c>
    </row>
    <row r="46" spans="2:20">
      <c r="E46" s="218"/>
      <c r="F46" s="219"/>
      <c r="G46" s="20"/>
      <c r="H46" s="217" t="s">
        <v>74</v>
      </c>
      <c r="I46" s="217"/>
      <c r="J46" s="66">
        <f>+J19</f>
        <v>44584.890479986498</v>
      </c>
      <c r="K46" s="217" t="s">
        <v>79</v>
      </c>
      <c r="L46" s="217"/>
      <c r="M46" s="217"/>
      <c r="N46" s="66">
        <f>+C28</f>
        <v>16162.331</v>
      </c>
    </row>
    <row r="47" spans="2:20">
      <c r="E47" s="218"/>
      <c r="F47" s="219"/>
      <c r="G47" s="20"/>
      <c r="H47" s="217" t="s">
        <v>75</v>
      </c>
      <c r="I47" s="217"/>
      <c r="J47" s="66">
        <f>+G27</f>
        <v>-359512.14169349719</v>
      </c>
      <c r="K47" s="217" t="s">
        <v>80</v>
      </c>
      <c r="L47" s="217"/>
      <c r="M47" s="217"/>
      <c r="N47" s="66">
        <f>+S36</f>
        <v>19130.865000000002</v>
      </c>
    </row>
    <row r="48" spans="2:20">
      <c r="E48" s="218"/>
      <c r="F48" s="219"/>
      <c r="G48" s="20"/>
      <c r="H48" s="67" t="s">
        <v>76</v>
      </c>
      <c r="I48" s="67"/>
      <c r="J48" s="66">
        <f>+O20</f>
        <v>-14174.322317347061</v>
      </c>
      <c r="K48" s="217" t="s">
        <v>81</v>
      </c>
      <c r="L48" s="217"/>
      <c r="M48" s="217"/>
      <c r="N48" s="66">
        <f>+S28</f>
        <v>108284.65870939114</v>
      </c>
    </row>
    <row r="49" spans="5:14">
      <c r="E49" s="218"/>
      <c r="F49" s="219"/>
      <c r="G49" s="20"/>
      <c r="H49" s="217" t="s">
        <v>77</v>
      </c>
      <c r="I49" s="217"/>
      <c r="J49" s="66">
        <f>+P40</f>
        <v>-311.60807004405433</v>
      </c>
      <c r="K49" s="217" t="s">
        <v>86</v>
      </c>
      <c r="L49" s="217"/>
      <c r="M49" s="217"/>
      <c r="N49" s="66">
        <f>+G36</f>
        <v>673884.94200000004</v>
      </c>
    </row>
    <row r="50" spans="5:14" ht="19">
      <c r="E50" s="213" t="s">
        <v>84</v>
      </c>
      <c r="F50" s="214"/>
      <c r="G50" s="69">
        <f>+G45</f>
        <v>502781.82030850503</v>
      </c>
      <c r="H50" s="215" t="s">
        <v>83</v>
      </c>
      <c r="I50" s="215"/>
      <c r="J50" s="77">
        <f>+SUM(J45:J49)</f>
        <v>-327642.60540090181</v>
      </c>
      <c r="K50" s="216" t="s">
        <v>85</v>
      </c>
      <c r="L50" s="216"/>
      <c r="M50" s="216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220" t="s">
        <v>71</v>
      </c>
      <c r="F55" s="220"/>
      <c r="G55" s="221"/>
      <c r="H55" s="220" t="s">
        <v>82</v>
      </c>
      <c r="I55" s="220"/>
      <c r="J55" s="220"/>
      <c r="K55" s="222" t="s">
        <v>70</v>
      </c>
      <c r="L55" s="222"/>
      <c r="M55" s="222"/>
      <c r="N55" s="222"/>
    </row>
    <row r="56" spans="5:14">
      <c r="E56" s="68" t="s">
        <v>72</v>
      </c>
      <c r="F56" s="68"/>
      <c r="G56" s="66">
        <f>+I8</f>
        <v>231983.78607040126</v>
      </c>
      <c r="H56" s="217" t="s">
        <v>73</v>
      </c>
      <c r="I56" s="217"/>
      <c r="J56" s="66" t="e">
        <f>+'Bal Los Colorados'!O49*'Bal Los Colorados'!G49</f>
        <v>#REF!</v>
      </c>
      <c r="K56" s="217" t="s">
        <v>78</v>
      </c>
      <c r="L56" s="217"/>
      <c r="M56" s="217"/>
      <c r="N56" s="66">
        <f>+C10</f>
        <v>7704.8210577451482</v>
      </c>
    </row>
    <row r="57" spans="5:14">
      <c r="E57" s="218"/>
      <c r="F57" s="219"/>
      <c r="G57" s="20"/>
      <c r="H57" s="217" t="s">
        <v>74</v>
      </c>
      <c r="I57" s="217"/>
      <c r="J57" s="66" t="e">
        <f>+'Bal Los Colorados'!O53*'Bal Los Colorados'!G53</f>
        <v>#REF!</v>
      </c>
      <c r="K57" s="217" t="s">
        <v>79</v>
      </c>
      <c r="L57" s="217"/>
      <c r="M57" s="217"/>
      <c r="N57" s="66">
        <f>+C30</f>
        <v>9675.4587302503223</v>
      </c>
    </row>
    <row r="58" spans="5:14">
      <c r="E58" s="218"/>
      <c r="F58" s="219"/>
      <c r="G58" s="20"/>
      <c r="H58" s="217" t="s">
        <v>75</v>
      </c>
      <c r="I58" s="217"/>
      <c r="J58" s="66" t="e">
        <f>+'Bal Los Colorados'!O56*'Bal Los Colorados'!G56</f>
        <v>#REF!</v>
      </c>
      <c r="K58" s="217" t="s">
        <v>80</v>
      </c>
      <c r="L58" s="217"/>
      <c r="M58" s="217"/>
      <c r="N58" s="66">
        <f>+S38</f>
        <v>7620.3234035700007</v>
      </c>
    </row>
    <row r="59" spans="5:14">
      <c r="E59" s="218"/>
      <c r="F59" s="219"/>
      <c r="G59" s="20"/>
      <c r="H59" s="67" t="s">
        <v>76</v>
      </c>
      <c r="I59" s="67"/>
      <c r="J59" s="66" t="e">
        <f>+'Bal Los Colorados'!O62*'Bal Los Colorados'!G62</f>
        <v>#REF!</v>
      </c>
      <c r="K59" s="217" t="s">
        <v>81</v>
      </c>
      <c r="L59" s="217"/>
      <c r="M59" s="217"/>
      <c r="N59" s="66">
        <f>+S30</f>
        <v>14049.347154701374</v>
      </c>
    </row>
    <row r="60" spans="5:14">
      <c r="E60" s="218"/>
      <c r="F60" s="219"/>
      <c r="G60" s="20"/>
      <c r="H60" s="217" t="s">
        <v>77</v>
      </c>
      <c r="I60" s="217"/>
      <c r="J60" s="66" t="e">
        <f>+'Bal Los Colorados'!O67*'Bal Los Colorados'!G67</f>
        <v>#REF!</v>
      </c>
      <c r="K60" s="217" t="s">
        <v>86</v>
      </c>
      <c r="L60" s="217"/>
      <c r="M60" s="217"/>
      <c r="N60" s="66">
        <f>+G38</f>
        <v>410848.95586592209</v>
      </c>
    </row>
    <row r="61" spans="5:14" ht="19">
      <c r="E61" s="213" t="s">
        <v>84</v>
      </c>
      <c r="F61" s="214"/>
      <c r="G61" s="69">
        <f>+G56</f>
        <v>231983.78607040126</v>
      </c>
      <c r="H61" s="215" t="s">
        <v>83</v>
      </c>
      <c r="I61" s="215"/>
      <c r="J61" s="77" t="e">
        <f>+SUM(J56:J60)</f>
        <v>#REF!</v>
      </c>
      <c r="K61" s="216" t="s">
        <v>85</v>
      </c>
      <c r="L61" s="216"/>
      <c r="M61" s="216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A2" zoomScale="150" zoomScaleNormal="150" workbookViewId="0">
      <selection activeCell="B94" sqref="B94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60">
        <v>261455.17020557521</v>
      </c>
      <c r="B1" s="160">
        <v>0.58909999999999996</v>
      </c>
      <c r="C1" s="199">
        <v>0</v>
      </c>
      <c r="D1" s="160">
        <f t="shared" ref="D1:D32" si="0">A1*B1</f>
        <v>154023.24076810436</v>
      </c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60">
        <v>11473.344999999999</v>
      </c>
      <c r="B2" s="160">
        <v>0.62939999999999996</v>
      </c>
      <c r="C2" s="199">
        <v>0</v>
      </c>
      <c r="D2" s="160">
        <f t="shared" si="0"/>
        <v>7221.3233429999991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60">
        <v>249981.82520557521</v>
      </c>
      <c r="B3" s="160">
        <v>0.58720000000000006</v>
      </c>
      <c r="C3" s="199">
        <v>0</v>
      </c>
      <c r="D3" s="160">
        <f t="shared" si="0"/>
        <v>146789.32776071379</v>
      </c>
      <c r="E3" s="161"/>
      <c r="F3" s="161"/>
      <c r="G3" s="161"/>
      <c r="H3" s="161"/>
      <c r="I3" s="161"/>
      <c r="J3" s="161"/>
      <c r="K3" s="162"/>
      <c r="L3" s="162"/>
      <c r="M3" s="162"/>
      <c r="N3" s="162"/>
      <c r="O3" s="162"/>
      <c r="P3" s="162"/>
      <c r="Q3" s="162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160">
        <v>-4116.7369201152997</v>
      </c>
      <c r="B4" s="160">
        <v>0.6</v>
      </c>
      <c r="C4" s="199">
        <v>6.2619431891058099E-3</v>
      </c>
      <c r="D4" s="160">
        <f t="shared" si="0"/>
        <v>-2470.0421520691798</v>
      </c>
      <c r="E4" s="161"/>
      <c r="F4" s="161"/>
      <c r="G4" s="161"/>
      <c r="H4" s="161"/>
      <c r="I4" s="160"/>
      <c r="J4" s="160"/>
      <c r="K4" s="160"/>
      <c r="L4" s="160"/>
      <c r="M4" s="160"/>
      <c r="N4" s="160"/>
      <c r="O4" s="160"/>
      <c r="P4" s="160"/>
      <c r="Q4" s="160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160">
        <v>254098.5621256904</v>
      </c>
      <c r="B5" s="160">
        <v>0.6</v>
      </c>
      <c r="C5" s="199">
        <v>1</v>
      </c>
      <c r="D5" s="160">
        <f t="shared" si="0"/>
        <v>152459.13727541422</v>
      </c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60">
        <v>693.98717870610005</v>
      </c>
      <c r="B6" s="160">
        <v>0.6</v>
      </c>
      <c r="C6" s="199">
        <v>0</v>
      </c>
      <c r="D6" s="160">
        <f t="shared" si="0"/>
        <v>416.39230722366</v>
      </c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60">
        <v>253404.5749469843</v>
      </c>
      <c r="B7" s="160">
        <v>0.6</v>
      </c>
      <c r="C7" s="199">
        <v>1</v>
      </c>
      <c r="D7" s="160">
        <f t="shared" si="0"/>
        <v>152042.74496819059</v>
      </c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60">
        <v>1500</v>
      </c>
      <c r="B8" s="160">
        <v>0.6</v>
      </c>
      <c r="C8" s="199">
        <v>0</v>
      </c>
      <c r="D8" s="160">
        <f t="shared" si="0"/>
        <v>900</v>
      </c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60">
        <v>43011</v>
      </c>
      <c r="B9" s="160">
        <v>9.9900000000000003E-2</v>
      </c>
      <c r="C9" s="199">
        <v>0</v>
      </c>
      <c r="D9" s="160">
        <f t="shared" si="0"/>
        <v>4296.7988999999998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60">
        <v>208893.5749469843</v>
      </c>
      <c r="B10" s="160">
        <v>0.68630000000000002</v>
      </c>
      <c r="C10" s="199">
        <v>1</v>
      </c>
      <c r="D10" s="160">
        <f t="shared" si="0"/>
        <v>143363.66048611532</v>
      </c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60">
        <v>-870</v>
      </c>
      <c r="B11" s="160">
        <v>0.68469999999999998</v>
      </c>
      <c r="C11" s="199">
        <v>9.8899999999999995E-3</v>
      </c>
      <c r="D11" s="160">
        <f t="shared" si="0"/>
        <v>-595.68899999999996</v>
      </c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60">
        <v>0</v>
      </c>
      <c r="B12" s="160">
        <v>0</v>
      </c>
      <c r="C12" s="199">
        <v>0</v>
      </c>
      <c r="D12" s="160">
        <f t="shared" si="0"/>
        <v>0</v>
      </c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60">
        <v>209763.5749469843</v>
      </c>
      <c r="B13" s="160">
        <v>0.68479999999999996</v>
      </c>
      <c r="C13" s="199">
        <v>1</v>
      </c>
      <c r="D13" s="160">
        <f t="shared" si="0"/>
        <v>143646.09612369485</v>
      </c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60">
        <v>84629.508799999996</v>
      </c>
      <c r="B14" s="160">
        <v>0.68479999999999996</v>
      </c>
      <c r="C14" s="199">
        <v>1</v>
      </c>
      <c r="D14" s="160">
        <f t="shared" si="0"/>
        <v>57954.287626239995</v>
      </c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60">
        <v>125134.0661469843</v>
      </c>
      <c r="B15" s="160">
        <v>0.68479999999999996</v>
      </c>
      <c r="C15" s="199">
        <v>1</v>
      </c>
      <c r="D15" s="160">
        <f t="shared" si="0"/>
        <v>85691.80849745484</v>
      </c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60">
        <v>0</v>
      </c>
      <c r="B16" s="160">
        <v>0</v>
      </c>
      <c r="C16" s="199">
        <v>0</v>
      </c>
      <c r="D16" s="160">
        <f t="shared" si="0"/>
        <v>0</v>
      </c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60">
        <v>1151.136</v>
      </c>
      <c r="B17" s="160">
        <v>0.68479999999999996</v>
      </c>
      <c r="C17" s="199">
        <v>1</v>
      </c>
      <c r="D17" s="160">
        <f t="shared" si="0"/>
        <v>788.2979327999999</v>
      </c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60">
        <v>0</v>
      </c>
      <c r="B18" s="160">
        <v>0</v>
      </c>
      <c r="C18" s="199">
        <v>0</v>
      </c>
      <c r="D18" s="160">
        <f t="shared" si="0"/>
        <v>0</v>
      </c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60">
        <v>0</v>
      </c>
      <c r="B19" s="160">
        <v>0</v>
      </c>
      <c r="C19" s="199">
        <v>0</v>
      </c>
      <c r="D19" s="160">
        <f t="shared" si="0"/>
        <v>0</v>
      </c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60">
        <v>1151.136</v>
      </c>
      <c r="B20" s="160">
        <v>0.68469999999999998</v>
      </c>
      <c r="C20" s="199">
        <v>0</v>
      </c>
      <c r="D20" s="160">
        <f t="shared" si="0"/>
        <v>788.18281919999993</v>
      </c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60">
        <v>83478.372799999997</v>
      </c>
      <c r="B21" s="160">
        <v>0.68469999999999998</v>
      </c>
      <c r="C21" s="199">
        <v>0</v>
      </c>
      <c r="D21" s="160">
        <f t="shared" si="0"/>
        <v>57157.641856159993</v>
      </c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60">
        <v>87216.858032629694</v>
      </c>
      <c r="B22" s="160">
        <v>0.68469999999999998</v>
      </c>
      <c r="C22" s="199">
        <v>0</v>
      </c>
      <c r="D22" s="160">
        <f t="shared" si="0"/>
        <v>59717.382694941552</v>
      </c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60">
        <v>0</v>
      </c>
      <c r="B23" s="160">
        <v>0</v>
      </c>
      <c r="C23" s="199">
        <v>0</v>
      </c>
      <c r="D23" s="160">
        <f t="shared" si="0"/>
        <v>0</v>
      </c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60">
        <v>7011</v>
      </c>
      <c r="B24" s="160">
        <v>0</v>
      </c>
      <c r="C24" s="199">
        <v>0</v>
      </c>
      <c r="D24" s="160">
        <f t="shared" si="0"/>
        <v>0</v>
      </c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60">
        <v>132145.06614698429</v>
      </c>
      <c r="B25" s="160">
        <v>0.64849999999999997</v>
      </c>
      <c r="C25" s="199">
        <v>1</v>
      </c>
      <c r="D25" s="160">
        <f t="shared" si="0"/>
        <v>85696.075396319313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60">
        <v>11983.055953228601</v>
      </c>
      <c r="B26" s="160">
        <v>0.64359999999999995</v>
      </c>
      <c r="C26" s="199">
        <v>1</v>
      </c>
      <c r="D26" s="160">
        <f t="shared" si="0"/>
        <v>7712.2948114979272</v>
      </c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60">
        <v>13097.735953228599</v>
      </c>
      <c r="B27" s="160">
        <v>0</v>
      </c>
      <c r="C27" s="199">
        <v>1</v>
      </c>
      <c r="D27" s="160">
        <f t="shared" si="0"/>
        <v>0</v>
      </c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60">
        <v>1189.3055953229</v>
      </c>
      <c r="B28" s="160">
        <v>0.64359999999999995</v>
      </c>
      <c r="C28" s="199">
        <v>1</v>
      </c>
      <c r="D28" s="160">
        <f t="shared" si="0"/>
        <v>765.43708114981837</v>
      </c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60">
        <v>1189.3055953229</v>
      </c>
      <c r="B29" s="160">
        <v>0.65410000000000001</v>
      </c>
      <c r="C29" s="199">
        <v>0</v>
      </c>
      <c r="D29" s="160">
        <f t="shared" si="0"/>
        <v>777.9247899007089</v>
      </c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60">
        <v>1000</v>
      </c>
      <c r="B30" s="160">
        <v>0</v>
      </c>
      <c r="C30" s="199">
        <v>0</v>
      </c>
      <c r="D30" s="160">
        <f t="shared" si="0"/>
        <v>0</v>
      </c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4"/>
      <c r="S30" s="164"/>
      <c r="T30" s="164"/>
      <c r="U30" s="164"/>
      <c r="V30" s="164"/>
      <c r="W30" s="164"/>
      <c r="X30" s="164"/>
      <c r="Y30" s="164"/>
      <c r="Z30" s="164"/>
      <c r="AA30" s="163"/>
      <c r="AB30" s="164"/>
      <c r="AC30" s="163"/>
      <c r="AD30" s="163"/>
      <c r="AE30" s="164"/>
      <c r="AF30" s="164"/>
      <c r="AG30" s="164"/>
      <c r="AH30" s="164"/>
      <c r="AI30" s="164"/>
      <c r="AJ30" s="164"/>
      <c r="AK30" s="165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60">
        <v>3287.8954015671002</v>
      </c>
      <c r="B31" s="160">
        <v>0.64359999999999995</v>
      </c>
      <c r="C31" s="199">
        <v>0</v>
      </c>
      <c r="D31" s="160">
        <f t="shared" si="0"/>
        <v>2116.0894804485856</v>
      </c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3"/>
      <c r="S31" s="163"/>
      <c r="T31" s="163"/>
      <c r="U31" s="164"/>
      <c r="V31" s="164"/>
      <c r="W31" s="164"/>
      <c r="X31" s="164"/>
      <c r="Y31" s="164"/>
      <c r="Z31" s="164"/>
      <c r="AA31" s="163"/>
      <c r="AB31" s="164"/>
      <c r="AC31" s="163"/>
      <c r="AD31" s="163"/>
      <c r="AE31" s="164"/>
      <c r="AF31" s="164"/>
      <c r="AG31" s="164"/>
      <c r="AH31" s="164"/>
      <c r="AI31" s="164"/>
      <c r="AJ31" s="164"/>
      <c r="AK31" s="165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60">
        <v>123260.6</v>
      </c>
      <c r="B32" s="160">
        <v>0.65410000000000001</v>
      </c>
      <c r="C32" s="199">
        <v>0</v>
      </c>
      <c r="D32" s="160">
        <f t="shared" si="0"/>
        <v>80624.758460000012</v>
      </c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3"/>
      <c r="S32" s="163"/>
      <c r="T32" s="163"/>
      <c r="U32" s="163"/>
      <c r="V32" s="163"/>
      <c r="W32" s="163"/>
      <c r="X32" s="163"/>
      <c r="Y32" s="164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4"/>
      <c r="AK32" s="165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60">
        <v>0</v>
      </c>
      <c r="B33" s="160">
        <v>0</v>
      </c>
      <c r="C33" s="199">
        <v>0</v>
      </c>
      <c r="D33" s="160">
        <f t="shared" ref="D33:D60" si="1">A33*B33</f>
        <v>0</v>
      </c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4"/>
      <c r="S33" s="164"/>
      <c r="T33" s="164"/>
      <c r="U33" s="164"/>
      <c r="V33" s="164"/>
      <c r="W33" s="164"/>
      <c r="X33" s="164"/>
      <c r="Y33" s="164"/>
      <c r="Z33" s="163"/>
      <c r="AA33" s="163"/>
      <c r="AB33" s="164"/>
      <c r="AC33" s="163"/>
      <c r="AD33" s="163"/>
      <c r="AE33" s="164"/>
      <c r="AF33" s="164"/>
      <c r="AG33" s="164"/>
      <c r="AH33" s="164"/>
      <c r="AI33" s="164"/>
      <c r="AJ33" s="164"/>
      <c r="AK33" s="165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60">
        <v>-3287.8954015671002</v>
      </c>
      <c r="B34" s="160">
        <v>0</v>
      </c>
      <c r="C34" s="199">
        <v>0</v>
      </c>
      <c r="D34" s="160">
        <f t="shared" si="1"/>
        <v>0</v>
      </c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4"/>
      <c r="S34" s="164"/>
      <c r="T34" s="164"/>
      <c r="U34" s="164"/>
      <c r="V34" s="164"/>
      <c r="W34" s="164"/>
      <c r="X34" s="164"/>
      <c r="Y34" s="164"/>
      <c r="Z34" s="163"/>
      <c r="AA34" s="163"/>
      <c r="AB34" s="164"/>
      <c r="AC34" s="163"/>
      <c r="AD34" s="163"/>
      <c r="AE34" s="164"/>
      <c r="AF34" s="164"/>
      <c r="AG34" s="164"/>
      <c r="AH34" s="164"/>
      <c r="AI34" s="164"/>
      <c r="AJ34" s="164"/>
      <c r="AK34" s="165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60">
        <v>4312.5021039050998</v>
      </c>
      <c r="B35" s="160">
        <v>0.65410000000000001</v>
      </c>
      <c r="C35" s="199">
        <v>0</v>
      </c>
      <c r="D35" s="160">
        <f t="shared" si="1"/>
        <v>2820.8076261643259</v>
      </c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4"/>
      <c r="S35" s="164"/>
      <c r="T35" s="164"/>
      <c r="U35" s="164"/>
      <c r="V35" s="164"/>
      <c r="W35" s="164"/>
      <c r="X35" s="164"/>
      <c r="Y35" s="164"/>
      <c r="Z35" s="163"/>
      <c r="AA35" s="163"/>
      <c r="AB35" s="164"/>
      <c r="AC35" s="163"/>
      <c r="AD35" s="163"/>
      <c r="AE35" s="164"/>
      <c r="AF35" s="164"/>
      <c r="AG35" s="164"/>
      <c r="AH35" s="164"/>
      <c r="AI35" s="164"/>
      <c r="AJ35" s="164"/>
      <c r="AK35" s="165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60">
        <v>-6548.9178960949002</v>
      </c>
      <c r="B36" s="160">
        <v>0</v>
      </c>
      <c r="C36" s="199">
        <v>0</v>
      </c>
      <c r="D36" s="160">
        <f t="shared" si="1"/>
        <v>0</v>
      </c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3"/>
      <c r="AD36" s="163"/>
      <c r="AE36" s="164"/>
      <c r="AF36" s="164"/>
      <c r="AG36" s="164"/>
      <c r="AH36" s="164"/>
      <c r="AI36" s="164"/>
      <c r="AJ36" s="164"/>
      <c r="AK36" s="165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60">
        <v>108207.245</v>
      </c>
      <c r="B37" s="160">
        <v>0.65410000000000001</v>
      </c>
      <c r="C37" s="199">
        <v>0</v>
      </c>
      <c r="D37" s="160">
        <f t="shared" si="1"/>
        <v>70778.3589545</v>
      </c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3"/>
      <c r="AD37" s="163"/>
      <c r="AE37" s="164"/>
      <c r="AF37" s="164"/>
      <c r="AG37" s="164"/>
      <c r="AH37" s="164"/>
      <c r="AI37" s="164"/>
      <c r="AJ37" s="164"/>
      <c r="AK37" s="165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60">
        <v>117765.29459999999</v>
      </c>
      <c r="B38" s="160">
        <v>0.65539999999999998</v>
      </c>
      <c r="C38" s="199">
        <v>0</v>
      </c>
      <c r="D38" s="160">
        <f t="shared" si="1"/>
        <v>77183.374080839989</v>
      </c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4"/>
      <c r="AK38" s="165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60">
        <v>0</v>
      </c>
      <c r="B39" s="160">
        <v>0</v>
      </c>
      <c r="C39" s="199">
        <v>0</v>
      </c>
      <c r="D39" s="160">
        <f t="shared" si="1"/>
        <v>0</v>
      </c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3"/>
      <c r="S39" s="163"/>
      <c r="T39" s="163"/>
      <c r="U39" s="163"/>
      <c r="V39" s="163"/>
      <c r="W39" s="163"/>
      <c r="X39" s="163"/>
      <c r="Y39" s="163"/>
      <c r="Z39" s="164"/>
      <c r="AA39" s="163"/>
      <c r="AB39" s="163"/>
      <c r="AC39" s="163"/>
      <c r="AD39" s="163"/>
      <c r="AE39" s="163"/>
      <c r="AF39" s="163"/>
      <c r="AG39" s="163"/>
      <c r="AH39" s="163"/>
      <c r="AI39" s="163"/>
      <c r="AJ39" s="164"/>
      <c r="AK39" s="165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60">
        <v>1926.6</v>
      </c>
      <c r="B40" s="160">
        <v>0.57999999999999996</v>
      </c>
      <c r="C40" s="199">
        <v>0</v>
      </c>
      <c r="D40" s="160">
        <f t="shared" si="1"/>
        <v>1117.4279999999999</v>
      </c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4"/>
      <c r="S40" s="164"/>
      <c r="T40" s="164"/>
      <c r="U40" s="164"/>
      <c r="V40" s="164"/>
      <c r="W40" s="164"/>
      <c r="X40" s="164"/>
      <c r="Y40" s="164"/>
      <c r="Z40" s="164"/>
      <c r="AA40" s="163"/>
      <c r="AB40" s="164"/>
      <c r="AC40" s="163"/>
      <c r="AD40" s="163"/>
      <c r="AE40" s="164"/>
      <c r="AF40" s="164"/>
      <c r="AG40" s="164"/>
      <c r="AH40" s="164"/>
      <c r="AI40" s="164"/>
      <c r="AJ40" s="164"/>
      <c r="AK40" s="165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60">
        <v>1541.28</v>
      </c>
      <c r="B41" s="160">
        <v>0.57999999999999996</v>
      </c>
      <c r="C41" s="199">
        <v>1</v>
      </c>
      <c r="D41" s="160">
        <f t="shared" si="1"/>
        <v>893.94239999999991</v>
      </c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4"/>
      <c r="S41" s="164"/>
      <c r="T41" s="164"/>
      <c r="U41" s="164"/>
      <c r="V41" s="164"/>
      <c r="W41" s="164"/>
      <c r="X41" s="164"/>
      <c r="Y41" s="164"/>
      <c r="Z41" s="164"/>
      <c r="AA41" s="163"/>
      <c r="AB41" s="164"/>
      <c r="AC41" s="163"/>
      <c r="AD41" s="163"/>
      <c r="AE41" s="164"/>
      <c r="AF41" s="164"/>
      <c r="AG41" s="164"/>
      <c r="AH41" s="164"/>
      <c r="AI41" s="164"/>
      <c r="AJ41" s="164"/>
      <c r="AK41" s="165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60">
        <v>385.32</v>
      </c>
      <c r="B42" s="160">
        <v>0.60029999999999994</v>
      </c>
      <c r="C42" s="199">
        <v>1</v>
      </c>
      <c r="D42" s="160">
        <f t="shared" si="1"/>
        <v>231.30759599999996</v>
      </c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4"/>
      <c r="S42" s="164"/>
      <c r="T42" s="164"/>
      <c r="U42" s="164"/>
      <c r="V42" s="164"/>
      <c r="W42" s="164"/>
      <c r="X42" s="164"/>
      <c r="Y42" s="164"/>
      <c r="Z42" s="164"/>
      <c r="AA42" s="163"/>
      <c r="AB42" s="164"/>
      <c r="AC42" s="163"/>
      <c r="AD42" s="163"/>
      <c r="AE42" s="164"/>
      <c r="AF42" s="164"/>
      <c r="AG42" s="164"/>
      <c r="AH42" s="164"/>
      <c r="AI42" s="164"/>
      <c r="AJ42" s="164"/>
      <c r="AK42" s="165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60">
        <v>385.32</v>
      </c>
      <c r="B43" s="160">
        <v>0.60029999999999994</v>
      </c>
      <c r="C43" s="199">
        <v>0</v>
      </c>
      <c r="D43" s="160">
        <f t="shared" si="1"/>
        <v>231.30759599999996</v>
      </c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4"/>
      <c r="S43" s="164"/>
      <c r="T43" s="164"/>
      <c r="U43" s="164"/>
      <c r="V43" s="164"/>
      <c r="W43" s="164"/>
      <c r="X43" s="164"/>
      <c r="Y43" s="164"/>
      <c r="Z43" s="164"/>
      <c r="AA43" s="163"/>
      <c r="AB43" s="164"/>
      <c r="AC43" s="163"/>
      <c r="AD43" s="163"/>
      <c r="AE43" s="164"/>
      <c r="AF43" s="164"/>
      <c r="AG43" s="164"/>
      <c r="AH43" s="164"/>
      <c r="AI43" s="164"/>
      <c r="AJ43" s="164"/>
      <c r="AK43" s="165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60">
        <v>0</v>
      </c>
      <c r="B44" s="160">
        <v>0</v>
      </c>
      <c r="C44" s="199">
        <v>1</v>
      </c>
      <c r="D44" s="160">
        <f t="shared" si="1"/>
        <v>0</v>
      </c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3"/>
      <c r="S44" s="163"/>
      <c r="T44" s="163"/>
      <c r="U44" s="163"/>
      <c r="V44" s="164"/>
      <c r="W44" s="164"/>
      <c r="X44" s="164"/>
      <c r="Y44" s="164"/>
      <c r="Z44" s="164"/>
      <c r="AA44" s="163"/>
      <c r="AB44" s="164"/>
      <c r="AC44" s="164"/>
      <c r="AD44" s="164"/>
      <c r="AE44" s="164"/>
      <c r="AF44" s="164"/>
      <c r="AG44" s="164"/>
      <c r="AH44" s="164"/>
      <c r="AI44" s="164"/>
      <c r="AJ44" s="164"/>
      <c r="AK44" s="165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60">
        <v>0</v>
      </c>
      <c r="B45" s="160">
        <v>0</v>
      </c>
      <c r="C45" s="199">
        <v>1</v>
      </c>
      <c r="D45" s="160">
        <f t="shared" si="1"/>
        <v>0</v>
      </c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4"/>
      <c r="AC45" s="164"/>
      <c r="AD45" s="164"/>
      <c r="AE45" s="164"/>
      <c r="AF45" s="164"/>
      <c r="AG45" s="164"/>
      <c r="AH45" s="164"/>
      <c r="AI45" s="164"/>
      <c r="AJ45" s="164"/>
      <c r="AK45" s="165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60">
        <v>0</v>
      </c>
      <c r="B46" s="160">
        <v>0</v>
      </c>
      <c r="C46" s="199">
        <v>1</v>
      </c>
      <c r="D46" s="160">
        <f t="shared" si="1"/>
        <v>0</v>
      </c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4"/>
      <c r="AG46" s="164"/>
      <c r="AH46" s="164"/>
      <c r="AI46" s="164"/>
      <c r="AJ46" s="164"/>
      <c r="AK46" s="165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60">
        <v>0</v>
      </c>
      <c r="B47" s="160">
        <v>0.60029999999999994</v>
      </c>
      <c r="C47" s="199">
        <v>0</v>
      </c>
      <c r="D47" s="160">
        <f t="shared" si="1"/>
        <v>0</v>
      </c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4"/>
      <c r="AK47" s="165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60">
        <v>0</v>
      </c>
      <c r="B48" s="160">
        <v>0</v>
      </c>
      <c r="C48" s="199">
        <v>1</v>
      </c>
      <c r="D48" s="160">
        <f t="shared" si="1"/>
        <v>0</v>
      </c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4"/>
      <c r="S48" s="164"/>
      <c r="T48" s="164"/>
      <c r="U48" s="164"/>
      <c r="V48" s="164"/>
      <c r="W48" s="164"/>
      <c r="X48" s="164"/>
      <c r="Y48" s="164"/>
      <c r="Z48" s="164"/>
      <c r="AA48" s="163"/>
      <c r="AB48" s="164"/>
      <c r="AC48" s="164"/>
      <c r="AD48" s="164"/>
      <c r="AE48" s="164"/>
      <c r="AF48" s="164"/>
      <c r="AG48" s="164"/>
      <c r="AH48" s="164"/>
      <c r="AI48" s="164"/>
      <c r="AJ48" s="164"/>
      <c r="AK48" s="165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60">
        <v>10861.42</v>
      </c>
      <c r="B49" s="160">
        <v>0.65410000000000001</v>
      </c>
      <c r="C49" s="199">
        <v>0</v>
      </c>
      <c r="D49" s="160">
        <f t="shared" si="1"/>
        <v>7104.4548220000006</v>
      </c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3"/>
      <c r="S49" s="163"/>
      <c r="T49" s="163"/>
      <c r="U49" s="163"/>
      <c r="V49" s="163"/>
      <c r="W49" s="163"/>
      <c r="X49" s="163"/>
      <c r="Y49" s="164"/>
      <c r="Z49" s="164"/>
      <c r="AA49" s="163"/>
      <c r="AB49" s="164"/>
      <c r="AC49" s="164"/>
      <c r="AD49" s="164"/>
      <c r="AE49" s="164"/>
      <c r="AF49" s="164"/>
      <c r="AG49" s="164"/>
      <c r="AH49" s="164"/>
      <c r="AI49" s="164"/>
      <c r="AJ49" s="164"/>
      <c r="AK49" s="165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60">
        <v>1303.3704</v>
      </c>
      <c r="B50" s="160">
        <v>0.65410000000000001</v>
      </c>
      <c r="C50" s="199">
        <v>1</v>
      </c>
      <c r="D50" s="160">
        <f t="shared" si="1"/>
        <v>852.53457864000006</v>
      </c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4"/>
      <c r="AK50" s="165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60">
        <v>0</v>
      </c>
      <c r="B51" s="160">
        <v>0</v>
      </c>
      <c r="C51" s="199">
        <v>0</v>
      </c>
      <c r="D51" s="160">
        <f t="shared" si="1"/>
        <v>0</v>
      </c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3"/>
      <c r="S51" s="163"/>
      <c r="T51" s="163"/>
      <c r="U51" s="163"/>
      <c r="V51" s="163"/>
      <c r="W51" s="164"/>
      <c r="X51" s="163"/>
      <c r="Y51" s="163"/>
      <c r="Z51" s="163"/>
      <c r="AA51" s="163"/>
      <c r="AB51" s="163"/>
      <c r="AC51" s="164"/>
      <c r="AD51" s="163"/>
      <c r="AE51" s="163"/>
      <c r="AF51" s="163"/>
      <c r="AG51" s="163"/>
      <c r="AH51" s="163"/>
      <c r="AI51" s="163"/>
      <c r="AJ51" s="164"/>
      <c r="AK51" s="165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60">
        <v>9558.0496000000003</v>
      </c>
      <c r="B52" s="160">
        <v>0.65410000000000001</v>
      </c>
      <c r="C52" s="199">
        <v>0</v>
      </c>
      <c r="D52" s="160">
        <f t="shared" si="1"/>
        <v>6251.9202433600003</v>
      </c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4"/>
      <c r="S52" s="164"/>
      <c r="T52" s="164"/>
      <c r="U52" s="164"/>
      <c r="V52" s="164"/>
      <c r="W52" s="164"/>
      <c r="X52" s="164"/>
      <c r="Y52" s="164"/>
      <c r="Z52" s="164"/>
      <c r="AA52" s="163"/>
      <c r="AB52" s="164"/>
      <c r="AC52" s="164"/>
      <c r="AD52" s="164"/>
      <c r="AE52" s="164"/>
      <c r="AF52" s="164"/>
      <c r="AG52" s="164"/>
      <c r="AH52" s="164"/>
      <c r="AI52" s="164"/>
      <c r="AJ52" s="164"/>
      <c r="AK52" s="165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60">
        <v>0</v>
      </c>
      <c r="B53" s="160">
        <v>0</v>
      </c>
      <c r="C53" s="199">
        <v>0</v>
      </c>
      <c r="D53" s="160">
        <f t="shared" si="1"/>
        <v>0</v>
      </c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4"/>
      <c r="S53" s="164"/>
      <c r="T53" s="164"/>
      <c r="U53" s="164"/>
      <c r="V53" s="164"/>
      <c r="W53" s="164"/>
      <c r="X53" s="164"/>
      <c r="Y53" s="164"/>
      <c r="Z53" s="164"/>
      <c r="AA53" s="163"/>
      <c r="AB53" s="164"/>
      <c r="AC53" s="164"/>
      <c r="AD53" s="164"/>
      <c r="AE53" s="164"/>
      <c r="AF53" s="164"/>
      <c r="AG53" s="164"/>
      <c r="AH53" s="164"/>
      <c r="AI53" s="164"/>
      <c r="AJ53" s="164"/>
      <c r="AK53" s="165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60">
        <v>0</v>
      </c>
      <c r="B54" s="160">
        <v>0</v>
      </c>
      <c r="C54" s="199">
        <v>0</v>
      </c>
      <c r="D54" s="160">
        <f t="shared" si="1"/>
        <v>0</v>
      </c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4"/>
      <c r="S54" s="164"/>
      <c r="T54" s="164"/>
      <c r="U54" s="164"/>
      <c r="V54" s="164"/>
      <c r="W54" s="164"/>
      <c r="X54" s="164"/>
      <c r="Y54" s="164"/>
      <c r="Z54" s="164"/>
      <c r="AA54" s="163"/>
      <c r="AB54" s="164"/>
      <c r="AC54" s="164"/>
      <c r="AD54" s="164"/>
      <c r="AE54" s="164"/>
      <c r="AF54" s="164"/>
      <c r="AG54" s="164"/>
      <c r="AH54" s="164"/>
      <c r="AI54" s="164"/>
      <c r="AJ54" s="164"/>
      <c r="AK54" s="165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60">
        <v>1688.6904</v>
      </c>
      <c r="B55" s="160">
        <v>0.64180000000000004</v>
      </c>
      <c r="C55" s="199">
        <v>0</v>
      </c>
      <c r="D55" s="160">
        <f t="shared" si="1"/>
        <v>1083.8014987199999</v>
      </c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4"/>
      <c r="AD55" s="164"/>
      <c r="AE55" s="164"/>
      <c r="AF55" s="164"/>
      <c r="AG55" s="164"/>
      <c r="AH55" s="164"/>
      <c r="AI55" s="164"/>
      <c r="AJ55" s="164"/>
      <c r="AK55" s="165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60">
        <v>0</v>
      </c>
      <c r="B56" s="160">
        <v>0</v>
      </c>
      <c r="C56" s="199">
        <v>0</v>
      </c>
      <c r="D56" s="160">
        <f t="shared" si="1"/>
        <v>0</v>
      </c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4"/>
      <c r="S56" s="164"/>
      <c r="T56" s="164"/>
      <c r="U56" s="164"/>
      <c r="V56" s="164"/>
      <c r="W56" s="164"/>
      <c r="X56" s="164"/>
      <c r="Y56" s="164"/>
      <c r="Z56" s="164"/>
      <c r="AA56" s="163"/>
      <c r="AB56" s="164"/>
      <c r="AC56" s="164"/>
      <c r="AD56" s="164"/>
      <c r="AE56" s="164"/>
      <c r="AF56" s="164"/>
      <c r="AG56" s="164"/>
      <c r="AH56" s="164"/>
      <c r="AI56" s="164"/>
      <c r="AJ56" s="164"/>
      <c r="AK56" s="165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60">
        <v>11473.344999999999</v>
      </c>
      <c r="B57" s="160">
        <v>0</v>
      </c>
      <c r="C57" s="199">
        <v>0</v>
      </c>
      <c r="D57" s="160">
        <f t="shared" si="1"/>
        <v>0</v>
      </c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4"/>
      <c r="S57" s="164"/>
      <c r="T57" s="164"/>
      <c r="U57" s="164"/>
      <c r="V57" s="164"/>
      <c r="W57" s="164"/>
      <c r="X57" s="164"/>
      <c r="Y57" s="164"/>
      <c r="Z57" s="164"/>
      <c r="AA57" s="163"/>
      <c r="AB57" s="164"/>
      <c r="AC57" s="164"/>
      <c r="AD57" s="164"/>
      <c r="AE57" s="164"/>
      <c r="AF57" s="164"/>
      <c r="AG57" s="164"/>
      <c r="AH57" s="164"/>
      <c r="AI57" s="164"/>
      <c r="AJ57" s="164"/>
      <c r="AK57" s="165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60">
        <v>0</v>
      </c>
      <c r="B58" s="160">
        <v>0</v>
      </c>
      <c r="C58" s="199">
        <v>1</v>
      </c>
      <c r="D58" s="160">
        <f t="shared" si="1"/>
        <v>0</v>
      </c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4"/>
      <c r="S58" s="164"/>
      <c r="T58" s="164"/>
      <c r="U58" s="164"/>
      <c r="V58" s="164"/>
      <c r="W58" s="164"/>
      <c r="X58" s="164"/>
      <c r="Y58" s="164"/>
      <c r="Z58" s="164"/>
      <c r="AA58" s="163"/>
      <c r="AB58" s="164"/>
      <c r="AC58" s="164"/>
      <c r="AD58" s="164"/>
      <c r="AE58" s="164"/>
      <c r="AF58" s="164"/>
      <c r="AG58" s="164"/>
      <c r="AH58" s="164"/>
      <c r="AI58" s="164"/>
      <c r="AJ58" s="164"/>
      <c r="AK58" s="165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60">
        <v>0</v>
      </c>
      <c r="B59" s="160">
        <v>0</v>
      </c>
      <c r="C59" s="199">
        <v>0</v>
      </c>
      <c r="D59" s="160">
        <f t="shared" si="1"/>
        <v>0</v>
      </c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4"/>
      <c r="S59" s="164"/>
      <c r="T59" s="164"/>
      <c r="U59" s="164"/>
      <c r="V59" s="164"/>
      <c r="W59" s="164"/>
      <c r="X59" s="164"/>
      <c r="Y59" s="164"/>
      <c r="Z59" s="164"/>
      <c r="AA59" s="163"/>
      <c r="AB59" s="164"/>
      <c r="AC59" s="164"/>
      <c r="AD59" s="164"/>
      <c r="AE59" s="164"/>
      <c r="AF59" s="164"/>
      <c r="AG59" s="164"/>
      <c r="AH59" s="164"/>
      <c r="AI59" s="164"/>
      <c r="AJ59" s="164"/>
      <c r="AK59" s="165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60">
        <v>0</v>
      </c>
      <c r="B60" s="160">
        <v>0</v>
      </c>
      <c r="C60" s="199">
        <v>0</v>
      </c>
      <c r="D60" s="160">
        <f t="shared" si="1"/>
        <v>0</v>
      </c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4"/>
      <c r="S60" s="164"/>
      <c r="T60" s="164"/>
      <c r="U60" s="164"/>
      <c r="V60" s="164"/>
      <c r="W60" s="164"/>
      <c r="X60" s="164"/>
      <c r="Y60" s="164"/>
      <c r="Z60" s="164"/>
      <c r="AA60" s="163"/>
      <c r="AB60" s="164"/>
      <c r="AC60" s="164"/>
      <c r="AD60" s="164"/>
      <c r="AE60" s="164"/>
      <c r="AF60" s="164"/>
      <c r="AG60" s="164"/>
      <c r="AH60" s="164"/>
      <c r="AI60" s="164"/>
      <c r="AJ60" s="164"/>
      <c r="AK60" s="165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4"/>
      <c r="S61" s="164"/>
      <c r="T61" s="164"/>
      <c r="U61" s="164"/>
      <c r="V61" s="164"/>
      <c r="W61" s="164"/>
      <c r="X61" s="164"/>
      <c r="Y61" s="164"/>
      <c r="Z61" s="164"/>
      <c r="AA61" s="163"/>
      <c r="AB61" s="164"/>
      <c r="AC61" s="164"/>
      <c r="AD61" s="164"/>
      <c r="AE61" s="164"/>
      <c r="AF61" s="164"/>
      <c r="AG61" s="164"/>
      <c r="AH61" s="164"/>
      <c r="AI61" s="164"/>
      <c r="AJ61" s="165"/>
      <c r="AK61" s="165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4"/>
      <c r="S62" s="164"/>
      <c r="T62" s="164"/>
      <c r="U62" s="164"/>
      <c r="V62" s="164"/>
      <c r="W62" s="164"/>
      <c r="X62" s="164"/>
      <c r="Y62" s="164"/>
      <c r="Z62" s="164"/>
      <c r="AA62" s="163"/>
      <c r="AB62" s="164"/>
      <c r="AC62" s="164"/>
      <c r="AD62" s="164"/>
      <c r="AE62" s="164"/>
      <c r="AF62" s="164"/>
      <c r="AG62" s="164"/>
      <c r="AH62" s="164"/>
      <c r="AI62" s="164"/>
      <c r="AJ62" s="165"/>
      <c r="AK62" s="165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44"/>
      <c r="S63" s="44"/>
      <c r="T63" s="44"/>
      <c r="U63" s="44"/>
      <c r="V63" s="44"/>
      <c r="W63" s="44"/>
      <c r="X63" s="44"/>
      <c r="Y63" s="44"/>
      <c r="Z63" s="44"/>
      <c r="AA63" s="163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228"/>
      <c r="L65" s="228"/>
      <c r="M65" s="160"/>
      <c r="N65" s="229" t="s">
        <v>40</v>
      </c>
      <c r="O65" s="229"/>
      <c r="P65" s="229"/>
      <c r="Q65" s="160"/>
      <c r="R65" s="231"/>
      <c r="S65" s="231"/>
      <c r="T65" s="163"/>
      <c r="U65" s="163"/>
      <c r="V65" s="163"/>
      <c r="W65" s="166"/>
      <c r="X65" s="163"/>
      <c r="Y65" s="163"/>
      <c r="Z65" s="163"/>
      <c r="AA65" s="163"/>
      <c r="AB65" s="163"/>
      <c r="AC65" s="167"/>
      <c r="AD65" s="167"/>
      <c r="AE65" s="167"/>
      <c r="AF65" s="165"/>
      <c r="AG65" s="164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8"/>
      <c r="L66" s="168"/>
      <c r="M66" s="160"/>
      <c r="N66" s="168" t="s">
        <v>34</v>
      </c>
      <c r="O66" s="168" t="s">
        <v>9</v>
      </c>
      <c r="P66" s="168" t="s">
        <v>41</v>
      </c>
      <c r="Q66" s="160" t="s">
        <v>171</v>
      </c>
      <c r="R66" s="200"/>
      <c r="S66" s="200"/>
      <c r="T66" s="163"/>
      <c r="U66" s="169"/>
      <c r="V66" s="163"/>
      <c r="W66" s="169"/>
      <c r="X66" s="163"/>
      <c r="Y66" s="163"/>
      <c r="Z66" s="163"/>
      <c r="AA66" s="163"/>
      <c r="AB66" s="170"/>
      <c r="AC66" s="171"/>
      <c r="AD66" s="167"/>
      <c r="AE66" s="167"/>
      <c r="AF66" s="165"/>
      <c r="AG66" s="164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72"/>
      <c r="L67" s="173"/>
      <c r="M67" s="160"/>
      <c r="N67" s="160">
        <f>A1</f>
        <v>261455.17020557521</v>
      </c>
      <c r="O67" s="160">
        <f t="shared" ref="O67" si="2">B1</f>
        <v>0.58909999999999996</v>
      </c>
      <c r="P67" s="160">
        <f t="shared" ref="P67:P98" si="3">D1</f>
        <v>154023.24076810436</v>
      </c>
      <c r="Q67" s="201">
        <f>C1</f>
        <v>0</v>
      </c>
      <c r="R67" s="202"/>
      <c r="S67" s="202"/>
      <c r="T67" s="163"/>
      <c r="U67" s="174"/>
      <c r="V67" s="175"/>
      <c r="W67" s="174"/>
      <c r="X67" s="175"/>
      <c r="Y67" s="163"/>
      <c r="Z67" s="163"/>
      <c r="AA67" s="176"/>
      <c r="AB67" s="167"/>
      <c r="AC67" s="167"/>
      <c r="AD67" s="163"/>
      <c r="AE67" s="163"/>
      <c r="AF67" s="165"/>
      <c r="AG67" s="164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77"/>
      <c r="L68" s="178"/>
      <c r="M68" s="177"/>
      <c r="N68" s="160">
        <f t="shared" ref="N68:N126" si="4">A2</f>
        <v>11473.344999999999</v>
      </c>
      <c r="O68" s="160">
        <f t="shared" ref="O68:O126" si="5">B2</f>
        <v>0.62939999999999996</v>
      </c>
      <c r="P68" s="160">
        <f t="shared" si="3"/>
        <v>7221.3233429999991</v>
      </c>
      <c r="Q68" s="201">
        <f t="shared" ref="Q68:Q126" si="6">C2</f>
        <v>0</v>
      </c>
      <c r="R68" s="202"/>
      <c r="S68" s="202"/>
      <c r="T68" s="163"/>
      <c r="U68" s="174"/>
      <c r="V68" s="175"/>
      <c r="W68" s="174"/>
      <c r="X68" s="175"/>
      <c r="Y68" s="163"/>
      <c r="Z68" s="163"/>
      <c r="AA68" s="176"/>
      <c r="AB68" s="167"/>
      <c r="AC68" s="167"/>
      <c r="AD68" s="163"/>
      <c r="AE68" s="163"/>
      <c r="AF68" s="165"/>
      <c r="AG68" s="164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77"/>
      <c r="L69" s="178"/>
      <c r="M69" s="160"/>
      <c r="N69" s="160">
        <f t="shared" si="4"/>
        <v>249981.82520557521</v>
      </c>
      <c r="O69" s="160">
        <f t="shared" si="5"/>
        <v>0.58720000000000006</v>
      </c>
      <c r="P69" s="160">
        <f t="shared" si="3"/>
        <v>146789.32776071379</v>
      </c>
      <c r="Q69" s="201">
        <f t="shared" si="6"/>
        <v>0</v>
      </c>
      <c r="R69" s="202"/>
      <c r="S69" s="202"/>
      <c r="T69" s="163"/>
      <c r="U69" s="174"/>
      <c r="V69" s="175"/>
      <c r="W69" s="174"/>
      <c r="X69" s="175"/>
      <c r="Y69" s="163"/>
      <c r="Z69" s="163"/>
      <c r="AA69" s="176"/>
      <c r="AB69" s="167"/>
      <c r="AC69" s="167"/>
      <c r="AD69" s="163"/>
      <c r="AE69" s="163"/>
      <c r="AF69" s="165"/>
      <c r="AG69" s="164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60"/>
      <c r="B70" s="160"/>
      <c r="C70" s="160"/>
      <c r="D70" s="177"/>
      <c r="E70" s="177"/>
      <c r="F70" s="179"/>
      <c r="G70" s="160"/>
      <c r="H70" s="160"/>
      <c r="I70" s="160"/>
      <c r="J70" s="160"/>
      <c r="K70" s="177"/>
      <c r="L70" s="178"/>
      <c r="M70" s="160"/>
      <c r="N70" s="160">
        <f t="shared" si="4"/>
        <v>-4116.7369201152997</v>
      </c>
      <c r="O70" s="160">
        <f t="shared" si="5"/>
        <v>0.6</v>
      </c>
      <c r="P70" s="160">
        <f t="shared" si="3"/>
        <v>-2470.0421520691798</v>
      </c>
      <c r="Q70" s="201">
        <f t="shared" si="6"/>
        <v>6.2619431891058099E-3</v>
      </c>
      <c r="R70" s="202"/>
      <c r="S70" s="202"/>
      <c r="T70" s="163"/>
      <c r="U70" s="174"/>
      <c r="V70" s="175"/>
      <c r="W70" s="174"/>
      <c r="X70" s="175"/>
      <c r="Y70" s="163"/>
      <c r="Z70" s="163"/>
      <c r="AA70" s="176"/>
      <c r="AB70" s="167"/>
      <c r="AC70" s="167"/>
      <c r="AD70" s="163"/>
      <c r="AE70" s="163"/>
      <c r="AF70" s="165"/>
      <c r="AG70" s="164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77"/>
      <c r="L71" s="178"/>
      <c r="M71" s="160"/>
      <c r="N71" s="160">
        <f t="shared" si="4"/>
        <v>254098.5621256904</v>
      </c>
      <c r="O71" s="160">
        <f t="shared" si="5"/>
        <v>0.6</v>
      </c>
      <c r="P71" s="160">
        <f t="shared" si="3"/>
        <v>152459.13727541422</v>
      </c>
      <c r="Q71" s="201">
        <f t="shared" si="6"/>
        <v>1</v>
      </c>
      <c r="R71" s="202"/>
      <c r="S71" s="202"/>
      <c r="T71" s="163"/>
      <c r="U71" s="174"/>
      <c r="V71" s="175"/>
      <c r="W71" s="174"/>
      <c r="X71" s="175"/>
      <c r="Y71" s="163"/>
      <c r="Z71" s="163"/>
      <c r="AA71" s="176"/>
      <c r="AB71" s="167"/>
      <c r="AC71" s="167"/>
      <c r="AD71" s="163"/>
      <c r="AE71" s="163"/>
      <c r="AF71" s="165"/>
      <c r="AG71" s="164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60"/>
      <c r="B72" s="160"/>
      <c r="C72" s="160"/>
      <c r="D72" s="177"/>
      <c r="E72" s="177"/>
      <c r="F72" s="179"/>
      <c r="G72" s="160"/>
      <c r="H72" s="160"/>
      <c r="I72" s="160"/>
      <c r="J72" s="160"/>
      <c r="K72" s="177"/>
      <c r="L72" s="178"/>
      <c r="M72" s="160"/>
      <c r="N72" s="160">
        <f t="shared" si="4"/>
        <v>693.98717870610005</v>
      </c>
      <c r="O72" s="160">
        <f t="shared" si="5"/>
        <v>0.6</v>
      </c>
      <c r="P72" s="160">
        <f t="shared" si="3"/>
        <v>416.39230722366</v>
      </c>
      <c r="Q72" s="201">
        <f t="shared" si="6"/>
        <v>0</v>
      </c>
      <c r="R72" s="202"/>
      <c r="S72" s="202"/>
      <c r="T72" s="163"/>
      <c r="U72" s="174"/>
      <c r="V72" s="175"/>
      <c r="W72" s="174"/>
      <c r="X72" s="175"/>
      <c r="Y72" s="163"/>
      <c r="Z72" s="163"/>
      <c r="AA72" s="176"/>
      <c r="AB72" s="167"/>
      <c r="AC72" s="167"/>
      <c r="AD72" s="163"/>
      <c r="AE72" s="163"/>
      <c r="AF72" s="165"/>
      <c r="AG72" s="164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60"/>
      <c r="B73" s="160"/>
      <c r="C73" s="177"/>
      <c r="D73" s="160"/>
      <c r="E73" s="160"/>
      <c r="F73" s="160"/>
      <c r="G73" s="160"/>
      <c r="H73" s="160"/>
      <c r="I73" s="160"/>
      <c r="J73" s="160"/>
      <c r="K73" s="177"/>
      <c r="L73" s="178"/>
      <c r="M73" s="160"/>
      <c r="N73" s="160">
        <f t="shared" si="4"/>
        <v>253404.5749469843</v>
      </c>
      <c r="O73" s="160">
        <f t="shared" si="5"/>
        <v>0.6</v>
      </c>
      <c r="P73" s="160">
        <f t="shared" si="3"/>
        <v>152042.74496819059</v>
      </c>
      <c r="Q73" s="201">
        <f t="shared" si="6"/>
        <v>1</v>
      </c>
      <c r="R73" s="202"/>
      <c r="S73" s="202"/>
      <c r="T73" s="163"/>
      <c r="U73" s="174"/>
      <c r="V73" s="175"/>
      <c r="W73" s="174"/>
      <c r="X73" s="175"/>
      <c r="Y73" s="163"/>
      <c r="Z73" s="163"/>
      <c r="AA73" s="176"/>
      <c r="AB73" s="167"/>
      <c r="AC73" s="167"/>
      <c r="AD73" s="163"/>
      <c r="AE73" s="163"/>
      <c r="AF73" s="165"/>
      <c r="AG73" s="164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60"/>
      <c r="B74" s="160"/>
      <c r="C74" s="160"/>
      <c r="D74" s="177"/>
      <c r="E74" s="177"/>
      <c r="F74" s="180"/>
      <c r="G74" s="180"/>
      <c r="H74" s="178"/>
      <c r="I74" s="160"/>
      <c r="J74" s="160"/>
      <c r="K74" s="177"/>
      <c r="L74" s="178"/>
      <c r="M74" s="160"/>
      <c r="N74" s="160">
        <f t="shared" si="4"/>
        <v>1500</v>
      </c>
      <c r="O74" s="160">
        <f t="shared" si="5"/>
        <v>0.6</v>
      </c>
      <c r="P74" s="160">
        <f t="shared" si="3"/>
        <v>900</v>
      </c>
      <c r="Q74" s="201">
        <f t="shared" si="6"/>
        <v>0</v>
      </c>
      <c r="R74" s="202"/>
      <c r="S74" s="202"/>
      <c r="T74" s="163"/>
      <c r="U74" s="174"/>
      <c r="V74" s="175"/>
      <c r="W74" s="174"/>
      <c r="X74" s="175"/>
      <c r="Y74" s="163"/>
      <c r="Z74" s="163"/>
      <c r="AA74" s="176"/>
      <c r="AB74" s="167"/>
      <c r="AC74" s="167"/>
      <c r="AD74" s="163"/>
      <c r="AE74" s="163"/>
      <c r="AF74" s="165"/>
      <c r="AG74" s="164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77"/>
      <c r="L75" s="178"/>
      <c r="M75" s="160"/>
      <c r="N75" s="160">
        <f t="shared" si="4"/>
        <v>43011</v>
      </c>
      <c r="O75" s="160">
        <f t="shared" si="5"/>
        <v>9.9900000000000003E-2</v>
      </c>
      <c r="P75" s="160">
        <f t="shared" si="3"/>
        <v>4296.7988999999998</v>
      </c>
      <c r="Q75" s="201">
        <f t="shared" si="6"/>
        <v>0</v>
      </c>
      <c r="R75" s="202"/>
      <c r="S75" s="202"/>
      <c r="T75" s="163"/>
      <c r="U75" s="174"/>
      <c r="V75" s="175"/>
      <c r="W75" s="174"/>
      <c r="X75" s="175"/>
      <c r="Y75" s="163"/>
      <c r="Z75" s="163"/>
      <c r="AA75" s="176"/>
      <c r="AB75" s="167"/>
      <c r="AC75" s="167"/>
      <c r="AD75" s="163"/>
      <c r="AE75" s="163"/>
      <c r="AF75" s="165"/>
      <c r="AG75" s="164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77"/>
      <c r="L76" s="178"/>
      <c r="M76" s="160"/>
      <c r="N76" s="160">
        <f t="shared" si="4"/>
        <v>208893.5749469843</v>
      </c>
      <c r="O76" s="160">
        <f t="shared" si="5"/>
        <v>0.68630000000000002</v>
      </c>
      <c r="P76" s="160">
        <f t="shared" si="3"/>
        <v>143363.66048611532</v>
      </c>
      <c r="Q76" s="201">
        <f t="shared" si="6"/>
        <v>1</v>
      </c>
      <c r="R76" s="202"/>
      <c r="S76" s="202"/>
      <c r="T76" s="163"/>
      <c r="U76" s="174"/>
      <c r="V76" s="175"/>
      <c r="W76" s="174"/>
      <c r="X76" s="175"/>
      <c r="Y76" s="163"/>
      <c r="Z76" s="163"/>
      <c r="AA76" s="176"/>
      <c r="AB76" s="167"/>
      <c r="AC76" s="167"/>
      <c r="AD76" s="163"/>
      <c r="AE76" s="163"/>
      <c r="AF76" s="165"/>
      <c r="AG76" s="164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60"/>
      <c r="B77" s="160"/>
      <c r="C77" s="160"/>
      <c r="D77" s="177"/>
      <c r="E77" s="177"/>
      <c r="F77" s="179"/>
      <c r="G77" s="160"/>
      <c r="H77" s="160"/>
      <c r="I77" s="160"/>
      <c r="J77" s="160"/>
      <c r="K77" s="177"/>
      <c r="L77" s="178"/>
      <c r="M77" s="160"/>
      <c r="N77" s="160">
        <f t="shared" si="4"/>
        <v>-870</v>
      </c>
      <c r="O77" s="160">
        <f t="shared" si="5"/>
        <v>0.68469999999999998</v>
      </c>
      <c r="P77" s="160">
        <f t="shared" si="3"/>
        <v>-595.68899999999996</v>
      </c>
      <c r="Q77" s="201">
        <f t="shared" si="6"/>
        <v>9.8899999999999995E-3</v>
      </c>
      <c r="R77" s="202"/>
      <c r="S77" s="202"/>
      <c r="T77" s="163"/>
      <c r="U77" s="174"/>
      <c r="V77" s="175"/>
      <c r="W77" s="174"/>
      <c r="X77" s="175"/>
      <c r="Y77" s="163"/>
      <c r="Z77" s="163"/>
      <c r="AA77" s="176"/>
      <c r="AB77" s="167"/>
      <c r="AC77" s="167"/>
      <c r="AD77" s="163"/>
      <c r="AE77" s="163"/>
      <c r="AF77" s="165"/>
      <c r="AG77" s="164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77"/>
      <c r="L78" s="178"/>
      <c r="M78" s="160"/>
      <c r="N78" s="160">
        <f t="shared" si="4"/>
        <v>0</v>
      </c>
      <c r="O78" s="160">
        <f t="shared" si="5"/>
        <v>0</v>
      </c>
      <c r="P78" s="160">
        <f t="shared" si="3"/>
        <v>0</v>
      </c>
      <c r="Q78" s="201">
        <f t="shared" si="6"/>
        <v>0</v>
      </c>
      <c r="R78" s="202"/>
      <c r="S78" s="202"/>
      <c r="T78" s="163"/>
      <c r="U78" s="174"/>
      <c r="V78" s="175"/>
      <c r="W78" s="174"/>
      <c r="X78" s="175"/>
      <c r="Y78" s="163"/>
      <c r="Z78" s="163"/>
      <c r="AA78" s="176"/>
      <c r="AB78" s="167"/>
      <c r="AC78" s="167"/>
      <c r="AD78" s="163"/>
      <c r="AE78" s="163"/>
      <c r="AF78" s="165"/>
      <c r="AG78" s="164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77"/>
      <c r="L79" s="178"/>
      <c r="M79" s="160"/>
      <c r="N79" s="160">
        <f t="shared" si="4"/>
        <v>209763.5749469843</v>
      </c>
      <c r="O79" s="160">
        <f t="shared" si="5"/>
        <v>0.68479999999999996</v>
      </c>
      <c r="P79" s="160">
        <f t="shared" si="3"/>
        <v>143646.09612369485</v>
      </c>
      <c r="Q79" s="201">
        <f t="shared" si="6"/>
        <v>1</v>
      </c>
      <c r="R79" s="202"/>
      <c r="S79" s="202"/>
      <c r="T79" s="163"/>
      <c r="U79" s="174"/>
      <c r="V79" s="175"/>
      <c r="W79" s="174"/>
      <c r="X79" s="175"/>
      <c r="Y79" s="163"/>
      <c r="Z79" s="163"/>
      <c r="AA79" s="176"/>
      <c r="AB79" s="167"/>
      <c r="AC79" s="167"/>
      <c r="AD79" s="163"/>
      <c r="AE79" s="163"/>
      <c r="AF79" s="165"/>
      <c r="AG79" s="164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60"/>
      <c r="B80" s="160"/>
      <c r="C80" s="160"/>
      <c r="D80" s="160"/>
      <c r="E80" s="177"/>
      <c r="F80" s="177"/>
      <c r="G80" s="177"/>
      <c r="H80" s="160"/>
      <c r="I80" s="160"/>
      <c r="J80" s="160"/>
      <c r="K80" s="177"/>
      <c r="L80" s="178"/>
      <c r="M80" s="160"/>
      <c r="N80" s="160">
        <f t="shared" si="4"/>
        <v>84629.508799999996</v>
      </c>
      <c r="O80" s="160">
        <f t="shared" si="5"/>
        <v>0.68479999999999996</v>
      </c>
      <c r="P80" s="160">
        <f t="shared" si="3"/>
        <v>57954.287626239995</v>
      </c>
      <c r="Q80" s="201">
        <f t="shared" si="6"/>
        <v>1</v>
      </c>
      <c r="R80" s="202"/>
      <c r="S80" s="202"/>
      <c r="T80" s="163"/>
      <c r="U80" s="174"/>
      <c r="V80" s="175"/>
      <c r="W80" s="174"/>
      <c r="X80" s="175"/>
      <c r="Y80" s="163"/>
      <c r="Z80" s="163"/>
      <c r="AA80" s="176"/>
      <c r="AB80" s="167"/>
      <c r="AC80" s="167"/>
      <c r="AD80" s="163"/>
      <c r="AE80" s="163"/>
      <c r="AF80" s="165"/>
      <c r="AG80" s="164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77"/>
      <c r="L81" s="178"/>
      <c r="M81" s="160"/>
      <c r="N81" s="160">
        <f t="shared" si="4"/>
        <v>125134.0661469843</v>
      </c>
      <c r="O81" s="160">
        <f t="shared" si="5"/>
        <v>0.68479999999999996</v>
      </c>
      <c r="P81" s="160">
        <f t="shared" si="3"/>
        <v>85691.80849745484</v>
      </c>
      <c r="Q81" s="201">
        <f t="shared" si="6"/>
        <v>1</v>
      </c>
      <c r="R81" s="202"/>
      <c r="S81" s="202"/>
      <c r="T81" s="163"/>
      <c r="U81" s="174"/>
      <c r="V81" s="175"/>
      <c r="W81" s="174"/>
      <c r="X81" s="175"/>
      <c r="Y81" s="163"/>
      <c r="Z81" s="163"/>
      <c r="AA81" s="176"/>
      <c r="AB81" s="167"/>
      <c r="AC81" s="167"/>
      <c r="AD81" s="163"/>
      <c r="AE81" s="163"/>
      <c r="AF81" s="165"/>
      <c r="AG81" s="164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60"/>
      <c r="B82" s="160"/>
      <c r="C82" s="160"/>
      <c r="D82" s="177"/>
      <c r="E82" s="160"/>
      <c r="F82" s="160"/>
      <c r="G82" s="160"/>
      <c r="H82" s="160"/>
      <c r="I82" s="160"/>
      <c r="J82" s="160"/>
      <c r="K82" s="177"/>
      <c r="L82" s="178"/>
      <c r="M82" s="160"/>
      <c r="N82" s="160">
        <f t="shared" si="4"/>
        <v>0</v>
      </c>
      <c r="O82" s="160">
        <f t="shared" si="5"/>
        <v>0</v>
      </c>
      <c r="P82" s="160">
        <f t="shared" si="3"/>
        <v>0</v>
      </c>
      <c r="Q82" s="201">
        <f t="shared" si="6"/>
        <v>0</v>
      </c>
      <c r="R82" s="202"/>
      <c r="S82" s="202"/>
      <c r="T82" s="163"/>
      <c r="U82" s="174"/>
      <c r="V82" s="175"/>
      <c r="W82" s="174"/>
      <c r="X82" s="175"/>
      <c r="Y82" s="163"/>
      <c r="Z82" s="163"/>
      <c r="AA82" s="176"/>
      <c r="AB82" s="167"/>
      <c r="AC82" s="167"/>
      <c r="AD82" s="163"/>
      <c r="AE82" s="163"/>
      <c r="AF82" s="165"/>
      <c r="AG82" s="164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77"/>
      <c r="L83" s="178"/>
      <c r="M83" s="160"/>
      <c r="N83" s="160">
        <f t="shared" si="4"/>
        <v>1151.136</v>
      </c>
      <c r="O83" s="160">
        <f t="shared" si="5"/>
        <v>0.68479999999999996</v>
      </c>
      <c r="P83" s="160">
        <f t="shared" si="3"/>
        <v>788.2979327999999</v>
      </c>
      <c r="Q83" s="201">
        <f t="shared" si="6"/>
        <v>1</v>
      </c>
      <c r="R83" s="202"/>
      <c r="S83" s="202"/>
      <c r="T83" s="163"/>
      <c r="U83" s="174"/>
      <c r="V83" s="175"/>
      <c r="W83" s="174"/>
      <c r="X83" s="175"/>
      <c r="Y83" s="163"/>
      <c r="Z83" s="163"/>
      <c r="AA83" s="176"/>
      <c r="AB83" s="167"/>
      <c r="AC83" s="167"/>
      <c r="AD83" s="163"/>
      <c r="AE83" s="163"/>
      <c r="AF83" s="165"/>
      <c r="AG83" s="164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60"/>
      <c r="B84" s="160"/>
      <c r="C84" s="160"/>
      <c r="D84" s="177"/>
      <c r="E84" s="177"/>
      <c r="F84" s="179"/>
      <c r="G84" s="179"/>
      <c r="H84" s="160"/>
      <c r="I84" s="160"/>
      <c r="J84" s="160"/>
      <c r="K84" s="177"/>
      <c r="L84" s="178"/>
      <c r="M84" s="160"/>
      <c r="N84" s="160">
        <f t="shared" si="4"/>
        <v>0</v>
      </c>
      <c r="O84" s="160">
        <f t="shared" si="5"/>
        <v>0</v>
      </c>
      <c r="P84" s="160">
        <f t="shared" si="3"/>
        <v>0</v>
      </c>
      <c r="Q84" s="201">
        <f t="shared" si="6"/>
        <v>0</v>
      </c>
      <c r="R84" s="202"/>
      <c r="S84" s="202"/>
      <c r="T84" s="163"/>
      <c r="U84" s="174"/>
      <c r="V84" s="175"/>
      <c r="W84" s="174"/>
      <c r="X84" s="175"/>
      <c r="Y84" s="163"/>
      <c r="Z84" s="163"/>
      <c r="AA84" s="176"/>
      <c r="AB84" s="167"/>
      <c r="AC84" s="167"/>
      <c r="AD84" s="163"/>
      <c r="AE84" s="163"/>
      <c r="AF84" s="165"/>
      <c r="AG84" s="164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77"/>
      <c r="L85" s="178"/>
      <c r="M85" s="160"/>
      <c r="N85" s="160">
        <f t="shared" si="4"/>
        <v>0</v>
      </c>
      <c r="O85" s="160">
        <f t="shared" si="5"/>
        <v>0</v>
      </c>
      <c r="P85" s="160">
        <f t="shared" si="3"/>
        <v>0</v>
      </c>
      <c r="Q85" s="201">
        <f t="shared" si="6"/>
        <v>0</v>
      </c>
      <c r="R85" s="202"/>
      <c r="S85" s="202"/>
      <c r="T85" s="163"/>
      <c r="U85" s="174"/>
      <c r="V85" s="175"/>
      <c r="W85" s="174"/>
      <c r="X85" s="175"/>
      <c r="Y85" s="163"/>
      <c r="Z85" s="163"/>
      <c r="AA85" s="176"/>
      <c r="AB85" s="167"/>
      <c r="AC85" s="167"/>
      <c r="AD85" s="163"/>
      <c r="AE85" s="163"/>
      <c r="AF85" s="165"/>
      <c r="AG85" s="164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77"/>
      <c r="L86" s="178"/>
      <c r="M86" s="160"/>
      <c r="N86" s="160">
        <f t="shared" si="4"/>
        <v>1151.136</v>
      </c>
      <c r="O86" s="160">
        <f t="shared" si="5"/>
        <v>0.68469999999999998</v>
      </c>
      <c r="P86" s="160">
        <f t="shared" si="3"/>
        <v>788.18281919999993</v>
      </c>
      <c r="Q86" s="201">
        <f t="shared" si="6"/>
        <v>0</v>
      </c>
      <c r="R86" s="202"/>
      <c r="S86" s="202"/>
      <c r="T86" s="163"/>
      <c r="U86" s="174"/>
      <c r="V86" s="175"/>
      <c r="W86" s="174"/>
      <c r="X86" s="175"/>
      <c r="Y86" s="163"/>
      <c r="Z86" s="163"/>
      <c r="AA86" s="176"/>
      <c r="AB86" s="167"/>
      <c r="AC86" s="167"/>
      <c r="AD86" s="163"/>
      <c r="AE86" s="163"/>
      <c r="AF86" s="165"/>
      <c r="AG86" s="164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77"/>
      <c r="L87" s="178"/>
      <c r="M87" s="177"/>
      <c r="N87" s="160">
        <f t="shared" si="4"/>
        <v>83478.372799999997</v>
      </c>
      <c r="O87" s="160">
        <f t="shared" si="5"/>
        <v>0.68469999999999998</v>
      </c>
      <c r="P87" s="160">
        <f t="shared" si="3"/>
        <v>57157.641856159993</v>
      </c>
      <c r="Q87" s="201">
        <f t="shared" si="6"/>
        <v>0</v>
      </c>
      <c r="R87" s="202"/>
      <c r="S87" s="202"/>
      <c r="T87" s="163"/>
      <c r="U87" s="174"/>
      <c r="V87" s="175"/>
      <c r="W87" s="174"/>
      <c r="X87" s="175"/>
      <c r="Y87" s="163"/>
      <c r="Z87" s="163"/>
      <c r="AA87" s="176"/>
      <c r="AB87" s="167"/>
      <c r="AC87" s="167"/>
      <c r="AD87" s="163"/>
      <c r="AE87" s="163"/>
      <c r="AF87" s="165"/>
      <c r="AG87" s="164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60"/>
      <c r="B88" s="160"/>
      <c r="C88" s="160"/>
      <c r="D88" s="177"/>
      <c r="E88" s="177"/>
      <c r="F88" s="179"/>
      <c r="G88" s="179"/>
      <c r="H88" s="160"/>
      <c r="I88" s="160"/>
      <c r="J88" s="160"/>
      <c r="K88" s="177"/>
      <c r="L88" s="178"/>
      <c r="M88" s="160"/>
      <c r="N88" s="160">
        <f t="shared" si="4"/>
        <v>87216.858032629694</v>
      </c>
      <c r="O88" s="160">
        <f t="shared" si="5"/>
        <v>0.68469999999999998</v>
      </c>
      <c r="P88" s="160">
        <f t="shared" si="3"/>
        <v>59717.382694941552</v>
      </c>
      <c r="Q88" s="201">
        <f t="shared" si="6"/>
        <v>0</v>
      </c>
      <c r="R88" s="202"/>
      <c r="S88" s="202"/>
      <c r="T88" s="163"/>
      <c r="U88" s="174"/>
      <c r="V88" s="175"/>
      <c r="W88" s="174"/>
      <c r="X88" s="175"/>
      <c r="Y88" s="163"/>
      <c r="Z88" s="163"/>
      <c r="AA88" s="176"/>
      <c r="AB88" s="167"/>
      <c r="AC88" s="167"/>
      <c r="AD88" s="163"/>
      <c r="AE88" s="163"/>
      <c r="AF88" s="164"/>
      <c r="AG88" s="164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77"/>
      <c r="L89" s="178"/>
      <c r="M89" s="160"/>
      <c r="N89" s="160">
        <f t="shared" si="4"/>
        <v>0</v>
      </c>
      <c r="O89" s="160">
        <f t="shared" si="5"/>
        <v>0</v>
      </c>
      <c r="P89" s="160">
        <f t="shared" si="3"/>
        <v>0</v>
      </c>
      <c r="Q89" s="201">
        <f t="shared" si="6"/>
        <v>0</v>
      </c>
      <c r="R89" s="202"/>
      <c r="S89" s="202"/>
      <c r="T89" s="163"/>
      <c r="U89" s="174"/>
      <c r="V89" s="175"/>
      <c r="W89" s="174"/>
      <c r="X89" s="175"/>
      <c r="Y89" s="163"/>
      <c r="Z89" s="163"/>
      <c r="AA89" s="176"/>
      <c r="AB89" s="167"/>
      <c r="AC89" s="167"/>
      <c r="AD89" s="163"/>
      <c r="AE89" s="163"/>
      <c r="AF89" s="164"/>
      <c r="AG89" s="164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77"/>
      <c r="L90" s="178"/>
      <c r="M90" s="160"/>
      <c r="N90" s="160">
        <f t="shared" si="4"/>
        <v>7011</v>
      </c>
      <c r="O90" s="160">
        <f t="shared" si="5"/>
        <v>0</v>
      </c>
      <c r="P90" s="160">
        <f t="shared" si="3"/>
        <v>0</v>
      </c>
      <c r="Q90" s="201">
        <f t="shared" si="6"/>
        <v>0</v>
      </c>
      <c r="R90" s="202"/>
      <c r="S90" s="202"/>
      <c r="T90" s="163"/>
      <c r="U90" s="174"/>
      <c r="V90" s="175"/>
      <c r="W90" s="174"/>
      <c r="X90" s="175"/>
      <c r="Y90" s="163"/>
      <c r="Z90" s="163"/>
      <c r="AA90" s="176"/>
      <c r="AB90" s="167"/>
      <c r="AC90" s="167"/>
      <c r="AD90" s="163"/>
      <c r="AE90" s="163"/>
      <c r="AF90" s="164"/>
      <c r="AG90" s="164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60"/>
      <c r="B91" s="160"/>
      <c r="C91" s="160"/>
      <c r="D91" s="160"/>
      <c r="E91" s="160"/>
      <c r="F91" s="177"/>
      <c r="G91" s="177"/>
      <c r="H91" s="177"/>
      <c r="I91" s="160"/>
      <c r="J91" s="160"/>
      <c r="K91" s="177"/>
      <c r="L91" s="178"/>
      <c r="M91" s="160"/>
      <c r="N91" s="160">
        <f t="shared" si="4"/>
        <v>132145.06614698429</v>
      </c>
      <c r="O91" s="160">
        <f t="shared" si="5"/>
        <v>0.64849999999999997</v>
      </c>
      <c r="P91" s="160">
        <f t="shared" si="3"/>
        <v>85696.075396319313</v>
      </c>
      <c r="Q91" s="201">
        <f t="shared" si="6"/>
        <v>1</v>
      </c>
      <c r="R91" s="202"/>
      <c r="S91" s="202"/>
      <c r="T91" s="163"/>
      <c r="U91" s="174"/>
      <c r="V91" s="175"/>
      <c r="W91" s="174"/>
      <c r="X91" s="175"/>
      <c r="Y91" s="163"/>
      <c r="Z91" s="163"/>
      <c r="AA91" s="163"/>
      <c r="AB91" s="163"/>
      <c r="AC91" s="163"/>
      <c r="AD91" s="163"/>
      <c r="AE91" s="163"/>
      <c r="AF91" s="164"/>
      <c r="AG91" s="164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77"/>
      <c r="L92" s="178"/>
      <c r="M92" s="160"/>
      <c r="N92" s="160">
        <f t="shared" si="4"/>
        <v>11983.055953228601</v>
      </c>
      <c r="O92" s="160">
        <f t="shared" si="5"/>
        <v>0.64359999999999995</v>
      </c>
      <c r="P92" s="160">
        <f t="shared" si="3"/>
        <v>7712.2948114979272</v>
      </c>
      <c r="Q92" s="201">
        <f t="shared" si="6"/>
        <v>1</v>
      </c>
      <c r="R92" s="202"/>
      <c r="S92" s="202"/>
      <c r="T92" s="163"/>
      <c r="U92" s="174"/>
      <c r="V92" s="175"/>
      <c r="W92" s="174"/>
      <c r="X92" s="175"/>
      <c r="Y92" s="163"/>
      <c r="Z92" s="163"/>
      <c r="AA92" s="163"/>
      <c r="AB92" s="163"/>
      <c r="AC92" s="167"/>
      <c r="AD92" s="174"/>
      <c r="AE92" s="163"/>
      <c r="AF92" s="164"/>
      <c r="AG92" s="164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60"/>
      <c r="B93" s="160"/>
      <c r="C93" s="160"/>
      <c r="D93" s="177"/>
      <c r="E93" s="177"/>
      <c r="F93" s="179"/>
      <c r="G93" s="179"/>
      <c r="H93" s="160"/>
      <c r="I93" s="160"/>
      <c r="J93" s="160"/>
      <c r="K93" s="177"/>
      <c r="L93" s="178"/>
      <c r="M93" s="160"/>
      <c r="N93" s="160">
        <f t="shared" si="4"/>
        <v>13097.735953228599</v>
      </c>
      <c r="O93" s="160">
        <f t="shared" si="5"/>
        <v>0</v>
      </c>
      <c r="P93" s="160">
        <f t="shared" si="3"/>
        <v>0</v>
      </c>
      <c r="Q93" s="201">
        <f t="shared" si="6"/>
        <v>1</v>
      </c>
      <c r="R93" s="202"/>
      <c r="S93" s="202"/>
      <c r="T93" s="163"/>
      <c r="U93" s="174"/>
      <c r="V93" s="175"/>
      <c r="W93" s="174"/>
      <c r="X93" s="175"/>
      <c r="Y93" s="163"/>
      <c r="Z93" s="163"/>
      <c r="AA93" s="152"/>
      <c r="AB93" s="152"/>
      <c r="AC93" s="163"/>
      <c r="AD93" s="163"/>
      <c r="AE93" s="163"/>
      <c r="AF93" s="164"/>
      <c r="AG93" s="164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60"/>
      <c r="B94" s="160"/>
      <c r="C94" s="160"/>
      <c r="D94" s="177"/>
      <c r="E94" s="177"/>
      <c r="F94" s="179"/>
      <c r="G94" s="179"/>
      <c r="H94" s="160"/>
      <c r="I94" s="160"/>
      <c r="J94" s="160"/>
      <c r="K94" s="177"/>
      <c r="L94" s="178"/>
      <c r="M94" s="160"/>
      <c r="N94" s="160">
        <f t="shared" si="4"/>
        <v>1189.3055953229</v>
      </c>
      <c r="O94" s="160">
        <f t="shared" si="5"/>
        <v>0.64359999999999995</v>
      </c>
      <c r="P94" s="160">
        <f t="shared" si="3"/>
        <v>765.43708114981837</v>
      </c>
      <c r="Q94" s="201">
        <f t="shared" si="6"/>
        <v>1</v>
      </c>
      <c r="R94" s="202"/>
      <c r="S94" s="202"/>
      <c r="T94" s="163"/>
      <c r="U94" s="174"/>
      <c r="V94" s="175"/>
      <c r="W94" s="174"/>
      <c r="X94" s="175"/>
      <c r="Y94" s="163"/>
      <c r="Z94" s="163"/>
      <c r="AA94" s="163"/>
      <c r="AB94" s="163"/>
      <c r="AC94" s="163"/>
      <c r="AD94" s="163"/>
      <c r="AE94" s="163"/>
      <c r="AF94" s="164"/>
      <c r="AG94" s="164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60"/>
      <c r="B95" s="160"/>
      <c r="C95" s="160"/>
      <c r="D95" s="177"/>
      <c r="E95" s="177"/>
      <c r="F95" s="179"/>
      <c r="G95" s="160"/>
      <c r="H95" s="160"/>
      <c r="I95" s="160"/>
      <c r="J95" s="160"/>
      <c r="K95" s="177"/>
      <c r="L95" s="178"/>
      <c r="M95" s="160"/>
      <c r="N95" s="160">
        <f t="shared" si="4"/>
        <v>1189.3055953229</v>
      </c>
      <c r="O95" s="160">
        <f t="shared" si="5"/>
        <v>0.65410000000000001</v>
      </c>
      <c r="P95" s="160">
        <f t="shared" si="3"/>
        <v>777.9247899007089</v>
      </c>
      <c r="Q95" s="201">
        <f t="shared" si="6"/>
        <v>0</v>
      </c>
      <c r="R95" s="202"/>
      <c r="S95" s="202"/>
      <c r="T95" s="163"/>
      <c r="U95" s="174"/>
      <c r="V95" s="175"/>
      <c r="W95" s="174"/>
      <c r="X95" s="175"/>
      <c r="Y95" s="163"/>
      <c r="Z95" s="163"/>
      <c r="AA95" s="163"/>
      <c r="AB95" s="163"/>
      <c r="AC95" s="163"/>
      <c r="AD95" s="163"/>
      <c r="AE95" s="163"/>
      <c r="AF95" s="164"/>
      <c r="AG95" s="164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77"/>
      <c r="L96" s="178"/>
      <c r="M96" s="160"/>
      <c r="N96" s="160">
        <f t="shared" si="4"/>
        <v>1000</v>
      </c>
      <c r="O96" s="160">
        <f t="shared" si="5"/>
        <v>0</v>
      </c>
      <c r="P96" s="160">
        <f t="shared" si="3"/>
        <v>0</v>
      </c>
      <c r="Q96" s="201">
        <f t="shared" si="6"/>
        <v>0</v>
      </c>
      <c r="R96" s="202"/>
      <c r="S96" s="202"/>
      <c r="T96" s="163"/>
      <c r="U96" s="174"/>
      <c r="V96" s="175"/>
      <c r="W96" s="174"/>
      <c r="X96" s="175"/>
      <c r="Y96" s="163"/>
      <c r="Z96" s="163"/>
      <c r="AA96" s="163"/>
      <c r="AB96" s="163"/>
      <c r="AC96" s="163"/>
      <c r="AD96" s="163"/>
      <c r="AE96" s="163"/>
      <c r="AF96" s="164"/>
      <c r="AG96" s="164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60"/>
      <c r="B97" s="160"/>
      <c r="C97" s="160"/>
      <c r="D97" s="177"/>
      <c r="E97" s="177"/>
      <c r="F97" s="160"/>
      <c r="G97" s="160"/>
      <c r="H97" s="160"/>
      <c r="I97" s="160"/>
      <c r="J97" s="160"/>
      <c r="K97" s="177"/>
      <c r="L97" s="178"/>
      <c r="M97" s="160"/>
      <c r="N97" s="160">
        <f t="shared" si="4"/>
        <v>3287.8954015671002</v>
      </c>
      <c r="O97" s="160">
        <f t="shared" si="5"/>
        <v>0.64359999999999995</v>
      </c>
      <c r="P97" s="160">
        <f t="shared" si="3"/>
        <v>2116.0894804485856</v>
      </c>
      <c r="Q97" s="201">
        <f t="shared" si="6"/>
        <v>0</v>
      </c>
      <c r="R97" s="202"/>
      <c r="S97" s="202"/>
      <c r="T97" s="163"/>
      <c r="U97" s="174"/>
      <c r="V97" s="175"/>
      <c r="W97" s="174"/>
      <c r="X97" s="175"/>
      <c r="Y97" s="163"/>
      <c r="Z97" s="163"/>
      <c r="AA97" s="163"/>
      <c r="AB97" s="163"/>
      <c r="AC97" s="163"/>
      <c r="AD97" s="163"/>
      <c r="AE97" s="163"/>
      <c r="AF97" s="164"/>
      <c r="AG97" s="164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77"/>
      <c r="L98" s="178"/>
      <c r="M98" s="160"/>
      <c r="N98" s="160">
        <f t="shared" si="4"/>
        <v>123260.6</v>
      </c>
      <c r="O98" s="160">
        <f t="shared" si="5"/>
        <v>0.65410000000000001</v>
      </c>
      <c r="P98" s="160">
        <f t="shared" si="3"/>
        <v>80624.758460000012</v>
      </c>
      <c r="Q98" s="201">
        <f t="shared" si="6"/>
        <v>0</v>
      </c>
      <c r="R98" s="202"/>
      <c r="S98" s="202"/>
      <c r="T98" s="163"/>
      <c r="U98" s="174"/>
      <c r="V98" s="175"/>
      <c r="W98" s="174"/>
      <c r="X98" s="175"/>
      <c r="Y98" s="163"/>
      <c r="Z98" s="163"/>
      <c r="AA98" s="163"/>
      <c r="AB98" s="163"/>
      <c r="AC98" s="163"/>
      <c r="AD98" s="163"/>
      <c r="AE98" s="163"/>
      <c r="AF98" s="164"/>
      <c r="AG98" s="164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77"/>
      <c r="L99" s="178"/>
      <c r="M99" s="160"/>
      <c r="N99" s="160">
        <f t="shared" si="4"/>
        <v>0</v>
      </c>
      <c r="O99" s="160">
        <f t="shared" si="5"/>
        <v>0</v>
      </c>
      <c r="P99" s="160">
        <f t="shared" ref="P99:P126" si="7">D33</f>
        <v>0</v>
      </c>
      <c r="Q99" s="201">
        <f t="shared" si="6"/>
        <v>0</v>
      </c>
      <c r="R99" s="202"/>
      <c r="S99" s="202"/>
      <c r="T99" s="163"/>
      <c r="U99" s="174"/>
      <c r="V99" s="175"/>
      <c r="W99" s="174"/>
      <c r="X99" s="175"/>
      <c r="Y99" s="163"/>
      <c r="Z99" s="163"/>
      <c r="AA99" s="163"/>
      <c r="AB99" s="163"/>
      <c r="AC99" s="163"/>
      <c r="AD99" s="163"/>
      <c r="AE99" s="163"/>
      <c r="AF99" s="164"/>
      <c r="AG99" s="164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60"/>
      <c r="B100" s="160"/>
      <c r="C100" s="160"/>
      <c r="D100" s="177"/>
      <c r="E100" s="177"/>
      <c r="F100" s="179"/>
      <c r="G100" s="179"/>
      <c r="H100" s="160"/>
      <c r="I100" s="160"/>
      <c r="J100" s="160"/>
      <c r="K100" s="177"/>
      <c r="L100" s="178"/>
      <c r="M100" s="160"/>
      <c r="N100" s="160">
        <f t="shared" si="4"/>
        <v>-3287.8954015671002</v>
      </c>
      <c r="O100" s="160">
        <f t="shared" si="5"/>
        <v>0</v>
      </c>
      <c r="P100" s="160">
        <f t="shared" si="7"/>
        <v>0</v>
      </c>
      <c r="Q100" s="201">
        <f t="shared" si="6"/>
        <v>0</v>
      </c>
      <c r="R100" s="202"/>
      <c r="S100" s="202"/>
      <c r="T100" s="163"/>
      <c r="U100" s="174"/>
      <c r="V100" s="175"/>
      <c r="W100" s="174"/>
      <c r="X100" s="175"/>
      <c r="Y100" s="163"/>
      <c r="Z100" s="163"/>
      <c r="AA100" s="163"/>
      <c r="AB100" s="163"/>
      <c r="AC100" s="163"/>
      <c r="AD100" s="163"/>
      <c r="AE100" s="163"/>
      <c r="AF100" s="164"/>
      <c r="AG100" s="164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60"/>
      <c r="B101" s="160"/>
      <c r="C101" s="160"/>
      <c r="D101" s="177"/>
      <c r="E101" s="177"/>
      <c r="F101" s="180"/>
      <c r="G101" s="180"/>
      <c r="H101" s="178"/>
      <c r="I101" s="160"/>
      <c r="J101" s="160"/>
      <c r="K101" s="177"/>
      <c r="L101" s="178"/>
      <c r="M101" s="160"/>
      <c r="N101" s="160">
        <f t="shared" si="4"/>
        <v>4312.5021039050998</v>
      </c>
      <c r="O101" s="160">
        <f t="shared" si="5"/>
        <v>0.65410000000000001</v>
      </c>
      <c r="P101" s="160">
        <f t="shared" si="7"/>
        <v>2820.8076261643259</v>
      </c>
      <c r="Q101" s="201">
        <f t="shared" si="6"/>
        <v>0</v>
      </c>
      <c r="R101" s="202"/>
      <c r="S101" s="202"/>
      <c r="T101" s="163"/>
      <c r="U101" s="174"/>
      <c r="V101" s="175"/>
      <c r="W101" s="174"/>
      <c r="X101" s="175"/>
      <c r="Y101" s="163"/>
      <c r="Z101" s="163"/>
      <c r="AA101" s="163"/>
      <c r="AB101" s="163"/>
      <c r="AC101" s="163"/>
      <c r="AD101" s="163"/>
      <c r="AE101" s="163"/>
      <c r="AF101" s="164"/>
      <c r="AG101" s="164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60"/>
      <c r="B102" s="160"/>
      <c r="C102" s="160"/>
      <c r="D102" s="177"/>
      <c r="E102" s="177"/>
      <c r="F102" s="179"/>
      <c r="G102" s="179"/>
      <c r="H102" s="160"/>
      <c r="I102" s="160"/>
      <c r="J102" s="160"/>
      <c r="K102" s="177"/>
      <c r="L102" s="178"/>
      <c r="M102" s="160"/>
      <c r="N102" s="160">
        <f t="shared" si="4"/>
        <v>-6548.9178960949002</v>
      </c>
      <c r="O102" s="160">
        <f t="shared" si="5"/>
        <v>0</v>
      </c>
      <c r="P102" s="160">
        <f t="shared" si="7"/>
        <v>0</v>
      </c>
      <c r="Q102" s="201">
        <f t="shared" si="6"/>
        <v>0</v>
      </c>
      <c r="R102" s="202"/>
      <c r="S102" s="202"/>
      <c r="T102" s="163"/>
      <c r="U102" s="174"/>
      <c r="V102" s="175"/>
      <c r="W102" s="174"/>
      <c r="X102" s="175"/>
      <c r="Y102" s="163"/>
      <c r="Z102" s="163"/>
      <c r="AA102" s="163"/>
      <c r="AB102" s="163"/>
      <c r="AC102" s="163"/>
      <c r="AD102" s="163"/>
      <c r="AE102" s="163"/>
      <c r="AF102" s="164"/>
      <c r="AG102" s="164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77"/>
      <c r="L103" s="178"/>
      <c r="M103" s="160"/>
      <c r="N103" s="160">
        <f t="shared" si="4"/>
        <v>108207.245</v>
      </c>
      <c r="O103" s="160">
        <f t="shared" si="5"/>
        <v>0.65410000000000001</v>
      </c>
      <c r="P103" s="160">
        <f t="shared" si="7"/>
        <v>70778.3589545</v>
      </c>
      <c r="Q103" s="201">
        <f t="shared" si="6"/>
        <v>0</v>
      </c>
      <c r="R103" s="202"/>
      <c r="S103" s="202"/>
      <c r="T103" s="163"/>
      <c r="U103" s="174"/>
      <c r="V103" s="175"/>
      <c r="W103" s="174"/>
      <c r="X103" s="175"/>
      <c r="Y103" s="163"/>
      <c r="Z103" s="163"/>
      <c r="AA103" s="163"/>
      <c r="AB103" s="163"/>
      <c r="AC103" s="163"/>
      <c r="AD103" s="163"/>
      <c r="AE103" s="163"/>
      <c r="AF103" s="164"/>
      <c r="AG103" s="164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60"/>
      <c r="B104" s="160"/>
      <c r="C104" s="160"/>
      <c r="D104" s="177"/>
      <c r="E104" s="177"/>
      <c r="F104" s="179"/>
      <c r="G104" s="179"/>
      <c r="H104" s="160"/>
      <c r="I104" s="160"/>
      <c r="J104" s="160"/>
      <c r="K104" s="177"/>
      <c r="L104" s="178"/>
      <c r="M104" s="160"/>
      <c r="N104" s="160">
        <f t="shared" si="4"/>
        <v>117765.29459999999</v>
      </c>
      <c r="O104" s="160">
        <f t="shared" si="5"/>
        <v>0.65539999999999998</v>
      </c>
      <c r="P104" s="160">
        <f t="shared" si="7"/>
        <v>77183.374080839989</v>
      </c>
      <c r="Q104" s="201">
        <f t="shared" si="6"/>
        <v>0</v>
      </c>
      <c r="R104" s="202"/>
      <c r="S104" s="202"/>
      <c r="T104" s="163"/>
      <c r="U104" s="174"/>
      <c r="V104" s="175"/>
      <c r="W104" s="174"/>
      <c r="X104" s="175"/>
      <c r="Y104" s="163"/>
      <c r="Z104" s="163"/>
      <c r="AA104" s="163"/>
      <c r="AB104" s="163"/>
      <c r="AC104" s="163"/>
      <c r="AD104" s="163"/>
      <c r="AE104" s="163"/>
      <c r="AF104" s="164"/>
      <c r="AG104" s="164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77"/>
      <c r="L105" s="178"/>
      <c r="M105" s="160"/>
      <c r="N105" s="160">
        <f t="shared" si="4"/>
        <v>0</v>
      </c>
      <c r="O105" s="160">
        <f t="shared" si="5"/>
        <v>0</v>
      </c>
      <c r="P105" s="160">
        <f t="shared" si="7"/>
        <v>0</v>
      </c>
      <c r="Q105" s="201">
        <f t="shared" si="6"/>
        <v>0</v>
      </c>
      <c r="R105" s="202"/>
      <c r="S105" s="202"/>
      <c r="T105" s="163"/>
      <c r="U105" s="174"/>
      <c r="V105" s="175"/>
      <c r="W105" s="174"/>
      <c r="X105" s="175"/>
      <c r="Y105" s="163"/>
      <c r="Z105" s="163"/>
      <c r="AA105" s="163"/>
      <c r="AB105" s="163"/>
      <c r="AC105" s="163"/>
      <c r="AD105" s="163"/>
      <c r="AE105" s="163"/>
      <c r="AF105" s="164"/>
      <c r="AG105" s="164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77"/>
      <c r="L106" s="178"/>
      <c r="M106" s="160"/>
      <c r="N106" s="160">
        <f t="shared" si="4"/>
        <v>1926.6</v>
      </c>
      <c r="O106" s="160">
        <f t="shared" si="5"/>
        <v>0.57999999999999996</v>
      </c>
      <c r="P106" s="160">
        <f t="shared" si="7"/>
        <v>1117.4279999999999</v>
      </c>
      <c r="Q106" s="201">
        <f t="shared" si="6"/>
        <v>0</v>
      </c>
      <c r="R106" s="202"/>
      <c r="S106" s="202"/>
      <c r="T106" s="163"/>
      <c r="U106" s="174"/>
      <c r="V106" s="175"/>
      <c r="W106" s="174"/>
      <c r="X106" s="175"/>
      <c r="Y106" s="163"/>
      <c r="Z106" s="163"/>
      <c r="AA106" s="163"/>
      <c r="AB106" s="163"/>
      <c r="AC106" s="163"/>
      <c r="AD106" s="163"/>
      <c r="AE106" s="163"/>
      <c r="AF106" s="164"/>
      <c r="AG106" s="164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77"/>
      <c r="L107" s="178"/>
      <c r="M107" s="160"/>
      <c r="N107" s="160">
        <f t="shared" si="4"/>
        <v>1541.28</v>
      </c>
      <c r="O107" s="160">
        <f t="shared" si="5"/>
        <v>0.57999999999999996</v>
      </c>
      <c r="P107" s="160">
        <f t="shared" si="7"/>
        <v>893.94239999999991</v>
      </c>
      <c r="Q107" s="201">
        <f t="shared" si="6"/>
        <v>1</v>
      </c>
      <c r="R107" s="202"/>
      <c r="S107" s="202"/>
      <c r="T107" s="163"/>
      <c r="U107" s="174"/>
      <c r="V107" s="175"/>
      <c r="W107" s="174"/>
      <c r="X107" s="175"/>
      <c r="Y107" s="163"/>
      <c r="Z107" s="163"/>
      <c r="AA107" s="163"/>
      <c r="AB107" s="163"/>
      <c r="AC107" s="163"/>
      <c r="AD107" s="163"/>
      <c r="AE107" s="163"/>
      <c r="AF107" s="164"/>
      <c r="AG107" s="164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77"/>
      <c r="L108" s="178"/>
      <c r="M108" s="160"/>
      <c r="N108" s="160">
        <f t="shared" si="4"/>
        <v>385.32</v>
      </c>
      <c r="O108" s="160">
        <f t="shared" si="5"/>
        <v>0.60029999999999994</v>
      </c>
      <c r="P108" s="160">
        <f t="shared" si="7"/>
        <v>231.30759599999996</v>
      </c>
      <c r="Q108" s="201">
        <f t="shared" si="6"/>
        <v>1</v>
      </c>
      <c r="R108" s="202"/>
      <c r="S108" s="202"/>
      <c r="T108" s="163"/>
      <c r="U108" s="174"/>
      <c r="V108" s="175"/>
      <c r="W108" s="174"/>
      <c r="X108" s="175"/>
      <c r="Y108" s="163"/>
      <c r="Z108" s="163"/>
      <c r="AA108" s="163"/>
      <c r="AB108" s="163"/>
      <c r="AC108" s="163"/>
      <c r="AD108" s="163"/>
      <c r="AE108" s="163"/>
      <c r="AF108" s="164"/>
      <c r="AG108" s="164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77"/>
      <c r="L109" s="178"/>
      <c r="M109" s="160"/>
      <c r="N109" s="160">
        <f t="shared" si="4"/>
        <v>385.32</v>
      </c>
      <c r="O109" s="160">
        <f t="shared" si="5"/>
        <v>0.60029999999999994</v>
      </c>
      <c r="P109" s="160">
        <f t="shared" si="7"/>
        <v>231.30759599999996</v>
      </c>
      <c r="Q109" s="201">
        <f t="shared" si="6"/>
        <v>0</v>
      </c>
      <c r="R109" s="202"/>
      <c r="S109" s="202"/>
      <c r="T109" s="163"/>
      <c r="U109" s="174"/>
      <c r="V109" s="175"/>
      <c r="W109" s="174"/>
      <c r="X109" s="175"/>
      <c r="Y109" s="163"/>
      <c r="Z109" s="163"/>
      <c r="AA109" s="163"/>
      <c r="AB109" s="163"/>
      <c r="AC109" s="163"/>
      <c r="AD109" s="163"/>
      <c r="AE109" s="163"/>
      <c r="AF109" s="164"/>
      <c r="AG109" s="164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77"/>
      <c r="L110" s="178"/>
      <c r="M110" s="160"/>
      <c r="N110" s="160">
        <f t="shared" si="4"/>
        <v>0</v>
      </c>
      <c r="O110" s="160">
        <f t="shared" si="5"/>
        <v>0</v>
      </c>
      <c r="P110" s="160">
        <f t="shared" si="7"/>
        <v>0</v>
      </c>
      <c r="Q110" s="201">
        <f t="shared" si="6"/>
        <v>1</v>
      </c>
      <c r="R110" s="202"/>
      <c r="S110" s="202"/>
      <c r="T110" s="163"/>
      <c r="U110" s="174"/>
      <c r="V110" s="175"/>
      <c r="W110" s="174"/>
      <c r="X110" s="175"/>
      <c r="Y110" s="163"/>
      <c r="Z110" s="163"/>
      <c r="AA110" s="163"/>
      <c r="AB110" s="163"/>
      <c r="AC110" s="163"/>
      <c r="AD110" s="163"/>
      <c r="AE110" s="163"/>
      <c r="AF110" s="164"/>
      <c r="AG110" s="164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60"/>
      <c r="B111" s="160"/>
      <c r="C111" s="160"/>
      <c r="D111" s="177"/>
      <c r="E111" s="177"/>
      <c r="F111" s="180"/>
      <c r="G111" s="180"/>
      <c r="H111" s="178"/>
      <c r="I111" s="160"/>
      <c r="J111" s="160"/>
      <c r="K111" s="177"/>
      <c r="L111" s="178"/>
      <c r="M111" s="160"/>
      <c r="N111" s="160">
        <f t="shared" si="4"/>
        <v>0</v>
      </c>
      <c r="O111" s="160">
        <f t="shared" si="5"/>
        <v>0</v>
      </c>
      <c r="P111" s="160">
        <f t="shared" si="7"/>
        <v>0</v>
      </c>
      <c r="Q111" s="201">
        <f t="shared" si="6"/>
        <v>1</v>
      </c>
      <c r="R111" s="202"/>
      <c r="S111" s="202"/>
      <c r="T111" s="163"/>
      <c r="U111" s="174"/>
      <c r="V111" s="175"/>
      <c r="W111" s="174"/>
      <c r="X111" s="175"/>
      <c r="Y111" s="163"/>
      <c r="Z111" s="163"/>
      <c r="AA111" s="163"/>
      <c r="AB111" s="163"/>
      <c r="AC111" s="163"/>
      <c r="AD111" s="163"/>
      <c r="AE111" s="163"/>
      <c r="AF111" s="164"/>
      <c r="AG111" s="164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77"/>
      <c r="L112" s="178"/>
      <c r="M112" s="160"/>
      <c r="N112" s="160">
        <f t="shared" si="4"/>
        <v>0</v>
      </c>
      <c r="O112" s="160">
        <f t="shared" si="5"/>
        <v>0</v>
      </c>
      <c r="P112" s="160">
        <f t="shared" si="7"/>
        <v>0</v>
      </c>
      <c r="Q112" s="201">
        <f t="shared" si="6"/>
        <v>1</v>
      </c>
      <c r="R112" s="202"/>
      <c r="S112" s="202"/>
      <c r="T112" s="163"/>
      <c r="U112" s="174"/>
      <c r="V112" s="175"/>
      <c r="W112" s="174"/>
      <c r="X112" s="175"/>
      <c r="Y112" s="163"/>
      <c r="Z112" s="163"/>
      <c r="AA112" s="163"/>
      <c r="AB112" s="163"/>
      <c r="AC112" s="163"/>
      <c r="AD112" s="163"/>
      <c r="AE112" s="163"/>
      <c r="AF112" s="164"/>
      <c r="AG112" s="164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77"/>
      <c r="L113" s="178"/>
      <c r="M113" s="160"/>
      <c r="N113" s="160">
        <f t="shared" si="4"/>
        <v>0</v>
      </c>
      <c r="O113" s="160">
        <f t="shared" si="5"/>
        <v>0.60029999999999994</v>
      </c>
      <c r="P113" s="160">
        <f t="shared" si="7"/>
        <v>0</v>
      </c>
      <c r="Q113" s="201">
        <f t="shared" si="6"/>
        <v>0</v>
      </c>
      <c r="R113" s="202"/>
      <c r="S113" s="202"/>
      <c r="T113" s="163"/>
      <c r="U113" s="174"/>
      <c r="V113" s="175"/>
      <c r="W113" s="174"/>
      <c r="X113" s="175"/>
      <c r="Y113" s="163"/>
      <c r="Z113" s="163"/>
      <c r="AA113" s="163"/>
      <c r="AB113" s="163"/>
      <c r="AC113" s="163"/>
      <c r="AD113" s="163"/>
      <c r="AE113" s="163"/>
      <c r="AF113" s="164"/>
      <c r="AG113" s="164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60"/>
      <c r="B114" s="160"/>
      <c r="C114" s="160"/>
      <c r="D114" s="177"/>
      <c r="E114" s="177"/>
      <c r="F114" s="180"/>
      <c r="G114" s="180"/>
      <c r="H114" s="178"/>
      <c r="I114" s="160"/>
      <c r="J114" s="160"/>
      <c r="K114" s="177"/>
      <c r="L114" s="178"/>
      <c r="M114" s="160"/>
      <c r="N114" s="160">
        <f t="shared" si="4"/>
        <v>0</v>
      </c>
      <c r="O114" s="160">
        <f t="shared" si="5"/>
        <v>0</v>
      </c>
      <c r="P114" s="160">
        <f t="shared" si="7"/>
        <v>0</v>
      </c>
      <c r="Q114" s="201">
        <f t="shared" si="6"/>
        <v>1</v>
      </c>
      <c r="R114" s="202"/>
      <c r="S114" s="202"/>
      <c r="T114" s="163"/>
      <c r="U114" s="174"/>
      <c r="V114" s="175"/>
      <c r="W114" s="174"/>
      <c r="X114" s="175"/>
      <c r="Y114" s="163"/>
      <c r="Z114" s="163"/>
      <c r="AA114" s="163"/>
      <c r="AB114" s="163"/>
      <c r="AC114" s="163"/>
      <c r="AD114" s="163"/>
      <c r="AE114" s="163"/>
      <c r="AF114" s="164"/>
      <c r="AG114" s="164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77"/>
      <c r="L115" s="178"/>
      <c r="M115" s="160"/>
      <c r="N115" s="160">
        <f t="shared" si="4"/>
        <v>10861.42</v>
      </c>
      <c r="O115" s="160">
        <f t="shared" si="5"/>
        <v>0.65410000000000001</v>
      </c>
      <c r="P115" s="160">
        <f t="shared" si="7"/>
        <v>7104.4548220000006</v>
      </c>
      <c r="Q115" s="201">
        <f t="shared" si="6"/>
        <v>0</v>
      </c>
      <c r="R115" s="202"/>
      <c r="S115" s="202"/>
      <c r="T115" s="163"/>
      <c r="U115" s="174"/>
      <c r="V115" s="175"/>
      <c r="W115" s="174"/>
      <c r="X115" s="175"/>
      <c r="Y115" s="163"/>
      <c r="Z115" s="163"/>
      <c r="AA115" s="163"/>
      <c r="AB115" s="163"/>
      <c r="AC115" s="163"/>
      <c r="AD115" s="163"/>
      <c r="AE115" s="163"/>
      <c r="AF115" s="164"/>
      <c r="AG115" s="164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60"/>
      <c r="B116" s="160"/>
      <c r="C116" s="160"/>
      <c r="D116" s="177"/>
      <c r="E116" s="177"/>
      <c r="F116" s="180"/>
      <c r="G116" s="180"/>
      <c r="H116" s="178"/>
      <c r="I116" s="160"/>
      <c r="J116" s="160"/>
      <c r="K116" s="177"/>
      <c r="L116" s="178"/>
      <c r="M116" s="160"/>
      <c r="N116" s="160">
        <f t="shared" si="4"/>
        <v>1303.3704</v>
      </c>
      <c r="O116" s="160">
        <f t="shared" si="5"/>
        <v>0.65410000000000001</v>
      </c>
      <c r="P116" s="160">
        <f t="shared" si="7"/>
        <v>852.53457864000006</v>
      </c>
      <c r="Q116" s="201">
        <f t="shared" si="6"/>
        <v>1</v>
      </c>
      <c r="R116" s="202"/>
      <c r="S116" s="202"/>
      <c r="T116" s="163"/>
      <c r="U116" s="174"/>
      <c r="V116" s="175"/>
      <c r="W116" s="174"/>
      <c r="X116" s="175"/>
      <c r="Y116" s="163"/>
      <c r="Z116" s="163"/>
      <c r="AA116" s="163"/>
      <c r="AB116" s="163"/>
      <c r="AC116" s="163"/>
      <c r="AD116" s="163"/>
      <c r="AE116" s="163"/>
      <c r="AF116" s="164"/>
      <c r="AG116" s="164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60"/>
      <c r="B117" s="160"/>
      <c r="C117" s="160"/>
      <c r="D117" s="177"/>
      <c r="E117" s="177"/>
      <c r="F117" s="179"/>
      <c r="G117" s="179"/>
      <c r="H117" s="160"/>
      <c r="I117" s="160"/>
      <c r="J117" s="160"/>
      <c r="K117" s="177"/>
      <c r="L117" s="178"/>
      <c r="M117" s="160"/>
      <c r="N117" s="160">
        <f t="shared" si="4"/>
        <v>0</v>
      </c>
      <c r="O117" s="160">
        <f t="shared" si="5"/>
        <v>0</v>
      </c>
      <c r="P117" s="160">
        <f t="shared" si="7"/>
        <v>0</v>
      </c>
      <c r="Q117" s="201">
        <f t="shared" si="6"/>
        <v>0</v>
      </c>
      <c r="R117" s="202"/>
      <c r="S117" s="202"/>
      <c r="T117" s="163"/>
      <c r="U117" s="174"/>
      <c r="V117" s="175"/>
      <c r="W117" s="174"/>
      <c r="X117" s="175"/>
      <c r="Y117" s="163"/>
      <c r="Z117" s="163"/>
      <c r="AA117" s="163"/>
      <c r="AB117" s="163"/>
      <c r="AC117" s="163"/>
      <c r="AD117" s="163"/>
      <c r="AE117" s="163"/>
      <c r="AF117" s="164"/>
      <c r="AG117" s="164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77"/>
      <c r="L118" s="178"/>
      <c r="M118" s="160"/>
      <c r="N118" s="160">
        <f t="shared" si="4"/>
        <v>9558.0496000000003</v>
      </c>
      <c r="O118" s="160">
        <f t="shared" si="5"/>
        <v>0.65410000000000001</v>
      </c>
      <c r="P118" s="160">
        <f t="shared" si="7"/>
        <v>6251.9202433600003</v>
      </c>
      <c r="Q118" s="201">
        <f t="shared" si="6"/>
        <v>0</v>
      </c>
      <c r="R118" s="202"/>
      <c r="S118" s="202"/>
      <c r="T118" s="163"/>
      <c r="U118" s="174"/>
      <c r="V118" s="175"/>
      <c r="W118" s="174"/>
      <c r="X118" s="175"/>
      <c r="Y118" s="163"/>
      <c r="Z118" s="163"/>
      <c r="AA118" s="163"/>
      <c r="AB118" s="163"/>
      <c r="AC118" s="163"/>
      <c r="AD118" s="163"/>
      <c r="AE118" s="163"/>
      <c r="AF118" s="164"/>
      <c r="AG118" s="164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77"/>
      <c r="L119" s="178"/>
      <c r="M119" s="160"/>
      <c r="N119" s="160">
        <f t="shared" si="4"/>
        <v>0</v>
      </c>
      <c r="O119" s="160">
        <f t="shared" si="5"/>
        <v>0</v>
      </c>
      <c r="P119" s="160">
        <f t="shared" si="7"/>
        <v>0</v>
      </c>
      <c r="Q119" s="201">
        <f t="shared" si="6"/>
        <v>0</v>
      </c>
      <c r="R119" s="202"/>
      <c r="S119" s="202"/>
      <c r="T119" s="163"/>
      <c r="U119" s="174"/>
      <c r="V119" s="175"/>
      <c r="W119" s="174"/>
      <c r="X119" s="175"/>
      <c r="Y119" s="163"/>
      <c r="Z119" s="163"/>
      <c r="AA119" s="163"/>
      <c r="AB119" s="163"/>
      <c r="AC119" s="163"/>
      <c r="AD119" s="163"/>
      <c r="AE119" s="163"/>
      <c r="AF119" s="164"/>
      <c r="AG119" s="164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77"/>
      <c r="L120" s="178"/>
      <c r="M120" s="160"/>
      <c r="N120" s="160">
        <f t="shared" si="4"/>
        <v>0</v>
      </c>
      <c r="O120" s="160">
        <f t="shared" si="5"/>
        <v>0</v>
      </c>
      <c r="P120" s="160">
        <f t="shared" si="7"/>
        <v>0</v>
      </c>
      <c r="Q120" s="201">
        <f t="shared" si="6"/>
        <v>0</v>
      </c>
      <c r="R120" s="202"/>
      <c r="S120" s="202"/>
      <c r="T120" s="163"/>
      <c r="U120" s="174"/>
      <c r="V120" s="175"/>
      <c r="W120" s="174"/>
      <c r="X120" s="175"/>
      <c r="Y120" s="163"/>
      <c r="Z120" s="163"/>
      <c r="AA120" s="163"/>
      <c r="AB120" s="163"/>
      <c r="AC120" s="163"/>
      <c r="AD120" s="163"/>
      <c r="AE120" s="163"/>
      <c r="AF120" s="164"/>
      <c r="AG120" s="164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60"/>
      <c r="B121" s="160"/>
      <c r="C121" s="160"/>
      <c r="D121" s="177"/>
      <c r="E121" s="177"/>
      <c r="F121" s="179"/>
      <c r="G121" s="179"/>
      <c r="H121" s="160"/>
      <c r="I121" s="160"/>
      <c r="J121" s="160"/>
      <c r="K121" s="177"/>
      <c r="L121" s="178"/>
      <c r="M121" s="160"/>
      <c r="N121" s="160">
        <f t="shared" si="4"/>
        <v>1688.6904</v>
      </c>
      <c r="O121" s="160">
        <f t="shared" si="5"/>
        <v>0.64180000000000004</v>
      </c>
      <c r="P121" s="160">
        <f t="shared" si="7"/>
        <v>1083.8014987199999</v>
      </c>
      <c r="Q121" s="201">
        <f t="shared" si="6"/>
        <v>0</v>
      </c>
      <c r="R121" s="202"/>
      <c r="S121" s="202"/>
      <c r="T121" s="163"/>
      <c r="U121" s="174"/>
      <c r="V121" s="175"/>
      <c r="W121" s="174"/>
      <c r="X121" s="175"/>
      <c r="Y121" s="163"/>
      <c r="Z121" s="163"/>
      <c r="AA121" s="163"/>
      <c r="AB121" s="163"/>
      <c r="AC121" s="163"/>
      <c r="AD121" s="163"/>
      <c r="AE121" s="163"/>
      <c r="AF121" s="164"/>
      <c r="AG121" s="164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77"/>
      <c r="L122" s="178"/>
      <c r="M122" s="160"/>
      <c r="N122" s="160">
        <f t="shared" si="4"/>
        <v>0</v>
      </c>
      <c r="O122" s="160">
        <f t="shared" si="5"/>
        <v>0</v>
      </c>
      <c r="P122" s="160">
        <f t="shared" si="7"/>
        <v>0</v>
      </c>
      <c r="Q122" s="201">
        <f t="shared" si="6"/>
        <v>0</v>
      </c>
      <c r="R122" s="202"/>
      <c r="S122" s="202"/>
      <c r="T122" s="163"/>
      <c r="U122" s="174"/>
      <c r="V122" s="175"/>
      <c r="W122" s="174"/>
      <c r="X122" s="175"/>
      <c r="Y122" s="163"/>
      <c r="Z122" s="163"/>
      <c r="AA122" s="163"/>
      <c r="AB122" s="163"/>
      <c r="AC122" s="163"/>
      <c r="AD122" s="163"/>
      <c r="AE122" s="163"/>
      <c r="AF122" s="164"/>
      <c r="AG122" s="164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60"/>
      <c r="B123" s="160"/>
      <c r="C123" s="160"/>
      <c r="D123" s="177"/>
      <c r="E123" s="177"/>
      <c r="F123" s="179"/>
      <c r="G123" s="177"/>
      <c r="H123" s="160"/>
      <c r="I123" s="160"/>
      <c r="J123" s="160"/>
      <c r="K123" s="177"/>
      <c r="L123" s="178"/>
      <c r="M123" s="160"/>
      <c r="N123" s="160">
        <f t="shared" si="4"/>
        <v>11473.344999999999</v>
      </c>
      <c r="O123" s="160">
        <f t="shared" si="5"/>
        <v>0</v>
      </c>
      <c r="P123" s="160">
        <f t="shared" si="7"/>
        <v>0</v>
      </c>
      <c r="Q123" s="201">
        <f t="shared" si="6"/>
        <v>0</v>
      </c>
      <c r="R123" s="202"/>
      <c r="S123" s="202"/>
      <c r="T123" s="163"/>
      <c r="U123" s="174"/>
      <c r="V123" s="175"/>
      <c r="W123" s="174"/>
      <c r="X123" s="175"/>
      <c r="Y123" s="163"/>
      <c r="Z123" s="163"/>
      <c r="AA123" s="163"/>
      <c r="AB123" s="163"/>
      <c r="AC123" s="163"/>
      <c r="AD123" s="163"/>
      <c r="AE123" s="163"/>
      <c r="AF123" s="164"/>
      <c r="AG123" s="164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77"/>
      <c r="L124" s="178"/>
      <c r="M124" s="160"/>
      <c r="N124" s="160">
        <f t="shared" si="4"/>
        <v>0</v>
      </c>
      <c r="O124" s="160">
        <f t="shared" si="5"/>
        <v>0</v>
      </c>
      <c r="P124" s="160">
        <f t="shared" si="7"/>
        <v>0</v>
      </c>
      <c r="Q124" s="201">
        <f t="shared" si="6"/>
        <v>1</v>
      </c>
      <c r="R124" s="202"/>
      <c r="S124" s="202"/>
      <c r="T124" s="163"/>
      <c r="U124" s="174"/>
      <c r="V124" s="175"/>
      <c r="W124" s="174"/>
      <c r="X124" s="175"/>
      <c r="Y124" s="163"/>
      <c r="Z124" s="163"/>
      <c r="AA124" s="163"/>
      <c r="AB124" s="163"/>
      <c r="AC124" s="163"/>
      <c r="AD124" s="163"/>
      <c r="AE124" s="163"/>
      <c r="AF124" s="164"/>
      <c r="AG124" s="164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60"/>
      <c r="B125" s="160"/>
      <c r="C125" s="160"/>
      <c r="D125" s="177"/>
      <c r="E125" s="177"/>
      <c r="F125" s="179"/>
      <c r="G125" s="160"/>
      <c r="H125" s="160"/>
      <c r="I125" s="160"/>
      <c r="J125" s="160"/>
      <c r="K125" s="177"/>
      <c r="L125" s="178"/>
      <c r="M125" s="160"/>
      <c r="N125" s="160">
        <f t="shared" si="4"/>
        <v>0</v>
      </c>
      <c r="O125" s="160">
        <f t="shared" si="5"/>
        <v>0</v>
      </c>
      <c r="P125" s="160">
        <f t="shared" si="7"/>
        <v>0</v>
      </c>
      <c r="Q125" s="201">
        <f t="shared" si="6"/>
        <v>0</v>
      </c>
      <c r="R125" s="202"/>
      <c r="S125" s="202"/>
      <c r="T125" s="163"/>
      <c r="U125" s="174"/>
      <c r="V125" s="175"/>
      <c r="W125" s="174"/>
      <c r="X125" s="175"/>
      <c r="Y125" s="163"/>
      <c r="Z125" s="163"/>
      <c r="AA125" s="163"/>
      <c r="AB125" s="163"/>
      <c r="AC125" s="163"/>
      <c r="AD125" s="163"/>
      <c r="AE125" s="163"/>
      <c r="AF125" s="164"/>
      <c r="AG125" s="164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77"/>
      <c r="L126" s="178"/>
      <c r="M126" s="160"/>
      <c r="N126" s="160">
        <f t="shared" si="4"/>
        <v>0</v>
      </c>
      <c r="O126" s="160">
        <f t="shared" si="5"/>
        <v>0</v>
      </c>
      <c r="P126" s="160">
        <f t="shared" si="7"/>
        <v>0</v>
      </c>
      <c r="Q126" s="201">
        <f t="shared" si="6"/>
        <v>0</v>
      </c>
      <c r="R126" s="202"/>
      <c r="S126" s="202"/>
      <c r="T126" s="163"/>
      <c r="U126" s="174"/>
      <c r="V126" s="175"/>
      <c r="W126" s="174"/>
      <c r="X126" s="175"/>
      <c r="Y126" s="163"/>
      <c r="Z126" s="163"/>
      <c r="AA126" s="163"/>
      <c r="AB126" s="163"/>
      <c r="AC126" s="163"/>
      <c r="AD126" s="163"/>
      <c r="AE126" s="163"/>
      <c r="AF126" s="164"/>
      <c r="AG126" s="164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81"/>
      <c r="S127" s="181"/>
      <c r="T127" s="181"/>
      <c r="U127" s="181"/>
      <c r="V127" s="181"/>
      <c r="W127" s="181"/>
      <c r="X127" s="181"/>
      <c r="Y127" s="181"/>
      <c r="Z127" s="181"/>
      <c r="AA127" s="181"/>
      <c r="AB127" s="181"/>
      <c r="AC127" s="181"/>
      <c r="AD127" s="181"/>
      <c r="AE127" s="181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81"/>
      <c r="S128" s="181"/>
      <c r="T128" s="181"/>
      <c r="U128" s="181"/>
      <c r="V128" s="181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230"/>
      <c r="L129" s="230"/>
      <c r="M129" s="160"/>
      <c r="N129" s="198"/>
      <c r="O129" s="198"/>
      <c r="P129" s="160"/>
      <c r="Q129" s="160"/>
      <c r="R129" s="203"/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  <c r="AD129" s="181"/>
      <c r="AE129" s="181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98"/>
      <c r="L130" s="198"/>
      <c r="M130" s="160"/>
      <c r="N130" s="198"/>
      <c r="O130" s="198"/>
      <c r="P130" s="160"/>
      <c r="Q130" s="160"/>
      <c r="R130" s="203"/>
      <c r="S130" s="203"/>
      <c r="T130" s="181"/>
      <c r="U130" s="181"/>
      <c r="V130" s="181"/>
      <c r="W130" s="181"/>
      <c r="X130" s="181"/>
      <c r="Y130" s="181"/>
      <c r="Z130" s="181"/>
      <c r="AA130" s="181"/>
      <c r="AB130" s="181"/>
      <c r="AC130" s="181"/>
      <c r="AD130" s="181"/>
      <c r="AE130" s="181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77"/>
      <c r="O131" s="178"/>
      <c r="P131" s="160"/>
      <c r="Q131" s="160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  <c r="AD131" s="181"/>
      <c r="AE131" s="181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77"/>
      <c r="O132" s="178"/>
      <c r="P132" s="160"/>
      <c r="Q132" s="160"/>
      <c r="R132" s="181"/>
      <c r="S132" s="181"/>
      <c r="T132" s="181"/>
      <c r="U132" s="181"/>
      <c r="V132" s="181"/>
      <c r="W132" s="181"/>
      <c r="X132" s="181"/>
      <c r="Y132" s="181"/>
      <c r="Z132" s="181"/>
      <c r="AA132" s="181"/>
      <c r="AB132" s="181"/>
      <c r="AC132" s="181"/>
      <c r="AD132" s="181"/>
      <c r="AE132" s="181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77"/>
      <c r="O133" s="178"/>
      <c r="P133" s="160"/>
      <c r="Q133" s="160"/>
      <c r="R133" s="181"/>
      <c r="S133" s="181"/>
      <c r="T133" s="181"/>
      <c r="U133" s="181"/>
      <c r="V133" s="181"/>
      <c r="W133" s="181"/>
      <c r="X133" s="181"/>
      <c r="Y133" s="181"/>
      <c r="Z133" s="181"/>
      <c r="AA133" s="181"/>
      <c r="AB133" s="181"/>
      <c r="AC133" s="181"/>
      <c r="AD133" s="181"/>
      <c r="AE133" s="181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77"/>
      <c r="O134" s="178"/>
      <c r="P134" s="160"/>
      <c r="Q134" s="160"/>
      <c r="R134" s="181"/>
      <c r="S134" s="181"/>
      <c r="T134" s="181"/>
      <c r="U134" s="181"/>
      <c r="V134" s="181"/>
      <c r="W134" s="181"/>
      <c r="X134" s="181"/>
      <c r="Y134" s="181"/>
      <c r="Z134" s="181"/>
      <c r="AA134" s="181"/>
      <c r="AB134" s="181"/>
      <c r="AC134" s="181"/>
      <c r="AD134" s="181"/>
      <c r="AE134" s="181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77"/>
      <c r="O135" s="178"/>
      <c r="P135" s="160"/>
      <c r="Q135" s="160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77"/>
      <c r="O136" s="178"/>
      <c r="P136" s="160"/>
      <c r="Q136" s="160"/>
      <c r="R136" s="181"/>
      <c r="S136" s="181"/>
      <c r="T136" s="181"/>
      <c r="U136" s="181"/>
      <c r="V136" s="181"/>
      <c r="W136" s="181"/>
      <c r="X136" s="181"/>
      <c r="Y136" s="181"/>
      <c r="Z136" s="181"/>
      <c r="AA136" s="181"/>
      <c r="AB136" s="181"/>
      <c r="AC136" s="181"/>
      <c r="AD136" s="181"/>
      <c r="AE136" s="181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77"/>
      <c r="O137" s="178"/>
      <c r="P137" s="160"/>
      <c r="Q137" s="160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77"/>
      <c r="O138" s="178"/>
      <c r="P138" s="160"/>
      <c r="Q138" s="160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77"/>
      <c r="O139" s="178"/>
      <c r="P139" s="160"/>
      <c r="Q139" s="160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1"/>
      <c r="AE139" s="181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77"/>
      <c r="O140" s="178"/>
      <c r="P140" s="160"/>
      <c r="Q140" s="160"/>
      <c r="R140" s="181"/>
      <c r="S140" s="181"/>
      <c r="T140" s="181"/>
      <c r="U140" s="181"/>
      <c r="V140" s="181"/>
      <c r="W140" s="181"/>
      <c r="X140" s="181"/>
      <c r="Y140" s="181"/>
      <c r="Z140" s="181"/>
      <c r="AA140" s="181"/>
      <c r="AB140" s="181"/>
      <c r="AC140" s="181"/>
      <c r="AD140" s="181"/>
      <c r="AE140" s="181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77"/>
      <c r="O141" s="178"/>
      <c r="P141" s="160"/>
      <c r="Q141" s="160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1"/>
      <c r="AE141" s="181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77"/>
      <c r="O142" s="178"/>
      <c r="P142" s="160"/>
      <c r="Q142" s="160"/>
      <c r="R142" s="181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77"/>
      <c r="O143" s="178"/>
      <c r="P143" s="160"/>
      <c r="Q143" s="160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77"/>
      <c r="O144" s="178"/>
      <c r="P144" s="160"/>
      <c r="Q144" s="160"/>
      <c r="R144" s="181"/>
      <c r="S144" s="181"/>
      <c r="T144" s="181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77"/>
      <c r="O145" s="178"/>
      <c r="P145" s="160"/>
      <c r="Q145" s="160"/>
      <c r="R145" s="181"/>
      <c r="S145" s="181"/>
      <c r="T145" s="181"/>
      <c r="U145" s="181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77"/>
      <c r="O146" s="178"/>
      <c r="P146" s="160"/>
      <c r="Q146" s="160"/>
      <c r="R146" s="181"/>
      <c r="S146" s="181"/>
      <c r="T146" s="181"/>
      <c r="U146" s="181"/>
      <c r="V146" s="181"/>
      <c r="W146" s="181"/>
      <c r="X146" s="181"/>
      <c r="Y146" s="181"/>
      <c r="Z146" s="181"/>
      <c r="AA146" s="181"/>
      <c r="AB146" s="181"/>
      <c r="AC146" s="181"/>
      <c r="AD146" s="181"/>
      <c r="AE146" s="181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77"/>
      <c r="O147" s="178"/>
      <c r="P147" s="160"/>
      <c r="Q147" s="160"/>
      <c r="R147" s="181"/>
      <c r="S147" s="181"/>
      <c r="T147" s="181"/>
      <c r="U147" s="181"/>
      <c r="V147" s="181"/>
      <c r="W147" s="181"/>
      <c r="X147" s="181"/>
      <c r="Y147" s="181"/>
      <c r="Z147" s="181"/>
      <c r="AA147" s="181"/>
      <c r="AB147" s="181"/>
      <c r="AC147" s="181"/>
      <c r="AD147" s="181"/>
      <c r="AE147" s="181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77"/>
      <c r="O148" s="178"/>
      <c r="P148" s="160"/>
      <c r="Q148" s="160"/>
      <c r="R148" s="181"/>
      <c r="S148" s="181"/>
      <c r="T148" s="181"/>
      <c r="U148" s="181"/>
      <c r="V148" s="181"/>
      <c r="W148" s="181"/>
      <c r="X148" s="181"/>
      <c r="Y148" s="181"/>
      <c r="Z148" s="181"/>
      <c r="AA148" s="181"/>
      <c r="AB148" s="181"/>
      <c r="AC148" s="181"/>
      <c r="AD148" s="181"/>
      <c r="AE148" s="181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77"/>
      <c r="O149" s="178"/>
      <c r="P149" s="160"/>
      <c r="Q149" s="160"/>
      <c r="R149" s="181"/>
      <c r="S149" s="181"/>
      <c r="T149" s="181"/>
      <c r="U149" s="181"/>
      <c r="V149" s="181"/>
      <c r="W149" s="181"/>
      <c r="X149" s="181"/>
      <c r="Y149" s="181"/>
      <c r="Z149" s="181"/>
      <c r="AA149" s="181"/>
      <c r="AB149" s="181"/>
      <c r="AC149" s="181"/>
      <c r="AD149" s="181"/>
      <c r="AE149" s="181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77"/>
      <c r="O150" s="178"/>
      <c r="P150" s="160"/>
      <c r="Q150" s="160"/>
      <c r="R150" s="181"/>
      <c r="S150" s="181"/>
      <c r="T150" s="181"/>
      <c r="U150" s="181"/>
      <c r="V150" s="181"/>
      <c r="W150" s="181"/>
      <c r="X150" s="181"/>
      <c r="Y150" s="181"/>
      <c r="Z150" s="181"/>
      <c r="AA150" s="181"/>
      <c r="AB150" s="181"/>
      <c r="AC150" s="181"/>
      <c r="AD150" s="181"/>
      <c r="AE150" s="181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77"/>
      <c r="O151" s="178"/>
      <c r="P151" s="160"/>
      <c r="Q151" s="160"/>
      <c r="R151" s="181"/>
      <c r="S151" s="181"/>
      <c r="T151" s="181"/>
      <c r="U151" s="181"/>
      <c r="V151" s="181"/>
      <c r="W151" s="181"/>
      <c r="X151" s="181"/>
      <c r="Y151" s="181"/>
      <c r="Z151" s="181"/>
      <c r="AA151" s="181"/>
      <c r="AB151" s="181"/>
      <c r="AC151" s="181"/>
      <c r="AD151" s="181"/>
      <c r="AE151" s="181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77"/>
      <c r="O152" s="178"/>
      <c r="P152" s="160"/>
      <c r="Q152" s="160"/>
      <c r="R152" s="181"/>
      <c r="S152" s="181"/>
      <c r="T152" s="181"/>
      <c r="U152" s="181"/>
      <c r="V152" s="181"/>
      <c r="W152" s="181"/>
      <c r="X152" s="181"/>
      <c r="Y152" s="181"/>
      <c r="Z152" s="181"/>
      <c r="AA152" s="181"/>
      <c r="AB152" s="181"/>
      <c r="AC152" s="181"/>
      <c r="AD152" s="181"/>
      <c r="AE152" s="181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77"/>
      <c r="O153" s="178"/>
      <c r="P153" s="160"/>
      <c r="Q153" s="160"/>
      <c r="R153" s="181"/>
      <c r="S153" s="181"/>
      <c r="T153" s="181"/>
      <c r="U153" s="181"/>
      <c r="V153" s="181"/>
      <c r="W153" s="181"/>
      <c r="X153" s="181"/>
      <c r="Y153" s="181"/>
      <c r="Z153" s="181"/>
      <c r="AA153" s="181"/>
      <c r="AB153" s="181"/>
      <c r="AC153" s="181"/>
      <c r="AD153" s="181"/>
      <c r="AE153" s="181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77"/>
      <c r="O154" s="178"/>
      <c r="P154" s="160"/>
      <c r="Q154" s="160"/>
      <c r="R154" s="181"/>
      <c r="S154" s="181"/>
      <c r="T154" s="181"/>
      <c r="U154" s="181"/>
      <c r="V154" s="181"/>
      <c r="W154" s="181"/>
      <c r="X154" s="181"/>
      <c r="Y154" s="181"/>
      <c r="Z154" s="181"/>
      <c r="AA154" s="181"/>
      <c r="AB154" s="181"/>
      <c r="AC154" s="181"/>
      <c r="AD154" s="181"/>
      <c r="AE154" s="181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77"/>
      <c r="O155" s="178"/>
      <c r="P155" s="160"/>
      <c r="Q155" s="160"/>
      <c r="R155" s="181"/>
      <c r="S155" s="181"/>
      <c r="T155" s="181"/>
      <c r="U155" s="181"/>
      <c r="V155" s="181"/>
      <c r="W155" s="181"/>
      <c r="X155" s="181"/>
      <c r="Y155" s="181"/>
      <c r="Z155" s="181"/>
      <c r="AA155" s="181"/>
      <c r="AB155" s="181"/>
      <c r="AC155" s="181"/>
      <c r="AD155" s="181"/>
      <c r="AE155" s="181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77"/>
      <c r="O156" s="178"/>
      <c r="P156" s="160"/>
      <c r="Q156" s="160"/>
      <c r="R156" s="181"/>
      <c r="S156" s="181"/>
      <c r="T156" s="181"/>
      <c r="U156" s="181"/>
      <c r="V156" s="181"/>
      <c r="W156" s="181"/>
      <c r="X156" s="181"/>
      <c r="Y156" s="181"/>
      <c r="Z156" s="181"/>
      <c r="AA156" s="181"/>
      <c r="AB156" s="181"/>
      <c r="AC156" s="181"/>
      <c r="AD156" s="181"/>
      <c r="AE156" s="181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77"/>
      <c r="O157" s="178"/>
      <c r="P157" s="160"/>
      <c r="Q157" s="160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77"/>
      <c r="O158" s="178"/>
      <c r="P158" s="160"/>
      <c r="Q158" s="160"/>
      <c r="R158" s="181"/>
      <c r="S158" s="181"/>
      <c r="T158" s="181"/>
      <c r="U158" s="181"/>
      <c r="V158" s="181"/>
      <c r="W158" s="181"/>
      <c r="X158" s="181"/>
      <c r="Y158" s="181"/>
      <c r="Z158" s="181"/>
      <c r="AA158" s="181"/>
      <c r="AB158" s="181"/>
      <c r="AC158" s="181"/>
      <c r="AD158" s="181"/>
      <c r="AE158" s="181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77"/>
      <c r="O159" s="178"/>
      <c r="P159" s="160"/>
      <c r="Q159" s="160"/>
      <c r="R159" s="181"/>
      <c r="S159" s="181"/>
      <c r="T159" s="181"/>
      <c r="U159" s="181"/>
      <c r="V159" s="181"/>
      <c r="W159" s="181"/>
      <c r="X159" s="181"/>
      <c r="Y159" s="181"/>
      <c r="Z159" s="181"/>
      <c r="AA159" s="181"/>
      <c r="AB159" s="181"/>
      <c r="AC159" s="181"/>
      <c r="AD159" s="181"/>
      <c r="AE159" s="181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77"/>
      <c r="O160" s="178"/>
      <c r="P160" s="160"/>
      <c r="Q160" s="160"/>
      <c r="R160" s="181"/>
      <c r="S160" s="181"/>
      <c r="T160" s="181"/>
      <c r="U160" s="181"/>
      <c r="V160" s="181"/>
      <c r="W160" s="181"/>
      <c r="X160" s="181"/>
      <c r="Y160" s="181"/>
      <c r="Z160" s="181"/>
      <c r="AA160" s="181"/>
      <c r="AB160" s="181"/>
      <c r="AC160" s="181"/>
      <c r="AD160" s="181"/>
      <c r="AE160" s="181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77"/>
      <c r="O161" s="178"/>
      <c r="P161" s="160"/>
      <c r="Q161" s="160"/>
      <c r="R161" s="181"/>
      <c r="S161" s="181"/>
      <c r="T161" s="181"/>
      <c r="U161" s="181"/>
      <c r="V161" s="181"/>
      <c r="W161" s="181"/>
      <c r="X161" s="181"/>
      <c r="Y161" s="181"/>
      <c r="Z161" s="181"/>
      <c r="AA161" s="181"/>
      <c r="AB161" s="181"/>
      <c r="AC161" s="181"/>
      <c r="AD161" s="181"/>
      <c r="AE161" s="181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77"/>
      <c r="O162" s="178"/>
      <c r="P162" s="160"/>
      <c r="Q162" s="160"/>
      <c r="R162" s="181"/>
      <c r="S162" s="181"/>
      <c r="T162" s="181"/>
      <c r="U162" s="181"/>
      <c r="V162" s="181"/>
      <c r="W162" s="181"/>
      <c r="X162" s="181"/>
      <c r="Y162" s="181"/>
      <c r="Z162" s="181"/>
      <c r="AA162" s="181"/>
      <c r="AB162" s="181"/>
      <c r="AC162" s="181"/>
      <c r="AD162" s="181"/>
      <c r="AE162" s="181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77"/>
      <c r="O163" s="178"/>
      <c r="P163" s="160"/>
      <c r="Q163" s="160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77"/>
      <c r="O164" s="178"/>
      <c r="P164" s="160"/>
      <c r="Q164" s="160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77"/>
      <c r="O165" s="178"/>
      <c r="P165" s="160"/>
      <c r="Q165" s="160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77"/>
      <c r="O166" s="178"/>
      <c r="P166" s="160"/>
      <c r="Q166" s="160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77"/>
      <c r="O167" s="178"/>
      <c r="P167" s="160"/>
      <c r="Q167" s="160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77"/>
      <c r="O168" s="178"/>
      <c r="P168" s="160"/>
      <c r="Q168" s="160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77"/>
      <c r="O169" s="178"/>
      <c r="P169" s="160"/>
      <c r="Q169" s="160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77"/>
      <c r="O170" s="178"/>
      <c r="P170" s="160"/>
      <c r="Q170" s="16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77"/>
      <c r="O171" s="178"/>
      <c r="P171" s="160"/>
      <c r="Q171" s="160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77"/>
      <c r="O172" s="178"/>
      <c r="P172" s="160"/>
      <c r="Q172" s="16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77"/>
      <c r="O173" s="178"/>
      <c r="P173" s="160"/>
      <c r="Q173" s="16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77"/>
      <c r="O174" s="178"/>
      <c r="P174" s="160"/>
      <c r="Q174" s="16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77"/>
      <c r="O175" s="178"/>
      <c r="P175" s="160"/>
      <c r="Q175" s="16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77"/>
      <c r="O176" s="178"/>
      <c r="P176" s="160"/>
      <c r="Q176" s="16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77"/>
      <c r="O177" s="178"/>
      <c r="P177" s="160"/>
      <c r="Q177" s="16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77"/>
      <c r="O178" s="178"/>
      <c r="P178" s="160"/>
      <c r="Q178" s="16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77"/>
      <c r="O179" s="178"/>
      <c r="P179" s="160"/>
      <c r="Q179" s="16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77"/>
      <c r="O180" s="178"/>
      <c r="P180" s="160"/>
      <c r="Q180" s="16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77"/>
      <c r="O181" s="178"/>
      <c r="P181" s="160"/>
      <c r="Q181" s="16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77"/>
      <c r="O182" s="178"/>
      <c r="P182" s="160"/>
      <c r="Q182" s="16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77"/>
      <c r="O183" s="178"/>
      <c r="P183" s="160"/>
      <c r="Q183" s="16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77"/>
      <c r="O184" s="178"/>
      <c r="P184" s="160"/>
      <c r="Q184" s="160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77"/>
      <c r="O185" s="178"/>
      <c r="P185" s="160"/>
      <c r="Q185" s="160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77"/>
      <c r="O186" s="178"/>
      <c r="P186" s="160"/>
      <c r="Q186" s="160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77"/>
      <c r="O187" s="178"/>
      <c r="P187" s="160"/>
      <c r="Q187" s="160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77"/>
      <c r="O188" s="178"/>
      <c r="P188" s="160"/>
      <c r="Q188" s="160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77"/>
      <c r="O189" s="178"/>
      <c r="P189" s="160"/>
      <c r="Q189" s="160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77"/>
      <c r="O190" s="178"/>
      <c r="P190" s="160"/>
      <c r="Q190" s="160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98"/>
      <c r="L195" s="198"/>
      <c r="M195" s="160"/>
      <c r="N195" s="160"/>
      <c r="O195" s="160"/>
      <c r="P195" s="160"/>
      <c r="Q195" s="160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98"/>
      <c r="L196" s="198"/>
      <c r="M196" s="160"/>
      <c r="N196" s="160"/>
      <c r="O196" s="160"/>
      <c r="P196" s="160"/>
      <c r="Q196" s="160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63"/>
      <c r="E236" s="163"/>
      <c r="F236" s="163"/>
      <c r="G236" s="163"/>
      <c r="H236" s="163"/>
      <c r="I236" s="163"/>
      <c r="J236" s="163"/>
      <c r="K236" s="163"/>
      <c r="L236" s="163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63"/>
      <c r="E237" s="163"/>
      <c r="F237" s="163"/>
      <c r="G237" s="163"/>
      <c r="H237" s="163"/>
      <c r="I237" s="163"/>
      <c r="J237" s="163"/>
      <c r="K237" s="163"/>
      <c r="L237" s="163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63"/>
      <c r="E238" s="163"/>
      <c r="F238" s="163"/>
      <c r="G238" s="163"/>
      <c r="H238" s="163"/>
      <c r="I238" s="163"/>
      <c r="J238" s="163"/>
      <c r="K238" s="163"/>
      <c r="L238" s="16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63"/>
      <c r="E239" s="163"/>
      <c r="F239" s="163"/>
      <c r="G239" s="163"/>
      <c r="H239" s="163"/>
      <c r="I239" s="163"/>
      <c r="J239" s="163"/>
      <c r="K239" s="163"/>
      <c r="L239" s="163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63"/>
      <c r="E240" s="163"/>
      <c r="F240" s="163"/>
      <c r="G240" s="163"/>
      <c r="H240" s="163"/>
      <c r="I240" s="163"/>
      <c r="J240" s="163"/>
      <c r="K240" s="163"/>
      <c r="L240" s="163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63"/>
      <c r="E241" s="163"/>
      <c r="F241" s="163"/>
      <c r="G241" s="163"/>
      <c r="H241" s="163"/>
      <c r="I241" s="163"/>
      <c r="J241" s="163"/>
      <c r="K241" s="163"/>
      <c r="L241" s="163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63"/>
      <c r="E242" s="163"/>
      <c r="F242" s="163"/>
      <c r="G242" s="163"/>
      <c r="H242" s="163"/>
      <c r="I242" s="163"/>
      <c r="J242" s="163"/>
      <c r="K242" s="163"/>
      <c r="L242" s="163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63"/>
      <c r="E243" s="163"/>
      <c r="F243" s="163"/>
      <c r="G243" s="163"/>
      <c r="H243" s="163"/>
      <c r="I243" s="163"/>
      <c r="J243" s="163"/>
      <c r="K243" s="163"/>
      <c r="L243" s="163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63"/>
      <c r="E244" s="163"/>
      <c r="F244" s="163"/>
      <c r="G244" s="163"/>
      <c r="H244" s="163"/>
      <c r="I244" s="163"/>
      <c r="J244" s="163"/>
      <c r="K244" s="163"/>
      <c r="L244" s="163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63"/>
      <c r="E245" s="163"/>
      <c r="F245" s="163"/>
      <c r="G245" s="163"/>
      <c r="H245" s="163"/>
      <c r="I245" s="163"/>
      <c r="J245" s="163"/>
      <c r="K245" s="163"/>
      <c r="L245" s="163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63"/>
      <c r="E246" s="163"/>
      <c r="F246" s="163"/>
      <c r="G246" s="163"/>
      <c r="H246" s="163"/>
      <c r="I246" s="163"/>
      <c r="J246" s="163"/>
      <c r="K246" s="163"/>
      <c r="L246" s="163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63"/>
      <c r="E247" s="163"/>
      <c r="F247" s="163"/>
      <c r="G247" s="163"/>
      <c r="H247" s="163"/>
      <c r="I247" s="163"/>
      <c r="J247" s="163"/>
      <c r="K247" s="163"/>
      <c r="L247" s="163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63"/>
      <c r="E248" s="163"/>
      <c r="F248" s="163"/>
      <c r="G248" s="163"/>
      <c r="H248" s="163"/>
      <c r="I248" s="163"/>
      <c r="J248" s="163"/>
      <c r="K248" s="163"/>
      <c r="L248" s="163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63"/>
      <c r="E249" s="163"/>
      <c r="F249" s="163"/>
      <c r="G249" s="163"/>
      <c r="H249" s="163"/>
      <c r="I249" s="163"/>
      <c r="J249" s="163"/>
      <c r="K249" s="163"/>
      <c r="L249" s="163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63"/>
      <c r="E250" s="163"/>
      <c r="F250" s="163"/>
      <c r="G250" s="163"/>
      <c r="H250" s="163"/>
      <c r="I250" s="163"/>
      <c r="J250" s="163"/>
      <c r="K250" s="163"/>
      <c r="L250" s="163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63"/>
      <c r="E251" s="163"/>
      <c r="F251" s="163"/>
      <c r="G251" s="163"/>
      <c r="H251" s="163"/>
      <c r="I251" s="163"/>
      <c r="J251" s="163"/>
      <c r="K251" s="163"/>
      <c r="L251" s="163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63"/>
      <c r="E252" s="163"/>
      <c r="F252" s="163"/>
      <c r="G252" s="163"/>
      <c r="H252" s="163"/>
      <c r="I252" s="163"/>
      <c r="J252" s="163"/>
      <c r="K252" s="163"/>
      <c r="L252" s="163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63"/>
      <c r="E253" s="163"/>
      <c r="F253" s="163"/>
      <c r="G253" s="163"/>
      <c r="H253" s="163"/>
      <c r="I253" s="163"/>
      <c r="J253" s="163"/>
      <c r="K253" s="163"/>
      <c r="L253" s="163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63"/>
      <c r="E254" s="163"/>
      <c r="F254" s="163"/>
      <c r="G254" s="163"/>
      <c r="H254" s="163"/>
      <c r="I254" s="163"/>
      <c r="J254" s="163"/>
      <c r="K254" s="163"/>
      <c r="L254" s="163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63"/>
      <c r="E255" s="163"/>
      <c r="F255" s="163"/>
      <c r="G255" s="163"/>
      <c r="H255" s="163"/>
      <c r="I255" s="163"/>
      <c r="J255" s="163"/>
      <c r="K255" s="163"/>
      <c r="L255" s="163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63"/>
      <c r="E256" s="163"/>
      <c r="F256" s="163"/>
      <c r="G256" s="163"/>
      <c r="H256" s="163"/>
      <c r="I256" s="163"/>
      <c r="J256" s="163"/>
      <c r="K256" s="163"/>
      <c r="L256" s="163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opLeftCell="A44" zoomScale="160" zoomScaleNormal="160" workbookViewId="0">
      <selection activeCell="B2" sqref="B2:B61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57"/>
      <c r="B1" s="197" t="s">
        <v>34</v>
      </c>
      <c r="C1" s="197" t="s">
        <v>9</v>
      </c>
      <c r="D1" s="20" t="s">
        <v>171</v>
      </c>
    </row>
    <row r="2" spans="1:4">
      <c r="A2" s="182" t="s">
        <v>122</v>
      </c>
      <c r="B2" s="240">
        <f>Utilidad!A1</f>
        <v>261455.17020557521</v>
      </c>
      <c r="C2" s="156">
        <f>Utilidad!B1</f>
        <v>0.58909999999999996</v>
      </c>
      <c r="D2" s="204">
        <f>(0.83)%</f>
        <v>8.3000000000000001E-3</v>
      </c>
    </row>
    <row r="3" spans="1:4">
      <c r="A3" s="183" t="s">
        <v>123</v>
      </c>
      <c r="B3" s="240">
        <f>Utilidad!A2</f>
        <v>11473.344999999999</v>
      </c>
      <c r="C3" s="156">
        <f>Utilidad!B2</f>
        <v>0.62939999999999996</v>
      </c>
      <c r="D3" s="204">
        <f>0.0072</f>
        <v>7.1999999999999998E-3</v>
      </c>
    </row>
    <row r="4" spans="1:4">
      <c r="A4" s="183" t="s">
        <v>124</v>
      </c>
      <c r="B4" s="240">
        <f>Utilidad!A3</f>
        <v>249981.82520557521</v>
      </c>
      <c r="C4" s="156">
        <f>Utilidad!B3</f>
        <v>0.58720000000000006</v>
      </c>
      <c r="D4" s="204">
        <f>0.0089</f>
        <v>8.8999999999999999E-3</v>
      </c>
    </row>
    <row r="5" spans="1:4">
      <c r="A5" s="183" t="s">
        <v>125</v>
      </c>
      <c r="B5" s="240">
        <f>Utilidad!A4</f>
        <v>-4116.7369201152997</v>
      </c>
      <c r="C5" s="156">
        <f>Utilidad!B4</f>
        <v>0.6</v>
      </c>
      <c r="D5" s="204">
        <f>0.0089</f>
        <v>8.8999999999999999E-3</v>
      </c>
    </row>
    <row r="6" spans="1:4">
      <c r="A6" s="183" t="s">
        <v>126</v>
      </c>
      <c r="B6" s="240">
        <f>Utilidad!A5</f>
        <v>254098.5621256904</v>
      </c>
      <c r="C6" s="156">
        <f>Utilidad!B5</f>
        <v>0.6</v>
      </c>
      <c r="D6" s="204">
        <f>0.0076</f>
        <v>7.6E-3</v>
      </c>
    </row>
    <row r="7" spans="1:4">
      <c r="A7" s="183" t="s">
        <v>30</v>
      </c>
      <c r="B7" s="240">
        <f>Utilidad!A6</f>
        <v>693.98717870610005</v>
      </c>
      <c r="C7" s="156">
        <f>Utilidad!B6</f>
        <v>0.6</v>
      </c>
      <c r="D7" s="204">
        <f t="shared" ref="D7:D61" si="0">0.0072</f>
        <v>7.1999999999999998E-3</v>
      </c>
    </row>
    <row r="8" spans="1:4">
      <c r="A8" s="183" t="s">
        <v>127</v>
      </c>
      <c r="B8" s="240">
        <f>Utilidad!A7</f>
        <v>253404.5749469843</v>
      </c>
      <c r="C8" s="156">
        <f>Utilidad!B7</f>
        <v>0.6</v>
      </c>
      <c r="D8" s="204">
        <f t="shared" si="0"/>
        <v>7.1999999999999998E-3</v>
      </c>
    </row>
    <row r="9" spans="1:4">
      <c r="A9" s="183" t="s">
        <v>128</v>
      </c>
      <c r="B9" s="240">
        <f>Utilidad!A8</f>
        <v>1500</v>
      </c>
      <c r="C9" s="156">
        <f>Utilidad!B8</f>
        <v>0.6</v>
      </c>
      <c r="D9" s="204">
        <f t="shared" si="0"/>
        <v>7.1999999999999998E-3</v>
      </c>
    </row>
    <row r="10" spans="1:4">
      <c r="A10" s="183" t="s">
        <v>129</v>
      </c>
      <c r="B10" s="240">
        <f>Utilidad!A9</f>
        <v>43011</v>
      </c>
      <c r="C10" s="156">
        <f>Utilidad!B9</f>
        <v>9.9900000000000003E-2</v>
      </c>
      <c r="D10" s="204">
        <v>0</v>
      </c>
    </row>
    <row r="11" spans="1:4">
      <c r="A11" s="183" t="s">
        <v>130</v>
      </c>
      <c r="B11" s="240">
        <f>Utilidad!A10</f>
        <v>208893.5749469843</v>
      </c>
      <c r="C11" s="156">
        <f>Utilidad!B10</f>
        <v>0.68630000000000002</v>
      </c>
      <c r="D11" s="204">
        <f t="shared" si="0"/>
        <v>7.1999999999999998E-3</v>
      </c>
    </row>
    <row r="12" spans="1:4">
      <c r="A12" s="183" t="s">
        <v>131</v>
      </c>
      <c r="B12" s="240">
        <f>Utilidad!A11</f>
        <v>-870</v>
      </c>
      <c r="C12" s="156">
        <f>Utilidad!B11</f>
        <v>0.68469999999999998</v>
      </c>
      <c r="D12" s="204">
        <f>0</f>
        <v>0</v>
      </c>
    </row>
    <row r="13" spans="1:4" ht="16" thickBot="1">
      <c r="A13" s="184" t="s">
        <v>132</v>
      </c>
      <c r="B13" s="240">
        <f>Utilidad!A12</f>
        <v>0</v>
      </c>
      <c r="C13" s="156">
        <f>Utilidad!B12</f>
        <v>0</v>
      </c>
      <c r="D13" s="204">
        <f t="shared" si="0"/>
        <v>7.1999999999999998E-3</v>
      </c>
    </row>
    <row r="14" spans="1:4">
      <c r="A14" s="158" t="s">
        <v>133</v>
      </c>
      <c r="B14" s="240">
        <f>Utilidad!A13</f>
        <v>209763.5749469843</v>
      </c>
      <c r="C14" s="156">
        <f>Utilidad!B13</f>
        <v>0.68479999999999996</v>
      </c>
      <c r="D14" s="204">
        <f t="shared" si="0"/>
        <v>7.1999999999999998E-3</v>
      </c>
    </row>
    <row r="15" spans="1:4">
      <c r="A15" s="158" t="s">
        <v>134</v>
      </c>
      <c r="B15" s="240">
        <f>Utilidad!A14</f>
        <v>84629.508799999996</v>
      </c>
      <c r="C15" s="156">
        <f>Utilidad!B14</f>
        <v>0.68479999999999996</v>
      </c>
      <c r="D15" s="204">
        <f t="shared" si="0"/>
        <v>7.1999999999999998E-3</v>
      </c>
    </row>
    <row r="16" spans="1:4">
      <c r="A16" s="158" t="s">
        <v>135</v>
      </c>
      <c r="B16" s="240">
        <f>Utilidad!A15</f>
        <v>125134.0661469843</v>
      </c>
      <c r="C16" s="156">
        <f>Utilidad!B15</f>
        <v>0.68479999999999996</v>
      </c>
      <c r="D16" s="204">
        <f t="shared" si="0"/>
        <v>7.1999999999999998E-3</v>
      </c>
    </row>
    <row r="17" spans="1:4">
      <c r="A17" s="158" t="s">
        <v>136</v>
      </c>
      <c r="B17" s="240">
        <f>Utilidad!A16</f>
        <v>0</v>
      </c>
      <c r="C17" s="156">
        <f>Utilidad!B16</f>
        <v>0</v>
      </c>
      <c r="D17" s="204">
        <f t="shared" si="0"/>
        <v>7.1999999999999998E-3</v>
      </c>
    </row>
    <row r="18" spans="1:4">
      <c r="A18" s="158" t="s">
        <v>137</v>
      </c>
      <c r="B18" s="240">
        <f>Utilidad!A17</f>
        <v>1151.136</v>
      </c>
      <c r="C18" s="156">
        <f>Utilidad!B17</f>
        <v>0.68479999999999996</v>
      </c>
      <c r="D18" s="204">
        <f t="shared" si="0"/>
        <v>7.1999999999999998E-3</v>
      </c>
    </row>
    <row r="19" spans="1:4">
      <c r="A19" s="158" t="s">
        <v>12</v>
      </c>
      <c r="B19" s="240">
        <f>Utilidad!A18</f>
        <v>0</v>
      </c>
      <c r="C19" s="156">
        <f>Utilidad!B18</f>
        <v>0</v>
      </c>
      <c r="D19" s="204">
        <f t="shared" si="0"/>
        <v>7.1999999999999998E-3</v>
      </c>
    </row>
    <row r="20" spans="1:4">
      <c r="A20" s="158" t="s">
        <v>138</v>
      </c>
      <c r="B20" s="240">
        <f>Utilidad!A19</f>
        <v>0</v>
      </c>
      <c r="C20" s="156">
        <f>Utilidad!B19</f>
        <v>0</v>
      </c>
      <c r="D20" s="204">
        <f t="shared" si="0"/>
        <v>7.1999999999999998E-3</v>
      </c>
    </row>
    <row r="21" spans="1:4">
      <c r="A21" s="158" t="s">
        <v>139</v>
      </c>
      <c r="B21" s="240">
        <f>Utilidad!A20</f>
        <v>1151.136</v>
      </c>
      <c r="C21" s="156">
        <f>Utilidad!B20</f>
        <v>0.68469999999999998</v>
      </c>
      <c r="D21" s="204">
        <f t="shared" si="0"/>
        <v>7.1999999999999998E-3</v>
      </c>
    </row>
    <row r="22" spans="1:4">
      <c r="A22" s="158" t="s">
        <v>140</v>
      </c>
      <c r="B22" s="240">
        <f>Utilidad!A21</f>
        <v>83478.372799999997</v>
      </c>
      <c r="C22" s="156">
        <f>Utilidad!B21</f>
        <v>0.68469999999999998</v>
      </c>
      <c r="D22" s="204">
        <f>0.00871</f>
        <v>8.7100000000000007E-3</v>
      </c>
    </row>
    <row r="23" spans="1:4">
      <c r="A23" s="158" t="s">
        <v>13</v>
      </c>
      <c r="B23" s="240">
        <f>Utilidad!A22</f>
        <v>87216.858032629694</v>
      </c>
      <c r="C23" s="156">
        <f>Utilidad!B22</f>
        <v>0.68469999999999998</v>
      </c>
      <c r="D23" s="204">
        <f t="shared" si="0"/>
        <v>7.1999999999999998E-3</v>
      </c>
    </row>
    <row r="24" spans="1:4">
      <c r="A24" s="158" t="s">
        <v>141</v>
      </c>
      <c r="B24" s="240">
        <f>Utilidad!A23</f>
        <v>0</v>
      </c>
      <c r="C24" s="156">
        <f>Utilidad!B23</f>
        <v>0</v>
      </c>
      <c r="D24" s="204">
        <f>0.0816</f>
        <v>8.1600000000000006E-2</v>
      </c>
    </row>
    <row r="25" spans="1:4" ht="16" thickBot="1">
      <c r="A25" s="185" t="s">
        <v>142</v>
      </c>
      <c r="B25" s="240">
        <f>Utilidad!A24</f>
        <v>7011</v>
      </c>
      <c r="C25" s="156">
        <f>Utilidad!B24</f>
        <v>0</v>
      </c>
      <c r="D25" s="204">
        <f t="shared" si="0"/>
        <v>7.1999999999999998E-3</v>
      </c>
    </row>
    <row r="26" spans="1:4">
      <c r="A26" s="186" t="s">
        <v>143</v>
      </c>
      <c r="B26" s="240">
        <f>Utilidad!A25</f>
        <v>132145.06614698429</v>
      </c>
      <c r="C26" s="156">
        <f>Utilidad!B25</f>
        <v>0.64849999999999997</v>
      </c>
      <c r="D26" s="204">
        <f t="shared" si="0"/>
        <v>7.1999999999999998E-3</v>
      </c>
    </row>
    <row r="27" spans="1:4">
      <c r="A27" s="186" t="s">
        <v>144</v>
      </c>
      <c r="B27" s="240">
        <f>Utilidad!A26</f>
        <v>11983.055953228601</v>
      </c>
      <c r="C27" s="156">
        <f>Utilidad!B26</f>
        <v>0.64359999999999995</v>
      </c>
      <c r="D27" s="204">
        <f t="shared" si="0"/>
        <v>7.1999999999999998E-3</v>
      </c>
    </row>
    <row r="28" spans="1:4">
      <c r="A28" s="186" t="s">
        <v>69</v>
      </c>
      <c r="B28" s="240">
        <f>Utilidad!A27</f>
        <v>13097.735953228599</v>
      </c>
      <c r="C28" s="156">
        <f>Utilidad!B27</f>
        <v>0</v>
      </c>
      <c r="D28" s="204">
        <f t="shared" si="0"/>
        <v>7.1999999999999998E-3</v>
      </c>
    </row>
    <row r="29" spans="1:4">
      <c r="A29" s="186" t="s">
        <v>145</v>
      </c>
      <c r="B29" s="240">
        <f>Utilidad!A28</f>
        <v>1189.3055953229</v>
      </c>
      <c r="C29" s="156">
        <f>Utilidad!B28</f>
        <v>0.64359999999999995</v>
      </c>
      <c r="D29" s="204">
        <f t="shared" si="0"/>
        <v>7.1999999999999998E-3</v>
      </c>
    </row>
    <row r="30" spans="1:4">
      <c r="A30" s="186" t="s">
        <v>66</v>
      </c>
      <c r="B30" s="240">
        <f>Utilidad!A29</f>
        <v>1189.3055953229</v>
      </c>
      <c r="C30" s="156">
        <f>Utilidad!B29</f>
        <v>0.65410000000000001</v>
      </c>
      <c r="D30" s="204">
        <f t="shared" si="0"/>
        <v>7.1999999999999998E-3</v>
      </c>
    </row>
    <row r="31" spans="1:4">
      <c r="A31" s="186" t="s">
        <v>146</v>
      </c>
      <c r="B31" s="240">
        <f>Utilidad!A30</f>
        <v>1000</v>
      </c>
      <c r="C31" s="156">
        <f>Utilidad!B30</f>
        <v>0</v>
      </c>
      <c r="D31" s="204">
        <f t="shared" si="0"/>
        <v>7.1999999999999998E-3</v>
      </c>
    </row>
    <row r="32" spans="1:4" ht="16" thickBot="1">
      <c r="A32" s="187" t="s">
        <v>147</v>
      </c>
      <c r="B32" s="240">
        <f>Utilidad!A31</f>
        <v>3287.8954015671002</v>
      </c>
      <c r="C32" s="156">
        <f>Utilidad!B31</f>
        <v>0.64359999999999995</v>
      </c>
      <c r="D32" s="204">
        <f t="shared" si="0"/>
        <v>7.1999999999999998E-3</v>
      </c>
    </row>
    <row r="33" spans="1:4">
      <c r="A33" s="188" t="s">
        <v>148</v>
      </c>
      <c r="B33" s="240">
        <f>Utilidad!A32</f>
        <v>123260.6</v>
      </c>
      <c r="C33" s="156">
        <f>Utilidad!B32</f>
        <v>0.65410000000000001</v>
      </c>
      <c r="D33" s="204">
        <f t="shared" si="0"/>
        <v>7.1999999999999998E-3</v>
      </c>
    </row>
    <row r="34" spans="1:4">
      <c r="A34" s="189" t="s">
        <v>149</v>
      </c>
      <c r="B34" s="240">
        <f>Utilidad!A33</f>
        <v>0</v>
      </c>
      <c r="C34" s="156">
        <f>Utilidad!B33</f>
        <v>0</v>
      </c>
      <c r="D34" s="204">
        <f t="shared" si="0"/>
        <v>7.1999999999999998E-3</v>
      </c>
    </row>
    <row r="35" spans="1:4">
      <c r="A35" s="189" t="s">
        <v>31</v>
      </c>
      <c r="B35" s="240">
        <f>Utilidad!A34</f>
        <v>-3287.8954015671002</v>
      </c>
      <c r="C35" s="156">
        <f>Utilidad!B34</f>
        <v>0</v>
      </c>
      <c r="D35" s="204">
        <f t="shared" si="0"/>
        <v>7.1999999999999998E-3</v>
      </c>
    </row>
    <row r="36" spans="1:4">
      <c r="A36" s="189" t="s">
        <v>150</v>
      </c>
      <c r="B36" s="240">
        <f>Utilidad!A35</f>
        <v>4312.5021039050998</v>
      </c>
      <c r="C36" s="156">
        <f>Utilidad!B35</f>
        <v>0.65410000000000001</v>
      </c>
      <c r="D36" s="204">
        <f>0.005</f>
        <v>5.0000000000000001E-3</v>
      </c>
    </row>
    <row r="37" spans="1:4">
      <c r="A37" s="189" t="s">
        <v>67</v>
      </c>
      <c r="B37" s="240">
        <f>Utilidad!A36</f>
        <v>-6548.9178960949002</v>
      </c>
      <c r="C37" s="156">
        <f>Utilidad!B36</f>
        <v>0</v>
      </c>
      <c r="D37" s="204">
        <v>0</v>
      </c>
    </row>
    <row r="38" spans="1:4">
      <c r="A38" s="189" t="s">
        <v>151</v>
      </c>
      <c r="B38" s="240">
        <f>Utilidad!A37</f>
        <v>108207.245</v>
      </c>
      <c r="C38" s="156">
        <f>Utilidad!B37</f>
        <v>0.65410000000000001</v>
      </c>
      <c r="D38" s="204">
        <f>0.005</f>
        <v>5.0000000000000001E-3</v>
      </c>
    </row>
    <row r="39" spans="1:4">
      <c r="A39" s="189" t="s">
        <v>15</v>
      </c>
      <c r="B39" s="240">
        <f>Utilidad!A38</f>
        <v>117765.29459999999</v>
      </c>
      <c r="C39" s="156">
        <f>Utilidad!B38</f>
        <v>0.65539999999999998</v>
      </c>
      <c r="D39" s="204">
        <f>0.005</f>
        <v>5.0000000000000001E-3</v>
      </c>
    </row>
    <row r="40" spans="1:4" ht="16" thickBot="1">
      <c r="A40" s="190" t="s">
        <v>152</v>
      </c>
      <c r="B40" s="240">
        <f>Utilidad!A39</f>
        <v>0</v>
      </c>
      <c r="C40" s="156">
        <f>Utilidad!B39</f>
        <v>0</v>
      </c>
      <c r="D40" s="204">
        <f>0.0096</f>
        <v>9.5999999999999992E-3</v>
      </c>
    </row>
    <row r="41" spans="1:4">
      <c r="A41" s="158" t="s">
        <v>153</v>
      </c>
      <c r="B41" s="240">
        <f>Utilidad!A40</f>
        <v>1926.6</v>
      </c>
      <c r="C41" s="156">
        <f>Utilidad!B40</f>
        <v>0.57999999999999996</v>
      </c>
      <c r="D41" s="204">
        <f t="shared" si="0"/>
        <v>7.1999999999999998E-3</v>
      </c>
    </row>
    <row r="42" spans="1:4">
      <c r="A42" s="158" t="s">
        <v>154</v>
      </c>
      <c r="B42" s="240">
        <f>Utilidad!A41</f>
        <v>1541.28</v>
      </c>
      <c r="C42" s="156">
        <f>Utilidad!B41</f>
        <v>0.57999999999999996</v>
      </c>
      <c r="D42" s="204">
        <f t="shared" si="0"/>
        <v>7.1999999999999998E-3</v>
      </c>
    </row>
    <row r="43" spans="1:4">
      <c r="A43" s="158" t="s">
        <v>155</v>
      </c>
      <c r="B43" s="240">
        <f>Utilidad!A42</f>
        <v>385.32</v>
      </c>
      <c r="C43" s="156">
        <f>Utilidad!B42</f>
        <v>0.60029999999999994</v>
      </c>
      <c r="D43" s="204">
        <f t="shared" si="0"/>
        <v>7.1999999999999998E-3</v>
      </c>
    </row>
    <row r="44" spans="1:4">
      <c r="A44" s="158" t="s">
        <v>156</v>
      </c>
      <c r="B44" s="240">
        <f>Utilidad!A43</f>
        <v>385.32</v>
      </c>
      <c r="C44" s="156">
        <f>Utilidad!B43</f>
        <v>0.60029999999999994</v>
      </c>
      <c r="D44" s="204">
        <f t="shared" si="0"/>
        <v>7.1999999999999998E-3</v>
      </c>
    </row>
    <row r="45" spans="1:4" ht="16" thickBot="1">
      <c r="A45" s="158" t="s">
        <v>157</v>
      </c>
      <c r="B45" s="240">
        <f>Utilidad!A44</f>
        <v>0</v>
      </c>
      <c r="C45" s="156">
        <f>Utilidad!B44</f>
        <v>0</v>
      </c>
      <c r="D45" s="204">
        <f t="shared" si="0"/>
        <v>7.1999999999999998E-3</v>
      </c>
    </row>
    <row r="46" spans="1:4">
      <c r="A46" s="191" t="s">
        <v>158</v>
      </c>
      <c r="B46" s="240">
        <f>Utilidad!A45</f>
        <v>0</v>
      </c>
      <c r="C46" s="156">
        <f>Utilidad!B45</f>
        <v>0</v>
      </c>
      <c r="D46" s="204">
        <f t="shared" si="0"/>
        <v>7.1999999999999998E-3</v>
      </c>
    </row>
    <row r="47" spans="1:4">
      <c r="A47" s="192" t="s">
        <v>159</v>
      </c>
      <c r="B47" s="240">
        <f>Utilidad!A46</f>
        <v>0</v>
      </c>
      <c r="C47" s="156">
        <f>Utilidad!B46</f>
        <v>0</v>
      </c>
      <c r="D47" s="204">
        <f t="shared" si="0"/>
        <v>7.1999999999999998E-3</v>
      </c>
    </row>
    <row r="48" spans="1:4">
      <c r="A48" s="192" t="s">
        <v>160</v>
      </c>
      <c r="B48" s="240">
        <f>Utilidad!A47</f>
        <v>0</v>
      </c>
      <c r="C48" s="156">
        <f>Utilidad!B47</f>
        <v>0.60029999999999994</v>
      </c>
      <c r="D48" s="204">
        <f t="shared" si="0"/>
        <v>7.1999999999999998E-3</v>
      </c>
    </row>
    <row r="49" spans="1:4" ht="16" thickBot="1">
      <c r="A49" s="193" t="s">
        <v>161</v>
      </c>
      <c r="B49" s="240">
        <f>Utilidad!A48</f>
        <v>0</v>
      </c>
      <c r="C49" s="156">
        <f>Utilidad!B48</f>
        <v>0</v>
      </c>
      <c r="D49" s="204">
        <f t="shared" si="0"/>
        <v>7.1999999999999998E-3</v>
      </c>
    </row>
    <row r="50" spans="1:4">
      <c r="A50" s="194" t="s">
        <v>162</v>
      </c>
      <c r="B50" s="240">
        <f>Utilidad!A49</f>
        <v>10861.42</v>
      </c>
      <c r="C50" s="156">
        <f>Utilidad!B49</f>
        <v>0.65410000000000001</v>
      </c>
      <c r="D50" s="204">
        <f t="shared" si="0"/>
        <v>7.1999999999999998E-3</v>
      </c>
    </row>
    <row r="51" spans="1:4">
      <c r="A51" s="195" t="s">
        <v>163</v>
      </c>
      <c r="B51" s="240">
        <f>Utilidad!A50</f>
        <v>1303.3704</v>
      </c>
      <c r="C51" s="156">
        <f>Utilidad!B50</f>
        <v>0.65410000000000001</v>
      </c>
      <c r="D51" s="204">
        <f t="shared" si="0"/>
        <v>7.1999999999999998E-3</v>
      </c>
    </row>
    <row r="52" spans="1:4">
      <c r="A52" s="195" t="s">
        <v>164</v>
      </c>
      <c r="B52" s="240">
        <f>Utilidad!A51</f>
        <v>0</v>
      </c>
      <c r="C52" s="156">
        <f>Utilidad!B51</f>
        <v>0</v>
      </c>
      <c r="D52" s="204">
        <f t="shared" si="0"/>
        <v>7.1999999999999998E-3</v>
      </c>
    </row>
    <row r="53" spans="1:4" ht="16" thickBot="1">
      <c r="A53" s="196" t="s">
        <v>165</v>
      </c>
      <c r="B53" s="240">
        <f>Utilidad!A52</f>
        <v>9558.0496000000003</v>
      </c>
      <c r="C53" s="156">
        <f>Utilidad!B52</f>
        <v>0.65410000000000001</v>
      </c>
      <c r="D53" s="204">
        <f t="shared" si="0"/>
        <v>7.1999999999999998E-3</v>
      </c>
    </row>
    <row r="54" spans="1:4">
      <c r="A54" s="158" t="s">
        <v>166</v>
      </c>
      <c r="B54" s="240">
        <f>Utilidad!A53</f>
        <v>0</v>
      </c>
      <c r="C54" s="156">
        <f>Utilidad!B53</f>
        <v>0</v>
      </c>
      <c r="D54" s="204">
        <f>0.05</f>
        <v>0.05</v>
      </c>
    </row>
    <row r="55" spans="1:4">
      <c r="A55" s="158" t="s">
        <v>167</v>
      </c>
      <c r="B55" s="240">
        <f>Utilidad!A54</f>
        <v>0</v>
      </c>
      <c r="C55" s="156">
        <f>Utilidad!B54</f>
        <v>0</v>
      </c>
      <c r="D55" s="204">
        <f t="shared" si="0"/>
        <v>7.1999999999999998E-3</v>
      </c>
    </row>
    <row r="56" spans="1:4">
      <c r="A56" s="158" t="s">
        <v>14</v>
      </c>
      <c r="B56" s="240">
        <f>Utilidad!A55</f>
        <v>1688.6904</v>
      </c>
      <c r="C56" s="156">
        <f>Utilidad!B55</f>
        <v>0.64180000000000004</v>
      </c>
      <c r="D56" s="204">
        <f>0.05</f>
        <v>0.05</v>
      </c>
    </row>
    <row r="57" spans="1:4">
      <c r="A57" s="158" t="s">
        <v>168</v>
      </c>
      <c r="B57" s="240">
        <f>Utilidad!A56</f>
        <v>0</v>
      </c>
      <c r="C57" s="156">
        <f>Utilidad!B56</f>
        <v>0</v>
      </c>
      <c r="D57" s="204">
        <f>0.0116</f>
        <v>1.1599999999999999E-2</v>
      </c>
    </row>
    <row r="58" spans="1:4">
      <c r="A58" s="158" t="s">
        <v>32</v>
      </c>
      <c r="B58" s="240">
        <f>Utilidad!A57</f>
        <v>11473.344999999999</v>
      </c>
      <c r="C58" s="156">
        <f>Utilidad!B57</f>
        <v>0</v>
      </c>
      <c r="D58" s="204">
        <f>0.0116</f>
        <v>1.1599999999999999E-2</v>
      </c>
    </row>
    <row r="59" spans="1:4">
      <c r="A59" s="158" t="s">
        <v>169</v>
      </c>
      <c r="B59" s="240">
        <f>Utilidad!A58</f>
        <v>0</v>
      </c>
      <c r="C59" s="156">
        <f>Utilidad!B58</f>
        <v>0</v>
      </c>
      <c r="D59" s="204">
        <f t="shared" si="0"/>
        <v>7.1999999999999998E-3</v>
      </c>
    </row>
    <row r="60" spans="1:4">
      <c r="A60" s="158" t="s">
        <v>33</v>
      </c>
      <c r="B60" s="240">
        <f>Utilidad!A59</f>
        <v>0</v>
      </c>
      <c r="C60" s="156">
        <f>Utilidad!B59</f>
        <v>0</v>
      </c>
      <c r="D60" s="204">
        <f t="shared" si="0"/>
        <v>7.1999999999999998E-3</v>
      </c>
    </row>
    <row r="61" spans="1:4">
      <c r="A61" s="159" t="s">
        <v>170</v>
      </c>
      <c r="B61" s="240">
        <f>Utilidad!A60</f>
        <v>0</v>
      </c>
      <c r="C61" s="156">
        <f>Utilidad!B60</f>
        <v>0</v>
      </c>
      <c r="D61" s="204">
        <f t="shared" si="0"/>
        <v>7.1999999999999998E-3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abSelected="1" topLeftCell="G26" zoomScale="120" zoomScaleNormal="120" workbookViewId="0">
      <selection activeCell="N93" sqref="N93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0.58909999999999996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154023.24076810436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0.62939999999999996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7221.3233429999991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0.58720000000000006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146789.32776071379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+Utilidad!N70*Utilidad!H70</f>
        <v>0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+Utilidad!P70*Utilidad!H70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+Utilidad!N123*Utilidad!H123</f>
        <v>0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+Utilidad!P123*Utilidad!H123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0.6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152459.13727541422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+Utilidad!N72*Utilidad!H72</f>
        <v>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+Utilidad!P72*Utilidad!H72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0.6</v>
      </c>
      <c r="J30" s="117"/>
      <c r="K30" s="23"/>
      <c r="L30" s="23"/>
      <c r="M30" s="23"/>
      <c r="N30" s="87">
        <f>+Utilidad!O107</f>
        <v>0.57999999999999996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152042.74496819059</v>
      </c>
      <c r="J31" s="23"/>
      <c r="K31" s="23"/>
      <c r="L31" s="23"/>
      <c r="M31" s="23"/>
      <c r="N31" s="90">
        <f>+Utilidad!P107</f>
        <v>893.94239999999991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9.9900000000000003E-2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4296.7988999999998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0.60029999999999994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231.30759599999996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</v>
      </c>
      <c r="K35" s="23"/>
      <c r="L35" s="23"/>
      <c r="M35" s="23"/>
      <c r="N35" s="23"/>
      <c r="O35" s="91">
        <f>+Utilidad!O106</f>
        <v>0.57999999999999996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900</v>
      </c>
      <c r="K36" s="23"/>
      <c r="L36" s="88">
        <f>+J34+J44+J53+K59</f>
        <v>13483.055953228601</v>
      </c>
      <c r="M36" s="23"/>
      <c r="O36" s="92">
        <f>+Utilidad!P106</f>
        <v>1117.4279999999999</v>
      </c>
      <c r="P36" s="23"/>
      <c r="Q36" s="23"/>
      <c r="R36" s="87">
        <f>+Utilidad!O109</f>
        <v>0.60029999999999994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0.63874946758161744</v>
      </c>
      <c r="M37" s="23"/>
      <c r="P37" s="23"/>
      <c r="Q37" s="23"/>
      <c r="R37" s="90">
        <f>+Utilidad!P109</f>
        <v>231.30759599999996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0.68630000000000002</v>
      </c>
      <c r="J38" s="23"/>
      <c r="K38" s="23"/>
      <c r="L38" s="92">
        <f>+L36*L37</f>
        <v>8612.2948114979263</v>
      </c>
      <c r="M38" s="85">
        <f>+Utilidad!N93*Utilidad!H93</f>
        <v>0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143363.66048611532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+Utilidad!N121*Utilidad!H121</f>
        <v>0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0.60029999999999994</v>
      </c>
      <c r="R41" s="23"/>
      <c r="S41" s="92">
        <f>+Utilidad!P121*Utilidad!H121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0.68469999999999998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+Utilidad!N88*Utilidad!H88</f>
        <v>0</v>
      </c>
      <c r="E46" s="23"/>
      <c r="F46" s="92">
        <f>+Utilidad!P87</f>
        <v>57157.641856159993</v>
      </c>
      <c r="G46" s="23"/>
      <c r="H46" s="85">
        <f>+Utilidad!N77*Utilidad!H77</f>
        <v>0</v>
      </c>
      <c r="J46" s="92">
        <f>+Utilidad!P78</f>
        <v>0</v>
      </c>
      <c r="K46" s="23"/>
      <c r="L46" s="23"/>
      <c r="M46" s="85">
        <f>+Utilidad!N95*Utilidad!H95</f>
        <v>0</v>
      </c>
      <c r="O46" s="92">
        <f>+Utilidad!P111</f>
        <v>0</v>
      </c>
      <c r="P46" s="23"/>
      <c r="Q46" s="87"/>
      <c r="R46" s="87">
        <f>+Utilidad!O116</f>
        <v>0.65410000000000001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+Utilidad!P88*Utilidad!H88</f>
        <v>0</v>
      </c>
      <c r="E47" s="23"/>
      <c r="F47" s="23"/>
      <c r="G47" s="23"/>
      <c r="H47" s="92">
        <f>+Utilidad!P77*Utilidad!H77</f>
        <v>0</v>
      </c>
      <c r="I47" s="23"/>
      <c r="J47" s="23"/>
      <c r="K47" s="23"/>
      <c r="L47" s="23"/>
      <c r="M47" s="92">
        <f>+Utilidad!P95*Utilidad!H95</f>
        <v>0</v>
      </c>
      <c r="N47" s="23"/>
      <c r="O47" s="23"/>
      <c r="P47" s="23"/>
      <c r="Q47" s="90"/>
      <c r="R47" s="90">
        <f>+Utilidad!P116</f>
        <v>852.53457864000006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0.68479999999999996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0.68469999999999998</v>
      </c>
      <c r="E50" s="23"/>
      <c r="F50" s="23"/>
      <c r="G50" s="23"/>
      <c r="H50" s="23"/>
      <c r="I50" s="92">
        <f>+Utilidad!P79</f>
        <v>143646.09612369485</v>
      </c>
      <c r="J50" s="23"/>
      <c r="K50" s="142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788.18281919999993</v>
      </c>
      <c r="E51" s="23"/>
      <c r="F51" s="23"/>
      <c r="G51" s="23"/>
      <c r="H51" s="23"/>
      <c r="I51" s="23"/>
      <c r="J51" s="23"/>
      <c r="K51" s="23"/>
      <c r="L51" s="91">
        <f>+Utilidad!O94</f>
        <v>0.64359999999999995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765.43708114981837</v>
      </c>
      <c r="M52" s="23"/>
      <c r="N52" s="23"/>
      <c r="O52" s="87">
        <f>+Utilidad!O115</f>
        <v>0.65410000000000001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7104.4548220000006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0.68479999999999996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57954.287626239995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0.68479999999999996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+Utilidad!N102*Utilidad!H102</f>
        <v>0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788.2979327999999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+Utilidad!P102*Utilidad!H102</f>
        <v>0</v>
      </c>
      <c r="P57" s="23"/>
      <c r="Q57" s="23"/>
      <c r="R57" s="91">
        <f>+Utilidad!O118</f>
        <v>0.65410000000000001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0.68479999999999996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6251.9202433600003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85691.80849745484</v>
      </c>
      <c r="J59" s="142">
        <f>+K59/(I57+F65)</f>
        <v>9.0681069695783476E-2</v>
      </c>
      <c r="K59" s="88">
        <f>+Utilidad!N92</f>
        <v>11983.055953228601</v>
      </c>
      <c r="L59" s="23"/>
      <c r="N59" s="87">
        <f>+Utilidad!O101</f>
        <v>0.65410000000000001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0.64359999999999995</v>
      </c>
      <c r="L60" s="23"/>
      <c r="N60" s="90">
        <f>+Utilidad!P101</f>
        <v>2820.8076261643259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7712.2948114979272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0.65410000000000001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70778.3589545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+Utilidad!N104*Utilidad!H104</f>
        <v>0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+Utilidad!P104*Utilidad!H104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0.64849999999999997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85696.075396319313</v>
      </c>
      <c r="I69" s="23"/>
      <c r="J69" s="23"/>
      <c r="K69" s="23"/>
      <c r="L69" s="87">
        <f>+Utilidad!O98</f>
        <v>0.65410000000000001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80624.758460000012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0.64359999999999995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2116.0894804485856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+Utilidad!N100*Utilidad!H100</f>
        <v>0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+Utilidad!P100*Utilidad!H100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233" t="s">
        <v>119</v>
      </c>
      <c r="I84" s="233"/>
      <c r="J84" s="233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234" t="s">
        <v>71</v>
      </c>
      <c r="D85" s="235"/>
      <c r="E85" s="138" t="s">
        <v>101</v>
      </c>
      <c r="F85" s="125" t="s">
        <v>117</v>
      </c>
      <c r="G85" s="125" t="s">
        <v>102</v>
      </c>
      <c r="H85" s="138" t="s">
        <v>177</v>
      </c>
      <c r="I85" s="138" t="s">
        <v>178</v>
      </c>
      <c r="J85" s="138" t="s">
        <v>120</v>
      </c>
      <c r="K85" s="138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8" t="s">
        <v>111</v>
      </c>
      <c r="Q85" s="147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+'[2]Nuevo Ingreso Dat Plantas'!C75</f>
        <v>15450</v>
      </c>
      <c r="C86" s="236" t="s">
        <v>91</v>
      </c>
      <c r="D86" s="237"/>
      <c r="E86" s="135">
        <f>+R62/(1-Flujos!D38)</f>
        <v>108751</v>
      </c>
      <c r="F86" s="126"/>
      <c r="G86" s="135">
        <f>+T62/(1-Flujos!D40)</f>
        <v>0</v>
      </c>
      <c r="H86" s="135"/>
      <c r="I86" s="135"/>
      <c r="J86" s="135">
        <f>+E86+H86</f>
        <v>108751</v>
      </c>
      <c r="K86" s="135">
        <f>+G86+I86</f>
        <v>0</v>
      </c>
      <c r="L86" s="126">
        <v>235613</v>
      </c>
      <c r="M86" s="127">
        <f>+L86+J86-K86+F86</f>
        <v>344364</v>
      </c>
      <c r="N86" s="126">
        <f>Inventarios!H10+H86-I86</f>
        <v>215678.86810529232</v>
      </c>
      <c r="O86" s="132">
        <f>+N86-M86</f>
        <v>-128685.13189470768</v>
      </c>
      <c r="P86" s="129">
        <v>79.209999999999994</v>
      </c>
      <c r="Q86" s="148">
        <f>+O86*P86</f>
        <v>-10193149.297379794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+'[2]Nuevo Ingreso Dat Plantas'!C73</f>
        <v>1157</v>
      </c>
      <c r="C87" s="236" t="s">
        <v>92</v>
      </c>
      <c r="D87" s="237"/>
      <c r="E87" s="133">
        <f>+N58/(1-Flujos!D36)</f>
        <v>4334.1729687488441</v>
      </c>
      <c r="F87" s="126"/>
      <c r="G87" s="133">
        <f>IF(T48&gt;0,T48/(1-Flujos!D59),0)</f>
        <v>0</v>
      </c>
      <c r="H87" s="133"/>
      <c r="I87" s="133"/>
      <c r="J87" s="133">
        <f t="shared" ref="J87:J92" si="1">+E87+H87</f>
        <v>4334.1729687488441</v>
      </c>
      <c r="K87" s="133">
        <f t="shared" ref="K87:K88" si="2">+G87+I87</f>
        <v>0</v>
      </c>
      <c r="L87" s="128">
        <v>50216</v>
      </c>
      <c r="M87" s="130">
        <f t="shared" ref="M87" si="3">+L87+J87-K87+F87</f>
        <v>54550.172968748841</v>
      </c>
      <c r="N87" s="128">
        <f>Inventarios!H9+H87-I87</f>
        <v>51926.623147726059</v>
      </c>
      <c r="O87" s="132">
        <f t="shared" ref="O87:O98" si="4">+N87-M87</f>
        <v>-2623.5498210227815</v>
      </c>
      <c r="P87" s="129">
        <v>33.365380000000002</v>
      </c>
      <c r="Q87" s="148">
        <f t="shared" ref="Q87:Q98" si="5">+O87*P87</f>
        <v>-87535.7367273571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+'[2]Nuevo Ingreso Dat Plantas'!C68+'[2]Nuevo Ingreso Dat Plantas'!C67</f>
        <v>349611</v>
      </c>
      <c r="C88" s="236" t="s">
        <v>93</v>
      </c>
      <c r="D88" s="237"/>
      <c r="E88" s="133">
        <f>+(F44+D49)/(1-Flujos!D22)</f>
        <v>85373.108575694292</v>
      </c>
      <c r="F88" s="126"/>
      <c r="G88" s="133">
        <f>+U68/(1-Flujos!D24)</f>
        <v>0</v>
      </c>
      <c r="H88" s="133"/>
      <c r="I88" s="133"/>
      <c r="J88" s="133">
        <f>+E88+H88</f>
        <v>85373.108575694292</v>
      </c>
      <c r="K88" s="133">
        <f t="shared" si="2"/>
        <v>0</v>
      </c>
      <c r="L88" s="128">
        <v>95389</v>
      </c>
      <c r="M88" s="130">
        <f>+L88+J88-K88+F88</f>
        <v>180762.10857569429</v>
      </c>
      <c r="N88" s="136">
        <f>Inventarios!H5+H88-I88</f>
        <v>49107.945254445076</v>
      </c>
      <c r="O88" s="132">
        <f>+N88-M88</f>
        <v>-131654.16332124922</v>
      </c>
      <c r="P88" s="129">
        <v>39.83</v>
      </c>
      <c r="Q88" s="148">
        <f t="shared" si="5"/>
        <v>-5243785.3250853559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+'[2]Nuevo Ingreso Dat Plantas'!C59</f>
        <v>410420</v>
      </c>
      <c r="C89" s="236" t="s">
        <v>94</v>
      </c>
      <c r="D89" s="237"/>
      <c r="E89" s="128">
        <f>+I19/(1-Flujos!D6)</f>
        <v>256044.5003281846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>
        <f t="shared" si="4"/>
        <v>0</v>
      </c>
      <c r="P89" s="129"/>
      <c r="Q89" s="148">
        <f t="shared" si="5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236" t="s">
        <v>95</v>
      </c>
      <c r="D90" s="237"/>
      <c r="E90" s="128">
        <f>+I37/(1-0.0087)</f>
        <v>210726.89896800596</v>
      </c>
      <c r="F90" s="126"/>
      <c r="G90" s="128"/>
      <c r="H90" s="128"/>
      <c r="J90" s="128">
        <f t="shared" si="1"/>
        <v>210726.89896800596</v>
      </c>
      <c r="K90" s="128"/>
      <c r="L90" s="128"/>
      <c r="M90" s="130"/>
      <c r="N90" s="128"/>
      <c r="O90" s="132">
        <f t="shared" si="4"/>
        <v>0</v>
      </c>
      <c r="P90" s="129"/>
      <c r="Q90" s="148">
        <f t="shared" si="5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236" t="s">
        <v>96</v>
      </c>
      <c r="D91" s="237"/>
      <c r="E91" s="131">
        <f>+F38*100</f>
        <v>82.434808049810343</v>
      </c>
      <c r="F91" s="126"/>
      <c r="G91" s="128"/>
      <c r="H91" s="128"/>
      <c r="I91" s="128"/>
      <c r="J91" s="128"/>
      <c r="K91" s="128"/>
      <c r="L91" s="128"/>
      <c r="M91" s="130"/>
      <c r="N91" s="128"/>
      <c r="O91" s="132">
        <f t="shared" si="4"/>
        <v>0</v>
      </c>
      <c r="P91" s="129"/>
      <c r="Q91" s="148">
        <f t="shared" si="5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236" t="s">
        <v>97</v>
      </c>
      <c r="D92" s="237"/>
      <c r="E92" s="128">
        <f>+F31</f>
        <v>43011</v>
      </c>
      <c r="F92" s="126"/>
      <c r="G92" s="128"/>
      <c r="H92" s="128"/>
      <c r="I92" s="128"/>
      <c r="J92" s="128">
        <f t="shared" si="1"/>
        <v>43011</v>
      </c>
      <c r="K92" s="128"/>
      <c r="L92" s="128"/>
      <c r="M92" s="130"/>
      <c r="N92" s="128"/>
      <c r="O92" s="132">
        <f t="shared" si="4"/>
        <v>0</v>
      </c>
      <c r="P92" s="129"/>
      <c r="Q92" s="148">
        <f t="shared" si="5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+'[2]Nuevo Ingreso Dat Plantas'!C50</f>
        <v>524267</v>
      </c>
      <c r="C93" s="236" t="s">
        <v>103</v>
      </c>
      <c r="D93" s="237"/>
      <c r="E93" s="128">
        <f>+G12/(1-Flujos!D4)</f>
        <v>252226.64232224319</v>
      </c>
      <c r="F93" s="126"/>
      <c r="G93" s="128">
        <f>+E89</f>
        <v>256044.5003281846</v>
      </c>
      <c r="H93" s="133"/>
      <c r="I93" s="133"/>
      <c r="J93" s="133">
        <f>+E93+H93</f>
        <v>252226.64232224319</v>
      </c>
      <c r="K93" s="133">
        <f t="shared" ref="K93" si="6">+G93+I93</f>
        <v>256044.5003281846</v>
      </c>
      <c r="L93" s="128">
        <v>0</v>
      </c>
      <c r="M93" s="130">
        <f>+L93+J93-K93+F93</f>
        <v>-3817.8580059414089</v>
      </c>
      <c r="N93" s="128">
        <f>Inventarios!H1+H93-I93</f>
        <v>112342.91404080391</v>
      </c>
      <c r="O93" s="132">
        <f>+N93-M93</f>
        <v>116160.77204674532</v>
      </c>
      <c r="P93" s="129">
        <f>+T94</f>
        <v>0</v>
      </c>
      <c r="Q93" s="148">
        <f t="shared" si="5"/>
        <v>0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>
        <f>+'[2]Nuevo Ingreso Dat Plantas'!C51</f>
        <v>279602</v>
      </c>
      <c r="C94" s="236" t="s">
        <v>104</v>
      </c>
      <c r="D94" s="237"/>
      <c r="E94" s="133">
        <f>+O9/(1-Flujos!D3)</f>
        <v>11556.552175664785</v>
      </c>
      <c r="F94" s="126"/>
      <c r="G94" s="133">
        <f>+U17/(1-Flujos!D57)</f>
        <v>0</v>
      </c>
      <c r="H94" s="133"/>
      <c r="I94" s="133"/>
      <c r="J94" s="133">
        <f>+E94+H94</f>
        <v>11556.552175664785</v>
      </c>
      <c r="K94" s="133">
        <f t="shared" ref="K94:K95" si="7">+G94+I94</f>
        <v>0</v>
      </c>
      <c r="L94" s="128">
        <v>174783</v>
      </c>
      <c r="M94" s="130">
        <f>+L94+J94-K94+F94</f>
        <v>186339.55217566478</v>
      </c>
      <c r="N94" s="128">
        <f>Inventarios!H12+H94-I94</f>
        <v>150781.66837978363</v>
      </c>
      <c r="O94" s="132">
        <f>+N94-M94</f>
        <v>-35557.883795881149</v>
      </c>
      <c r="P94" s="129">
        <v>15.38</v>
      </c>
      <c r="Q94" s="148">
        <f t="shared" si="5"/>
        <v>-546880.25278065214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>
        <f>+'[2]Nuevo Ingreso Dat Plantas'!C80</f>
        <v>0</v>
      </c>
      <c r="C95" s="236" t="s">
        <v>98</v>
      </c>
      <c r="D95" s="237"/>
      <c r="E95" s="133">
        <f>+(R35+Q40+R45)/(1-0.0089)</f>
        <v>1703.8547068913329</v>
      </c>
      <c r="F95" s="126"/>
      <c r="G95" s="133">
        <f>+T39/(1-Flujos!D55)</f>
        <v>0</v>
      </c>
      <c r="H95" s="133"/>
      <c r="I95" s="133"/>
      <c r="J95" s="133">
        <f t="shared" ref="J95" si="8">+E95+H95</f>
        <v>1703.8547068913329</v>
      </c>
      <c r="K95" s="133">
        <f t="shared" si="7"/>
        <v>0</v>
      </c>
      <c r="L95" s="128">
        <v>57800</v>
      </c>
      <c r="M95" s="130">
        <f>+L95+J95-K95+F95</f>
        <v>59503.854706891332</v>
      </c>
      <c r="N95" s="128">
        <f>Inventarios!H11+H95-I95</f>
        <v>13207.414447188377</v>
      </c>
      <c r="O95" s="132">
        <f t="shared" si="4"/>
        <v>-46296.440259702955</v>
      </c>
      <c r="P95" s="129">
        <v>8.5485399999999991</v>
      </c>
      <c r="Q95" s="148">
        <f t="shared" si="5"/>
        <v>-395766.97141768108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236" t="s">
        <v>115</v>
      </c>
      <c r="D96" s="237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1510</v>
      </c>
      <c r="O96" s="132">
        <f t="shared" ref="O96" si="9">+N96-M96</f>
        <v>1483</v>
      </c>
      <c r="P96" s="129">
        <v>29.163329999999998</v>
      </c>
      <c r="Q96" s="148">
        <f t="shared" ref="Q96" si="10">+O96*P96</f>
        <v>43249.218389999995</v>
      </c>
      <c r="R96" s="150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236" t="s">
        <v>113</v>
      </c>
      <c r="D97" s="237"/>
      <c r="E97" s="128"/>
      <c r="F97" s="128"/>
      <c r="G97" s="128"/>
      <c r="H97" s="128"/>
      <c r="I97" s="128"/>
      <c r="J97" s="128"/>
      <c r="K97" s="128"/>
      <c r="L97" s="128">
        <v>72341.902000000002</v>
      </c>
      <c r="M97" s="130">
        <f>+L97+E97-G97+F97</f>
        <v>72341.902000000002</v>
      </c>
      <c r="N97" s="130">
        <v>74156</v>
      </c>
      <c r="O97" s="132">
        <f t="shared" si="4"/>
        <v>1814.0979999999981</v>
      </c>
      <c r="P97" s="129">
        <v>58.779760000000003</v>
      </c>
      <c r="Q97" s="148">
        <f t="shared" si="5"/>
        <v>106632.24505647989</v>
      </c>
      <c r="R97" s="150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236" t="s">
        <v>114</v>
      </c>
      <c r="D98" s="237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34133</v>
      </c>
      <c r="O98" s="132">
        <f t="shared" si="4"/>
        <v>2514</v>
      </c>
      <c r="P98" s="129">
        <v>41.606699999999996</v>
      </c>
      <c r="Q98" s="148">
        <f t="shared" si="5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9"/>
      <c r="D99" s="139"/>
      <c r="E99" s="134">
        <f>+E86+E87+E88+E94+E95</f>
        <v>211718.68842699926</v>
      </c>
      <c r="F99" s="124"/>
      <c r="G99" s="134">
        <f>+G86+G87+G88+G94+G95</f>
        <v>0</v>
      </c>
      <c r="H99" s="122"/>
      <c r="I99" s="122"/>
      <c r="J99" s="134">
        <f>+J86+J87+J88+J94+J95</f>
        <v>211718.68842699926</v>
      </c>
      <c r="K99" s="134">
        <f>+K86+K87+K88+K94+K95</f>
        <v>0</v>
      </c>
      <c r="L99" s="124"/>
      <c r="M99" s="124"/>
      <c r="N99" s="124"/>
      <c r="O99" s="134">
        <f>SUM(O86:O98)</f>
        <v>-222845.29904581845</v>
      </c>
      <c r="P99" s="31"/>
      <c r="Q99" s="149">
        <f>SUM(Q86:Q98)</f>
        <v>-16212636.876144359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>
        <f>SUM(O86:O98)-O93</f>
        <v>-339006.0710925638</v>
      </c>
      <c r="P100" s="31"/>
      <c r="Q100" s="149">
        <f>SUM(Q86:Q98)-Q93</f>
        <v>-16212636.876144359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E103" s="145"/>
      <c r="F103" s="145"/>
      <c r="G103" s="145">
        <f>IF(T48&gt;0,T48/(1-Flujos!D59),0)</f>
        <v>0</v>
      </c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232"/>
      <c r="S103" s="232"/>
      <c r="T103" s="7"/>
      <c r="U103" s="7"/>
      <c r="V103" s="7"/>
    </row>
    <row r="104" spans="2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232"/>
      <c r="Q104" s="232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232"/>
      <c r="Q105" s="232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232"/>
      <c r="Q106" s="232"/>
      <c r="R106" s="7"/>
      <c r="S106" s="7"/>
      <c r="T106" s="7"/>
    </row>
    <row r="107" spans="2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232"/>
      <c r="Q107" s="232"/>
      <c r="R107" s="7"/>
      <c r="S107" s="7"/>
      <c r="T107" s="7"/>
    </row>
    <row r="108" spans="2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232"/>
      <c r="Q108" s="232"/>
      <c r="R108" s="7"/>
      <c r="S108" s="7"/>
      <c r="T108" s="7"/>
    </row>
    <row r="109" spans="2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232"/>
      <c r="Q109" s="232"/>
      <c r="R109" s="7"/>
      <c r="S109" s="7"/>
    </row>
    <row r="110" spans="2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232"/>
      <c r="Q110" s="232"/>
      <c r="R110" s="7"/>
      <c r="S110" s="7"/>
    </row>
    <row r="111" spans="2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232"/>
      <c r="Q111" s="232"/>
      <c r="R111" s="7"/>
      <c r="S111" s="7"/>
    </row>
    <row r="112" spans="2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232"/>
      <c r="Q112" s="232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R103:S103"/>
    <mergeCell ref="P104:Q104"/>
    <mergeCell ref="P105:Q105"/>
    <mergeCell ref="H84:J84"/>
    <mergeCell ref="P106:Q106"/>
    <mergeCell ref="P112:Q112"/>
    <mergeCell ref="P107:Q107"/>
    <mergeCell ref="P108:Q108"/>
    <mergeCell ref="P109:Q109"/>
    <mergeCell ref="P110:Q110"/>
    <mergeCell ref="P111:Q111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31D6-3EA6-204D-8F01-DAF863F1F689}">
  <dimension ref="A1:H22"/>
  <sheetViews>
    <sheetView workbookViewId="0">
      <selection activeCell="H1" sqref="H1"/>
    </sheetView>
  </sheetViews>
  <sheetFormatPr baseColWidth="10" defaultRowHeight="15"/>
  <cols>
    <col min="1" max="1" width="35.6640625" customWidth="1"/>
    <col min="2" max="2" width="41.83203125" customWidth="1"/>
  </cols>
  <sheetData>
    <row r="1" spans="1:8">
      <c r="A1" s="106" t="s">
        <v>38</v>
      </c>
      <c r="B1" s="144">
        <v>109312.48730383393</v>
      </c>
      <c r="C1" s="107">
        <v>109312.48730383393</v>
      </c>
      <c r="D1" s="108">
        <v>109312.48730383393</v>
      </c>
      <c r="E1" s="109">
        <v>0.59119999999999995</v>
      </c>
      <c r="F1" s="110">
        <v>-1</v>
      </c>
      <c r="G1" s="106" t="s">
        <v>176</v>
      </c>
      <c r="H1" s="239">
        <v>112342.91404080391</v>
      </c>
    </row>
    <row r="2" spans="1:8">
      <c r="A2" s="106" t="s">
        <v>30</v>
      </c>
      <c r="B2" s="144">
        <v>-3395.5801243834312</v>
      </c>
      <c r="C2" s="107">
        <v>-3395.5801243834312</v>
      </c>
      <c r="D2" s="108">
        <v>3395.5801243834312</v>
      </c>
      <c r="E2" s="109">
        <v>0.59119999999999995</v>
      </c>
      <c r="F2" s="110">
        <v>1</v>
      </c>
      <c r="G2" s="106" t="s">
        <v>174</v>
      </c>
      <c r="H2" s="239"/>
    </row>
    <row r="3" spans="1:8">
      <c r="A3" s="106" t="s">
        <v>55</v>
      </c>
      <c r="B3" s="144">
        <v>-1650</v>
      </c>
      <c r="C3" s="107">
        <v>-1650</v>
      </c>
      <c r="D3" s="108">
        <v>1650</v>
      </c>
      <c r="E3" s="109">
        <v>0.68669999999999998</v>
      </c>
      <c r="F3" s="110">
        <v>1</v>
      </c>
      <c r="G3" s="106" t="s">
        <v>174</v>
      </c>
      <c r="H3" s="239"/>
    </row>
    <row r="4" spans="1:8">
      <c r="A4" s="106" t="s">
        <v>12</v>
      </c>
      <c r="B4" s="144">
        <v>0</v>
      </c>
      <c r="C4" s="107">
        <v>0</v>
      </c>
      <c r="D4" s="108">
        <v>0</v>
      </c>
      <c r="E4" s="109">
        <v>0</v>
      </c>
      <c r="F4" s="110">
        <v>0</v>
      </c>
      <c r="G4" s="106" t="s">
        <v>175</v>
      </c>
      <c r="H4" s="239">
        <v>0</v>
      </c>
    </row>
    <row r="5" spans="1:8">
      <c r="A5" s="106" t="s">
        <v>13</v>
      </c>
      <c r="B5" s="144">
        <v>-41637.600568826529</v>
      </c>
      <c r="C5" s="140">
        <v>-41637.600568826529</v>
      </c>
      <c r="D5" s="108">
        <v>41637.600568826529</v>
      </c>
      <c r="E5" s="109">
        <v>0.68669999999999998</v>
      </c>
      <c r="F5" s="110">
        <v>1</v>
      </c>
      <c r="G5" s="106" t="s">
        <v>174</v>
      </c>
      <c r="H5" s="239">
        <v>49107.945254445076</v>
      </c>
    </row>
    <row r="6" spans="1:8">
      <c r="A6" s="106" t="s">
        <v>66</v>
      </c>
      <c r="B6" s="144"/>
      <c r="C6" s="140">
        <v>0</v>
      </c>
      <c r="D6" s="108">
        <v>0</v>
      </c>
      <c r="E6" s="109">
        <v>0</v>
      </c>
      <c r="F6" s="110">
        <v>0</v>
      </c>
      <c r="G6" s="106" t="s">
        <v>175</v>
      </c>
      <c r="H6" s="239"/>
    </row>
    <row r="7" spans="1:8">
      <c r="A7" s="106" t="s">
        <v>69</v>
      </c>
      <c r="B7" s="144"/>
      <c r="C7" s="140">
        <v>0</v>
      </c>
      <c r="D7" s="108">
        <v>0</v>
      </c>
      <c r="E7" s="109">
        <v>0.57999999999999996</v>
      </c>
      <c r="F7" s="110">
        <v>0</v>
      </c>
      <c r="G7" s="106" t="s">
        <v>175</v>
      </c>
      <c r="H7" s="239"/>
    </row>
    <row r="8" spans="1:8">
      <c r="A8" s="106" t="s">
        <v>31</v>
      </c>
      <c r="B8" s="144">
        <v>0</v>
      </c>
      <c r="C8" s="140">
        <v>0</v>
      </c>
      <c r="D8" s="108">
        <v>0</v>
      </c>
      <c r="E8" s="141">
        <v>0</v>
      </c>
      <c r="F8" s="110">
        <v>0</v>
      </c>
      <c r="G8" s="106" t="s">
        <v>175</v>
      </c>
      <c r="H8" s="239">
        <v>0</v>
      </c>
    </row>
    <row r="9" spans="1:8">
      <c r="A9" s="106" t="s">
        <v>67</v>
      </c>
      <c r="B9" s="144">
        <v>1771.623147726059</v>
      </c>
      <c r="C9" s="140">
        <v>1771.623147726059</v>
      </c>
      <c r="D9" s="108">
        <v>1771.623147726059</v>
      </c>
      <c r="E9" s="109">
        <v>0.65690000000000004</v>
      </c>
      <c r="F9" s="110">
        <v>-1</v>
      </c>
      <c r="G9" s="106" t="s">
        <v>176</v>
      </c>
      <c r="H9" s="239">
        <v>51926.623147726059</v>
      </c>
    </row>
    <row r="10" spans="1:8">
      <c r="A10" s="106" t="s">
        <v>15</v>
      </c>
      <c r="B10" s="144">
        <v>-20312.061235234141</v>
      </c>
      <c r="C10" s="140">
        <v>-20312.061235234141</v>
      </c>
      <c r="D10" s="108">
        <v>20312.061235234141</v>
      </c>
      <c r="E10" s="109">
        <v>0.65402219625184299</v>
      </c>
      <c r="F10" s="110">
        <v>1</v>
      </c>
      <c r="G10" s="106" t="s">
        <v>174</v>
      </c>
      <c r="H10" s="239">
        <v>215678.86810529232</v>
      </c>
    </row>
    <row r="11" spans="1:8">
      <c r="A11" s="106" t="s">
        <v>14</v>
      </c>
      <c r="B11" s="144">
        <v>-38254.15964182467</v>
      </c>
      <c r="C11" s="140">
        <v>-38254.15964182467</v>
      </c>
      <c r="D11" s="108">
        <v>38254.15964182467</v>
      </c>
      <c r="E11" s="141">
        <v>0.6</v>
      </c>
      <c r="F11" s="110">
        <v>1</v>
      </c>
      <c r="G11" s="106" t="s">
        <v>174</v>
      </c>
      <c r="H11" s="239">
        <v>13207.414447188377</v>
      </c>
    </row>
    <row r="12" spans="1:8">
      <c r="A12" s="106" t="s">
        <v>32</v>
      </c>
      <c r="B12" s="144">
        <v>-17960.687526020611</v>
      </c>
      <c r="C12" s="140">
        <v>-17960.687526020611</v>
      </c>
      <c r="D12" s="108">
        <v>17960.687526020611</v>
      </c>
      <c r="E12" s="109">
        <v>0.63883126376045796</v>
      </c>
      <c r="F12" s="110">
        <v>1</v>
      </c>
      <c r="G12" s="106" t="s">
        <v>174</v>
      </c>
      <c r="H12" s="239">
        <v>150781.66837978363</v>
      </c>
    </row>
    <row r="13" spans="1:8">
      <c r="A13" s="106" t="s">
        <v>33</v>
      </c>
      <c r="B13" s="144">
        <v>0</v>
      </c>
      <c r="C13" s="140">
        <v>0</v>
      </c>
      <c r="D13" s="108">
        <v>0</v>
      </c>
      <c r="E13" s="141">
        <v>0</v>
      </c>
      <c r="F13" s="110">
        <v>0</v>
      </c>
      <c r="G13" s="106" t="s">
        <v>175</v>
      </c>
      <c r="H13" s="239"/>
    </row>
    <row r="22" spans="3:3">
      <c r="C22" s="23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Nodos Variac Inventarios</vt:lpstr>
      <vt:lpstr>Bal Los Colorados</vt:lpstr>
      <vt:lpstr>Diag Proc Los Colorados</vt:lpstr>
      <vt:lpstr>Utilidad</vt:lpstr>
      <vt:lpstr>Flujos</vt:lpstr>
      <vt:lpstr>Diagrama</vt:lpstr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2022-09-01T18:46:33Z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