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53CADAD8-3C49-6D48-B24B-413B2EDD9792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10" i="10" l="1"/>
  <c r="N72" i="9"/>
  <c r="E78" i="9"/>
  <c r="B78" i="9"/>
  <c r="R5" i="7" l="1"/>
  <c r="R6" i="7"/>
  <c r="AE8" i="9" s="1"/>
  <c r="R7" i="7"/>
  <c r="R8" i="7"/>
  <c r="AE10" i="9" s="1"/>
  <c r="AH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O78" i="9" s="1"/>
  <c r="L78" i="9"/>
  <c r="M78" i="9" s="1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E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AH16" i="9" s="1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O14" i="10"/>
  <c r="Q14" i="10" s="1"/>
  <c r="N14" i="10"/>
  <c r="P13" i="10"/>
  <c r="O12" i="10"/>
  <c r="Q12" i="10" s="1"/>
  <c r="N12" i="10"/>
  <c r="J11" i="10"/>
  <c r="AD25" i="9" l="1"/>
  <c r="B71" i="9" s="1"/>
  <c r="F71" i="9"/>
  <c r="K71" i="9" s="1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H22" i="10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I21" i="10"/>
  <c r="J21" i="10" s="1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J18" i="10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Z6" i="9" l="1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J22" i="10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J85" i="9" s="1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<sst xmlns="http://schemas.openxmlformats.org/spreadsheetml/2006/main" count="641" uniqueCount="301">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</sst>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0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  <c r="Q1" s="342"/>
      <c r="R1" s="34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4"/>
      <c r="C2" s="345"/>
      <c r="D2" s="563"/>
      <c r="E2" s="559"/>
      <c r="F2" s="566" t="s">
        <v>97</v>
      </c>
      <c r="G2" s="567"/>
      <c r="H2" s="506"/>
      <c r="I2" s="506"/>
      <c r="J2" s="506"/>
      <c r="K2" s="506"/>
      <c r="L2" s="506"/>
      <c r="M2" s="506"/>
      <c r="N2" s="506"/>
      <c r="O2" s="506"/>
      <c r="P2" s="506"/>
      <c r="Q2" s="507"/>
      <c r="R2" s="34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4"/>
      <c r="C3" s="345"/>
      <c r="D3" s="564"/>
      <c r="E3" s="565"/>
      <c r="F3" s="568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69"/>
      <c r="R3" s="34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4"/>
      <c r="C4" s="345"/>
      <c r="D4" s="564"/>
      <c r="E4" s="565"/>
      <c r="F4" s="570" t="s">
        <v>98</v>
      </c>
      <c r="G4" s="571"/>
      <c r="H4" s="572"/>
      <c r="I4" s="572"/>
      <c r="J4" s="572"/>
      <c r="K4" s="572"/>
      <c r="L4" s="573"/>
      <c r="M4" s="570" t="s">
        <v>99</v>
      </c>
      <c r="N4" s="571"/>
      <c r="O4" s="573"/>
      <c r="P4" s="575">
        <f ca="1">+Diagrama!C4</f>
        <v>45261</v>
      </c>
      <c r="Q4" s="576"/>
      <c r="R4" s="34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4"/>
      <c r="C5" s="345"/>
      <c r="D5" s="508"/>
      <c r="E5" s="562"/>
      <c r="F5" s="574"/>
      <c r="G5" s="509"/>
      <c r="H5" s="509"/>
      <c r="I5" s="509"/>
      <c r="J5" s="509"/>
      <c r="K5" s="509"/>
      <c r="L5" s="562"/>
      <c r="M5" s="574"/>
      <c r="N5" s="509"/>
      <c r="O5" s="562"/>
      <c r="P5" s="574"/>
      <c r="Q5" s="510"/>
      <c r="R5" s="34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4"/>
      <c r="C6" s="345"/>
      <c r="D6" s="348"/>
      <c r="E6" s="348"/>
      <c r="F6" s="348"/>
      <c r="G6" s="348"/>
      <c r="H6" s="348"/>
      <c r="I6" s="348"/>
      <c r="J6" s="348"/>
      <c r="K6" s="348"/>
      <c r="L6" s="348"/>
      <c r="M6" s="349"/>
      <c r="N6" s="349"/>
      <c r="O6" s="345"/>
      <c r="P6" s="133"/>
      <c r="Q6" s="133"/>
      <c r="R6" s="34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0"/>
      <c r="C7" s="351"/>
      <c r="D7" s="558"/>
      <c r="E7" s="506"/>
      <c r="F7" s="559"/>
      <c r="G7" s="352" t="s">
        <v>100</v>
      </c>
      <c r="H7" s="352" t="s">
        <v>100</v>
      </c>
      <c r="I7" s="352" t="s">
        <v>101</v>
      </c>
      <c r="J7" s="353" t="s">
        <v>102</v>
      </c>
      <c r="K7" s="561"/>
      <c r="L7" s="506"/>
      <c r="M7" s="559"/>
      <c r="N7" s="352" t="s">
        <v>100</v>
      </c>
      <c r="O7" s="352" t="s">
        <v>100</v>
      </c>
      <c r="P7" s="352" t="s">
        <v>101</v>
      </c>
      <c r="Q7" s="353" t="s">
        <v>102</v>
      </c>
      <c r="R7" s="34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0"/>
      <c r="C8" s="351"/>
      <c r="D8" s="560"/>
      <c r="E8" s="532"/>
      <c r="F8" s="533"/>
      <c r="G8" s="355" t="s">
        <v>270</v>
      </c>
      <c r="H8" s="355" t="s">
        <v>40</v>
      </c>
      <c r="I8" s="355" t="s">
        <v>103</v>
      </c>
      <c r="J8" s="356" t="s">
        <v>41</v>
      </c>
      <c r="K8" s="509"/>
      <c r="L8" s="509"/>
      <c r="M8" s="562"/>
      <c r="N8" s="355" t="s">
        <v>270</v>
      </c>
      <c r="O8" s="355" t="s">
        <v>40</v>
      </c>
      <c r="P8" s="355" t="s">
        <v>103</v>
      </c>
      <c r="Q8" s="356" t="s">
        <v>41</v>
      </c>
      <c r="R8" s="34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0"/>
      <c r="C9" s="351"/>
      <c r="D9" s="546" t="s">
        <v>68</v>
      </c>
      <c r="E9" s="547"/>
      <c r="F9" s="547"/>
      <c r="G9" s="547"/>
      <c r="H9" s="547"/>
      <c r="I9" s="547"/>
      <c r="J9" s="548"/>
      <c r="K9" s="550" t="s">
        <v>104</v>
      </c>
      <c r="L9" s="551"/>
      <c r="M9" s="551"/>
      <c r="N9" s="551"/>
      <c r="O9" s="551"/>
      <c r="P9" s="551"/>
      <c r="Q9" s="552"/>
      <c r="R9" s="34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0"/>
      <c r="C10" s="351" t="s">
        <v>105</v>
      </c>
      <c r="D10" s="534" t="s">
        <v>106</v>
      </c>
      <c r="E10" s="535"/>
      <c r="F10" s="536"/>
      <c r="G10" s="439">
        <f>+Diagrama!AI12</f>
        <v>231594.13913744461</v>
      </c>
      <c r="H10" s="439">
        <f>+Diagrama!I25</f>
        <v>229834.02368000001</v>
      </c>
      <c r="I10" s="440">
        <f>+Diagrama!G21</f>
        <v>0.603576</v>
      </c>
      <c r="J10" s="436">
        <f>I10*H10</f>
        <v>138722.30067667968</v>
      </c>
      <c r="K10" s="553" t="s">
        <v>107</v>
      </c>
      <c r="L10" s="547"/>
      <c r="M10" s="554"/>
      <c r="N10" s="437">
        <f>+Diagrama!J72</f>
        <v>209647.65034558089</v>
      </c>
      <c r="O10" s="437">
        <f>+Diagrama!H46</f>
        <v>192143</v>
      </c>
      <c r="P10" s="438">
        <f>+Diagrama!H47</f>
        <v>0.68650000000000011</v>
      </c>
      <c r="Q10" s="436">
        <f t="shared" ref="Q10:Q14" si="0">P10*O10</f>
        <v>131906.16950000002</v>
      </c>
      <c r="R10" s="34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0"/>
      <c r="C11" s="351"/>
      <c r="D11" s="534" t="s">
        <v>108</v>
      </c>
      <c r="E11" s="535"/>
      <c r="F11" s="536"/>
      <c r="G11" s="434">
        <v>0</v>
      </c>
      <c r="H11" s="434">
        <v>0</v>
      </c>
      <c r="I11" s="435">
        <v>0</v>
      </c>
      <c r="J11" s="436">
        <f t="shared" ref="J11" si="1">I11*H11</f>
        <v>0</v>
      </c>
      <c r="K11" s="534" t="s">
        <v>109</v>
      </c>
      <c r="L11" s="535"/>
      <c r="M11" s="536"/>
      <c r="N11" s="439">
        <f>+Diagrama!J70</f>
        <v>0</v>
      </c>
      <c r="O11" s="439">
        <f>+Diagrama!P49</f>
        <v>0</v>
      </c>
      <c r="P11" s="440">
        <v>0</v>
      </c>
      <c r="Q11" s="436">
        <f>P11*O11</f>
        <v>0</v>
      </c>
      <c r="R11" s="34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0"/>
      <c r="C12" s="351"/>
      <c r="D12" s="534" t="s">
        <v>110</v>
      </c>
      <c r="E12" s="535"/>
      <c r="F12" s="536"/>
      <c r="G12" s="434">
        <v>0</v>
      </c>
      <c r="H12" s="434">
        <v>0</v>
      </c>
      <c r="I12" s="435">
        <v>0</v>
      </c>
      <c r="J12" s="436">
        <v>0</v>
      </c>
      <c r="K12" s="534" t="s">
        <v>111</v>
      </c>
      <c r="L12" s="535"/>
      <c r="M12" s="536"/>
      <c r="N12" s="439">
        <f>+Diagrama!J71</f>
        <v>0</v>
      </c>
      <c r="O12" s="439">
        <f>+Diagrama!R47</f>
        <v>0</v>
      </c>
      <c r="P12" s="440">
        <v>0</v>
      </c>
      <c r="Q12" s="436">
        <f t="shared" si="0"/>
        <v>0</v>
      </c>
      <c r="R12" s="34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0"/>
      <c r="C13" s="351"/>
      <c r="D13" s="555" t="s">
        <v>112</v>
      </c>
      <c r="E13" s="556"/>
      <c r="F13" s="557"/>
      <c r="G13" s="434">
        <v>0</v>
      </c>
      <c r="H13" s="434">
        <v>0</v>
      </c>
      <c r="I13" s="435">
        <v>0</v>
      </c>
      <c r="J13" s="436">
        <v>0</v>
      </c>
      <c r="K13" s="534" t="s">
        <v>113</v>
      </c>
      <c r="L13" s="535"/>
      <c r="M13" s="536"/>
      <c r="N13" s="439">
        <f>+Diagrama!J77</f>
        <v>164651.1418469153</v>
      </c>
      <c r="O13" s="439">
        <f>+Diagrama!J77*(1-Diagrama!AE7)</f>
        <v>163082</v>
      </c>
      <c r="P13" s="440">
        <f>+Diagrama!H5</f>
        <v>0.63392359511000007</v>
      </c>
      <c r="Q13" s="436">
        <f>P13*O13</f>
        <v>103381.52773772903</v>
      </c>
      <c r="R13" s="346"/>
      <c r="S13" s="133"/>
      <c r="T13" s="36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0"/>
      <c r="C14" s="351" t="s">
        <v>114</v>
      </c>
      <c r="D14" s="555"/>
      <c r="E14" s="556"/>
      <c r="F14" s="557"/>
      <c r="G14" s="434"/>
      <c r="H14" s="434"/>
      <c r="I14" s="435"/>
      <c r="J14" s="436"/>
      <c r="K14" s="441" t="s">
        <v>275</v>
      </c>
      <c r="L14" s="442"/>
      <c r="M14" s="443"/>
      <c r="N14" s="444">
        <f>+Diagrama!J78</f>
        <v>0</v>
      </c>
      <c r="O14" s="444">
        <f>+Diagrama!J78*(1-Diagrama!AE33)</f>
        <v>0</v>
      </c>
      <c r="P14" s="440">
        <f>+Diagrama!AG33</f>
        <v>0</v>
      </c>
      <c r="Q14" s="436">
        <f t="shared" si="0"/>
        <v>0</v>
      </c>
      <c r="R14" s="346"/>
      <c r="S14" s="362"/>
      <c r="T14" s="36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0"/>
      <c r="C15" s="351"/>
      <c r="D15" s="549" t="s">
        <v>115</v>
      </c>
      <c r="E15" s="542"/>
      <c r="F15" s="545"/>
      <c r="G15" s="445">
        <f>SUM(G10:G14)</f>
        <v>231594.13913744461</v>
      </c>
      <c r="H15" s="445">
        <f>SUM(H10:H14)</f>
        <v>229834.02368000001</v>
      </c>
      <c r="I15" s="446">
        <f>I10</f>
        <v>0.603576</v>
      </c>
      <c r="J15" s="445">
        <f>J10</f>
        <v>138722.30067667968</v>
      </c>
      <c r="K15" s="544" t="s">
        <v>115</v>
      </c>
      <c r="L15" s="542"/>
      <c r="M15" s="545"/>
      <c r="N15" s="445">
        <f>SUM(N10:N14)</f>
        <v>374298.79219249618</v>
      </c>
      <c r="O15" s="445">
        <f>SUM(O10:O14)</f>
        <v>355225</v>
      </c>
      <c r="P15" s="446">
        <f>+Q15/O15</f>
        <v>0.66236243856071231</v>
      </c>
      <c r="Q15" s="445">
        <f>SUM(Q10:Q14)</f>
        <v>235287.69723772904</v>
      </c>
      <c r="R15" s="34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0"/>
      <c r="C16" s="351"/>
      <c r="D16" s="546" t="s">
        <v>116</v>
      </c>
      <c r="E16" s="547"/>
      <c r="F16" s="547"/>
      <c r="G16" s="547"/>
      <c r="H16" s="547"/>
      <c r="I16" s="547"/>
      <c r="J16" s="548"/>
      <c r="K16" s="541" t="s">
        <v>117</v>
      </c>
      <c r="L16" s="542"/>
      <c r="M16" s="542"/>
      <c r="N16" s="542"/>
      <c r="O16" s="542"/>
      <c r="P16" s="542"/>
      <c r="Q16" s="543"/>
      <c r="R16" s="346"/>
      <c r="S16" s="36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0"/>
      <c r="C17" s="351"/>
      <c r="D17" s="534" t="s">
        <v>118</v>
      </c>
      <c r="E17" s="535"/>
      <c r="F17" s="536"/>
      <c r="G17" s="434">
        <f>+Diagrama!K77</f>
        <v>204999.49418310571</v>
      </c>
      <c r="H17" s="434">
        <f>+Diagrama!N4</f>
        <v>202642</v>
      </c>
      <c r="I17" s="435">
        <f>+Diagrama!N5</f>
        <v>0.63386387507999997</v>
      </c>
      <c r="J17" s="436">
        <f t="shared" ref="J17:J21" si="2">I17*H17</f>
        <v>128447.44337396136</v>
      </c>
      <c r="K17" s="447" t="s">
        <v>276</v>
      </c>
      <c r="L17" s="447"/>
      <c r="M17" s="448"/>
      <c r="N17" s="439" t="s">
        <v>277</v>
      </c>
      <c r="O17" s="439">
        <f>+Diagrama!D28</f>
        <v>20480.400000000001</v>
      </c>
      <c r="P17" s="440">
        <f>+Diagrama!D29</f>
        <v>0.105183</v>
      </c>
      <c r="Q17" s="436">
        <f t="shared" ref="Q17:Q18" si="3">P17*O17</f>
        <v>2154.1899132000003</v>
      </c>
      <c r="R17" s="346"/>
      <c r="S17" s="36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0"/>
      <c r="C18" s="351"/>
      <c r="D18" s="534" t="s">
        <v>107</v>
      </c>
      <c r="E18" s="535"/>
      <c r="F18" s="536"/>
      <c r="G18" s="434">
        <f>+Diagrama!K72</f>
        <v>112389.43290575763</v>
      </c>
      <c r="H18" s="434">
        <f>+G18*(1-Diagrama!AE19)</f>
        <v>103878</v>
      </c>
      <c r="I18" s="435">
        <f>+Diagrama!C42</f>
        <v>0.68680000000000008</v>
      </c>
      <c r="J18" s="436">
        <f t="shared" si="2"/>
        <v>71343.410400000008</v>
      </c>
      <c r="K18" s="544" t="s">
        <v>115</v>
      </c>
      <c r="L18" s="542"/>
      <c r="M18" s="545"/>
      <c r="N18" s="449" t="str">
        <f>N17</f>
        <v>-</v>
      </c>
      <c r="O18" s="449">
        <f t="shared" ref="O18:P18" si="4">O17</f>
        <v>20480.400000000001</v>
      </c>
      <c r="P18" s="450">
        <f t="shared" si="4"/>
        <v>0.105183</v>
      </c>
      <c r="Q18" s="451">
        <f t="shared" si="3"/>
        <v>2154.1899132000003</v>
      </c>
      <c r="R18" s="346"/>
      <c r="S18" s="36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0"/>
      <c r="C19" s="351"/>
      <c r="D19" s="534" t="s">
        <v>109</v>
      </c>
      <c r="E19" s="535"/>
      <c r="F19" s="536"/>
      <c r="G19" s="434">
        <f>+Diagrama!K70</f>
        <v>0</v>
      </c>
      <c r="H19" s="434">
        <f>+Diagrama!M52</f>
        <v>0</v>
      </c>
      <c r="I19" s="435">
        <f>+Diagrama!M53</f>
        <v>0</v>
      </c>
      <c r="J19" s="436">
        <f t="shared" si="2"/>
        <v>0</v>
      </c>
      <c r="K19" s="537"/>
      <c r="L19" s="538"/>
      <c r="M19" s="538"/>
      <c r="O19" s="367"/>
      <c r="P19" s="368"/>
      <c r="Q19" s="369"/>
      <c r="R19" s="34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0"/>
      <c r="C20" s="351"/>
      <c r="D20" s="534" t="s">
        <v>94</v>
      </c>
      <c r="E20" s="535"/>
      <c r="F20" s="536"/>
      <c r="G20" s="434">
        <v>0</v>
      </c>
      <c r="H20" s="434">
        <f>Diagrama!K78*(1-'Datos Extra'!D28)</f>
        <v>0</v>
      </c>
      <c r="I20" s="435">
        <f>+Diagrama!T34</f>
        <v>0</v>
      </c>
      <c r="J20" s="436">
        <f t="shared" si="2"/>
        <v>0</v>
      </c>
      <c r="K20" s="539"/>
      <c r="L20" s="538"/>
      <c r="M20" s="538"/>
      <c r="O20" s="371"/>
      <c r="P20" s="372"/>
      <c r="Q20" s="373"/>
      <c r="R20" s="34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0"/>
      <c r="C21" s="351"/>
      <c r="D21" s="534" t="s">
        <v>111</v>
      </c>
      <c r="E21" s="535"/>
      <c r="F21" s="536"/>
      <c r="G21" s="434">
        <f>+Diagrama!K71</f>
        <v>66000</v>
      </c>
      <c r="H21" s="434">
        <f>IF(G21=0,0,G21*(1-Diagrama!AE26))</f>
        <v>66000</v>
      </c>
      <c r="I21" s="435">
        <f>IF(G21=0,0,Diagrama!AG26)</f>
        <v>0</v>
      </c>
      <c r="J21" s="436">
        <f t="shared" si="2"/>
        <v>0</v>
      </c>
      <c r="K21" s="539"/>
      <c r="L21" s="538"/>
      <c r="M21" s="538"/>
      <c r="O21" s="371"/>
      <c r="P21" s="372"/>
      <c r="Q21" s="373"/>
      <c r="R21" s="34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0"/>
      <c r="C22" s="351"/>
      <c r="D22" s="549" t="s">
        <v>115</v>
      </c>
      <c r="E22" s="542"/>
      <c r="F22" s="545"/>
      <c r="G22" s="445">
        <f>SUM(G17:G21)</f>
        <v>383388.92708886333</v>
      </c>
      <c r="H22" s="445">
        <f>SUM(H17:H21)</f>
        <v>372520</v>
      </c>
      <c r="I22" s="446">
        <f>SUMPRODUCT(H17:H21,I17:I21)/H22</f>
        <v>0.5363224894608648</v>
      </c>
      <c r="J22" s="445">
        <f>SUM(J17:J21)</f>
        <v>199790.85377396137</v>
      </c>
      <c r="K22" s="370"/>
      <c r="L22" s="370"/>
      <c r="M22" s="370"/>
      <c r="N22" s="370"/>
      <c r="O22" s="371"/>
      <c r="P22" s="372"/>
      <c r="Q22" s="373"/>
      <c r="R22" s="34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0"/>
      <c r="C23" s="351"/>
      <c r="D23" s="540" t="s">
        <v>119</v>
      </c>
      <c r="E23" s="524"/>
      <c r="F23" s="525"/>
      <c r="G23" s="361"/>
      <c r="H23" s="375" t="s">
        <v>40</v>
      </c>
      <c r="I23" s="375" t="s">
        <v>103</v>
      </c>
      <c r="J23" s="376" t="s">
        <v>41</v>
      </c>
      <c r="K23" s="374" t="s">
        <v>120</v>
      </c>
      <c r="L23" s="377" t="s">
        <v>121</v>
      </c>
      <c r="M23" s="378"/>
      <c r="N23" s="378"/>
      <c r="O23" s="379"/>
      <c r="P23" s="378"/>
      <c r="Q23" s="378"/>
      <c r="R23" s="38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0"/>
      <c r="C24" s="351"/>
      <c r="D24" s="531" t="s">
        <v>122</v>
      </c>
      <c r="E24" s="532"/>
      <c r="F24" s="533"/>
      <c r="G24" s="354"/>
      <c r="H24" s="381"/>
      <c r="I24" s="382"/>
      <c r="J24" s="383"/>
      <c r="K24" s="384"/>
      <c r="L24" s="385"/>
      <c r="M24" s="386"/>
      <c r="N24" s="386"/>
      <c r="O24" s="387">
        <v>0.76</v>
      </c>
      <c r="P24" s="368"/>
      <c r="Q24" s="369"/>
      <c r="R24" s="346"/>
      <c r="S24" s="133"/>
      <c r="T24" s="133"/>
      <c r="U24" s="38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0"/>
      <c r="C25" s="351"/>
      <c r="D25" s="516" t="s">
        <v>123</v>
      </c>
      <c r="E25" s="517"/>
      <c r="F25" s="518"/>
      <c r="G25" s="347"/>
      <c r="H25" s="357"/>
      <c r="I25" s="358"/>
      <c r="J25" s="390"/>
      <c r="K25" s="384"/>
      <c r="L25" s="391"/>
      <c r="M25" s="386"/>
      <c r="N25" s="386"/>
      <c r="O25" s="387">
        <v>8.68</v>
      </c>
      <c r="P25" s="368"/>
      <c r="Q25" s="369"/>
      <c r="R25" s="346"/>
      <c r="S25" s="133"/>
      <c r="T25" s="133"/>
      <c r="U25" s="38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0"/>
      <c r="C26" s="351"/>
      <c r="D26" s="516" t="s">
        <v>124</v>
      </c>
      <c r="E26" s="517"/>
      <c r="F26" s="518"/>
      <c r="G26" s="347"/>
      <c r="H26" s="357"/>
      <c r="I26" s="358"/>
      <c r="J26" s="390"/>
      <c r="K26" s="384"/>
      <c r="L26" s="391"/>
      <c r="M26" s="386"/>
      <c r="N26" s="386"/>
      <c r="O26" s="387">
        <v>0.76</v>
      </c>
      <c r="P26" s="368"/>
      <c r="Q26" s="369"/>
      <c r="R26" s="346"/>
      <c r="S26" s="133"/>
      <c r="T26" s="133"/>
      <c r="U26" s="38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0"/>
      <c r="C27" s="351"/>
      <c r="D27" s="516" t="s">
        <v>125</v>
      </c>
      <c r="E27" s="517"/>
      <c r="F27" s="518"/>
      <c r="G27" s="347"/>
      <c r="H27" s="357"/>
      <c r="I27" s="358"/>
      <c r="J27" s="390"/>
      <c r="K27" s="384"/>
      <c r="L27" s="391"/>
      <c r="M27" s="386"/>
      <c r="N27" s="386"/>
      <c r="O27" s="387">
        <v>8.39</v>
      </c>
      <c r="P27" s="368"/>
      <c r="Q27" s="369"/>
      <c r="R27" s="346"/>
      <c r="S27" s="133"/>
      <c r="T27" s="133"/>
      <c r="U27" s="38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0"/>
      <c r="C28" s="351"/>
      <c r="D28" s="389" t="s">
        <v>126</v>
      </c>
      <c r="E28" s="392"/>
      <c r="F28" s="393"/>
      <c r="G28" s="394"/>
      <c r="H28" s="357"/>
      <c r="I28" s="358"/>
      <c r="J28" s="395"/>
      <c r="K28" s="396"/>
      <c r="L28" s="397"/>
      <c r="M28" s="386"/>
      <c r="N28" s="386"/>
      <c r="O28" s="387"/>
      <c r="P28" s="368"/>
      <c r="Q28" s="369"/>
      <c r="R28" s="346"/>
      <c r="S28" s="133"/>
      <c r="T28" s="133"/>
      <c r="U28" s="38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0"/>
      <c r="C29" s="351"/>
      <c r="D29" s="519" t="s">
        <v>127</v>
      </c>
      <c r="E29" s="517"/>
      <c r="F29" s="518"/>
      <c r="G29" s="347"/>
      <c r="H29" s="357"/>
      <c r="I29" s="358"/>
      <c r="J29" s="390"/>
      <c r="K29" s="384"/>
      <c r="L29" s="391"/>
      <c r="M29" s="386"/>
      <c r="N29" s="386"/>
      <c r="O29" s="387">
        <v>0.05</v>
      </c>
      <c r="P29" s="368"/>
      <c r="Q29" s="369"/>
      <c r="R29" s="346"/>
      <c r="S29" s="133"/>
      <c r="T29" s="133"/>
      <c r="U29" s="38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0"/>
      <c r="C30" s="351"/>
      <c r="D30" s="520" t="s">
        <v>128</v>
      </c>
      <c r="E30" s="521"/>
      <c r="F30" s="522"/>
      <c r="G30" s="359"/>
      <c r="H30" s="398"/>
      <c r="I30" s="399"/>
      <c r="J30" s="400"/>
      <c r="K30" s="384"/>
      <c r="L30" s="397"/>
      <c r="M30" s="386"/>
      <c r="N30" s="386"/>
      <c r="O30" s="387">
        <v>0.05</v>
      </c>
      <c r="P30" s="368"/>
      <c r="Q30" s="369"/>
      <c r="R30" s="346"/>
      <c r="S30" s="133"/>
      <c r="T30" s="133"/>
      <c r="U30" s="38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0"/>
      <c r="C31" s="351"/>
      <c r="D31" s="523" t="s">
        <v>115</v>
      </c>
      <c r="E31" s="524"/>
      <c r="F31" s="525"/>
      <c r="G31" s="361"/>
      <c r="H31" s="364">
        <v>0</v>
      </c>
      <c r="I31" s="365"/>
      <c r="J31" s="401">
        <v>0</v>
      </c>
      <c r="K31" s="402">
        <v>0</v>
      </c>
      <c r="L31" s="366">
        <v>0</v>
      </c>
      <c r="M31" s="378"/>
      <c r="N31" s="378"/>
      <c r="O31" s="373"/>
      <c r="P31" s="372"/>
      <c r="Q31" s="373"/>
      <c r="R31" s="346"/>
      <c r="S31" s="133"/>
      <c r="T31" s="133"/>
      <c r="U31" s="38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0"/>
      <c r="C32" s="133"/>
      <c r="D32" s="403"/>
      <c r="E32" s="133"/>
      <c r="F32" s="133"/>
      <c r="G32" s="133"/>
      <c r="H32" s="133"/>
      <c r="I32" s="404"/>
      <c r="J32" s="404"/>
      <c r="K32" s="404"/>
      <c r="L32" s="405"/>
      <c r="M32" s="404"/>
      <c r="N32" s="404"/>
      <c r="O32" s="133"/>
      <c r="P32" s="406"/>
      <c r="Q32" s="133"/>
      <c r="R32" s="34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0"/>
      <c r="C33" s="133"/>
      <c r="D33" s="526" t="s">
        <v>129</v>
      </c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4"/>
      <c r="P33" s="524"/>
      <c r="Q33" s="527"/>
      <c r="R33" s="34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0"/>
      <c r="C35" s="133"/>
      <c r="D35" s="528" t="s">
        <v>130</v>
      </c>
      <c r="E35" s="524"/>
      <c r="F35" s="527"/>
      <c r="G35" s="407"/>
      <c r="H35" s="529"/>
      <c r="I35" s="530"/>
      <c r="J35" s="133"/>
      <c r="K35" s="528" t="s">
        <v>131</v>
      </c>
      <c r="L35" s="524"/>
      <c r="M35" s="527"/>
      <c r="N35" s="407"/>
      <c r="O35" s="529"/>
      <c r="P35" s="530"/>
      <c r="Q35" s="133"/>
      <c r="R35" s="34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0"/>
      <c r="C36" s="133"/>
      <c r="D36" s="505">
        <f>Diagrama!P19</f>
        <v>0.83600764118163129</v>
      </c>
      <c r="E36" s="506"/>
      <c r="F36" s="507"/>
      <c r="G36" s="407"/>
      <c r="H36" s="408"/>
      <c r="I36" s="409"/>
      <c r="J36" s="133"/>
      <c r="K36" s="505">
        <f>Diagrama!P21</f>
        <v>0.94722816104587992</v>
      </c>
      <c r="L36" s="511"/>
      <c r="M36" s="512"/>
      <c r="N36" s="410"/>
      <c r="O36" s="409"/>
      <c r="P36" s="409"/>
      <c r="Q36" s="133"/>
      <c r="R36" s="34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0"/>
      <c r="C37" s="133"/>
      <c r="D37" s="508"/>
      <c r="E37" s="509"/>
      <c r="F37" s="510"/>
      <c r="G37" s="407"/>
      <c r="H37" s="411"/>
      <c r="I37" s="412"/>
      <c r="J37" s="133"/>
      <c r="K37" s="513"/>
      <c r="L37" s="514"/>
      <c r="M37" s="515"/>
      <c r="N37" s="410"/>
      <c r="O37" s="413"/>
      <c r="P37" s="412"/>
      <c r="Q37" s="133"/>
      <c r="R37" s="34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0"/>
      <c r="C38" s="133"/>
      <c r="D38" s="414"/>
      <c r="E38" s="414"/>
      <c r="F38" s="414"/>
      <c r="G38" s="414"/>
      <c r="H38" s="415"/>
      <c r="I38" s="416"/>
      <c r="J38" s="133"/>
      <c r="K38" s="414"/>
      <c r="L38" s="414"/>
      <c r="M38" s="414"/>
      <c r="N38" s="414"/>
      <c r="O38" s="417"/>
      <c r="P38" s="418"/>
      <c r="Q38" s="133"/>
      <c r="R38" s="34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9"/>
      <c r="C39" s="420"/>
      <c r="D39" s="420"/>
      <c r="E39" s="420"/>
      <c r="F39" s="420"/>
      <c r="G39" s="420"/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7" t="s">
        <v>45</v>
      </c>
      <c r="K44" s="536"/>
      <c r="M44" s="578" t="s">
        <v>46</v>
      </c>
      <c r="N44" s="547"/>
      <c r="O44" s="548"/>
      <c r="R44" s="579" t="s">
        <v>47</v>
      </c>
      <c r="S44" s="536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0" t="s">
        <v>59</v>
      </c>
      <c r="K71" s="536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1" t="s">
        <v>63</v>
      </c>
      <c r="Q7" s="536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1" t="s">
        <v>20</v>
      </c>
      <c r="Q10" s="536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2" t="s">
        <v>66</v>
      </c>
      <c r="Q13" s="536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3" t="s">
        <v>68</v>
      </c>
      <c r="F44" s="584"/>
      <c r="G44" s="535"/>
      <c r="H44" s="583" t="s">
        <v>69</v>
      </c>
      <c r="I44" s="584"/>
      <c r="J44" s="536"/>
      <c r="K44" s="585" t="s">
        <v>70</v>
      </c>
      <c r="L44" s="584"/>
      <c r="M44" s="584"/>
      <c r="N44" s="536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6" t="s">
        <v>72</v>
      </c>
      <c r="I45" s="536"/>
      <c r="J45" s="27">
        <f>+E7</f>
        <v>1770.5761999999995</v>
      </c>
      <c r="K45" s="586" t="s">
        <v>73</v>
      </c>
      <c r="L45" s="584"/>
      <c r="M45" s="536"/>
      <c r="N45" s="27">
        <f>+C8</f>
        <v>12961.629000000001</v>
      </c>
    </row>
    <row r="46" spans="2:20" ht="15.75" customHeight="1" x14ac:dyDescent="0.2">
      <c r="E46" s="580"/>
      <c r="F46" s="536"/>
      <c r="G46" s="16"/>
      <c r="H46" s="586" t="s">
        <v>74</v>
      </c>
      <c r="I46" s="536"/>
      <c r="J46" s="27">
        <f>+J19</f>
        <v>44584.890479986498</v>
      </c>
      <c r="K46" s="586" t="s">
        <v>75</v>
      </c>
      <c r="L46" s="584"/>
      <c r="M46" s="536"/>
      <c r="N46" s="27">
        <f>+C28</f>
        <v>16162.331</v>
      </c>
    </row>
    <row r="47" spans="2:20" ht="15.75" customHeight="1" x14ac:dyDescent="0.2">
      <c r="E47" s="580"/>
      <c r="F47" s="536"/>
      <c r="G47" s="16"/>
      <c r="H47" s="586" t="s">
        <v>76</v>
      </c>
      <c r="I47" s="536"/>
      <c r="J47" s="27">
        <f>+G27</f>
        <v>-359512.14169349719</v>
      </c>
      <c r="K47" s="586" t="s">
        <v>77</v>
      </c>
      <c r="L47" s="584"/>
      <c r="M47" s="536"/>
      <c r="N47" s="27">
        <f>+S36</f>
        <v>19130.865000000002</v>
      </c>
    </row>
    <row r="48" spans="2:20" ht="15.75" customHeight="1" x14ac:dyDescent="0.2">
      <c r="E48" s="580"/>
      <c r="F48" s="536"/>
      <c r="G48" s="16"/>
      <c r="H48" s="77" t="s">
        <v>78</v>
      </c>
      <c r="I48" s="77"/>
      <c r="J48" s="27">
        <f>+O20</f>
        <v>-14174.322317347061</v>
      </c>
      <c r="K48" s="586" t="s">
        <v>79</v>
      </c>
      <c r="L48" s="584"/>
      <c r="M48" s="536"/>
      <c r="N48" s="27">
        <f>+S28</f>
        <v>108284.65870939114</v>
      </c>
    </row>
    <row r="49" spans="5:14" ht="15.75" customHeight="1" x14ac:dyDescent="0.2">
      <c r="E49" s="580"/>
      <c r="F49" s="536"/>
      <c r="G49" s="16"/>
      <c r="H49" s="586" t="s">
        <v>80</v>
      </c>
      <c r="I49" s="536"/>
      <c r="J49" s="27">
        <f>+P40</f>
        <v>-311.60807004405433</v>
      </c>
      <c r="K49" s="586" t="s">
        <v>81</v>
      </c>
      <c r="L49" s="584"/>
      <c r="M49" s="536"/>
      <c r="N49" s="27">
        <f>+G36</f>
        <v>673884.94200000004</v>
      </c>
    </row>
    <row r="50" spans="5:14" ht="15.75" customHeight="1" x14ac:dyDescent="0.25">
      <c r="E50" s="589" t="s">
        <v>82</v>
      </c>
      <c r="F50" s="536"/>
      <c r="G50" s="78">
        <f>+G45</f>
        <v>502781.82030850503</v>
      </c>
      <c r="H50" s="587" t="s">
        <v>83</v>
      </c>
      <c r="I50" s="536"/>
      <c r="J50" s="79">
        <f>+SUM(J45:J49)</f>
        <v>-327642.60540090181</v>
      </c>
      <c r="K50" s="587" t="s">
        <v>84</v>
      </c>
      <c r="L50" s="584"/>
      <c r="M50" s="536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90" t="s">
        <v>68</v>
      </c>
      <c r="F55" s="584"/>
      <c r="G55" s="535"/>
      <c r="H55" s="590" t="s">
        <v>69</v>
      </c>
      <c r="I55" s="584"/>
      <c r="J55" s="536"/>
      <c r="K55" s="588" t="s">
        <v>70</v>
      </c>
      <c r="L55" s="584"/>
      <c r="M55" s="584"/>
      <c r="N55" s="536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6" t="s">
        <v>72</v>
      </c>
      <c r="I56" s="536"/>
      <c r="J56" s="27" t="e">
        <f>+'Bal Los Colorados'!O49*'Bal Los Colorados'!G49</f>
        <v>#REF!</v>
      </c>
      <c r="K56" s="586" t="s">
        <v>73</v>
      </c>
      <c r="L56" s="584"/>
      <c r="M56" s="536"/>
      <c r="N56" s="27">
        <f>+C10</f>
        <v>7704.8210577451482</v>
      </c>
    </row>
    <row r="57" spans="5:14" ht="15.75" customHeight="1" x14ac:dyDescent="0.2">
      <c r="E57" s="580"/>
      <c r="F57" s="536"/>
      <c r="G57" s="16"/>
      <c r="H57" s="586" t="s">
        <v>74</v>
      </c>
      <c r="I57" s="536"/>
      <c r="J57" s="27" t="e">
        <f>+'Bal Los Colorados'!O53*'Bal Los Colorados'!G53</f>
        <v>#REF!</v>
      </c>
      <c r="K57" s="586" t="s">
        <v>75</v>
      </c>
      <c r="L57" s="584"/>
      <c r="M57" s="536"/>
      <c r="N57" s="27">
        <f>+C30</f>
        <v>9675.4587302503223</v>
      </c>
    </row>
    <row r="58" spans="5:14" ht="15.75" customHeight="1" x14ac:dyDescent="0.2">
      <c r="E58" s="580"/>
      <c r="F58" s="536"/>
      <c r="G58" s="16"/>
      <c r="H58" s="586" t="s">
        <v>76</v>
      </c>
      <c r="I58" s="536"/>
      <c r="J58" s="27" t="e">
        <f>+'Bal Los Colorados'!O56*'Bal Los Colorados'!G56</f>
        <v>#REF!</v>
      </c>
      <c r="K58" s="586" t="s">
        <v>77</v>
      </c>
      <c r="L58" s="584"/>
      <c r="M58" s="536"/>
      <c r="N58" s="27">
        <f>+S38</f>
        <v>7620.3234035700007</v>
      </c>
    </row>
    <row r="59" spans="5:14" ht="15.75" customHeight="1" x14ac:dyDescent="0.2">
      <c r="E59" s="580"/>
      <c r="F59" s="536"/>
      <c r="G59" s="16"/>
      <c r="H59" s="77" t="s">
        <v>78</v>
      </c>
      <c r="I59" s="77"/>
      <c r="J59" s="27" t="e">
        <f>+'Bal Los Colorados'!O62*'Bal Los Colorados'!G62</f>
        <v>#REF!</v>
      </c>
      <c r="K59" s="586" t="s">
        <v>79</v>
      </c>
      <c r="L59" s="584"/>
      <c r="M59" s="536"/>
      <c r="N59" s="27">
        <f>+S30</f>
        <v>14049.347154701374</v>
      </c>
    </row>
    <row r="60" spans="5:14" ht="15.75" customHeight="1" x14ac:dyDescent="0.2">
      <c r="E60" s="580"/>
      <c r="F60" s="536"/>
      <c r="G60" s="16"/>
      <c r="H60" s="586" t="s">
        <v>80</v>
      </c>
      <c r="I60" s="536"/>
      <c r="J60" s="27" t="e">
        <f>+'Bal Los Colorados'!O67*'Bal Los Colorados'!G67</f>
        <v>#REF!</v>
      </c>
      <c r="K60" s="586" t="s">
        <v>81</v>
      </c>
      <c r="L60" s="584"/>
      <c r="M60" s="536"/>
      <c r="N60" s="27">
        <f>+G38</f>
        <v>410848.95586592209</v>
      </c>
    </row>
    <row r="61" spans="5:14" ht="15.75" customHeight="1" x14ac:dyDescent="0.25">
      <c r="E61" s="589" t="s">
        <v>82</v>
      </c>
      <c r="F61" s="536"/>
      <c r="G61" s="78">
        <f>+G56</f>
        <v>231983.78607040126</v>
      </c>
      <c r="H61" s="587" t="s">
        <v>83</v>
      </c>
      <c r="I61" s="536"/>
      <c r="J61" s="79" t="e">
        <f>+SUM(J56:J60)</f>
        <v>#REF!</v>
      </c>
      <c r="K61" s="587" t="s">
        <v>84</v>
      </c>
      <c r="L61" s="584"/>
      <c r="M61" s="536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7" t="s">
        <v>279</v>
      </c>
      <c r="B1" s="468">
        <v>66753</v>
      </c>
      <c r="C1" s="469">
        <v>0</v>
      </c>
      <c r="D1" s="469">
        <v>0</v>
      </c>
      <c r="E1" s="468">
        <v>0</v>
      </c>
      <c r="F1" s="470"/>
      <c r="G1" s="468"/>
      <c r="H1" s="468"/>
    </row>
    <row r="2" spans="1:8" ht="21" x14ac:dyDescent="0.25">
      <c r="A2" s="471" t="s">
        <v>88</v>
      </c>
      <c r="B2" s="472">
        <v>24736</v>
      </c>
      <c r="C2" s="471">
        <v>0</v>
      </c>
      <c r="D2" s="473">
        <v>0</v>
      </c>
      <c r="E2" s="468">
        <v>0</v>
      </c>
      <c r="F2" s="470"/>
      <c r="G2" s="468"/>
      <c r="H2" s="468"/>
    </row>
    <row r="3" spans="1:8" ht="21" x14ac:dyDescent="0.25">
      <c r="A3" s="471" t="s">
        <v>89</v>
      </c>
      <c r="B3" s="472">
        <v>50490</v>
      </c>
      <c r="C3" s="471">
        <v>0</v>
      </c>
      <c r="D3" s="473">
        <v>0</v>
      </c>
      <c r="E3" s="468">
        <v>0</v>
      </c>
      <c r="F3" s="474"/>
      <c r="G3" s="468"/>
      <c r="H3" s="468"/>
    </row>
    <row r="4" spans="1:8" ht="21" x14ac:dyDescent="0.25">
      <c r="A4" s="471" t="s">
        <v>280</v>
      </c>
      <c r="B4" s="472">
        <v>0</v>
      </c>
      <c r="C4" s="471">
        <v>0</v>
      </c>
      <c r="D4" s="473">
        <v>0</v>
      </c>
      <c r="E4" s="468">
        <v>0</v>
      </c>
      <c r="F4" s="468"/>
      <c r="G4" s="468"/>
      <c r="H4" s="468"/>
    </row>
    <row r="5" spans="1:8" ht="21" x14ac:dyDescent="0.25">
      <c r="A5" s="471" t="s">
        <v>90</v>
      </c>
      <c r="B5" s="472">
        <v>0</v>
      </c>
      <c r="C5" s="471">
        <v>0</v>
      </c>
      <c r="D5" s="473">
        <v>0</v>
      </c>
      <c r="E5" s="468">
        <v>0</v>
      </c>
      <c r="F5" s="468"/>
      <c r="G5" s="468"/>
      <c r="H5" s="468"/>
    </row>
    <row r="6" spans="1:8" ht="21" x14ac:dyDescent="0.25">
      <c r="A6" s="471" t="s">
        <v>91</v>
      </c>
      <c r="B6" s="472">
        <v>0</v>
      </c>
      <c r="C6" s="471">
        <v>0</v>
      </c>
      <c r="D6" s="473">
        <v>0</v>
      </c>
      <c r="E6" s="468">
        <v>0</v>
      </c>
      <c r="F6" s="468"/>
      <c r="G6" s="468"/>
      <c r="H6" s="468"/>
    </row>
    <row r="7" spans="1:8" ht="21" x14ac:dyDescent="0.25">
      <c r="A7" s="471" t="s">
        <v>92</v>
      </c>
      <c r="B7" s="472">
        <v>150617</v>
      </c>
      <c r="C7" s="471">
        <v>0</v>
      </c>
      <c r="D7" s="473">
        <v>0</v>
      </c>
      <c r="E7" s="468">
        <v>0</v>
      </c>
      <c r="F7" s="468"/>
      <c r="G7" s="468"/>
      <c r="H7" s="468"/>
    </row>
    <row r="8" spans="1:8" ht="21" x14ac:dyDescent="0.25">
      <c r="A8" s="471" t="s">
        <v>93</v>
      </c>
      <c r="B8" s="472">
        <v>435811</v>
      </c>
      <c r="C8" s="471">
        <v>0</v>
      </c>
      <c r="D8" s="473">
        <v>0</v>
      </c>
      <c r="E8" s="468">
        <v>0</v>
      </c>
      <c r="F8" s="468"/>
      <c r="G8" s="468"/>
      <c r="H8" s="468"/>
    </row>
    <row r="9" spans="1:8" ht="21" x14ac:dyDescent="0.25">
      <c r="A9" s="471" t="s">
        <v>94</v>
      </c>
      <c r="B9" s="472">
        <v>2203</v>
      </c>
      <c r="C9" s="471">
        <v>0</v>
      </c>
      <c r="D9" s="473">
        <v>0</v>
      </c>
      <c r="E9" s="468">
        <v>0</v>
      </c>
      <c r="F9" s="468"/>
      <c r="G9" s="468"/>
      <c r="H9" s="468"/>
    </row>
    <row r="10" spans="1:8" ht="21" x14ac:dyDescent="0.25">
      <c r="A10" s="471" t="s">
        <v>95</v>
      </c>
      <c r="B10" s="472">
        <v>27</v>
      </c>
      <c r="C10" s="471">
        <v>0</v>
      </c>
      <c r="D10" s="473">
        <v>0</v>
      </c>
      <c r="E10" s="468">
        <v>0</v>
      </c>
      <c r="F10" s="468"/>
      <c r="G10" s="468"/>
      <c r="H10" s="468"/>
    </row>
    <row r="11" spans="1:8" ht="21" x14ac:dyDescent="0.25">
      <c r="A11" s="471" t="s">
        <v>96</v>
      </c>
      <c r="B11" s="472">
        <v>25122</v>
      </c>
      <c r="C11" s="471">
        <v>0</v>
      </c>
      <c r="D11" s="473">
        <v>0</v>
      </c>
      <c r="E11" s="468">
        <v>0</v>
      </c>
      <c r="F11" s="468"/>
      <c r="G11" s="468"/>
      <c r="H11" s="468"/>
    </row>
    <row r="12" spans="1:8" ht="21" x14ac:dyDescent="0.25">
      <c r="A12" s="471" t="s">
        <v>247</v>
      </c>
      <c r="B12" s="472">
        <v>841140</v>
      </c>
      <c r="C12" s="471">
        <v>1</v>
      </c>
      <c r="D12" s="473">
        <v>2.65</v>
      </c>
      <c r="E12" s="468">
        <v>0</v>
      </c>
      <c r="F12" s="468"/>
      <c r="G12" s="468"/>
      <c r="H12" s="468"/>
    </row>
    <row r="13" spans="1:8" ht="21" x14ac:dyDescent="0.25">
      <c r="A13" s="471" t="s">
        <v>248</v>
      </c>
      <c r="B13" s="472">
        <v>841140</v>
      </c>
      <c r="C13" s="471">
        <v>1</v>
      </c>
      <c r="D13" s="473">
        <v>1.7937498607364257</v>
      </c>
      <c r="E13" s="468">
        <v>0</v>
      </c>
      <c r="F13" s="468"/>
      <c r="G13" s="468"/>
      <c r="H13" s="468"/>
    </row>
    <row r="14" spans="1:8" ht="21" x14ac:dyDescent="0.25">
      <c r="A14" s="471" t="s">
        <v>249</v>
      </c>
      <c r="B14" s="472">
        <v>799464</v>
      </c>
      <c r="C14" s="471">
        <v>0.85</v>
      </c>
      <c r="D14" s="473">
        <v>0.93275003802393297</v>
      </c>
      <c r="E14" s="468">
        <v>0</v>
      </c>
      <c r="F14" s="468"/>
      <c r="G14" s="468"/>
      <c r="H14" s="468"/>
    </row>
    <row r="15" spans="1:8" ht="21" x14ac:dyDescent="0.25">
      <c r="A15" s="471" t="s">
        <v>250</v>
      </c>
      <c r="B15" s="472">
        <v>309440</v>
      </c>
      <c r="C15" s="471">
        <v>0.15</v>
      </c>
      <c r="D15" s="473">
        <v>1.1554858656662388</v>
      </c>
      <c r="E15" s="468">
        <v>0</v>
      </c>
      <c r="F15" s="468"/>
      <c r="G15" s="468"/>
      <c r="H15" s="468"/>
    </row>
    <row r="16" spans="1:8" ht="21" x14ac:dyDescent="0.25">
      <c r="A16" s="471" t="s">
        <v>251</v>
      </c>
      <c r="B16" s="472">
        <v>719345</v>
      </c>
      <c r="C16" s="471">
        <v>1</v>
      </c>
      <c r="D16" s="473">
        <v>6.7708475606506466</v>
      </c>
      <c r="E16" s="468">
        <v>0</v>
      </c>
      <c r="F16" s="468"/>
      <c r="G16" s="468"/>
      <c r="H16" s="468"/>
    </row>
    <row r="17" spans="1:8" ht="21" x14ac:dyDescent="0.25">
      <c r="A17" s="471" t="s">
        <v>253</v>
      </c>
      <c r="B17" s="472">
        <v>0</v>
      </c>
      <c r="C17" s="471">
        <v>0</v>
      </c>
      <c r="D17" s="473">
        <v>12.73464883638535</v>
      </c>
      <c r="E17" s="468">
        <v>0</v>
      </c>
      <c r="F17" s="468"/>
      <c r="G17" s="468"/>
      <c r="H17" s="468"/>
    </row>
    <row r="18" spans="1:8" ht="21" x14ac:dyDescent="0.25">
      <c r="A18" s="471" t="s">
        <v>254</v>
      </c>
      <c r="B18" s="472">
        <v>0</v>
      </c>
      <c r="C18" s="471">
        <v>0</v>
      </c>
      <c r="D18" s="473">
        <v>20.331616421326252</v>
      </c>
      <c r="E18" s="468">
        <v>0</v>
      </c>
      <c r="F18" s="468"/>
      <c r="G18" s="468"/>
      <c r="H18" s="468"/>
    </row>
    <row r="19" spans="1:8" ht="21" x14ac:dyDescent="0.25">
      <c r="A19" s="471" t="s">
        <v>255</v>
      </c>
      <c r="B19" s="472">
        <v>0</v>
      </c>
      <c r="C19" s="471">
        <v>0</v>
      </c>
      <c r="D19" s="473">
        <v>8.225477491060424</v>
      </c>
      <c r="E19" s="468">
        <v>0</v>
      </c>
      <c r="F19" s="468"/>
      <c r="G19" s="468"/>
      <c r="H19" s="468"/>
    </row>
    <row r="20" spans="1:8" ht="21" x14ac:dyDescent="0.25">
      <c r="A20" s="471" t="s">
        <v>256</v>
      </c>
      <c r="B20" s="472">
        <v>0</v>
      </c>
      <c r="C20" s="471">
        <v>0</v>
      </c>
      <c r="D20" s="473">
        <v>2.7579753151123789</v>
      </c>
      <c r="E20" s="468">
        <v>0</v>
      </c>
      <c r="F20" s="468"/>
      <c r="G20" s="468"/>
      <c r="H20" s="468"/>
    </row>
    <row r="21" spans="1:8" ht="21" x14ac:dyDescent="0.25">
      <c r="A21" s="471" t="s">
        <v>256</v>
      </c>
      <c r="B21" s="472">
        <v>0</v>
      </c>
      <c r="C21" s="471">
        <v>0</v>
      </c>
      <c r="D21" s="473">
        <v>2.7579753151123789</v>
      </c>
      <c r="E21" s="468">
        <v>0</v>
      </c>
      <c r="F21" s="468"/>
      <c r="G21" s="468"/>
      <c r="H21" s="468"/>
    </row>
    <row r="22" spans="1:8" ht="21" x14ac:dyDescent="0.25">
      <c r="A22" s="471" t="s">
        <v>201</v>
      </c>
      <c r="B22" s="472">
        <v>0</v>
      </c>
      <c r="C22" s="471">
        <v>0.04</v>
      </c>
      <c r="D22" s="473">
        <v>0</v>
      </c>
      <c r="E22" s="468">
        <v>0.57999999999999996</v>
      </c>
      <c r="F22" s="468"/>
      <c r="G22" s="468"/>
      <c r="H22" s="468"/>
    </row>
    <row r="23" spans="1:8" ht="21" x14ac:dyDescent="0.25">
      <c r="A23" s="471" t="s">
        <v>281</v>
      </c>
      <c r="B23" s="472">
        <v>9444</v>
      </c>
      <c r="C23" s="471">
        <v>0.04</v>
      </c>
      <c r="D23" s="473">
        <v>9066.24</v>
      </c>
      <c r="E23" s="468">
        <v>0.57999999999999996</v>
      </c>
      <c r="F23" s="468"/>
      <c r="G23" s="468"/>
      <c r="H23" s="468"/>
    </row>
    <row r="24" spans="1:8" ht="21" x14ac:dyDescent="0.25">
      <c r="A24" s="471" t="s">
        <v>282</v>
      </c>
      <c r="B24" s="472">
        <v>2203</v>
      </c>
      <c r="C24" s="471">
        <v>2.8000000000000001E-2</v>
      </c>
      <c r="D24" s="473">
        <v>2141.3159999999998</v>
      </c>
      <c r="E24" s="468">
        <v>0.62560000000000004</v>
      </c>
      <c r="F24" s="468"/>
      <c r="G24" s="468"/>
      <c r="H24" s="468"/>
    </row>
    <row r="25" spans="1:8" ht="21" x14ac:dyDescent="0.25">
      <c r="A25" s="475" t="s">
        <v>204</v>
      </c>
      <c r="B25" s="472">
        <v>0</v>
      </c>
      <c r="C25" s="476">
        <v>0</v>
      </c>
      <c r="D25" s="477">
        <v>0</v>
      </c>
      <c r="E25" s="468">
        <v>0</v>
      </c>
      <c r="F25" s="468"/>
      <c r="G25" s="468"/>
      <c r="H25" s="468"/>
    </row>
    <row r="26" spans="1:8" ht="21" x14ac:dyDescent="0.25">
      <c r="A26" s="475" t="s">
        <v>208</v>
      </c>
      <c r="B26" s="472">
        <v>0</v>
      </c>
      <c r="C26" s="476">
        <v>2.6944684E-2</v>
      </c>
      <c r="D26" s="477">
        <v>0</v>
      </c>
      <c r="E26" s="468">
        <v>0.62503473099999995</v>
      </c>
      <c r="F26" s="468"/>
      <c r="G26" s="468"/>
      <c r="H26" s="468"/>
    </row>
    <row r="27" spans="1:8" ht="21" x14ac:dyDescent="0.25">
      <c r="A27" s="475" t="s">
        <v>210</v>
      </c>
      <c r="B27" s="472">
        <v>0</v>
      </c>
      <c r="C27" s="476">
        <v>0</v>
      </c>
      <c r="D27" s="477">
        <v>0</v>
      </c>
      <c r="E27" s="468">
        <v>0</v>
      </c>
      <c r="F27" s="468"/>
      <c r="G27" s="468"/>
      <c r="H27" s="468"/>
    </row>
    <row r="28" spans="1:8" ht="21" x14ac:dyDescent="0.25">
      <c r="A28" s="475" t="s">
        <v>283</v>
      </c>
      <c r="B28" s="472">
        <v>24345</v>
      </c>
      <c r="C28" s="476">
        <v>0</v>
      </c>
      <c r="D28" s="477">
        <v>24345</v>
      </c>
      <c r="E28" s="468">
        <v>0.65</v>
      </c>
      <c r="F28" s="468"/>
      <c r="G28" s="468"/>
      <c r="H28" s="468"/>
    </row>
    <row r="29" spans="1:8" ht="21" x14ac:dyDescent="0.25">
      <c r="A29" s="475" t="s">
        <v>212</v>
      </c>
      <c r="B29" s="472">
        <v>24345</v>
      </c>
      <c r="C29" s="476">
        <v>0</v>
      </c>
      <c r="D29" s="477">
        <v>24345</v>
      </c>
      <c r="E29" s="468">
        <v>0.65</v>
      </c>
      <c r="F29" s="468"/>
      <c r="G29" s="468"/>
      <c r="H29" s="468"/>
    </row>
    <row r="30" spans="1:8" ht="21" x14ac:dyDescent="0.25">
      <c r="A30" s="475" t="s">
        <v>213</v>
      </c>
      <c r="B30" s="472">
        <v>0</v>
      </c>
      <c r="C30" s="476">
        <v>0</v>
      </c>
      <c r="D30" s="477">
        <v>0</v>
      </c>
      <c r="E30" s="468">
        <v>0</v>
      </c>
      <c r="F30" s="468"/>
      <c r="G30" s="468"/>
      <c r="H30" s="468"/>
    </row>
    <row r="31" spans="1:8" ht="21" x14ac:dyDescent="0.25">
      <c r="A31" s="475" t="s">
        <v>214</v>
      </c>
      <c r="B31" s="472">
        <v>0</v>
      </c>
      <c r="C31" s="476">
        <v>0</v>
      </c>
      <c r="D31" s="477">
        <v>0</v>
      </c>
      <c r="E31" s="468">
        <v>0</v>
      </c>
      <c r="F31" s="468"/>
      <c r="G31" s="468"/>
      <c r="H31" s="468"/>
    </row>
    <row r="32" spans="1:8" ht="21" x14ac:dyDescent="0.25">
      <c r="A32" s="475" t="s">
        <v>219</v>
      </c>
      <c r="B32" s="472">
        <v>0</v>
      </c>
      <c r="C32" s="476">
        <v>0</v>
      </c>
      <c r="D32" s="477">
        <v>0</v>
      </c>
      <c r="E32" s="468">
        <v>0</v>
      </c>
      <c r="F32" s="468"/>
      <c r="G32" s="468"/>
      <c r="H32" s="468"/>
    </row>
    <row r="33" spans="1:8" ht="21" x14ac:dyDescent="0.25">
      <c r="A33" s="475" t="s">
        <v>220</v>
      </c>
      <c r="B33" s="472">
        <v>0</v>
      </c>
      <c r="C33" s="476">
        <v>0</v>
      </c>
      <c r="D33" s="477">
        <v>0</v>
      </c>
      <c r="E33" s="468">
        <v>0</v>
      </c>
      <c r="F33" s="468"/>
      <c r="G33" s="468"/>
      <c r="H33" s="468"/>
    </row>
    <row r="34" spans="1:8" ht="21" x14ac:dyDescent="0.25">
      <c r="A34" s="478" t="s">
        <v>284</v>
      </c>
      <c r="B34" s="468">
        <v>0</v>
      </c>
      <c r="C34" s="468">
        <v>0</v>
      </c>
      <c r="D34" s="468">
        <v>0</v>
      </c>
      <c r="E34" s="468">
        <v>0</v>
      </c>
      <c r="F34" s="468"/>
      <c r="G34" s="468"/>
      <c r="H34" s="468"/>
    </row>
    <row r="35" spans="1:8" ht="21" x14ac:dyDescent="0.25">
      <c r="A35" s="478" t="s">
        <v>224</v>
      </c>
      <c r="B35" s="468">
        <v>0</v>
      </c>
      <c r="C35" s="468">
        <v>0</v>
      </c>
      <c r="D35" s="468">
        <v>0</v>
      </c>
      <c r="E35" s="468">
        <v>0</v>
      </c>
      <c r="F35" s="468"/>
      <c r="G35" s="468"/>
      <c r="H35" s="468"/>
    </row>
    <row r="36" spans="1:8" ht="21" x14ac:dyDescent="0.25">
      <c r="A36" s="478" t="s">
        <v>226</v>
      </c>
      <c r="B36" s="468">
        <v>0</v>
      </c>
      <c r="C36" s="468">
        <v>0</v>
      </c>
      <c r="D36" s="468">
        <v>0</v>
      </c>
      <c r="E36" s="468">
        <v>0</v>
      </c>
      <c r="F36" s="468"/>
      <c r="G36" s="468"/>
      <c r="H36" s="468"/>
    </row>
    <row r="37" spans="1:8" ht="21" x14ac:dyDescent="0.25">
      <c r="A37" s="478" t="s">
        <v>228</v>
      </c>
      <c r="B37" s="468">
        <v>0</v>
      </c>
      <c r="C37" s="468">
        <v>0</v>
      </c>
      <c r="D37" s="468">
        <v>0</v>
      </c>
      <c r="E37" s="468">
        <v>0</v>
      </c>
      <c r="F37" s="468"/>
      <c r="G37" s="468"/>
      <c r="H37" s="468"/>
    </row>
    <row r="38" spans="1:8" ht="21" x14ac:dyDescent="0.25">
      <c r="A38" s="478" t="s">
        <v>92</v>
      </c>
      <c r="B38" s="468">
        <v>149936</v>
      </c>
      <c r="C38" s="468">
        <v>150934.60122179985</v>
      </c>
      <c r="D38" s="468">
        <v>998.60122179985046</v>
      </c>
      <c r="E38" s="468">
        <v>9.6968121743781464E-3</v>
      </c>
      <c r="F38" s="468">
        <v>1453.9012301775617</v>
      </c>
      <c r="G38" s="468">
        <v>149616.65539018225</v>
      </c>
      <c r="H38" s="468">
        <v>148482.09876982245</v>
      </c>
    </row>
    <row r="39" spans="1:8" ht="21" x14ac:dyDescent="0.25">
      <c r="A39" s="478" t="s">
        <v>93</v>
      </c>
      <c r="B39" s="468">
        <v>435765</v>
      </c>
      <c r="C39" s="468">
        <v>395462.99999999988</v>
      </c>
      <c r="D39" s="468">
        <v>-40302.000000000116</v>
      </c>
      <c r="E39" s="468">
        <v>9.6713366074297497E-3</v>
      </c>
      <c r="F39" s="468">
        <v>149046.44449790861</v>
      </c>
      <c r="G39" s="468">
        <v>434139.57238202594</v>
      </c>
      <c r="H39" s="468">
        <v>431550.57000326336</v>
      </c>
    </row>
    <row r="40" spans="1:8" ht="21" x14ac:dyDescent="0.25">
      <c r="A40" s="478" t="s">
        <v>285</v>
      </c>
      <c r="B40" s="468">
        <v>0</v>
      </c>
      <c r="C40" s="468">
        <v>-2927.9471969604492</v>
      </c>
      <c r="D40" s="468">
        <v>-2927.9471969604492</v>
      </c>
      <c r="E40" s="468">
        <v>8.6E-3</v>
      </c>
      <c r="F40" s="468">
        <v>8030.3399999999992</v>
      </c>
      <c r="G40" s="468">
        <v>0</v>
      </c>
      <c r="H40" s="468">
        <v>0</v>
      </c>
    </row>
    <row r="41" spans="1:8" ht="21" x14ac:dyDescent="0.25">
      <c r="A41" s="478" t="s">
        <v>286</v>
      </c>
      <c r="B41" s="468">
        <v>0</v>
      </c>
      <c r="C41" s="468">
        <v>-1980</v>
      </c>
      <c r="D41" s="468">
        <v>-1980</v>
      </c>
      <c r="E41" s="468">
        <v>0</v>
      </c>
      <c r="F41" s="468">
        <v>2700</v>
      </c>
      <c r="G41" s="468">
        <v>0</v>
      </c>
      <c r="H41" s="468">
        <v>0</v>
      </c>
    </row>
    <row r="42" spans="1:8" ht="21" x14ac:dyDescent="0.25">
      <c r="A42" s="478" t="s">
        <v>107</v>
      </c>
      <c r="B42" s="468">
        <v>48104</v>
      </c>
      <c r="C42" s="468">
        <v>147374.00000000003</v>
      </c>
      <c r="D42" s="468">
        <v>99270.000000000029</v>
      </c>
      <c r="E42" s="468">
        <v>7.6449041795111791E-2</v>
      </c>
      <c r="F42" s="468">
        <v>-350455.26435521792</v>
      </c>
      <c r="G42" s="468">
        <v>46202.702648706152</v>
      </c>
      <c r="H42" s="468">
        <v>44426.49529348794</v>
      </c>
    </row>
    <row r="43" spans="1:8" ht="21" x14ac:dyDescent="0.25">
      <c r="A43" s="478" t="s">
        <v>287</v>
      </c>
      <c r="B43" s="468">
        <v>0</v>
      </c>
      <c r="C43" s="468">
        <v>0</v>
      </c>
      <c r="D43" s="468">
        <v>0</v>
      </c>
      <c r="E43" s="468">
        <v>0</v>
      </c>
      <c r="F43" s="468">
        <v>0</v>
      </c>
      <c r="G43" s="468">
        <v>0</v>
      </c>
      <c r="H43" s="468">
        <v>0</v>
      </c>
    </row>
    <row r="44" spans="1:8" ht="21" x14ac:dyDescent="0.25">
      <c r="A44" s="479" t="s">
        <v>109</v>
      </c>
      <c r="B44" s="480">
        <v>65746</v>
      </c>
      <c r="C44" s="481">
        <v>14273.091962099075</v>
      </c>
      <c r="D44" s="482">
        <v>-51472.908037900925</v>
      </c>
      <c r="E44" s="468">
        <v>5.0000000000000001E-3</v>
      </c>
      <c r="F44" s="468">
        <v>-275163.13804390526</v>
      </c>
      <c r="G44" s="468">
        <v>67260.881143905281</v>
      </c>
      <c r="H44" s="468">
        <v>65417.27</v>
      </c>
    </row>
    <row r="45" spans="1:8" ht="21" x14ac:dyDescent="0.25">
      <c r="A45" s="483" t="s">
        <v>288</v>
      </c>
      <c r="B45" s="484">
        <v>24742</v>
      </c>
      <c r="C45" s="485">
        <v>12095.744312286377</v>
      </c>
      <c r="D45" s="485">
        <v>-12646.255687713623</v>
      </c>
      <c r="E45" s="468">
        <v>5.0000000000000001E-3</v>
      </c>
      <c r="F45" s="468">
        <v>-364.17</v>
      </c>
      <c r="G45" s="468">
        <v>24982.46</v>
      </c>
      <c r="H45" s="468">
        <v>24618.29</v>
      </c>
    </row>
    <row r="46" spans="1:8" ht="21" x14ac:dyDescent="0.25">
      <c r="A46" s="483" t="s">
        <v>289</v>
      </c>
      <c r="B46" s="484">
        <v>2203</v>
      </c>
      <c r="C46" s="485">
        <v>1837.2749805450439</v>
      </c>
      <c r="D46" s="485">
        <v>-365.72501945495605</v>
      </c>
      <c r="E46" s="468">
        <v>3.5000000000000003E-2</v>
      </c>
      <c r="F46" s="468">
        <v>2125.4149139356614</v>
      </c>
      <c r="G46" s="468">
        <v>0.48008606433868406</v>
      </c>
      <c r="H46" s="468">
        <v>2125.895</v>
      </c>
    </row>
    <row r="47" spans="1:8" ht="21" x14ac:dyDescent="0.25">
      <c r="A47" s="502" t="s">
        <v>290</v>
      </c>
      <c r="B47" s="503">
        <v>0</v>
      </c>
      <c r="C47" s="504">
        <v>0</v>
      </c>
      <c r="D47" s="504">
        <v>0</v>
      </c>
      <c r="E47" s="497">
        <v>0</v>
      </c>
      <c r="F47" s="497">
        <v>0</v>
      </c>
      <c r="G47" s="497">
        <v>0</v>
      </c>
      <c r="H47" s="497">
        <v>0</v>
      </c>
    </row>
    <row r="48" spans="1:8" ht="21" x14ac:dyDescent="0.25">
      <c r="A48" s="591" t="s">
        <v>221</v>
      </c>
      <c r="B48" s="591">
        <v>0</v>
      </c>
      <c r="C48" s="486">
        <v>115642</v>
      </c>
      <c r="D48" s="486">
        <v>112764</v>
      </c>
      <c r="E48" s="487"/>
      <c r="F48" s="488">
        <v>68.849999999999994</v>
      </c>
      <c r="G48" s="488">
        <v>7.7</v>
      </c>
      <c r="H48" s="468"/>
    </row>
    <row r="49" spans="1:9" ht="21" x14ac:dyDescent="0.25">
      <c r="A49" s="591" t="s">
        <v>223</v>
      </c>
      <c r="B49" s="591">
        <v>0</v>
      </c>
      <c r="C49" s="489">
        <v>0</v>
      </c>
      <c r="D49" s="489">
        <v>0</v>
      </c>
      <c r="E49" s="487"/>
      <c r="F49" s="488">
        <v>68.77</v>
      </c>
      <c r="G49" s="488">
        <v>7.74</v>
      </c>
      <c r="H49" s="468"/>
    </row>
    <row r="50" spans="1:9" ht="21" x14ac:dyDescent="0.25">
      <c r="A50" s="591" t="s">
        <v>225</v>
      </c>
      <c r="B50" s="591">
        <v>0</v>
      </c>
      <c r="C50" s="489">
        <v>0</v>
      </c>
      <c r="D50" s="489">
        <v>0</v>
      </c>
      <c r="E50" s="487"/>
      <c r="F50" s="488">
        <v>69.150000000000006</v>
      </c>
      <c r="G50" s="488">
        <v>7.37</v>
      </c>
      <c r="H50" s="468"/>
    </row>
    <row r="51" spans="1:9" ht="21" x14ac:dyDescent="0.25">
      <c r="A51" s="591" t="s">
        <v>227</v>
      </c>
      <c r="B51" s="591">
        <v>0</v>
      </c>
      <c r="C51" s="489">
        <v>0</v>
      </c>
      <c r="D51" s="489">
        <v>0</v>
      </c>
      <c r="E51" s="487"/>
      <c r="F51" s="488">
        <v>69.150000000000006</v>
      </c>
      <c r="G51" s="488">
        <v>7.37</v>
      </c>
      <c r="H51" s="468"/>
    </row>
    <row r="52" spans="1:9" ht="21" x14ac:dyDescent="0.25">
      <c r="A52" s="591" t="s">
        <v>221</v>
      </c>
      <c r="B52" s="591">
        <v>0</v>
      </c>
      <c r="C52" s="490">
        <v>0</v>
      </c>
      <c r="D52" s="490">
        <v>0</v>
      </c>
      <c r="E52" s="487"/>
      <c r="F52" s="488">
        <v>65.34</v>
      </c>
      <c r="G52" s="488">
        <v>1.1200000000000001</v>
      </c>
      <c r="H52" s="468"/>
    </row>
    <row r="53" spans="1:9" ht="21" x14ac:dyDescent="0.25">
      <c r="A53" s="591" t="s">
        <v>223</v>
      </c>
      <c r="B53" s="591">
        <v>0</v>
      </c>
      <c r="C53" s="490">
        <v>0</v>
      </c>
      <c r="D53" s="490">
        <v>0</v>
      </c>
      <c r="E53" s="491"/>
      <c r="F53" s="488">
        <v>65.180000000000007</v>
      </c>
      <c r="G53" s="488">
        <v>0.69</v>
      </c>
      <c r="H53" s="468"/>
    </row>
    <row r="54" spans="1:9" ht="21" x14ac:dyDescent="0.25">
      <c r="A54" s="591" t="s">
        <v>225</v>
      </c>
      <c r="B54" s="591">
        <v>0</v>
      </c>
      <c r="C54" s="490">
        <v>0</v>
      </c>
      <c r="D54" s="492">
        <v>0</v>
      </c>
      <c r="E54" s="491"/>
      <c r="F54" s="488">
        <v>65.55</v>
      </c>
      <c r="G54" s="488">
        <v>0.71</v>
      </c>
      <c r="H54" s="468"/>
    </row>
    <row r="55" spans="1:9" ht="21" x14ac:dyDescent="0.25">
      <c r="A55" s="591" t="s">
        <v>227</v>
      </c>
      <c r="B55" s="591">
        <v>0</v>
      </c>
      <c r="C55" s="489">
        <v>0</v>
      </c>
      <c r="D55" s="489">
        <v>0</v>
      </c>
      <c r="E55" s="491"/>
      <c r="F55" s="488"/>
      <c r="G55" s="488"/>
      <c r="H55" s="468"/>
    </row>
    <row r="56" spans="1:9" ht="21" x14ac:dyDescent="0.25">
      <c r="A56" s="591" t="s">
        <v>221</v>
      </c>
      <c r="B56" s="591">
        <v>0</v>
      </c>
      <c r="C56" s="492">
        <v>62770</v>
      </c>
      <c r="D56" s="492">
        <v>65510</v>
      </c>
      <c r="E56" s="491"/>
      <c r="F56" s="488">
        <v>64.069999999999993</v>
      </c>
      <c r="G56" s="488">
        <v>1.19</v>
      </c>
      <c r="H56" s="468"/>
    </row>
    <row r="57" spans="1:9" ht="21" x14ac:dyDescent="0.25">
      <c r="A57" s="591" t="s">
        <v>223</v>
      </c>
      <c r="B57" s="591">
        <v>0</v>
      </c>
      <c r="C57" s="492">
        <v>136102</v>
      </c>
      <c r="D57" s="492">
        <v>139489</v>
      </c>
      <c r="E57" s="491"/>
      <c r="F57" s="488">
        <v>64.069999999999993</v>
      </c>
      <c r="G57" s="488">
        <v>1.19</v>
      </c>
      <c r="H57" s="468"/>
    </row>
    <row r="58" spans="1:9" ht="21" x14ac:dyDescent="0.25">
      <c r="A58" s="591" t="s">
        <v>225</v>
      </c>
      <c r="B58" s="591">
        <v>0</v>
      </c>
      <c r="C58" s="492">
        <v>0</v>
      </c>
      <c r="D58" s="492">
        <v>0</v>
      </c>
      <c r="E58" s="491"/>
      <c r="F58" s="488"/>
      <c r="G58" s="488"/>
      <c r="H58" s="468"/>
    </row>
    <row r="59" spans="1:9" ht="21" x14ac:dyDescent="0.25">
      <c r="A59" s="591" t="s">
        <v>227</v>
      </c>
      <c r="B59" s="591">
        <v>0</v>
      </c>
      <c r="C59" s="492">
        <v>0</v>
      </c>
      <c r="D59" s="492">
        <v>0</v>
      </c>
      <c r="E59" s="493"/>
      <c r="F59" s="488"/>
      <c r="G59" s="488"/>
      <c r="H59" s="468"/>
    </row>
    <row r="60" spans="1:9" ht="15.75" customHeight="1" x14ac:dyDescent="0.25">
      <c r="A60" s="591" t="s">
        <v>221</v>
      </c>
      <c r="B60" s="591">
        <v>0</v>
      </c>
      <c r="C60" s="489">
        <v>67282</v>
      </c>
      <c r="D60" s="489">
        <v>66000</v>
      </c>
      <c r="E60" s="491"/>
      <c r="F60" s="488"/>
      <c r="G60" s="488"/>
      <c r="H60" s="468"/>
    </row>
    <row r="61" spans="1:9" ht="15.75" customHeight="1" x14ac:dyDescent="0.25">
      <c r="A61" s="591" t="s">
        <v>223</v>
      </c>
      <c r="B61" s="591">
        <v>0</v>
      </c>
      <c r="C61" s="489">
        <v>0</v>
      </c>
      <c r="D61" s="489">
        <v>0</v>
      </c>
      <c r="E61" s="491"/>
      <c r="F61" s="488"/>
      <c r="G61" s="488"/>
      <c r="H61" s="468"/>
      <c r="I61" s="310"/>
    </row>
    <row r="62" spans="1:9" ht="15.75" customHeight="1" x14ac:dyDescent="0.25">
      <c r="A62" s="494"/>
      <c r="B62" s="494"/>
      <c r="C62" s="495"/>
      <c r="D62" s="496"/>
      <c r="E62" s="468"/>
      <c r="F62" s="468"/>
      <c r="G62" s="468"/>
      <c r="H62" s="468"/>
      <c r="I62" s="310"/>
    </row>
    <row r="63" spans="1:9" ht="15.75" customHeight="1" x14ac:dyDescent="0.25">
      <c r="A63" s="498"/>
      <c r="B63" s="498"/>
      <c r="C63" s="499"/>
      <c r="D63" s="500"/>
      <c r="E63" s="501"/>
      <c r="F63" s="501"/>
      <c r="G63" s="501"/>
      <c r="H63" s="501"/>
      <c r="I63" s="310"/>
    </row>
    <row r="64" spans="1:9" ht="15.75" customHeight="1" x14ac:dyDescent="0.25">
      <c r="A64" s="498"/>
      <c r="B64" s="498"/>
      <c r="C64" s="499"/>
      <c r="D64" s="500"/>
      <c r="E64" s="501"/>
      <c r="F64" s="501"/>
      <c r="G64" s="501"/>
      <c r="H64" s="501"/>
      <c r="I64" s="310"/>
    </row>
    <row r="65" spans="1:9" ht="15.75" customHeight="1" x14ac:dyDescent="0.2">
      <c r="A65" s="310"/>
      <c r="B65" s="310"/>
      <c r="C65" s="310"/>
      <c r="D65" s="310"/>
      <c r="E65" s="310"/>
      <c r="F65" s="310"/>
      <c r="G65" s="310"/>
      <c r="H65" s="310"/>
      <c r="I65" s="310"/>
    </row>
    <row r="66" spans="1:9" ht="15.75" customHeight="1" x14ac:dyDescent="0.2">
      <c r="A66" s="310"/>
      <c r="B66" s="310"/>
      <c r="C66" s="310"/>
      <c r="D66" s="310"/>
      <c r="E66" s="310"/>
      <c r="F66" s="310"/>
      <c r="G66" s="310"/>
      <c r="H66" s="310"/>
      <c r="I66" s="310"/>
    </row>
    <row r="67" spans="1:9" ht="15.75" customHeight="1" x14ac:dyDescent="0.2">
      <c r="A67" s="310"/>
      <c r="B67" s="310"/>
      <c r="C67" s="310"/>
      <c r="D67" s="310"/>
      <c r="E67" s="310"/>
      <c r="F67" s="310"/>
      <c r="G67" s="310"/>
      <c r="H67" s="310"/>
      <c r="I67" s="310"/>
    </row>
    <row r="68" spans="1:9" ht="15.75" customHeight="1" x14ac:dyDescent="0.2">
      <c r="A68" s="310"/>
      <c r="B68" s="310"/>
      <c r="C68" s="310"/>
      <c r="D68" s="310"/>
      <c r="E68" s="310"/>
      <c r="F68" s="310"/>
      <c r="G68" s="310"/>
      <c r="H68" s="310"/>
      <c r="I68" s="310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6">
        <v>9.2167453407737462E-3</v>
      </c>
      <c r="F1" s="427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6">
        <v>9.5300999999999997E-3</v>
      </c>
      <c r="F2" s="427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6">
        <v>1.15E-2</v>
      </c>
      <c r="F3" s="427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6">
        <v>8.9899000000000003E-3</v>
      </c>
      <c r="F4" s="42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6">
        <v>8.9899000000000003E-3</v>
      </c>
      <c r="F5" s="427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6">
        <v>8.6E-3</v>
      </c>
      <c r="F6" s="427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6">
        <v>7.6E-3</v>
      </c>
      <c r="F7" s="427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6">
        <v>0</v>
      </c>
      <c r="F8" s="427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6">
        <v>0</v>
      </c>
      <c r="F9" s="427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6">
        <v>0</v>
      </c>
      <c r="F10" s="427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6">
        <v>0</v>
      </c>
      <c r="F11" s="427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6">
        <v>9.9546339989804444E-3</v>
      </c>
      <c r="F12" s="427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6">
        <v>8.3495571339466099E-2</v>
      </c>
      <c r="F13" s="427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6">
        <v>0</v>
      </c>
      <c r="F14" s="42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6">
        <v>8.3495571339466099E-2</v>
      </c>
      <c r="F15" s="427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6">
        <v>8.3495571339466099E-2</v>
      </c>
      <c r="F16" s="427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6">
        <v>8.3495571339466099E-2</v>
      </c>
      <c r="F17" s="42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6">
        <v>8.3495571339466099E-2</v>
      </c>
      <c r="F18" s="427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6">
        <v>7.8799999999999995E-2</v>
      </c>
      <c r="F19" s="427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6">
        <v>0</v>
      </c>
      <c r="F20" s="42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6">
        <v>1</v>
      </c>
      <c r="F21" s="42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6">
        <v>0</v>
      </c>
      <c r="F22" s="42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6">
        <v>0</v>
      </c>
      <c r="F23" s="42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6">
        <v>0</v>
      </c>
      <c r="F24" s="42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5">
        <v>0</v>
      </c>
      <c r="D25" s="425">
        <v>0</v>
      </c>
      <c r="E25" s="426">
        <v>0</v>
      </c>
      <c r="F25" s="42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6">
        <v>0</v>
      </c>
      <c r="F26" s="42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6">
        <v>5.0000000000000001E-3</v>
      </c>
      <c r="F27" s="42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6">
        <v>0</v>
      </c>
      <c r="F28" s="42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6">
        <v>0.01</v>
      </c>
      <c r="F29" s="42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6">
        <v>0.01</v>
      </c>
      <c r="F30" s="42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6">
        <v>9.6968121743781464E-3</v>
      </c>
      <c r="F31" s="42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6">
        <v>7.6449041795111791E-2</v>
      </c>
      <c r="F32" s="42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2"/>
      <c r="L65" s="593"/>
      <c r="M65" s="88"/>
      <c r="N65" s="594" t="s">
        <v>46</v>
      </c>
      <c r="O65" s="595"/>
      <c r="P65" s="593"/>
      <c r="Q65" s="93"/>
      <c r="R65" s="596"/>
      <c r="S65" s="59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8"/>
      <c r="L129" s="59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O17" workbookViewId="0">
      <selection activeCell="S32" sqref="S3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9" t="s">
        <v>133</v>
      </c>
      <c r="C2" s="600"/>
      <c r="D2" s="601"/>
      <c r="F2" s="599" t="s">
        <v>134</v>
      </c>
      <c r="G2" s="600"/>
      <c r="H2" s="601"/>
      <c r="J2" s="602" t="s">
        <v>135</v>
      </c>
      <c r="K2" s="536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9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0"/>
      <c r="F11" s="319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0"/>
      <c r="J11" s="321">
        <f t="shared" ref="J11" si="4">+IF(C11&lt;&gt;0,(G11-C11)/C11,ABS(G11-C11))</f>
        <v>0</v>
      </c>
      <c r="K11" s="321">
        <f t="shared" ref="K11" si="5">+IF(D11&lt;&gt;0,(H11-D11)/D11,0)</f>
        <v>0</v>
      </c>
      <c r="L11" s="312"/>
      <c r="M11" s="323">
        <f t="shared" ref="M11" si="6">+IF(J11&lt;&gt;"",ABS(J11),0)</f>
        <v>0</v>
      </c>
      <c r="N11" s="323">
        <f t="shared" ref="N11" si="7">+IF(J11&lt;&gt;"",ABS(K11),0)</f>
        <v>0</v>
      </c>
      <c r="O11" s="310"/>
      <c r="P11" s="310"/>
      <c r="Q11" s="309" t="s">
        <v>299</v>
      </c>
      <c r="R11" s="124">
        <f>Utilidad!E8</f>
        <v>0</v>
      </c>
    </row>
    <row r="12" spans="2:18" ht="24" x14ac:dyDescent="0.3">
      <c r="B12" s="319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0"/>
      <c r="F12" s="319" t="s">
        <v>298</v>
      </c>
      <c r="G12" s="123">
        <f>Utilidad!B9</f>
        <v>969.95</v>
      </c>
      <c r="H12" s="124">
        <f>IF(Utilidad!D9&gt;1,Utilidad!D9/100,Utilidad!D9)</f>
        <v>0.111969</v>
      </c>
      <c r="I12" s="310"/>
      <c r="J12" s="321">
        <f>+IF(C12&lt;&gt;0,(G12-C12)/C12,ABS(G12-C12))</f>
        <v>-4.9999999999999954E-2</v>
      </c>
      <c r="K12" s="321">
        <f>+IF(D12&lt;&gt;0,(H12-D12)/D12,0)</f>
        <v>-1.0000000000000061E-2</v>
      </c>
      <c r="L12" s="312"/>
      <c r="M12" s="323">
        <f>+IF(J12&lt;&gt;"",ABS(J12),0)</f>
        <v>4.9999999999999954E-2</v>
      </c>
      <c r="N12" s="323">
        <f>+IF(J12&lt;&gt;"",ABS(K12),0)</f>
        <v>1.0000000000000061E-2</v>
      </c>
      <c r="O12" s="310"/>
      <c r="P12" s="310"/>
      <c r="Q12" s="309" t="s">
        <v>298</v>
      </c>
      <c r="R12" s="124">
        <f>Utilidad!E9</f>
        <v>0</v>
      </c>
    </row>
    <row r="13" spans="2:18" ht="24" x14ac:dyDescent="0.3">
      <c r="B13" s="319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0"/>
      <c r="F13" s="319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0"/>
      <c r="J13" s="321">
        <f>+IF(C13&lt;&gt;0,(G13-C13)/C13,ABS(G13-C13))</f>
        <v>-0.11430634687526285</v>
      </c>
      <c r="K13" s="321">
        <f>+IF(D13&lt;&gt;0,(H13-D13)/D13,0)</f>
        <v>-5.0000000000000058E-2</v>
      </c>
      <c r="L13" s="312"/>
      <c r="M13" s="323">
        <f>+IF(J13&lt;&gt;"",ABS(J13),0)</f>
        <v>0.11430634687526285</v>
      </c>
      <c r="N13" s="323">
        <f>+IF(J13&lt;&gt;"",ABS(K13),0)</f>
        <v>5.0000000000000058E-2</v>
      </c>
      <c r="O13" s="310"/>
      <c r="P13" s="310"/>
      <c r="Q13" s="309" t="s">
        <v>300</v>
      </c>
      <c r="R13" s="124">
        <f>Utilidad!E10</f>
        <v>0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0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0"/>
      <c r="J32" s="311">
        <f t="shared" si="0"/>
        <v>0</v>
      </c>
      <c r="K32" s="311">
        <f t="shared" si="1"/>
        <v>0</v>
      </c>
      <c r="L32" s="312"/>
      <c r="M32" s="313">
        <f t="shared" si="2"/>
        <v>0</v>
      </c>
      <c r="N32" s="313">
        <f t="shared" si="3"/>
        <v>0</v>
      </c>
      <c r="O32" s="310"/>
      <c r="P32" s="310"/>
      <c r="Q32" s="309" t="s">
        <v>260</v>
      </c>
      <c r="R32" s="124">
        <f>Utilidad!E29</f>
        <v>0.01</v>
      </c>
    </row>
    <row r="33" spans="2:18" ht="24" x14ac:dyDescent="0.3">
      <c r="B33" s="319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0"/>
      <c r="F33" s="319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0"/>
      <c r="J33" s="321">
        <f t="shared" si="0"/>
        <v>0</v>
      </c>
      <c r="K33" s="321">
        <f t="shared" si="1"/>
        <v>0</v>
      </c>
      <c r="L33" s="322"/>
      <c r="M33" s="323">
        <f t="shared" si="2"/>
        <v>0</v>
      </c>
      <c r="N33" s="323">
        <f t="shared" si="3"/>
        <v>0</v>
      </c>
      <c r="O33" s="320"/>
      <c r="P33" s="320"/>
      <c r="Q33" s="319" t="s">
        <v>261</v>
      </c>
      <c r="R33" s="124">
        <f>Utilidad!E30</f>
        <v>0.01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0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0"/>
      <c r="J34" s="321">
        <f t="shared" ref="J34" si="8">+IF(C34&lt;&gt;0,(G34-C34)/C34,ABS(G34-C34))</f>
        <v>-0.30000000000000004</v>
      </c>
      <c r="K34" s="321">
        <f t="shared" ref="K34" si="9">+IF(D34&lt;&gt;0,(H34-D34)/D34,0)</f>
        <v>-5.0000000000000031E-2</v>
      </c>
      <c r="L34" s="312"/>
      <c r="M34" s="323">
        <f t="shared" ref="M34" si="10">+IF(J34&lt;&gt;"",ABS(J34),0)</f>
        <v>0.30000000000000004</v>
      </c>
      <c r="N34" s="323">
        <f t="shared" ref="N34" si="11">+IF(J34&lt;&gt;"",ABS(K34),0)</f>
        <v>5.0000000000000031E-2</v>
      </c>
      <c r="O34" s="310"/>
      <c r="P34" s="310"/>
      <c r="Q34" s="118" t="s">
        <v>269</v>
      </c>
      <c r="R34" s="124">
        <f>Utilidad!E31</f>
        <v>9.6968121743781464E-3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0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0"/>
      <c r="J35" s="321">
        <f t="shared" ref="J35" si="12">+IF(C35&lt;&gt;0,(G35-C35)/C35,ABS(G35-C35))</f>
        <v>-3.7259628494453592E-2</v>
      </c>
      <c r="K35" s="321">
        <f t="shared" ref="K35" si="13">+IF(D35&lt;&gt;0,(H35-D35)/D35,0)</f>
        <v>-5.142990968683113E-4</v>
      </c>
      <c r="L35" s="312"/>
      <c r="M35" s="323">
        <f t="shared" ref="M35" si="14">+IF(J35&lt;&gt;"",ABS(J35),0)</f>
        <v>3.7259628494453592E-2</v>
      </c>
      <c r="N35" s="323">
        <f t="shared" ref="N35" si="15">+IF(J35&lt;&gt;"",ABS(K35),0)</f>
        <v>5.142990968683113E-4</v>
      </c>
      <c r="O35" s="310"/>
      <c r="P35" s="310"/>
      <c r="Q35" s="309" t="s">
        <v>9</v>
      </c>
      <c r="R35" s="124">
        <f>Utilidad!E32</f>
        <v>7.6449041795111791E-2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0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0"/>
      <c r="J36" s="321">
        <f t="shared" ref="J36" si="16">+IF(C36&lt;&gt;0,(G36-C36)/C36,ABS(G36-C36))</f>
        <v>-8.8194026859090002E-3</v>
      </c>
      <c r="K36" s="321">
        <f t="shared" ref="K36" si="17">+IF(D36&lt;&gt;0,(H36-D36)/D36,0)</f>
        <v>9.7580641390199283E-4</v>
      </c>
      <c r="L36" s="312"/>
      <c r="M36" s="323">
        <f t="shared" ref="M36" si="18">+IF(J36&lt;&gt;"",ABS(J36),0)</f>
        <v>8.8194026859090002E-3</v>
      </c>
      <c r="N36" s="323">
        <f t="shared" ref="N36" si="19">+IF(J36&lt;&gt;"",ABS(K36),0)</f>
        <v>9.7580641390199283E-4</v>
      </c>
      <c r="O36" s="310"/>
      <c r="P36" s="310"/>
      <c r="Q36" s="309" t="s">
        <v>271</v>
      </c>
      <c r="R36" s="124">
        <f>Utilidad!E33</f>
        <v>9.6713366074297497E-3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0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0"/>
      <c r="J37" s="321">
        <f t="shared" ref="J37:J38" si="20">+IF(C37&lt;&gt;0,(G37-C37)/C37,ABS(G37-C37))</f>
        <v>0.3</v>
      </c>
      <c r="K37" s="321">
        <f t="shared" ref="K37:K38" si="21">+IF(D37&lt;&gt;0,(H37-D37)/D37,0)</f>
        <v>4.9999999999999954E-2</v>
      </c>
      <c r="L37" s="312"/>
      <c r="M37" s="323">
        <f t="shared" ref="M37:M38" si="22">+IF(J37&lt;&gt;"",ABS(J37),0)</f>
        <v>0.3</v>
      </c>
      <c r="N37" s="323">
        <f t="shared" ref="N37:N38" si="23">+IF(J37&lt;&gt;"",ABS(K37),0)</f>
        <v>4.9999999999999954E-2</v>
      </c>
      <c r="O37" s="310"/>
      <c r="P37" s="310"/>
      <c r="Q37" s="309" t="s">
        <v>272</v>
      </c>
      <c r="R37" s="124">
        <f>Utilidad!E34</f>
        <v>5.0000000000000001E-3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0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0"/>
      <c r="J38" s="321">
        <f t="shared" si="20"/>
        <v>0</v>
      </c>
      <c r="K38" s="321">
        <f t="shared" si="21"/>
        <v>0</v>
      </c>
      <c r="L38" s="312"/>
      <c r="M38" s="323">
        <f t="shared" si="22"/>
        <v>0</v>
      </c>
      <c r="N38" s="323">
        <f t="shared" si="23"/>
        <v>0</v>
      </c>
      <c r="O38" s="310"/>
      <c r="P38" s="310"/>
      <c r="Q38" s="309" t="s">
        <v>273</v>
      </c>
      <c r="R38" s="124">
        <f>Utilidad!E35</f>
        <v>5.0000000000000001E-3</v>
      </c>
    </row>
    <row r="39" spans="2:18" ht="24" x14ac:dyDescent="0.3">
      <c r="B39" s="319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0"/>
      <c r="F39" s="319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0"/>
      <c r="J39" s="321">
        <f>+IF(C39&lt;&gt;0,(G39-C39)/C39,ABS(G39-C39))</f>
        <v>0</v>
      </c>
      <c r="K39" s="321">
        <f>+IF(D39&lt;&gt;0,(H39-D39)/D39,0)</f>
        <v>9.4551819600983938E-2</v>
      </c>
      <c r="L39" s="312"/>
      <c r="M39" s="323">
        <f>+IF(J39&lt;&gt;"",ABS(J39),0)</f>
        <v>0</v>
      </c>
      <c r="N39" s="323">
        <f>+IF(J39&lt;&gt;"",ABS(K39),0)</f>
        <v>9.4551819600983938E-2</v>
      </c>
      <c r="O39" s="310"/>
      <c r="P39" s="310"/>
      <c r="Q39" s="319" t="s">
        <v>64</v>
      </c>
      <c r="R39" s="124">
        <f>Utilidad!E36</f>
        <v>0.82988350961181212</v>
      </c>
    </row>
    <row r="40" spans="2:18" ht="24" x14ac:dyDescent="0.3">
      <c r="B40" s="319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0"/>
      <c r="F40" s="319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0"/>
      <c r="J40" s="321">
        <f>+IF(C40&lt;&gt;0,(G40-C40)/C40,ABS(G40-C40))</f>
        <v>0</v>
      </c>
      <c r="K40" s="321">
        <f>+IF(D40&lt;&gt;0,(H40-D40)/D40,0)</f>
        <v>3.1347632707963417E-2</v>
      </c>
      <c r="L40" s="312"/>
      <c r="M40" s="323">
        <f>+IF(J40&lt;&gt;"",ABS(J40),0)</f>
        <v>0</v>
      </c>
      <c r="N40" s="323">
        <f>+IF(J40&lt;&gt;"",ABS(K40),0)</f>
        <v>3.1347632707963417E-2</v>
      </c>
      <c r="O40" s="310"/>
      <c r="P40" s="310"/>
      <c r="Q40" s="319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4"/>
      <c r="C44" s="315"/>
      <c r="D44" s="316"/>
      <c r="E44" s="310"/>
      <c r="F44" s="314"/>
      <c r="G44" s="315"/>
      <c r="H44" s="316"/>
      <c r="I44" s="310"/>
      <c r="J44" s="317"/>
      <c r="K44" s="317"/>
      <c r="L44" s="312"/>
      <c r="M44" s="318"/>
      <c r="N44" s="318"/>
      <c r="O44" s="310"/>
      <c r="P44" s="310"/>
      <c r="R44" s="316"/>
    </row>
    <row r="45" spans="2:18" ht="15.75" customHeight="1" x14ac:dyDescent="0.3">
      <c r="B45" s="314"/>
      <c r="C45" s="315"/>
      <c r="D45" s="316"/>
      <c r="E45" s="310"/>
      <c r="F45" s="314"/>
      <c r="G45" s="315"/>
      <c r="H45" s="316"/>
      <c r="I45" s="310"/>
      <c r="J45" s="317"/>
      <c r="K45" s="317"/>
      <c r="L45" s="312"/>
      <c r="M45" s="318"/>
      <c r="N45" s="318"/>
      <c r="O45" s="310"/>
      <c r="P45" s="310"/>
      <c r="Q45" s="314"/>
      <c r="R45" s="316"/>
    </row>
    <row r="46" spans="2:18" ht="15.75" customHeight="1" x14ac:dyDescent="0.3">
      <c r="B46" s="314"/>
      <c r="C46" s="315"/>
      <c r="D46" s="316"/>
      <c r="E46" s="310"/>
      <c r="F46" s="314"/>
      <c r="G46" s="315"/>
      <c r="H46" s="316"/>
      <c r="I46" s="310"/>
      <c r="J46" s="317"/>
      <c r="K46" s="317"/>
      <c r="L46" s="312"/>
      <c r="M46" s="318"/>
      <c r="N46" s="318"/>
      <c r="O46" s="310"/>
      <c r="P46" s="310"/>
      <c r="Q46" s="314"/>
      <c r="R46" s="316"/>
    </row>
    <row r="47" spans="2:18" ht="15.75" customHeight="1" x14ac:dyDescent="0.3">
      <c r="B47" s="314"/>
      <c r="C47" s="315"/>
      <c r="D47" s="316"/>
      <c r="E47" s="310"/>
      <c r="F47" s="314"/>
      <c r="G47" s="315"/>
      <c r="H47" s="316"/>
      <c r="I47" s="310"/>
      <c r="J47" s="317"/>
      <c r="K47" s="317"/>
      <c r="L47" s="312"/>
      <c r="M47" s="318"/>
      <c r="N47" s="318"/>
      <c r="O47" s="310"/>
      <c r="P47" s="310"/>
      <c r="Q47" s="314"/>
      <c r="R47" s="316"/>
    </row>
    <row r="48" spans="2:18" ht="15.75" customHeight="1" x14ac:dyDescent="0.3">
      <c r="B48" s="314"/>
      <c r="C48" s="315"/>
      <c r="D48" s="316"/>
      <c r="E48" s="310"/>
      <c r="F48" s="314"/>
      <c r="G48" s="315"/>
      <c r="H48" s="316"/>
      <c r="I48" s="310"/>
      <c r="J48" s="317"/>
      <c r="K48" s="317"/>
      <c r="L48" s="312"/>
      <c r="M48" s="318"/>
      <c r="N48" s="318"/>
      <c r="O48" s="310"/>
      <c r="P48" s="310"/>
      <c r="Q48" s="314"/>
      <c r="R48" s="316"/>
    </row>
    <row r="49" spans="2:18" ht="15.75" customHeight="1" x14ac:dyDescent="0.3">
      <c r="B49" s="314"/>
      <c r="C49" s="315"/>
      <c r="D49" s="316"/>
      <c r="E49" s="310"/>
      <c r="F49" s="314"/>
      <c r="G49" s="315"/>
      <c r="H49" s="316"/>
      <c r="I49" s="310"/>
      <c r="J49" s="317"/>
      <c r="K49" s="317"/>
      <c r="L49" s="312"/>
      <c r="M49" s="318"/>
      <c r="N49" s="318"/>
      <c r="O49" s="310"/>
      <c r="P49" s="310"/>
      <c r="Q49" s="314"/>
      <c r="R49" s="316"/>
    </row>
    <row r="50" spans="2:18" ht="15.75" customHeight="1" x14ac:dyDescent="0.3">
      <c r="B50" s="314"/>
      <c r="C50" s="315"/>
      <c r="D50" s="316"/>
      <c r="E50" s="310"/>
      <c r="F50" s="314"/>
      <c r="G50" s="315"/>
      <c r="H50" s="316"/>
      <c r="I50" s="310"/>
      <c r="J50" s="317"/>
      <c r="K50" s="317"/>
      <c r="L50" s="312"/>
      <c r="M50" s="318"/>
      <c r="N50" s="318"/>
      <c r="O50" s="310"/>
      <c r="P50" s="310"/>
      <c r="Q50" s="314"/>
      <c r="R50" s="316"/>
    </row>
    <row r="51" spans="2:18" ht="15.75" customHeight="1" x14ac:dyDescent="0.3">
      <c r="B51" s="314"/>
      <c r="C51" s="315"/>
      <c r="D51" s="316"/>
      <c r="E51" s="310"/>
      <c r="F51" s="314"/>
      <c r="G51" s="315"/>
      <c r="H51" s="316"/>
      <c r="I51" s="310"/>
      <c r="J51" s="317"/>
      <c r="K51" s="317"/>
      <c r="L51" s="312"/>
      <c r="M51" s="318"/>
      <c r="N51" s="318"/>
      <c r="O51" s="310"/>
      <c r="P51" s="310"/>
      <c r="Q51" s="314"/>
      <c r="R51" s="316"/>
    </row>
    <row r="52" spans="2:18" ht="15.75" customHeight="1" x14ac:dyDescent="0.3">
      <c r="B52" s="314"/>
      <c r="C52" s="315"/>
      <c r="D52" s="316"/>
      <c r="E52" s="310"/>
      <c r="F52" s="314"/>
      <c r="G52" s="315"/>
      <c r="H52" s="316"/>
      <c r="I52" s="310"/>
      <c r="J52" s="317"/>
      <c r="K52" s="317"/>
      <c r="L52" s="312"/>
      <c r="M52" s="318"/>
      <c r="N52" s="318"/>
      <c r="O52" s="310"/>
      <c r="P52" s="310"/>
      <c r="Q52" s="314"/>
      <c r="R52" s="316"/>
    </row>
    <row r="53" spans="2:18" ht="15.75" customHeight="1" x14ac:dyDescent="0.3">
      <c r="B53" s="314"/>
      <c r="C53" s="315"/>
      <c r="D53" s="316"/>
      <c r="E53" s="310"/>
      <c r="F53" s="314"/>
      <c r="G53" s="315"/>
      <c r="H53" s="316"/>
      <c r="I53" s="310"/>
      <c r="J53" s="317"/>
      <c r="K53" s="317"/>
      <c r="L53" s="312"/>
      <c r="M53" s="318"/>
      <c r="N53" s="318"/>
      <c r="O53" s="310"/>
      <c r="P53" s="310"/>
      <c r="Q53" s="314"/>
      <c r="R53" s="316"/>
    </row>
    <row r="54" spans="2:18" ht="15.75" customHeight="1" x14ac:dyDescent="0.3">
      <c r="B54" s="314"/>
      <c r="C54" s="315"/>
      <c r="D54" s="316"/>
      <c r="E54" s="310"/>
      <c r="F54" s="314"/>
      <c r="G54" s="315"/>
      <c r="H54" s="316"/>
      <c r="I54" s="310"/>
      <c r="J54" s="317"/>
      <c r="K54" s="317"/>
      <c r="L54" s="312"/>
      <c r="M54" s="318"/>
      <c r="N54" s="318"/>
      <c r="O54" s="310"/>
      <c r="P54" s="310"/>
      <c r="Q54" s="314"/>
      <c r="R54" s="316"/>
    </row>
    <row r="55" spans="2:18" ht="15.75" customHeight="1" x14ac:dyDescent="0.3">
      <c r="B55" s="314"/>
      <c r="C55" s="315"/>
      <c r="D55" s="316"/>
      <c r="E55" s="310"/>
      <c r="F55" s="314"/>
      <c r="G55" s="315"/>
      <c r="H55" s="316"/>
      <c r="I55" s="310"/>
      <c r="J55" s="317"/>
      <c r="K55" s="317"/>
      <c r="L55" s="312"/>
      <c r="M55" s="318"/>
      <c r="N55" s="318"/>
      <c r="O55" s="310"/>
      <c r="P55" s="310"/>
      <c r="Q55" s="314"/>
      <c r="R55" s="316"/>
    </row>
    <row r="56" spans="2:18" ht="15.75" customHeight="1" x14ac:dyDescent="0.3">
      <c r="B56" s="314"/>
      <c r="C56" s="315"/>
      <c r="D56" s="316"/>
      <c r="E56" s="310"/>
      <c r="F56" s="314"/>
      <c r="G56" s="315"/>
      <c r="H56" s="316"/>
      <c r="I56" s="310"/>
      <c r="J56" s="317"/>
      <c r="K56" s="317"/>
      <c r="L56" s="312"/>
      <c r="M56" s="318"/>
      <c r="N56" s="318"/>
      <c r="O56" s="310"/>
      <c r="P56" s="310"/>
      <c r="Q56" s="314"/>
      <c r="R56" s="316"/>
    </row>
    <row r="57" spans="2:18" ht="15.75" customHeight="1" x14ac:dyDescent="0.3">
      <c r="B57" s="314"/>
      <c r="C57" s="315"/>
      <c r="D57" s="316"/>
      <c r="E57" s="310"/>
      <c r="F57" s="314"/>
      <c r="G57" s="315"/>
      <c r="H57" s="316"/>
      <c r="I57" s="310"/>
      <c r="J57" s="317"/>
      <c r="K57" s="317"/>
      <c r="L57" s="312"/>
      <c r="M57" s="318"/>
      <c r="N57" s="318"/>
      <c r="O57" s="310"/>
      <c r="P57" s="310"/>
      <c r="Q57" s="314"/>
      <c r="R57" s="316"/>
    </row>
    <row r="58" spans="2:18" ht="15.75" customHeight="1" x14ac:dyDescent="0.3">
      <c r="B58" s="314"/>
      <c r="C58" s="315"/>
      <c r="D58" s="316"/>
      <c r="E58" s="310"/>
      <c r="F58" s="314"/>
      <c r="G58" s="315"/>
      <c r="H58" s="316"/>
      <c r="I58" s="310"/>
      <c r="J58" s="317"/>
      <c r="K58" s="317"/>
      <c r="L58" s="312"/>
      <c r="M58" s="318"/>
      <c r="N58" s="318"/>
      <c r="O58" s="310"/>
      <c r="P58" s="310"/>
      <c r="Q58" s="314"/>
      <c r="R58" s="316"/>
    </row>
    <row r="59" spans="2:18" ht="15.75" customHeight="1" x14ac:dyDescent="0.3">
      <c r="B59" s="314"/>
      <c r="C59" s="315"/>
      <c r="D59" s="316"/>
      <c r="E59" s="310"/>
      <c r="F59" s="314"/>
      <c r="G59" s="315"/>
      <c r="H59" s="316"/>
      <c r="I59" s="310"/>
      <c r="J59" s="317"/>
      <c r="K59" s="317"/>
      <c r="L59" s="312"/>
      <c r="M59" s="318"/>
      <c r="N59" s="318"/>
      <c r="O59" s="310"/>
      <c r="P59" s="310"/>
      <c r="Q59" s="314"/>
      <c r="R59" s="316"/>
    </row>
    <row r="60" spans="2:18" ht="15.75" customHeight="1" x14ac:dyDescent="0.3">
      <c r="B60" s="314"/>
      <c r="C60" s="315"/>
      <c r="D60" s="316"/>
      <c r="E60" s="310"/>
      <c r="F60" s="314"/>
      <c r="G60" s="315"/>
      <c r="H60" s="316"/>
      <c r="I60" s="310"/>
      <c r="J60" s="317"/>
      <c r="K60" s="317"/>
      <c r="L60" s="312"/>
      <c r="M60" s="318"/>
      <c r="N60" s="318"/>
      <c r="O60" s="310"/>
      <c r="P60" s="310"/>
      <c r="Q60" s="314"/>
      <c r="R60" s="316"/>
    </row>
    <row r="61" spans="2:18" ht="15.75" customHeight="1" x14ac:dyDescent="0.3">
      <c r="B61" s="314"/>
      <c r="C61" s="315"/>
      <c r="D61" s="316"/>
      <c r="E61" s="310"/>
      <c r="F61" s="314"/>
      <c r="G61" s="315"/>
      <c r="H61" s="316"/>
      <c r="I61" s="310"/>
      <c r="J61" s="317"/>
      <c r="K61" s="317"/>
      <c r="L61" s="312"/>
      <c r="M61" s="318"/>
      <c r="N61" s="318"/>
      <c r="O61" s="310"/>
      <c r="P61" s="310"/>
      <c r="Q61" s="314"/>
      <c r="R61" s="316"/>
    </row>
    <row r="62" spans="2:18" ht="15.75" customHeight="1" x14ac:dyDescent="0.3">
      <c r="B62" s="314"/>
      <c r="C62" s="315"/>
      <c r="D62" s="316"/>
      <c r="E62" s="310"/>
      <c r="F62" s="314"/>
      <c r="G62" s="315"/>
      <c r="H62" s="316"/>
      <c r="I62" s="310"/>
      <c r="J62" s="317"/>
      <c r="K62" s="317"/>
      <c r="L62" s="312"/>
      <c r="M62" s="318"/>
      <c r="N62" s="318"/>
      <c r="O62" s="310"/>
      <c r="P62" s="310"/>
      <c r="Q62" s="314"/>
      <c r="R62" s="316"/>
    </row>
    <row r="63" spans="2:18" ht="15.75" customHeight="1" x14ac:dyDescent="0.3">
      <c r="B63" s="314"/>
      <c r="C63" s="315"/>
      <c r="D63" s="316"/>
      <c r="E63" s="310"/>
      <c r="F63" s="314"/>
      <c r="G63" s="315"/>
      <c r="H63" s="316"/>
      <c r="I63" s="310"/>
      <c r="J63" s="317"/>
      <c r="K63" s="317"/>
      <c r="L63" s="312"/>
      <c r="M63" s="318"/>
      <c r="N63" s="318"/>
      <c r="O63" s="310"/>
      <c r="P63" s="310"/>
      <c r="Q63" s="314"/>
      <c r="R63" s="316"/>
    </row>
    <row r="64" spans="2:18" ht="15.75" customHeight="1" x14ac:dyDescent="0.3">
      <c r="B64" s="314"/>
      <c r="C64" s="315"/>
      <c r="D64" s="316"/>
      <c r="E64" s="310"/>
      <c r="F64" s="314"/>
      <c r="G64" s="315"/>
      <c r="H64" s="316"/>
      <c r="I64" s="310"/>
      <c r="J64" s="317"/>
      <c r="K64" s="317"/>
      <c r="L64" s="312"/>
      <c r="M64" s="318"/>
      <c r="N64" s="318"/>
      <c r="O64" s="310"/>
      <c r="P64" s="310"/>
      <c r="Q64" s="314"/>
      <c r="R64" s="316"/>
    </row>
    <row r="65" spans="2:18" ht="15.75" customHeight="1" x14ac:dyDescent="0.3">
      <c r="B65" s="314"/>
      <c r="C65" s="315"/>
      <c r="D65" s="316"/>
      <c r="E65" s="310"/>
      <c r="F65" s="314"/>
      <c r="G65" s="315"/>
      <c r="H65" s="316"/>
      <c r="I65" s="310"/>
      <c r="J65" s="317"/>
      <c r="K65" s="317"/>
      <c r="L65" s="312"/>
      <c r="M65" s="318"/>
      <c r="N65" s="318"/>
      <c r="O65" s="310"/>
      <c r="P65" s="310"/>
      <c r="Q65" s="314"/>
      <c r="R65" s="316"/>
    </row>
    <row r="66" spans="2:18" ht="15.75" customHeight="1" x14ac:dyDescent="0.3">
      <c r="B66" s="314"/>
      <c r="C66" s="315"/>
      <c r="D66" s="316"/>
      <c r="E66" s="310"/>
      <c r="F66" s="314"/>
      <c r="G66" s="315"/>
      <c r="H66" s="316"/>
      <c r="I66" s="310"/>
      <c r="J66" s="317"/>
      <c r="K66" s="317"/>
      <c r="L66" s="312"/>
      <c r="M66" s="318"/>
      <c r="N66" s="318"/>
      <c r="O66" s="310"/>
      <c r="P66" s="310"/>
      <c r="Q66" s="314"/>
      <c r="R66" s="316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A18" zoomScale="125" zoomScaleNormal="70" workbookViewId="0">
      <selection activeCell="K84" sqref="K84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45261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20" t="s">
        <v>262</v>
      </c>
      <c r="AE4" s="620"/>
      <c r="AF4" s="620"/>
      <c r="AG4" s="620"/>
      <c r="AH4" s="144"/>
      <c r="AI4" s="144"/>
      <c r="AK4"/>
      <c r="AL4" s="621" t="s">
        <v>293</v>
      </c>
      <c r="AM4" s="621"/>
      <c r="AN4" s="621"/>
      <c r="AO4" s="621"/>
      <c r="AP4" s="621"/>
      <c r="AQ4" s="452" t="s">
        <v>291</v>
      </c>
      <c r="AR4" s="452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6">
        <f>+AQ7</f>
        <v>391990.57000326342</v>
      </c>
      <c r="J5" s="456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12" t="s">
        <v>165</v>
      </c>
      <c r="AB5" s="622"/>
      <c r="AC5" s="613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3" t="s">
        <v>294</v>
      </c>
      <c r="AM5" s="453" t="s">
        <v>295</v>
      </c>
      <c r="AN5" s="453" t="s">
        <v>296</v>
      </c>
      <c r="AO5" s="453" t="s">
        <v>297</v>
      </c>
      <c r="AP5" s="453" t="s">
        <v>292</v>
      </c>
      <c r="AQ5" s="453" t="s">
        <v>292</v>
      </c>
      <c r="AR5" s="453" t="s">
        <v>292</v>
      </c>
      <c r="AU5" s="623"/>
      <c r="AV5" s="623"/>
      <c r="AW5" s="623"/>
      <c r="AX5" s="62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24" t="s">
        <v>170</v>
      </c>
      <c r="AB6" s="625"/>
      <c r="AC6" s="62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4">
        <f>Flujos!H4</f>
        <v>0.61631580448000001</v>
      </c>
      <c r="AH6" s="160"/>
      <c r="AI6" s="160">
        <f t="shared" ref="AI6:AI28" si="1">+AF6/(1-AE6)</f>
        <v>392092.81966883357</v>
      </c>
      <c r="AK6" s="455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7"/>
      <c r="AU6" s="328"/>
      <c r="AV6" s="328"/>
      <c r="AW6" s="328"/>
      <c r="AX6" s="32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27" t="s">
        <v>171</v>
      </c>
      <c r="AB7" s="628"/>
      <c r="AC7" s="62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4">
        <f>Flujos!H5</f>
        <v>0.63392359511000007</v>
      </c>
      <c r="AH7" s="160"/>
      <c r="AI7" s="160">
        <f t="shared" si="1"/>
        <v>164651.1418469153</v>
      </c>
      <c r="AK7" s="455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7"/>
      <c r="AT7" s="329"/>
      <c r="AU7" s="330"/>
      <c r="AV7" s="330"/>
      <c r="AW7" s="330"/>
      <c r="AX7" s="330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24" t="s">
        <v>172</v>
      </c>
      <c r="AB8" s="625"/>
      <c r="AC8" s="62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4">
        <f>Flujos!H6</f>
        <v>0.63386387507999997</v>
      </c>
      <c r="AH8" s="160"/>
      <c r="AI8" s="160">
        <f t="shared" si="1"/>
        <v>204999.49418310571</v>
      </c>
      <c r="AK8" s="455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7"/>
      <c r="AT8" s="329"/>
      <c r="AU8" s="330"/>
      <c r="AV8" s="330"/>
      <c r="AW8" s="330"/>
      <c r="AX8" s="330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27" t="s">
        <v>173</v>
      </c>
      <c r="AB9" s="628"/>
      <c r="AC9" s="62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4">
        <f>Flujos!H7</f>
        <v>0.603576</v>
      </c>
      <c r="AH9" s="156"/>
      <c r="AI9" s="160">
        <f t="shared" si="1"/>
        <v>227441.67794051746</v>
      </c>
      <c r="AK9" s="455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7"/>
      <c r="AT9" s="329"/>
      <c r="AU9" s="331"/>
      <c r="AV9" s="331"/>
      <c r="AW9" s="331"/>
      <c r="AX9" s="33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4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55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7"/>
      <c r="AT10" s="332"/>
      <c r="AU10" s="333"/>
      <c r="AV10" s="333"/>
      <c r="AW10" s="333"/>
      <c r="AX10" s="33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4">
        <f>Flujos!H9</f>
        <v>0.63304499999999997</v>
      </c>
      <c r="AH11" s="156"/>
      <c r="AI11" s="160">
        <f t="shared" si="1"/>
        <v>-4392.2735525519465</v>
      </c>
      <c r="AK11" s="455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7"/>
      <c r="AT11" s="332"/>
      <c r="AU11" s="331"/>
      <c r="AV11" s="331"/>
      <c r="AW11" s="331"/>
      <c r="AX11" s="33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4">
        <f>Flujos!H10</f>
        <v>0.60589335206999995</v>
      </c>
      <c r="AH12" s="156"/>
      <c r="AI12" s="160">
        <f t="shared" si="1"/>
        <v>231594.13913744461</v>
      </c>
      <c r="AK12" s="455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7"/>
      <c r="AT12" s="332"/>
      <c r="AU12" s="33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4">
        <f>Flujos!H14</f>
        <v>0.105183</v>
      </c>
      <c r="AH13" s="160"/>
      <c r="AI13" s="160">
        <f t="shared" si="1"/>
        <v>20480.400000000001</v>
      </c>
      <c r="AK13" s="455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7"/>
      <c r="AT13" s="332"/>
      <c r="AU13" s="33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4">
        <f>Flujos!H15</f>
        <v>0.66638999999999993</v>
      </c>
      <c r="AH14" s="156"/>
      <c r="AI14" s="160">
        <f t="shared" si="1"/>
        <v>210873.16517956916</v>
      </c>
      <c r="AK14" s="455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7"/>
      <c r="AT14" s="332"/>
      <c r="AU14" s="623"/>
      <c r="AV14" s="623"/>
    </row>
    <row r="15" spans="2:50" ht="16" x14ac:dyDescent="0.2">
      <c r="B15" s="132"/>
      <c r="C15" s="133"/>
      <c r="D15" s="133"/>
      <c r="E15" s="172" t="s">
        <v>40</v>
      </c>
      <c r="F15" s="457">
        <f>+(AL6*(1-AO6))+H9-G20</f>
        <v>145251.09876982245</v>
      </c>
      <c r="G15" s="457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4">
        <f>Flujos!H16</f>
        <v>0.67963499999999999</v>
      </c>
      <c r="AH15" s="156"/>
      <c r="AI15" s="160">
        <f t="shared" si="1"/>
        <v>230091.6322992568</v>
      </c>
      <c r="AK15" s="455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4"/>
      <c r="AR15" s="163">
        <f t="shared" si="2"/>
        <v>0</v>
      </c>
      <c r="AS15" s="327"/>
      <c r="AT15" s="332"/>
      <c r="AU15" s="328"/>
      <c r="AV15" s="328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4">
        <f>Flujos!H19</f>
        <v>0.68650000000000011</v>
      </c>
      <c r="AH16" s="160">
        <f>3000*(1-AE16)</f>
        <v>2749.5132859816017</v>
      </c>
      <c r="AI16" s="160">
        <f t="shared" si="1"/>
        <v>209647.65034558089</v>
      </c>
      <c r="AK16" s="336"/>
      <c r="AO16" s="454"/>
      <c r="AP16" s="163"/>
      <c r="AS16" s="327"/>
      <c r="AT16" s="329"/>
      <c r="AU16" s="330"/>
      <c r="AV16" s="33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4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7"/>
      <c r="AT17" s="329"/>
      <c r="AU17" s="330"/>
      <c r="AV17" s="33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4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-4072.8802917776047</v>
      </c>
      <c r="AR18" s="183"/>
      <c r="AS18" s="327"/>
      <c r="AT18" s="329"/>
      <c r="AU18" s="331"/>
      <c r="AV18" s="33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4">
        <f>Flujos!H22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7"/>
      <c r="AT19" s="332"/>
      <c r="AU19" s="333"/>
      <c r="AV19" s="333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4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2"/>
      <c r="AU20" s="331"/>
      <c r="AV20" s="33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4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32"/>
      <c r="AU21" s="334"/>
      <c r="AX21" s="33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4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4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4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7" t="s">
        <v>146</v>
      </c>
      <c r="AB25" s="338"/>
      <c r="AC25" s="33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4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7" t="s">
        <v>147</v>
      </c>
      <c r="AB26" s="338"/>
      <c r="AC26" s="33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4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4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4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30" t="s">
        <v>159</v>
      </c>
      <c r="AB29" s="631"/>
      <c r="AC29" s="631"/>
      <c r="AD29" s="631"/>
      <c r="AE29" s="631"/>
      <c r="AF29" s="631"/>
      <c r="AG29" s="631"/>
      <c r="AH29" s="631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3">
        <f>'Datos Extra'!C22</f>
        <v>0.04</v>
      </c>
      <c r="AF30" s="215">
        <f>'Datos Extra'!D22</f>
        <v>0</v>
      </c>
      <c r="AG30" s="433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3">
        <f>'Datos Extra'!C23</f>
        <v>0.04</v>
      </c>
      <c r="AF31" s="215">
        <f>'Datos Extra'!D23</f>
        <v>9066.24</v>
      </c>
      <c r="AG31" s="433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3"/>
      <c r="U33" s="423"/>
      <c r="Y33" s="137"/>
      <c r="AA33" s="153" t="s">
        <v>204</v>
      </c>
      <c r="AB33" s="154"/>
      <c r="AC33" s="155"/>
      <c r="AD33" s="215">
        <f>'Datos Extra'!B25</f>
        <v>0</v>
      </c>
      <c r="AE33" s="433">
        <f>'Datos Extra'!C25</f>
        <v>0</v>
      </c>
      <c r="AF33" s="215">
        <f>'Datos Extra'!D25</f>
        <v>0</v>
      </c>
      <c r="AG33" s="433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4"/>
      <c r="U34" s="42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3">
        <f>'Datos Extra'!C26</f>
        <v>2.6944684E-2</v>
      </c>
      <c r="AF34" s="215">
        <f>'Datos Extra'!D26</f>
        <v>0</v>
      </c>
      <c r="AG34" s="433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3">
        <f>'Datos Extra'!C27</f>
        <v>0</v>
      </c>
      <c r="AF35" s="215">
        <f>'Datos Extra'!D27</f>
        <v>0</v>
      </c>
      <c r="AG35" s="433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6">
        <f>+AQ10</f>
        <v>132691.49529348794</v>
      </c>
      <c r="E36" s="456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3">
        <f>'Datos Extra'!C28</f>
        <v>0</v>
      </c>
      <c r="AF36" s="215">
        <f>'Datos Extra'!D28</f>
        <v>24345</v>
      </c>
      <c r="AG36" s="433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2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3">
        <f>'Datos Extra'!C29</f>
        <v>0</v>
      </c>
      <c r="AF37" s="215">
        <f>'Datos Extra'!D29</f>
        <v>24345</v>
      </c>
      <c r="AG37" s="433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3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3">
        <f>'Datos Extra'!C30</f>
        <v>0</v>
      </c>
      <c r="AF38" s="215">
        <f>'Datos Extra'!D30</f>
        <v>0</v>
      </c>
      <c r="AG38" s="433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3">
        <f>'Datos Extra'!C31</f>
        <v>0</v>
      </c>
      <c r="AF39" s="215">
        <f>'Datos Extra'!D31</f>
        <v>0</v>
      </c>
      <c r="AG39" s="433">
        <f>'Datos Extra'!E31</f>
        <v>0</v>
      </c>
      <c r="AH39" s="215">
        <f>'Datos Extra'!F31</f>
        <v>0</v>
      </c>
      <c r="AI39" s="215">
        <f>'Datos Extra'!G31</f>
        <v>0</v>
      </c>
      <c r="AK39" s="620" t="s">
        <v>215</v>
      </c>
      <c r="AL39" s="62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3">
        <f>'Datos Extra'!C32</f>
        <v>0</v>
      </c>
      <c r="AF40" s="215">
        <f>'Datos Extra'!D32</f>
        <v>0</v>
      </c>
      <c r="AG40" s="433">
        <f>'Datos Extra'!E32</f>
        <v>0</v>
      </c>
      <c r="AH40" s="215">
        <f>'Datos Extra'!F32</f>
        <v>0</v>
      </c>
      <c r="AI40" s="215">
        <f>'Datos Extra'!G32</f>
        <v>0</v>
      </c>
      <c r="AK40" s="612" t="s">
        <v>107</v>
      </c>
      <c r="AL40" s="613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1">
        <f>IF(AN40=0,0,SUMPRODUCT(AN41:AN44,AP41:AP44)/AN40)</f>
        <v>68.952340540894426</v>
      </c>
      <c r="AQ40" s="43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4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3">
        <f>'Datos Extra'!C33</f>
        <v>0</v>
      </c>
      <c r="AF41" s="215">
        <f>'Datos Extra'!D33</f>
        <v>0</v>
      </c>
      <c r="AG41" s="433">
        <f>'Datos Extra'!E33</f>
        <v>0</v>
      </c>
      <c r="AH41" s="215">
        <f>'Datos Extra'!F33</f>
        <v>0</v>
      </c>
      <c r="AI41" s="215">
        <f>'Datos Extra'!G33</f>
        <v>0</v>
      </c>
      <c r="AK41" s="610" t="s">
        <v>221</v>
      </c>
      <c r="AL41" s="611"/>
      <c r="AM41" s="222">
        <v>170912</v>
      </c>
      <c r="AN41" s="222">
        <v>168259</v>
      </c>
      <c r="AO41" s="223"/>
      <c r="AP41" s="432">
        <v>68.849999999999994</v>
      </c>
      <c r="AQ41" s="432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5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3">
        <f>'Datos Extra'!C34</f>
        <v>0</v>
      </c>
      <c r="AF42" s="215">
        <f>'Datos Extra'!D34</f>
        <v>0</v>
      </c>
      <c r="AG42" s="433">
        <f>'Datos Extra'!E34</f>
        <v>0</v>
      </c>
      <c r="AH42" s="215">
        <f>'Datos Extra'!F34</f>
        <v>0</v>
      </c>
      <c r="AI42" s="215">
        <f>'Datos Extra'!G34</f>
        <v>0</v>
      </c>
      <c r="AK42" s="610" t="s">
        <v>223</v>
      </c>
      <c r="AL42" s="611"/>
      <c r="AM42" s="224">
        <v>178622</v>
      </c>
      <c r="AN42" s="224">
        <v>177030</v>
      </c>
      <c r="AO42" s="223"/>
      <c r="AP42" s="432">
        <v>68.77</v>
      </c>
      <c r="AQ42" s="432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6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3">
        <f>'Datos Extra'!C35</f>
        <v>0</v>
      </c>
      <c r="AF43" s="215">
        <f>'Datos Extra'!D35</f>
        <v>0</v>
      </c>
      <c r="AG43" s="433">
        <f>'Datos Extra'!E35</f>
        <v>0</v>
      </c>
      <c r="AH43" s="215">
        <f>'Datos Extra'!F35</f>
        <v>0</v>
      </c>
      <c r="AI43" s="215">
        <f>'Datos Extra'!G35</f>
        <v>0</v>
      </c>
      <c r="AK43" s="610" t="s">
        <v>225</v>
      </c>
      <c r="AL43" s="611"/>
      <c r="AM43" s="224">
        <v>178292</v>
      </c>
      <c r="AN43" s="224">
        <v>174514</v>
      </c>
      <c r="AO43" s="223"/>
      <c r="AP43" s="432">
        <v>69.150000000000006</v>
      </c>
      <c r="AQ43" s="43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3">
        <f>'Datos Extra'!C36</f>
        <v>0</v>
      </c>
      <c r="AF44" s="215">
        <f>'Datos Extra'!D36</f>
        <v>0</v>
      </c>
      <c r="AG44" s="433">
        <f>'Datos Extra'!E36</f>
        <v>0</v>
      </c>
      <c r="AH44" s="215">
        <f>'Datos Extra'!F36</f>
        <v>0</v>
      </c>
      <c r="AI44" s="215">
        <f>'Datos Extra'!G36</f>
        <v>0</v>
      </c>
      <c r="AK44" s="610" t="s">
        <v>227</v>
      </c>
      <c r="AL44" s="611"/>
      <c r="AM44" s="224">
        <v>77035</v>
      </c>
      <c r="AN44" s="224">
        <v>75914</v>
      </c>
      <c r="AO44" s="223"/>
      <c r="AP44" s="432">
        <v>69.150000000000006</v>
      </c>
      <c r="AQ44" s="43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3">
        <f>'Datos Extra'!C37</f>
        <v>0</v>
      </c>
      <c r="AF45" s="215">
        <f>'Datos Extra'!D37</f>
        <v>0</v>
      </c>
      <c r="AG45" s="433">
        <f>'Datos Extra'!E37</f>
        <v>0</v>
      </c>
      <c r="AH45" s="215">
        <f>'Datos Extra'!F37</f>
        <v>0</v>
      </c>
      <c r="AI45" s="215">
        <f>'Datos Extra'!G37</f>
        <v>0</v>
      </c>
      <c r="AK45" s="612" t="s">
        <v>109</v>
      </c>
      <c r="AL45" s="613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0">
        <f>+SUMPRODUCT(AN46:AN49,AP46:AP49)/AN45</f>
        <v>65.344666550772502</v>
      </c>
      <c r="AQ45" s="43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0" t="s">
        <v>221</v>
      </c>
      <c r="AL46" s="611"/>
      <c r="AM46" s="428">
        <v>208397</v>
      </c>
      <c r="AN46" s="428">
        <v>205223</v>
      </c>
      <c r="AO46" s="223"/>
      <c r="AP46" s="430">
        <v>65.34</v>
      </c>
      <c r="AQ46" s="43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9" t="s">
        <v>229</v>
      </c>
      <c r="AD47" s="619"/>
      <c r="AE47" s="619"/>
      <c r="AF47" s="619"/>
      <c r="AK47" s="610" t="s">
        <v>223</v>
      </c>
      <c r="AL47" s="611"/>
      <c r="AM47" s="428">
        <v>36753</v>
      </c>
      <c r="AN47" s="428">
        <v>36753</v>
      </c>
      <c r="AO47" s="227"/>
      <c r="AP47" s="430">
        <v>65.180000000000007</v>
      </c>
      <c r="AQ47" s="430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0" t="s">
        <v>225</v>
      </c>
      <c r="AL48" s="611"/>
      <c r="AM48" s="428">
        <v>34138</v>
      </c>
      <c r="AN48" s="429">
        <v>34138</v>
      </c>
      <c r="AO48" s="227"/>
      <c r="AP48" s="430">
        <v>65.55</v>
      </c>
      <c r="AQ48" s="43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0" t="s">
        <v>227</v>
      </c>
      <c r="AL49" s="611"/>
      <c r="AM49" s="224"/>
      <c r="AN49" s="224"/>
      <c r="AO49" s="227"/>
      <c r="AP49" s="430"/>
      <c r="AQ49" s="430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12" t="s">
        <v>93</v>
      </c>
      <c r="AL50" s="613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0">
        <f>+SUMPRODUCT(AN51:AN54,AP51:AP54)/AN50</f>
        <v>64.069999999999993</v>
      </c>
      <c r="AQ50" s="43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0" t="s">
        <v>221</v>
      </c>
      <c r="AL51" s="611"/>
      <c r="AM51" s="429">
        <v>167380</v>
      </c>
      <c r="AN51" s="429">
        <v>171545</v>
      </c>
      <c r="AO51" s="227"/>
      <c r="AP51" s="430">
        <v>64.069999999999993</v>
      </c>
      <c r="AQ51" s="43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0" t="s">
        <v>223</v>
      </c>
      <c r="AL52" s="611"/>
      <c r="AM52" s="429">
        <v>96781</v>
      </c>
      <c r="AN52" s="429">
        <v>100086</v>
      </c>
      <c r="AO52" s="227"/>
      <c r="AP52" s="430">
        <v>64.069999999999993</v>
      </c>
      <c r="AQ52" s="43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0" t="s">
        <v>225</v>
      </c>
      <c r="AL53" s="611"/>
      <c r="AM53" s="429"/>
      <c r="AN53" s="429"/>
      <c r="AO53" s="227"/>
      <c r="AP53" s="430"/>
      <c r="AQ53" s="43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0" t="s">
        <v>227</v>
      </c>
      <c r="AL54" s="611"/>
      <c r="AM54" s="429"/>
      <c r="AN54" s="429"/>
      <c r="AO54" s="233"/>
      <c r="AP54" s="430"/>
      <c r="AQ54" s="43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12" t="s">
        <v>236</v>
      </c>
      <c r="AL55" s="613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0" t="e">
        <f>+SUMPRODUCT(AN56:AN57,AP56:AP57)/AN55</f>
        <v>#DIV/0!</v>
      </c>
      <c r="AQ55" s="43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0" t="s">
        <v>221</v>
      </c>
      <c r="AL56" s="611"/>
      <c r="AM56" s="224"/>
      <c r="AN56" s="224"/>
      <c r="AO56" s="227"/>
      <c r="AP56" s="430"/>
      <c r="AQ56" s="43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6">
        <f>+AQ12+R52+S52+T52</f>
        <v>65417.27</v>
      </c>
      <c r="P57" s="456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0" t="s">
        <v>223</v>
      </c>
      <c r="AL57" s="611"/>
      <c r="AM57" s="224"/>
      <c r="AN57" s="224"/>
      <c r="AO57" s="227"/>
      <c r="AP57" s="430"/>
      <c r="AQ57" s="43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14" t="s">
        <v>237</v>
      </c>
      <c r="H68" s="615"/>
      <c r="I68" s="616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17" t="s">
        <v>68</v>
      </c>
      <c r="D69" s="618"/>
      <c r="E69" s="241" t="s">
        <v>149</v>
      </c>
      <c r="F69" s="241" t="s">
        <v>150</v>
      </c>
      <c r="G69" s="241" t="s">
        <v>239</v>
      </c>
      <c r="H69" s="460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09" t="s">
        <v>157</v>
      </c>
      <c r="D70" s="518"/>
      <c r="E70" s="247">
        <f>+AI26</f>
        <v>0</v>
      </c>
      <c r="F70" s="248">
        <f>+AI28</f>
        <v>0</v>
      </c>
      <c r="G70" s="250"/>
      <c r="H70" s="461"/>
      <c r="I70" s="458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66753</v>
      </c>
      <c r="N70" s="249">
        <f>'Datos Extra'!C44</f>
        <v>14273.091962099075</v>
      </c>
      <c r="O70" s="255">
        <f t="shared" ref="O70:O80" si="3">N70-M70</f>
        <v>-52479.908037900925</v>
      </c>
      <c r="P70" s="256">
        <v>97.84</v>
      </c>
      <c r="Q70" s="257">
        <f>+O70*P70</f>
        <v>-5134634.2024282264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09" t="s">
        <v>88</v>
      </c>
      <c r="D71" s="518"/>
      <c r="E71" s="259"/>
      <c r="F71" s="259">
        <f>Flujos!G38/(1-Flujos!R38)</f>
        <v>66000</v>
      </c>
      <c r="G71" s="261"/>
      <c r="H71" s="461"/>
      <c r="I71" s="459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-41264</v>
      </c>
      <c r="N71" s="249">
        <f>'Datos Extra'!C45</f>
        <v>12095.744312286377</v>
      </c>
      <c r="O71" s="255">
        <f t="shared" si="3"/>
        <v>53359.744312286377</v>
      </c>
      <c r="P71" s="256">
        <v>33.365380000000002</v>
      </c>
      <c r="Q71" s="257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09" t="s">
        <v>89</v>
      </c>
      <c r="D72" s="518"/>
      <c r="E72" s="259">
        <f>+AI16+AI17</f>
        <v>209647.65034558089</v>
      </c>
      <c r="F72" s="248">
        <f>+AI19</f>
        <v>112389.43290575763</v>
      </c>
      <c r="G72" s="260"/>
      <c r="H72" s="248"/>
      <c r="I72" s="261"/>
      <c r="J72" s="251">
        <f>+E72+G72</f>
        <v>209647.65034558089</v>
      </c>
      <c r="K72" s="263">
        <f>+F72+I72</f>
        <v>112389.43290575763</v>
      </c>
      <c r="L72" s="253">
        <f>'Datos Extra'!B3</f>
        <v>50490</v>
      </c>
      <c r="M72" s="254">
        <f>+L72+J72-K72</f>
        <v>147748.21743982326</v>
      </c>
      <c r="N72" s="249">
        <f>'Datos Extra'!C42</f>
        <v>147374.00000000003</v>
      </c>
      <c r="O72" s="255">
        <f>N72-M72</f>
        <v>-374.21743982323096</v>
      </c>
      <c r="P72" s="256">
        <v>43.87</v>
      </c>
      <c r="Q72" s="257">
        <f t="shared" si="4"/>
        <v>-16416.919085045141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09" t="s">
        <v>158</v>
      </c>
      <c r="D73" s="518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09" t="s">
        <v>90</v>
      </c>
      <c r="D74" s="518"/>
      <c r="E74" s="259">
        <f>+AI15</f>
        <v>230091.6322992568</v>
      </c>
      <c r="F74" s="248"/>
      <c r="G74" s="260"/>
      <c r="H74" s="248"/>
      <c r="J74" s="265"/>
      <c r="K74" s="266">
        <f>+E74/E73*K73</f>
        <v>230091.6322992568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09" t="s">
        <v>91</v>
      </c>
      <c r="D75" s="518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09" t="s">
        <v>92</v>
      </c>
      <c r="D76" s="518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09" t="s">
        <v>93</v>
      </c>
      <c r="D77" s="518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f>+AD33</f>
        <v>0</v>
      </c>
      <c r="C78" s="609" t="s">
        <v>94</v>
      </c>
      <c r="D78" s="518"/>
      <c r="E78" s="259">
        <f>AF33</f>
        <v>0</v>
      </c>
      <c r="F78" s="248">
        <v>0</v>
      </c>
      <c r="G78" s="260"/>
      <c r="H78" s="248">
        <v>0</v>
      </c>
      <c r="I78" s="261"/>
      <c r="J78" s="272">
        <f>+E78+G78</f>
        <v>0</v>
      </c>
      <c r="K78" s="262">
        <f>+F78+I78</f>
        <v>0</v>
      </c>
      <c r="L78" s="253">
        <f>'Datos Extra'!B9</f>
        <v>2203</v>
      </c>
      <c r="M78" s="260">
        <f>J78+L78-K78+H78</f>
        <v>2203</v>
      </c>
      <c r="N78" s="249">
        <f>'Datos Extra'!C46</f>
        <v>1837.2749805450439</v>
      </c>
      <c r="O78" s="255">
        <f t="shared" si="3"/>
        <v>-365.72501945495605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09" t="s">
        <v>95</v>
      </c>
      <c r="D79" s="518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09" t="s">
        <v>96</v>
      </c>
      <c r="D80" s="518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374298.79219249618</v>
      </c>
      <c r="F81" s="255">
        <f>+F70+F71+F72+F77+F78</f>
        <v>383388.92708886333</v>
      </c>
      <c r="G81" s="196"/>
      <c r="I81" s="196"/>
      <c r="J81" s="276">
        <f>+J70+J71+J72+J77+J78</f>
        <v>374298.79219249618</v>
      </c>
      <c r="K81" s="277">
        <f>+K70+K71+K72+K77+K78</f>
        <v>383388.92708886333</v>
      </c>
      <c r="L81" s="278"/>
      <c r="M81" s="278"/>
      <c r="N81" s="278"/>
      <c r="O81" s="255">
        <f>SUM(O70:O80)</f>
        <v>11563.157232704369</v>
      </c>
      <c r="P81" s="279"/>
      <c r="Q81" s="280">
        <f>SUM(Q70:Q80)</f>
        <v>-3052499.2572270781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7985.2461512976151</v>
      </c>
      <c r="P82" s="279"/>
      <c r="Q82" s="280">
        <f>SUM(Q70:Q80)-Q76</f>
        <v>-3124558.3864066103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6"/>
      <c r="D84" s="608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6" t="s">
        <v>246</v>
      </c>
      <c r="D85" s="607"/>
      <c r="E85" s="607"/>
      <c r="F85" s="607"/>
      <c r="G85" s="607"/>
      <c r="H85" s="608"/>
      <c r="I85" s="196"/>
      <c r="J85" s="196">
        <f>+K74*(1-AE14)</f>
        <v>227801.15431348971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3" t="s">
        <v>247</v>
      </c>
      <c r="D86" s="604"/>
      <c r="E86" s="162">
        <f>'Datos Extra'!B13</f>
        <v>841140</v>
      </c>
      <c r="F86" s="325">
        <f>'Datos Extra'!C13</f>
        <v>1</v>
      </c>
      <c r="G86" s="326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05"/>
      <c r="S86" s="538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5">
        <f>'Datos Extra'!C14</f>
        <v>0.85</v>
      </c>
      <c r="G87" s="326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03" t="s">
        <v>249</v>
      </c>
      <c r="D88" s="604"/>
      <c r="E88" s="162">
        <f>'Datos Extra'!B15</f>
        <v>309440</v>
      </c>
      <c r="F88" s="325">
        <f>'Datos Extra'!C15</f>
        <v>0.15</v>
      </c>
      <c r="G88" s="326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05"/>
      <c r="Q88" s="538"/>
      <c r="R88" s="196"/>
      <c r="S88" s="196"/>
      <c r="T88" s="196"/>
    </row>
    <row r="89" spans="3:26" ht="15.75" customHeight="1" x14ac:dyDescent="0.2">
      <c r="C89" s="603" t="s">
        <v>250</v>
      </c>
      <c r="D89" s="604"/>
      <c r="E89" s="162">
        <f>'Datos Extra'!B16</f>
        <v>719345</v>
      </c>
      <c r="F89" s="325">
        <f>'Datos Extra'!C16</f>
        <v>1</v>
      </c>
      <c r="G89" s="326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05"/>
      <c r="Q89" s="538"/>
      <c r="R89" s="196"/>
      <c r="S89" s="196"/>
      <c r="T89" s="196"/>
    </row>
    <row r="90" spans="3:26" ht="14.25" customHeight="1" x14ac:dyDescent="0.2">
      <c r="C90" s="603" t="s">
        <v>251</v>
      </c>
      <c r="D90" s="604"/>
      <c r="E90" s="162">
        <f>'Datos Extra'!B17</f>
        <v>0</v>
      </c>
      <c r="F90" s="325">
        <f>'Datos Extra'!C17</f>
        <v>0</v>
      </c>
      <c r="G90" s="326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05"/>
      <c r="Q90" s="538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05"/>
      <c r="Q91" s="538"/>
      <c r="R91" s="196"/>
      <c r="S91" s="196"/>
      <c r="T91" s="196"/>
    </row>
    <row r="92" spans="3:26" ht="14.25" customHeight="1" x14ac:dyDescent="0.2">
      <c r="C92" s="606" t="s">
        <v>252</v>
      </c>
      <c r="D92" s="607"/>
      <c r="E92" s="607"/>
      <c r="F92" s="607"/>
      <c r="G92" s="607"/>
      <c r="H92" s="608"/>
      <c r="I92" s="258"/>
      <c r="J92" s="258"/>
      <c r="K92" s="133"/>
      <c r="L92" s="196"/>
      <c r="M92" s="133"/>
      <c r="N92" s="196"/>
      <c r="O92" s="133"/>
      <c r="P92" s="605"/>
      <c r="Q92" s="538"/>
      <c r="R92" s="196"/>
      <c r="S92" s="196"/>
      <c r="T92" s="196"/>
    </row>
    <row r="93" spans="3:26" ht="14.25" customHeight="1" x14ac:dyDescent="0.2">
      <c r="C93" s="603" t="s">
        <v>253</v>
      </c>
      <c r="D93" s="604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05"/>
      <c r="Q93" s="538"/>
      <c r="R93" s="196"/>
      <c r="S93" s="196"/>
    </row>
    <row r="94" spans="3:26" ht="14.25" customHeight="1" x14ac:dyDescent="0.2">
      <c r="C94" s="603" t="s">
        <v>254</v>
      </c>
      <c r="D94" s="604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05"/>
      <c r="Q94" s="538"/>
      <c r="R94" s="196"/>
      <c r="S94" s="196"/>
    </row>
    <row r="95" spans="3:26" ht="14.25" customHeight="1" x14ac:dyDescent="0.2">
      <c r="C95" s="603" t="s">
        <v>255</v>
      </c>
      <c r="D95" s="604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05"/>
      <c r="Q95" s="538"/>
      <c r="R95" s="196"/>
      <c r="S95" s="196"/>
    </row>
    <row r="96" spans="3:26" ht="14.25" customHeight="1" x14ac:dyDescent="0.2">
      <c r="C96" s="603" t="s">
        <v>256</v>
      </c>
      <c r="D96" s="604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05"/>
      <c r="Q96" s="538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2023-12-01T17:20:41Z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