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mineria.sharepoint.com/sites/PlanificacionplantapuertoVE/Documentos compartidos/General/Balances/Balance de masa/2023/"/>
    </mc:Choice>
  </mc:AlternateContent>
  <xr:revisionPtr revIDLastSave="68" documentId="8_{7B1A1AEA-2ED2-4BA7-A1FB-5EE55AF69308}" xr6:coauthVersionLast="47" xr6:coauthVersionMax="47" xr10:uidLastSave="{CE152EF4-ED3C-42EB-84C8-A1078FC8C5EE}"/>
  <bookViews>
    <workbookView xWindow="-110" yWindow="-110" windowWidth="19420" windowHeight="10420" tabRatio="702" activeTab="4" xr2:uid="{00000000-000D-0000-FFFF-FFFF00000000}"/>
  </bookViews>
  <sheets>
    <sheet name="Utilidad" sheetId="1" r:id="rId1"/>
    <sheet name="Mapa de Procesos" sheetId="4" r:id="rId2"/>
    <sheet name="Flujos" sheetId="7" r:id="rId3"/>
    <sheet name="Datos Extra" sheetId="9" r:id="rId4"/>
    <sheet name="Report" sheetId="8" r:id="rId5"/>
  </sheets>
  <definedNames>
    <definedName name="solver_adj" localSheetId="0" hidden="1">Utilidad!$J$62:$K$116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Utilidad!$P$100</definedName>
    <definedName name="solver_lhs10" localSheetId="0" hidden="1">Utilidad!$P$80</definedName>
    <definedName name="solver_lhs11" localSheetId="0" hidden="1">Utilidad!$P$82</definedName>
    <definedName name="solver_lhs12" localSheetId="0" hidden="1">Utilidad!$P$87</definedName>
    <definedName name="solver_lhs13" localSheetId="0" hidden="1">Utilidad!$P$89</definedName>
    <definedName name="solver_lhs14" localSheetId="0" hidden="1">Utilidad!$P$90</definedName>
    <definedName name="solver_lhs15" localSheetId="0" hidden="1">Utilidad!$P$93</definedName>
    <definedName name="solver_lhs16" localSheetId="0" hidden="1">Utilidad!$P$95</definedName>
    <definedName name="solver_lhs17" localSheetId="0" hidden="1">Utilidad!$P$96</definedName>
    <definedName name="solver_lhs18" localSheetId="0" hidden="1">Utilidad!$P$97</definedName>
    <definedName name="solver_lhs19" localSheetId="0" hidden="1">Utilidad!$P$98</definedName>
    <definedName name="solver_lhs2" localSheetId="0" hidden="1">Utilidad!$P$101</definedName>
    <definedName name="solver_lhs20" localSheetId="0" hidden="1">Utilidad!$R$100</definedName>
    <definedName name="solver_lhs21" localSheetId="0" hidden="1">Utilidad!$R$115</definedName>
    <definedName name="solver_lhs22" localSheetId="0" hidden="1">Utilidad!$R$116</definedName>
    <definedName name="solver_lhs23" localSheetId="0" hidden="1">Utilidad!$R$62</definedName>
    <definedName name="solver_lhs24" localSheetId="0" hidden="1">Utilidad!$R$68</definedName>
    <definedName name="solver_lhs25" localSheetId="0" hidden="1">Utilidad!$R$70</definedName>
    <definedName name="solver_lhs26" localSheetId="0" hidden="1">Utilidad!$R$72</definedName>
    <definedName name="solver_lhs27" localSheetId="0" hidden="1">Utilidad!$R$73</definedName>
    <definedName name="solver_lhs28" localSheetId="0" hidden="1">Utilidad!$R$74</definedName>
    <definedName name="solver_lhs29" localSheetId="0" hidden="1">Utilidad!$R$76</definedName>
    <definedName name="solver_lhs3" localSheetId="0" hidden="1">Utilidad!$P$115</definedName>
    <definedName name="solver_lhs30" localSheetId="0" hidden="1">Utilidad!$R$81</definedName>
    <definedName name="solver_lhs31" localSheetId="0" hidden="1">Utilidad!$R$84</definedName>
    <definedName name="solver_lhs32" localSheetId="0" hidden="1">Utilidad!$R$86</definedName>
    <definedName name="solver_lhs33" localSheetId="0" hidden="1">Utilidad!$R$87</definedName>
    <definedName name="solver_lhs34" localSheetId="0" hidden="1">Utilidad!$R$93</definedName>
    <definedName name="solver_lhs35" localSheetId="0" hidden="1">Utilidad!$R$95</definedName>
    <definedName name="solver_lhs36" localSheetId="0" hidden="1">Utilidad!$R$96</definedName>
    <definedName name="solver_lhs37" localSheetId="0" hidden="1">Utilidad!$R$97</definedName>
    <definedName name="solver_lhs38" localSheetId="0" hidden="1">Utilidad!$R$98</definedName>
    <definedName name="solver_lhs39" localSheetId="0" hidden="1">Utilidad!$V$61:$V$78</definedName>
    <definedName name="solver_lhs4" localSheetId="0" hidden="1">Utilidad!$P$116</definedName>
    <definedName name="solver_lhs40" localSheetId="0" hidden="1">Utilidad!$W$61:$W$78</definedName>
    <definedName name="solver_lhs41" localSheetId="0" hidden="1">Utilidad!$W$62</definedName>
    <definedName name="solver_lhs42" localSheetId="0" hidden="1">Utilidad!$W$65</definedName>
    <definedName name="solver_lhs43" localSheetId="0" hidden="1">Utilidad!$W$63</definedName>
    <definedName name="solver_lhs44" localSheetId="0" hidden="1">Utilidad!$W$66</definedName>
    <definedName name="solver_lhs45" localSheetId="0" hidden="1">Utilidad!$W$67</definedName>
    <definedName name="solver_lhs46" localSheetId="0" hidden="1">Utilidad!$R$75</definedName>
    <definedName name="solver_lhs47" localSheetId="0" hidden="1">Utilidad!$W$76</definedName>
    <definedName name="solver_lhs48" localSheetId="0" hidden="1">Utilidad!$W$77</definedName>
    <definedName name="solver_lhs49" localSheetId="0" hidden="1">Utilidad!$W$74</definedName>
    <definedName name="solver_lhs5" localSheetId="0" hidden="1">Utilidad!$P$63</definedName>
    <definedName name="solver_lhs50" localSheetId="0" hidden="1">Utilidad!$W$75</definedName>
    <definedName name="solver_lhs51" localSheetId="0" hidden="1">Utilidad!$W$78</definedName>
    <definedName name="solver_lhs52" localSheetId="0" hidden="1">Utilidad!$W$68</definedName>
    <definedName name="solver_lhs53" localSheetId="0" hidden="1">Utilidad!$R$71</definedName>
    <definedName name="solver_lhs54" localSheetId="0" hidden="1">Utilidad!$R$77</definedName>
    <definedName name="solver_lhs55" localSheetId="0" hidden="1">Utilidad!$W$70</definedName>
    <definedName name="solver_lhs56" localSheetId="0" hidden="1">Utilidad!$W$72</definedName>
    <definedName name="solver_lhs57" localSheetId="0" hidden="1">Utilidad!$W$71</definedName>
    <definedName name="solver_lhs58" localSheetId="0" hidden="1">Utilidad!$W$73</definedName>
    <definedName name="solver_lhs59" localSheetId="0" hidden="1">Utilidad!$W$69</definedName>
    <definedName name="solver_lhs6" localSheetId="0" hidden="1">Utilidad!$P$66</definedName>
    <definedName name="solver_lhs60" localSheetId="0" hidden="1">Utilidad!$P$116</definedName>
    <definedName name="solver_lhs61" localSheetId="0" hidden="1">Utilidad!$N$69</definedName>
    <definedName name="solver_lhs62" localSheetId="0" hidden="1">Utilidad!$P$70</definedName>
    <definedName name="solver_lhs63" localSheetId="0" hidden="1">Utilidad!$P$71</definedName>
    <definedName name="solver_lhs64" localSheetId="0" hidden="1">Utilidad!$P$72</definedName>
    <definedName name="solver_lhs65" localSheetId="0" hidden="1">Utilidad!$P$64</definedName>
    <definedName name="solver_lhs66" localSheetId="0" hidden="1">Utilidad!$R$115</definedName>
    <definedName name="solver_lhs67" localSheetId="0" hidden="1">Utilidad!$R$66</definedName>
    <definedName name="solver_lhs68" localSheetId="0" hidden="1">Utilidad!$R$67</definedName>
    <definedName name="solver_lhs69" localSheetId="0" hidden="1">Utilidad!$P$98</definedName>
    <definedName name="solver_lhs7" localSheetId="0" hidden="1">Utilidad!$P$72</definedName>
    <definedName name="solver_lhs70" localSheetId="0" hidden="1">Utilidad!$R$73</definedName>
    <definedName name="solver_lhs71" localSheetId="0" hidden="1">Utilidad!$P$89</definedName>
    <definedName name="solver_lhs72" localSheetId="0" hidden="1">Utilidad!$R$69</definedName>
    <definedName name="solver_lhs73" localSheetId="0" hidden="1">Utilidad!$P$95</definedName>
    <definedName name="solver_lhs74" localSheetId="0" hidden="1">Utilidad!$P$77</definedName>
    <definedName name="solver_lhs75" localSheetId="0" hidden="1">Utilidad!$P$86</definedName>
    <definedName name="solver_lhs76" localSheetId="0" hidden="1">Utilidad!$P$91</definedName>
    <definedName name="solver_lhs77" localSheetId="0" hidden="1">Utilidad!$P$87</definedName>
    <definedName name="solver_lhs78" localSheetId="0" hidden="1">Utilidad!$P$93</definedName>
    <definedName name="solver_lhs79" localSheetId="0" hidden="1">Utilidad!$P$84</definedName>
    <definedName name="solver_lhs8" localSheetId="0" hidden="1">Utilidad!$P$73</definedName>
    <definedName name="solver_lhs80" localSheetId="0" hidden="1">Utilidad!$P$75</definedName>
    <definedName name="solver_lhs81" localSheetId="0" hidden="1">Utilidad!$P$80</definedName>
    <definedName name="solver_lhs82" localSheetId="0" hidden="1">Utilidad!$P$83</definedName>
    <definedName name="solver_lhs83" localSheetId="0" hidden="1">Utilidad!$P$74</definedName>
    <definedName name="solver_lhs84" localSheetId="0" hidden="1">Utilidad!$P$67</definedName>
    <definedName name="solver_lhs85" localSheetId="0" hidden="1">Utilidad!$P$66</definedName>
    <definedName name="solver_lhs86" localSheetId="0" hidden="1">Utilidad!$P$68</definedName>
    <definedName name="solver_lhs87" localSheetId="0" hidden="1">Utilidad!$P$101</definedName>
    <definedName name="solver_lhs88" localSheetId="0" hidden="1">Utilidad!$P$72</definedName>
    <definedName name="solver_lhs89" localSheetId="0" hidden="1">Utilidad!$P$115</definedName>
    <definedName name="solver_lhs9" localSheetId="0" hidden="1">Utilidad!$P$77</definedName>
    <definedName name="solver_lhs90" localSheetId="0" hidden="1">Utilidad!$P$100</definedName>
    <definedName name="solver_lhs91" localSheetId="0" hidden="1">Utilidad!$P$63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40</definedName>
    <definedName name="solver_nwt" localSheetId="0" hidden="1">1</definedName>
    <definedName name="solver_opt" localSheetId="0" hidden="1">Utilidad!$V$81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1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1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2</definedName>
    <definedName name="solver_rel4" localSheetId="0" hidden="1">1</definedName>
    <definedName name="solver_rel40" localSheetId="0" hidden="1">2</definedName>
    <definedName name="solver_rel41" localSheetId="0" hidden="1">2</definedName>
    <definedName name="solver_rel42" localSheetId="0" hidden="1">2</definedName>
    <definedName name="solver_rel43" localSheetId="0" hidden="1">2</definedName>
    <definedName name="solver_rel44" localSheetId="0" hidden="1">2</definedName>
    <definedName name="solver_rel45" localSheetId="0" hidden="1">2</definedName>
    <definedName name="solver_rel46" localSheetId="0" hidden="1">1</definedName>
    <definedName name="solver_rel47" localSheetId="0" hidden="1">2</definedName>
    <definedName name="solver_rel48" localSheetId="0" hidden="1">2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2</definedName>
    <definedName name="solver_rel52" localSheetId="0" hidden="1">2</definedName>
    <definedName name="solver_rel53" localSheetId="0" hidden="1">1</definedName>
    <definedName name="solver_rel54" localSheetId="0" hidden="1">1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1</definedName>
    <definedName name="solver_rel61" localSheetId="0" hidden="1">2</definedName>
    <definedName name="solver_rel62" localSheetId="0" hidden="1">1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1</definedName>
    <definedName name="solver_rel7" localSheetId="0" hidden="1">1</definedName>
    <definedName name="solver_rel70" localSheetId="0" hidden="1">1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1</definedName>
    <definedName name="solver_rel79" localSheetId="0" hidden="1">1</definedName>
    <definedName name="solver_rel8" localSheetId="0" hidden="1">1</definedName>
    <definedName name="solver_rel80" localSheetId="0" hidden="1">1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hs1" localSheetId="0" hidden="1">Utilidad!$Q$100</definedName>
    <definedName name="solver_rhs10" localSheetId="0" hidden="1">Utilidad!$Q$80</definedName>
    <definedName name="solver_rhs11" localSheetId="0" hidden="1">Utilidad!$Q$82</definedName>
    <definedName name="solver_rhs12" localSheetId="0" hidden="1">Utilidad!$Q$87</definedName>
    <definedName name="solver_rhs13" localSheetId="0" hidden="1">Utilidad!$Q$89</definedName>
    <definedName name="solver_rhs14" localSheetId="0" hidden="1">Utilidad!$Q$90</definedName>
    <definedName name="solver_rhs15" localSheetId="0" hidden="1">Utilidad!$Q$93</definedName>
    <definedName name="solver_rhs16" localSheetId="0" hidden="1">Utilidad!$Q$95</definedName>
    <definedName name="solver_rhs17" localSheetId="0" hidden="1">Utilidad!$Q$96</definedName>
    <definedName name="solver_rhs18" localSheetId="0" hidden="1">Utilidad!$Q$97</definedName>
    <definedName name="solver_rhs19" localSheetId="0" hidden="1">Utilidad!$Q$98</definedName>
    <definedName name="solver_rhs2" localSheetId="0" hidden="1">Utilidad!$Q$101</definedName>
    <definedName name="solver_rhs20" localSheetId="0" hidden="1">Utilidad!$S$100</definedName>
    <definedName name="solver_rhs21" localSheetId="0" hidden="1">Utilidad!$S$115</definedName>
    <definedName name="solver_rhs22" localSheetId="0" hidden="1">Utilidad!$S$116</definedName>
    <definedName name="solver_rhs23" localSheetId="0" hidden="1">Utilidad!$S$62</definedName>
    <definedName name="solver_rhs24" localSheetId="0" hidden="1">Utilidad!$S$68</definedName>
    <definedName name="solver_rhs25" localSheetId="0" hidden="1">Utilidad!$S$70</definedName>
    <definedName name="solver_rhs26" localSheetId="0" hidden="1">Utilidad!$S$72</definedName>
    <definedName name="solver_rhs27" localSheetId="0" hidden="1">Utilidad!$S$73</definedName>
    <definedName name="solver_rhs28" localSheetId="0" hidden="1">Utilidad!$S$74</definedName>
    <definedName name="solver_rhs29" localSheetId="0" hidden="1">Utilidad!$S$76</definedName>
    <definedName name="solver_rhs3" localSheetId="0" hidden="1">Utilidad!$Q$115</definedName>
    <definedName name="solver_rhs30" localSheetId="0" hidden="1">Utilidad!$S$81</definedName>
    <definedName name="solver_rhs31" localSheetId="0" hidden="1">Utilidad!$S$84</definedName>
    <definedName name="solver_rhs32" localSheetId="0" hidden="1">Utilidad!$S$86</definedName>
    <definedName name="solver_rhs33" localSheetId="0" hidden="1">Utilidad!$S$87</definedName>
    <definedName name="solver_rhs34" localSheetId="0" hidden="1">Utilidad!$S$93</definedName>
    <definedName name="solver_rhs35" localSheetId="0" hidden="1">Utilidad!$S$95</definedName>
    <definedName name="solver_rhs36" localSheetId="0" hidden="1">Utilidad!$S$96</definedName>
    <definedName name="solver_rhs37" localSheetId="0" hidden="1">Utilidad!$S$97</definedName>
    <definedName name="solver_rhs38" localSheetId="0" hidden="1">Utilidad!$S$98</definedName>
    <definedName name="solver_rhs39" localSheetId="0" hidden="1">Utilidad!$X$61:$X$78</definedName>
    <definedName name="solver_rhs4" localSheetId="0" hidden="1">Utilidad!$Q$116</definedName>
    <definedName name="solver_rhs40" localSheetId="0" hidden="1">Utilidad!$X$61:$X$78</definedName>
    <definedName name="solver_rhs41" localSheetId="0" hidden="1">0</definedName>
    <definedName name="solver_rhs42" localSheetId="0" hidden="1">0</definedName>
    <definedName name="solver_rhs43" localSheetId="0" hidden="1">0</definedName>
    <definedName name="solver_rhs44" localSheetId="0" hidden="1">0</definedName>
    <definedName name="solver_rhs45" localSheetId="0" hidden="1">0</definedName>
    <definedName name="solver_rhs46" localSheetId="0" hidden="1">Utilidad!$S$75</definedName>
    <definedName name="solver_rhs47" localSheetId="0" hidden="1">0</definedName>
    <definedName name="solver_rhs48" localSheetId="0" hidden="1">0</definedName>
    <definedName name="solver_rhs49" localSheetId="0" hidden="1">0</definedName>
    <definedName name="solver_rhs5" localSheetId="0" hidden="1">Utilidad!$Q$63</definedName>
    <definedName name="solver_rhs50" localSheetId="0" hidden="1">0</definedName>
    <definedName name="solver_rhs51" localSheetId="0" hidden="1">0</definedName>
    <definedName name="solver_rhs52" localSheetId="0" hidden="1">0</definedName>
    <definedName name="solver_rhs53" localSheetId="0" hidden="1">Utilidad!$S$71</definedName>
    <definedName name="solver_rhs54" localSheetId="0" hidden="1">Utilidad!$S$77</definedName>
    <definedName name="solver_rhs55" localSheetId="0" hidden="1">0</definedName>
    <definedName name="solver_rhs56" localSheetId="0" hidden="1">0</definedName>
    <definedName name="solver_rhs57" localSheetId="0" hidden="1">0</definedName>
    <definedName name="solver_rhs58" localSheetId="0" hidden="1">0</definedName>
    <definedName name="solver_rhs59" localSheetId="0" hidden="1">0</definedName>
    <definedName name="solver_rhs6" localSheetId="0" hidden="1">Utilidad!$Q$66</definedName>
    <definedName name="solver_rhs60" localSheetId="0" hidden="1">Utilidad!$Q$116</definedName>
    <definedName name="solver_rhs61" localSheetId="0" hidden="1">Utilidad!$K$69</definedName>
    <definedName name="solver_rhs62" localSheetId="0" hidden="1">Utilidad!$Q$70</definedName>
    <definedName name="solver_rhs63" localSheetId="0" hidden="1">Utilidad!$Q$71</definedName>
    <definedName name="solver_rhs64" localSheetId="0" hidden="1">Utilidad!$Q$72</definedName>
    <definedName name="solver_rhs65" localSheetId="0" hidden="1">Utilidad!$Q$64</definedName>
    <definedName name="solver_rhs66" localSheetId="0" hidden="1">Utilidad!$S$115</definedName>
    <definedName name="solver_rhs67" localSheetId="0" hidden="1">Utilidad!$S$66</definedName>
    <definedName name="solver_rhs68" localSheetId="0" hidden="1">Utilidad!$S$67</definedName>
    <definedName name="solver_rhs69" localSheetId="0" hidden="1">Utilidad!$Q$98</definedName>
    <definedName name="solver_rhs7" localSheetId="0" hidden="1">Utilidad!$Q$72</definedName>
    <definedName name="solver_rhs70" localSheetId="0" hidden="1">Utilidad!$S$73</definedName>
    <definedName name="solver_rhs71" localSheetId="0" hidden="1">Utilidad!$Q$89</definedName>
    <definedName name="solver_rhs72" localSheetId="0" hidden="1">Utilidad!$S$69</definedName>
    <definedName name="solver_rhs73" localSheetId="0" hidden="1">Utilidad!$Q$95</definedName>
    <definedName name="solver_rhs74" localSheetId="0" hidden="1">Utilidad!$Q$77</definedName>
    <definedName name="solver_rhs75" localSheetId="0" hidden="1">Utilidad!$Q$86</definedName>
    <definedName name="solver_rhs76" localSheetId="0" hidden="1">Utilidad!$Q$91</definedName>
    <definedName name="solver_rhs77" localSheetId="0" hidden="1">Utilidad!$Q$87</definedName>
    <definedName name="solver_rhs78" localSheetId="0" hidden="1">Utilidad!$Q$93</definedName>
    <definedName name="solver_rhs79" localSheetId="0" hidden="1">Utilidad!$Q$84</definedName>
    <definedName name="solver_rhs8" localSheetId="0" hidden="1">Utilidad!$Q$73</definedName>
    <definedName name="solver_rhs80" localSheetId="0" hidden="1">Utilidad!$Q$75</definedName>
    <definedName name="solver_rhs81" localSheetId="0" hidden="1">Utilidad!$Q$80</definedName>
    <definedName name="solver_rhs82" localSheetId="0" hidden="1">Utilidad!$Q$83</definedName>
    <definedName name="solver_rhs83" localSheetId="0" hidden="1">Utilidad!$Q$74</definedName>
    <definedName name="solver_rhs84" localSheetId="0" hidden="1">Utilidad!$Q$67</definedName>
    <definedName name="solver_rhs85" localSheetId="0" hidden="1">Utilidad!$Q$66</definedName>
    <definedName name="solver_rhs86" localSheetId="0" hidden="1">Utilidad!$Q$68</definedName>
    <definedName name="solver_rhs87" localSheetId="0" hidden="1">Utilidad!$Q$101</definedName>
    <definedName name="solver_rhs88" localSheetId="0" hidden="1">Utilidad!$Q$72</definedName>
    <definedName name="solver_rhs89" localSheetId="0" hidden="1">Utilidad!$Q$115</definedName>
    <definedName name="solver_rhs9" localSheetId="0" hidden="1">Utilidad!$Q$77</definedName>
    <definedName name="solver_rhs90" localSheetId="0" hidden="1">Utilidad!$Q$100</definedName>
    <definedName name="solver_rhs91" localSheetId="0" hidden="1">Utilidad!$Q$63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  <definedName name="vector1">Utilidad!$AK$102:$AK$106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8" l="1"/>
  <c r="N30" i="8"/>
  <c r="O23" i="8"/>
  <c r="O22" i="8"/>
  <c r="O21" i="8"/>
  <c r="O20" i="8"/>
  <c r="O19" i="8"/>
  <c r="O18" i="8"/>
  <c r="P21" i="8"/>
  <c r="N21" i="8"/>
  <c r="N19" i="8"/>
  <c r="O13" i="8"/>
  <c r="O12" i="8"/>
  <c r="O10" i="8"/>
  <c r="H23" i="8"/>
  <c r="H22" i="8"/>
  <c r="H21" i="8"/>
  <c r="H20" i="8"/>
  <c r="G20" i="8"/>
  <c r="H14" i="8"/>
  <c r="H13" i="8"/>
  <c r="H12" i="8"/>
  <c r="H11" i="8"/>
  <c r="H10" i="8"/>
  <c r="P19" i="8" l="1"/>
  <c r="N16" i="8"/>
  <c r="I13" i="8"/>
  <c r="I12" i="8"/>
  <c r="I11" i="8"/>
  <c r="I10" i="8"/>
  <c r="H29" i="8"/>
  <c r="H30" i="8"/>
  <c r="H31" i="8"/>
  <c r="H32" i="8"/>
  <c r="H33" i="8"/>
  <c r="H34" i="8"/>
  <c r="H28" i="8"/>
  <c r="G29" i="8"/>
  <c r="G30" i="8"/>
  <c r="G31" i="8"/>
  <c r="G32" i="8"/>
  <c r="G33" i="8"/>
  <c r="G34" i="8"/>
  <c r="G28" i="8"/>
  <c r="P4" i="8"/>
  <c r="J23" i="8"/>
  <c r="I23" i="8"/>
  <c r="G23" i="8"/>
  <c r="H58" i="7"/>
  <c r="G58" i="7"/>
  <c r="D58" i="7"/>
  <c r="K58" i="7" s="1"/>
  <c r="C58" i="7"/>
  <c r="J58" i="7" s="1"/>
  <c r="H57" i="7"/>
  <c r="G57" i="7"/>
  <c r="D57" i="7"/>
  <c r="K57" i="7" s="1"/>
  <c r="C57" i="7"/>
  <c r="J35" i="8"/>
  <c r="O31" i="8" s="1"/>
  <c r="J34" i="8"/>
  <c r="J33" i="8"/>
  <c r="J31" i="8"/>
  <c r="J32" i="8"/>
  <c r="J30" i="8"/>
  <c r="J29" i="8"/>
  <c r="J28" i="8"/>
  <c r="J57" i="7" l="1"/>
  <c r="N58" i="7"/>
  <c r="M58" i="7"/>
  <c r="N57" i="7"/>
  <c r="M57" i="7"/>
  <c r="I105" i="4" l="1"/>
  <c r="I106" i="4"/>
  <c r="I107" i="4"/>
  <c r="I108" i="4"/>
  <c r="I109" i="4"/>
  <c r="I110" i="4"/>
  <c r="L104" i="4"/>
  <c r="L105" i="4"/>
  <c r="L106" i="4"/>
  <c r="L107" i="4"/>
  <c r="L108" i="4"/>
  <c r="L109" i="4"/>
  <c r="P104" i="4"/>
  <c r="P102" i="4"/>
  <c r="P103" i="4"/>
  <c r="P105" i="4"/>
  <c r="Q21" i="8" l="1"/>
  <c r="H56" i="7"/>
  <c r="G56" i="7"/>
  <c r="D56" i="7"/>
  <c r="K56" i="7" s="1"/>
  <c r="C56" i="7"/>
  <c r="J56" i="7" s="1"/>
  <c r="H55" i="7"/>
  <c r="G55" i="7"/>
  <c r="G13" i="8" s="1"/>
  <c r="D55" i="7"/>
  <c r="C55" i="7"/>
  <c r="J55" i="7" s="1"/>
  <c r="H54" i="7"/>
  <c r="G54" i="7"/>
  <c r="D54" i="7"/>
  <c r="K54" i="7" s="1"/>
  <c r="C54" i="7"/>
  <c r="J54" i="7" s="1"/>
  <c r="H53" i="7"/>
  <c r="G53" i="7"/>
  <c r="D53" i="7"/>
  <c r="K53" i="7" s="1"/>
  <c r="C53" i="7"/>
  <c r="J53" i="7" s="1"/>
  <c r="H52" i="7"/>
  <c r="G52" i="7"/>
  <c r="D52" i="7"/>
  <c r="K52" i="7" s="1"/>
  <c r="C52" i="7"/>
  <c r="J52" i="7" s="1"/>
  <c r="H51" i="7"/>
  <c r="G51" i="7"/>
  <c r="D51" i="7"/>
  <c r="K51" i="7" s="1"/>
  <c r="C51" i="7"/>
  <c r="J51" i="7" s="1"/>
  <c r="H50" i="7"/>
  <c r="G50" i="7"/>
  <c r="D50" i="7"/>
  <c r="K50" i="7" s="1"/>
  <c r="C50" i="7"/>
  <c r="J50" i="7" s="1"/>
  <c r="H49" i="7"/>
  <c r="G49" i="7"/>
  <c r="D49" i="7"/>
  <c r="K49" i="7" s="1"/>
  <c r="C49" i="7"/>
  <c r="J49" i="7" s="1"/>
  <c r="H48" i="7"/>
  <c r="G48" i="7"/>
  <c r="D48" i="7"/>
  <c r="K48" i="7" s="1"/>
  <c r="C48" i="7"/>
  <c r="J48" i="7" s="1"/>
  <c r="H47" i="7"/>
  <c r="G47" i="7"/>
  <c r="D47" i="7"/>
  <c r="K47" i="7" s="1"/>
  <c r="C47" i="7"/>
  <c r="J47" i="7" s="1"/>
  <c r="H46" i="7"/>
  <c r="G46" i="7"/>
  <c r="D46" i="7"/>
  <c r="K46" i="7" s="1"/>
  <c r="C46" i="7"/>
  <c r="J46" i="7" s="1"/>
  <c r="H45" i="7"/>
  <c r="G45" i="7"/>
  <c r="D45" i="7"/>
  <c r="K45" i="7" s="1"/>
  <c r="C45" i="7"/>
  <c r="J45" i="7" s="1"/>
  <c r="H44" i="7"/>
  <c r="G44" i="7"/>
  <c r="D44" i="7"/>
  <c r="K44" i="7" s="1"/>
  <c r="C44" i="7"/>
  <c r="J44" i="7" s="1"/>
  <c r="H43" i="7"/>
  <c r="G43" i="7"/>
  <c r="D43" i="7"/>
  <c r="K43" i="7" s="1"/>
  <c r="C43" i="7"/>
  <c r="J43" i="7" s="1"/>
  <c r="H42" i="7"/>
  <c r="G42" i="7"/>
  <c r="D42" i="7"/>
  <c r="K42" i="7" s="1"/>
  <c r="C42" i="7"/>
  <c r="J42" i="7" s="1"/>
  <c r="H41" i="7"/>
  <c r="G41" i="7"/>
  <c r="D41" i="7"/>
  <c r="K41" i="7" s="1"/>
  <c r="C41" i="7"/>
  <c r="J41" i="7" s="1"/>
  <c r="H40" i="7"/>
  <c r="G40" i="7"/>
  <c r="G22" i="8" s="1"/>
  <c r="D40" i="7"/>
  <c r="K40" i="7" s="1"/>
  <c r="C40" i="7"/>
  <c r="J40" i="7" s="1"/>
  <c r="H39" i="7"/>
  <c r="I22" i="8" s="1"/>
  <c r="G39" i="7"/>
  <c r="I34" i="8" s="1"/>
  <c r="D39" i="7"/>
  <c r="C39" i="7"/>
  <c r="J39" i="7" s="1"/>
  <c r="H38" i="7"/>
  <c r="P23" i="8" s="1"/>
  <c r="G38" i="7"/>
  <c r="N23" i="8" s="1"/>
  <c r="D38" i="7"/>
  <c r="K38" i="7" s="1"/>
  <c r="C38" i="7"/>
  <c r="J38" i="7" s="1"/>
  <c r="H37" i="7"/>
  <c r="P22" i="8" s="1"/>
  <c r="G37" i="7"/>
  <c r="N22" i="8" s="1"/>
  <c r="D37" i="7"/>
  <c r="C37" i="7"/>
  <c r="J37" i="7" s="1"/>
  <c r="H36" i="7"/>
  <c r="P20" i="8" s="1"/>
  <c r="G36" i="7"/>
  <c r="N20" i="8" s="1"/>
  <c r="D36" i="7"/>
  <c r="K36" i="7" s="1"/>
  <c r="C36" i="7"/>
  <c r="J36" i="7" s="1"/>
  <c r="H35" i="7"/>
  <c r="G35" i="7"/>
  <c r="D35" i="7"/>
  <c r="C35" i="7"/>
  <c r="J35" i="7" s="1"/>
  <c r="H34" i="7"/>
  <c r="G34" i="7"/>
  <c r="I33" i="8" s="1"/>
  <c r="D34" i="7"/>
  <c r="K34" i="7" s="1"/>
  <c r="C34" i="7"/>
  <c r="J34" i="7" s="1"/>
  <c r="H33" i="7"/>
  <c r="I21" i="8" s="1"/>
  <c r="G33" i="7"/>
  <c r="G21" i="8" s="1"/>
  <c r="D33" i="7"/>
  <c r="K33" i="7" s="1"/>
  <c r="C33" i="7"/>
  <c r="J33" i="7" s="1"/>
  <c r="H32" i="7"/>
  <c r="G32" i="7"/>
  <c r="D32" i="7"/>
  <c r="K32" i="7" s="1"/>
  <c r="C32" i="7"/>
  <c r="J32" i="7" s="1"/>
  <c r="H31" i="7"/>
  <c r="I14" i="8" s="1"/>
  <c r="G31" i="7"/>
  <c r="D31" i="7"/>
  <c r="K31" i="7" s="1"/>
  <c r="C31" i="7"/>
  <c r="J31" i="7" s="1"/>
  <c r="J30" i="7"/>
  <c r="H30" i="7"/>
  <c r="G30" i="7"/>
  <c r="D30" i="7"/>
  <c r="K30" i="7" s="1"/>
  <c r="C30" i="7"/>
  <c r="H29" i="7"/>
  <c r="G29" i="7"/>
  <c r="D29" i="7"/>
  <c r="K29" i="7" s="1"/>
  <c r="C29" i="7"/>
  <c r="J29" i="7" s="1"/>
  <c r="J28" i="7"/>
  <c r="H28" i="7"/>
  <c r="G28" i="7"/>
  <c r="D28" i="7"/>
  <c r="K28" i="7" s="1"/>
  <c r="C28" i="7"/>
  <c r="H27" i="7"/>
  <c r="I20" i="8" s="1"/>
  <c r="J20" i="8" s="1"/>
  <c r="G27" i="7"/>
  <c r="D27" i="7"/>
  <c r="C27" i="7"/>
  <c r="J27" i="7" s="1"/>
  <c r="H26" i="7"/>
  <c r="G26" i="7"/>
  <c r="I32" i="8" s="1"/>
  <c r="D26" i="7"/>
  <c r="C26" i="7"/>
  <c r="H25" i="7"/>
  <c r="P18" i="8" s="1"/>
  <c r="G25" i="7"/>
  <c r="N18" i="8" s="1"/>
  <c r="D25" i="7"/>
  <c r="C25" i="7"/>
  <c r="J25" i="7" s="1"/>
  <c r="H24" i="7"/>
  <c r="G24" i="7"/>
  <c r="D24" i="7"/>
  <c r="K24" i="7" s="1"/>
  <c r="C24" i="7"/>
  <c r="H23" i="7"/>
  <c r="G23" i="7"/>
  <c r="D23" i="7"/>
  <c r="C23" i="7"/>
  <c r="J23" i="7" s="1"/>
  <c r="H22" i="7"/>
  <c r="G22" i="7"/>
  <c r="D22" i="7"/>
  <c r="K22" i="7" s="1"/>
  <c r="C22" i="7"/>
  <c r="J22" i="7" s="1"/>
  <c r="H21" i="7"/>
  <c r="G21" i="7"/>
  <c r="I30" i="8" s="1"/>
  <c r="D21" i="7"/>
  <c r="C21" i="7"/>
  <c r="H20" i="7"/>
  <c r="P10" i="8" s="1"/>
  <c r="G20" i="7"/>
  <c r="N10" i="8" s="1"/>
  <c r="D20" i="7"/>
  <c r="K20" i="7" s="1"/>
  <c r="C20" i="7"/>
  <c r="J20" i="7" s="1"/>
  <c r="H19" i="7"/>
  <c r="P15" i="8" s="1"/>
  <c r="G19" i="7"/>
  <c r="N15" i="8" s="1"/>
  <c r="D19" i="7"/>
  <c r="C19" i="7"/>
  <c r="H18" i="7"/>
  <c r="G18" i="7"/>
  <c r="D18" i="7"/>
  <c r="C18" i="7"/>
  <c r="J18" i="7" s="1"/>
  <c r="H17" i="7"/>
  <c r="G17" i="7"/>
  <c r="I29" i="8" s="1"/>
  <c r="D17" i="7"/>
  <c r="C17" i="7"/>
  <c r="J17" i="7" s="1"/>
  <c r="H16" i="7"/>
  <c r="G16" i="7"/>
  <c r="D16" i="7"/>
  <c r="C16" i="7"/>
  <c r="J16" i="7" s="1"/>
  <c r="H15" i="7"/>
  <c r="G15" i="7"/>
  <c r="D15" i="7"/>
  <c r="K15" i="7" s="1"/>
  <c r="C15" i="7"/>
  <c r="J14" i="7"/>
  <c r="H14" i="7"/>
  <c r="G14" i="7"/>
  <c r="D14" i="7"/>
  <c r="K14" i="7" s="1"/>
  <c r="C14" i="7"/>
  <c r="H13" i="7"/>
  <c r="P14" i="8" s="1"/>
  <c r="G13" i="7"/>
  <c r="N14" i="8" s="1"/>
  <c r="D13" i="7"/>
  <c r="C13" i="7"/>
  <c r="J13" i="7" s="1"/>
  <c r="H12" i="7"/>
  <c r="P13" i="8" s="1"/>
  <c r="G12" i="7"/>
  <c r="D12" i="7"/>
  <c r="C12" i="7"/>
  <c r="J12" i="7" s="1"/>
  <c r="H11" i="7"/>
  <c r="G11" i="7"/>
  <c r="D11" i="7"/>
  <c r="K11" i="7" s="1"/>
  <c r="C11" i="7"/>
  <c r="J11" i="7" s="1"/>
  <c r="H10" i="7"/>
  <c r="G10" i="7"/>
  <c r="D10" i="7"/>
  <c r="C10" i="7"/>
  <c r="H9" i="7"/>
  <c r="G9" i="7"/>
  <c r="I28" i="8" s="1"/>
  <c r="D9" i="7"/>
  <c r="C9" i="7"/>
  <c r="J9" i="7" s="1"/>
  <c r="J8" i="7"/>
  <c r="H8" i="7"/>
  <c r="G8" i="7"/>
  <c r="G12" i="8" s="1"/>
  <c r="D8" i="7"/>
  <c r="C8" i="7"/>
  <c r="H7" i="7"/>
  <c r="G7" i="7"/>
  <c r="D7" i="7"/>
  <c r="K7" i="7" s="1"/>
  <c r="C7" i="7"/>
  <c r="H6" i="7"/>
  <c r="P12" i="8" s="1"/>
  <c r="G6" i="7"/>
  <c r="N12" i="8" s="1"/>
  <c r="D6" i="7"/>
  <c r="C6" i="7"/>
  <c r="J6" i="7" s="1"/>
  <c r="H5" i="7"/>
  <c r="G5" i="7"/>
  <c r="G11" i="8" s="1"/>
  <c r="D5" i="7"/>
  <c r="K5" i="7" s="1"/>
  <c r="C5" i="7"/>
  <c r="J5" i="7" s="1"/>
  <c r="H4" i="7"/>
  <c r="G4" i="7"/>
  <c r="G10" i="8" s="1"/>
  <c r="D4" i="7"/>
  <c r="K4" i="7" s="1"/>
  <c r="C4" i="7"/>
  <c r="I101" i="4"/>
  <c r="L97" i="4"/>
  <c r="K86" i="4"/>
  <c r="L79" i="4"/>
  <c r="H75" i="4"/>
  <c r="M60" i="4"/>
  <c r="P122" i="4" s="1"/>
  <c r="M58" i="4"/>
  <c r="P101" i="4" s="1"/>
  <c r="I53" i="4"/>
  <c r="G44" i="4"/>
  <c r="K40" i="4"/>
  <c r="K39" i="4"/>
  <c r="C35" i="4"/>
  <c r="F38" i="4" s="1"/>
  <c r="G34" i="4"/>
  <c r="K29" i="4"/>
  <c r="K28" i="4"/>
  <c r="Q27" i="4" s="1"/>
  <c r="C27" i="4"/>
  <c r="C26" i="4"/>
  <c r="I100" i="4" s="1"/>
  <c r="G25" i="4"/>
  <c r="F29" i="4" s="1"/>
  <c r="O22" i="4"/>
  <c r="M22" i="4"/>
  <c r="L22" i="4"/>
  <c r="K19" i="4"/>
  <c r="G16" i="4"/>
  <c r="Q12" i="4"/>
  <c r="E10" i="4"/>
  <c r="L9" i="4"/>
  <c r="Q8" i="4"/>
  <c r="Q7" i="4"/>
  <c r="P98" i="4" s="1"/>
  <c r="I7" i="4"/>
  <c r="E7" i="4"/>
  <c r="E6" i="4"/>
  <c r="I97" i="4" s="1"/>
  <c r="K116" i="1"/>
  <c r="J116" i="1"/>
  <c r="L116" i="1" s="1"/>
  <c r="K115" i="1"/>
  <c r="J115" i="1"/>
  <c r="K114" i="1"/>
  <c r="L114" i="1" s="1"/>
  <c r="J114" i="1"/>
  <c r="K113" i="1"/>
  <c r="J113" i="1"/>
  <c r="K112" i="1"/>
  <c r="C55" i="4" s="1"/>
  <c r="J112" i="1"/>
  <c r="C54" i="4" s="1"/>
  <c r="I103" i="4" s="1"/>
  <c r="L111" i="1"/>
  <c r="G46" i="4" s="1"/>
  <c r="K111" i="1"/>
  <c r="G45" i="4" s="1"/>
  <c r="J111" i="1"/>
  <c r="K110" i="1"/>
  <c r="L110" i="1" s="1"/>
  <c r="L125" i="4" s="1"/>
  <c r="J110" i="1"/>
  <c r="K109" i="1"/>
  <c r="C45" i="4" s="1"/>
  <c r="J109" i="1"/>
  <c r="L109" i="1" s="1"/>
  <c r="C46" i="4" s="1"/>
  <c r="I123" i="4" s="1"/>
  <c r="L108" i="1"/>
  <c r="G36" i="4" s="1"/>
  <c r="K108" i="1"/>
  <c r="G35" i="4" s="1"/>
  <c r="J108" i="1"/>
  <c r="K107" i="1"/>
  <c r="J107" i="1"/>
  <c r="L107" i="1" s="1"/>
  <c r="L124" i="4" s="1"/>
  <c r="K106" i="1"/>
  <c r="L106" i="1" s="1"/>
  <c r="C37" i="4" s="1"/>
  <c r="I122" i="4" s="1"/>
  <c r="J106" i="1"/>
  <c r="K105" i="1"/>
  <c r="G26" i="4" s="1"/>
  <c r="J105" i="1"/>
  <c r="L105" i="1" s="1"/>
  <c r="G27" i="4" s="1"/>
  <c r="K104" i="1"/>
  <c r="J104" i="1"/>
  <c r="L102" i="4" s="1"/>
  <c r="L103" i="1"/>
  <c r="C28" i="4" s="1"/>
  <c r="I121" i="4" s="1"/>
  <c r="K103" i="1"/>
  <c r="J103" i="1"/>
  <c r="K102" i="1"/>
  <c r="L102" i="1" s="1"/>
  <c r="L127" i="4" s="1"/>
  <c r="J102" i="1"/>
  <c r="K101" i="1"/>
  <c r="J101" i="1"/>
  <c r="L100" i="1"/>
  <c r="O86" i="4" s="1"/>
  <c r="P126" i="4" s="1"/>
  <c r="K100" i="1"/>
  <c r="O85" i="4" s="1"/>
  <c r="J100" i="1"/>
  <c r="K99" i="1"/>
  <c r="J99" i="1"/>
  <c r="K98" i="1"/>
  <c r="J98" i="1"/>
  <c r="K97" i="1"/>
  <c r="J97" i="1"/>
  <c r="L90" i="4" s="1"/>
  <c r="K96" i="1"/>
  <c r="J96" i="1"/>
  <c r="L78" i="4" s="1"/>
  <c r="L95" i="1"/>
  <c r="L76" i="4" s="1"/>
  <c r="I128" i="4" s="1"/>
  <c r="K95" i="1"/>
  <c r="Q19" i="8" s="1"/>
  <c r="J95" i="1"/>
  <c r="L74" i="4" s="1"/>
  <c r="K94" i="1"/>
  <c r="L94" i="1" s="1"/>
  <c r="L129" i="4" s="1"/>
  <c r="J94" i="1"/>
  <c r="K93" i="1"/>
  <c r="O75" i="4" s="1"/>
  <c r="J93" i="1"/>
  <c r="L92" i="1"/>
  <c r="K72" i="4" s="1"/>
  <c r="K92" i="1"/>
  <c r="J92" i="1"/>
  <c r="K91" i="1"/>
  <c r="J91" i="1"/>
  <c r="L101" i="4" s="1"/>
  <c r="K90" i="1"/>
  <c r="H76" i="4" s="1"/>
  <c r="J90" i="1"/>
  <c r="K89" i="1"/>
  <c r="J89" i="1"/>
  <c r="K88" i="1"/>
  <c r="J88" i="1"/>
  <c r="L87" i="1"/>
  <c r="O65" i="4" s="1"/>
  <c r="P123" i="4" s="1"/>
  <c r="K87" i="1"/>
  <c r="O64" i="4" s="1"/>
  <c r="J87" i="1"/>
  <c r="O63" i="4" s="1"/>
  <c r="K86" i="1"/>
  <c r="L86" i="1" s="1"/>
  <c r="L128" i="4" s="1"/>
  <c r="J86" i="1"/>
  <c r="K85" i="1"/>
  <c r="Q18" i="8" s="1"/>
  <c r="J85" i="1"/>
  <c r="L65" i="4" s="1"/>
  <c r="L84" i="1"/>
  <c r="K84" i="1"/>
  <c r="M59" i="4" s="1"/>
  <c r="J84" i="1"/>
  <c r="K83" i="1"/>
  <c r="L54" i="4" s="1"/>
  <c r="J83" i="1"/>
  <c r="L83" i="1" s="1"/>
  <c r="L55" i="4" s="1"/>
  <c r="K82" i="1"/>
  <c r="I54" i="4" s="1"/>
  <c r="J82" i="1"/>
  <c r="K81" i="1"/>
  <c r="J81" i="1"/>
  <c r="L100" i="4" s="1"/>
  <c r="K80" i="1"/>
  <c r="J80" i="1"/>
  <c r="L80" i="1" s="1"/>
  <c r="K41" i="4" s="1"/>
  <c r="L79" i="1"/>
  <c r="L120" i="4" s="1"/>
  <c r="K79" i="1"/>
  <c r="J79" i="1"/>
  <c r="L99" i="4" s="1"/>
  <c r="K78" i="1"/>
  <c r="L78" i="1" s="1"/>
  <c r="K30" i="4" s="1"/>
  <c r="J78" i="1"/>
  <c r="K77" i="1"/>
  <c r="J77" i="1"/>
  <c r="L76" i="1"/>
  <c r="L23" i="4" s="1"/>
  <c r="K76" i="1"/>
  <c r="J76" i="1"/>
  <c r="L21" i="4" s="1"/>
  <c r="K75" i="1"/>
  <c r="J75" i="1"/>
  <c r="L75" i="1" s="1"/>
  <c r="L119" i="4" s="1"/>
  <c r="K74" i="1"/>
  <c r="M23" i="4" s="1"/>
  <c r="J74" i="1"/>
  <c r="K73" i="1"/>
  <c r="O23" i="4" s="1"/>
  <c r="J73" i="1"/>
  <c r="L73" i="1" s="1"/>
  <c r="O24" i="4" s="1"/>
  <c r="K72" i="1"/>
  <c r="N14" i="4" s="1"/>
  <c r="J72" i="1"/>
  <c r="N13" i="4" s="1"/>
  <c r="Q24" i="4" s="1"/>
  <c r="L71" i="1"/>
  <c r="Q13" i="4" s="1"/>
  <c r="P120" i="4" s="1"/>
  <c r="K71" i="1"/>
  <c r="J71" i="1"/>
  <c r="K70" i="1"/>
  <c r="J70" i="1"/>
  <c r="K69" i="1"/>
  <c r="L15" i="4" s="1"/>
  <c r="J69" i="1"/>
  <c r="L69" i="1" s="1"/>
  <c r="L16" i="4" s="1"/>
  <c r="L68" i="1"/>
  <c r="K68" i="1"/>
  <c r="L8" i="4" s="1"/>
  <c r="J68" i="1"/>
  <c r="L7" i="4" s="1"/>
  <c r="K67" i="1"/>
  <c r="J67" i="1"/>
  <c r="L67" i="1" s="1"/>
  <c r="L118" i="4" s="1"/>
  <c r="K66" i="1"/>
  <c r="J66" i="1"/>
  <c r="K65" i="1"/>
  <c r="I8" i="4" s="1"/>
  <c r="J65" i="1"/>
  <c r="L65" i="1" s="1"/>
  <c r="I9" i="4" s="1"/>
  <c r="K64" i="1"/>
  <c r="J64" i="1"/>
  <c r="L63" i="1"/>
  <c r="E12" i="4" s="1"/>
  <c r="K63" i="1"/>
  <c r="E11" i="4" s="1"/>
  <c r="J63" i="1"/>
  <c r="K62" i="1"/>
  <c r="J62" i="1"/>
  <c r="J26" i="7" l="1"/>
  <c r="J4" i="7"/>
  <c r="K6" i="7"/>
  <c r="J15" i="7"/>
  <c r="N15" i="7" s="1"/>
  <c r="J24" i="7"/>
  <c r="M24" i="7" s="1"/>
  <c r="K26" i="7"/>
  <c r="N26" i="7" s="1"/>
  <c r="K35" i="7"/>
  <c r="K37" i="7"/>
  <c r="N37" i="7" s="1"/>
  <c r="K39" i="7"/>
  <c r="N39" i="7" s="1"/>
  <c r="K55" i="7"/>
  <c r="N24" i="8"/>
  <c r="Q20" i="8"/>
  <c r="Q24" i="8" s="1"/>
  <c r="J7" i="7"/>
  <c r="K18" i="7"/>
  <c r="G14" i="8"/>
  <c r="J14" i="8" s="1"/>
  <c r="I31" i="8"/>
  <c r="I35" i="8" s="1"/>
  <c r="O30" i="8" s="1"/>
  <c r="Q13" i="8"/>
  <c r="J11" i="8"/>
  <c r="J19" i="7"/>
  <c r="N19" i="7" s="1"/>
  <c r="J10" i="8"/>
  <c r="Q14" i="8"/>
  <c r="J12" i="8"/>
  <c r="J10" i="7"/>
  <c r="N10" i="7" s="1"/>
  <c r="K12" i="7"/>
  <c r="J21" i="7"/>
  <c r="M21" i="7" s="1"/>
  <c r="Q10" i="8"/>
  <c r="Q23" i="8"/>
  <c r="K10" i="7"/>
  <c r="N13" i="8"/>
  <c r="I13" i="7"/>
  <c r="K21" i="7"/>
  <c r="C64" i="4"/>
  <c r="I125" i="4" s="1"/>
  <c r="K20" i="4"/>
  <c r="N7" i="7"/>
  <c r="M7" i="7"/>
  <c r="N18" i="7"/>
  <c r="M18" i="7"/>
  <c r="N32" i="7"/>
  <c r="M32" i="7"/>
  <c r="N4" i="7"/>
  <c r="M4" i="7"/>
  <c r="N34" i="7"/>
  <c r="M34" i="7"/>
  <c r="N9" i="7"/>
  <c r="M9" i="7"/>
  <c r="M23" i="7"/>
  <c r="J75" i="4"/>
  <c r="M15" i="7"/>
  <c r="N29" i="7"/>
  <c r="M29" i="7"/>
  <c r="M10" i="7"/>
  <c r="N17" i="7"/>
  <c r="M17" i="7"/>
  <c r="N31" i="7"/>
  <c r="M31" i="7"/>
  <c r="N12" i="7"/>
  <c r="M12" i="7"/>
  <c r="M26" i="7"/>
  <c r="N11" i="7"/>
  <c r="M11" i="7"/>
  <c r="M19" i="7"/>
  <c r="M25" i="7"/>
  <c r="O16" i="8"/>
  <c r="L74" i="1"/>
  <c r="M24" i="4" s="1"/>
  <c r="O67" i="4"/>
  <c r="N22" i="7"/>
  <c r="M22" i="7"/>
  <c r="N54" i="7"/>
  <c r="M54" i="7"/>
  <c r="O68" i="4"/>
  <c r="L93" i="1"/>
  <c r="O76" i="4" s="1"/>
  <c r="P125" i="4" s="1"/>
  <c r="N5" i="7"/>
  <c r="M5" i="7"/>
  <c r="M13" i="7"/>
  <c r="M27" i="7"/>
  <c r="N35" i="7"/>
  <c r="M35" i="7"/>
  <c r="N43" i="7"/>
  <c r="M43" i="7"/>
  <c r="N51" i="7"/>
  <c r="M51" i="7"/>
  <c r="L64" i="1"/>
  <c r="G17" i="4" s="1"/>
  <c r="P118" i="4" s="1"/>
  <c r="L72" i="1"/>
  <c r="N15" i="4" s="1"/>
  <c r="L88" i="1"/>
  <c r="O69" i="4" s="1"/>
  <c r="P124" i="4" s="1"/>
  <c r="L96" i="1"/>
  <c r="L80" i="4" s="1"/>
  <c r="I129" i="4" s="1"/>
  <c r="L104" i="1"/>
  <c r="L123" i="4" s="1"/>
  <c r="L112" i="1"/>
  <c r="C56" i="4" s="1"/>
  <c r="I124" i="4" s="1"/>
  <c r="J13" i="8"/>
  <c r="C63" i="4"/>
  <c r="H13" i="4"/>
  <c r="G15" i="4"/>
  <c r="P97" i="4" s="1"/>
  <c r="K18" i="4"/>
  <c r="M29" i="4"/>
  <c r="C44" i="4"/>
  <c r="L53" i="4"/>
  <c r="K48" i="4" s="1"/>
  <c r="L75" i="4"/>
  <c r="L98" i="4"/>
  <c r="K9" i="7"/>
  <c r="K17" i="7"/>
  <c r="K23" i="7"/>
  <c r="N23" i="7" s="1"/>
  <c r="N40" i="7"/>
  <c r="M40" i="7"/>
  <c r="N48" i="7"/>
  <c r="M48" i="7"/>
  <c r="N56" i="7"/>
  <c r="M56" i="7"/>
  <c r="J21" i="8"/>
  <c r="L111" i="4"/>
  <c r="N33" i="7"/>
  <c r="M33" i="7"/>
  <c r="L14" i="4"/>
  <c r="N38" i="7"/>
  <c r="M38" i="7"/>
  <c r="I30" i="4"/>
  <c r="P100" i="4" s="1"/>
  <c r="C36" i="4"/>
  <c r="H70" i="4"/>
  <c r="K87" i="4"/>
  <c r="L103" i="4"/>
  <c r="M37" i="7"/>
  <c r="N45" i="7"/>
  <c r="M45" i="7"/>
  <c r="N53" i="7"/>
  <c r="M53" i="7"/>
  <c r="O74" i="4"/>
  <c r="L66" i="1"/>
  <c r="H15" i="4" s="1"/>
  <c r="I120" i="4" s="1"/>
  <c r="L82" i="1"/>
  <c r="I55" i="4" s="1"/>
  <c r="L90" i="1"/>
  <c r="H77" i="4" s="1"/>
  <c r="I127" i="4" s="1"/>
  <c r="L98" i="1"/>
  <c r="K88" i="4" s="1"/>
  <c r="I130" i="4" s="1"/>
  <c r="N8" i="7"/>
  <c r="M8" i="7"/>
  <c r="M16" i="7"/>
  <c r="N30" i="7"/>
  <c r="M30" i="7"/>
  <c r="Q12" i="8"/>
  <c r="L85" i="1"/>
  <c r="L67" i="4" s="1"/>
  <c r="L91" i="1"/>
  <c r="L122" i="4" s="1"/>
  <c r="L99" i="1"/>
  <c r="L130" i="4" s="1"/>
  <c r="L62" i="1"/>
  <c r="E8" i="4" s="1"/>
  <c r="I118" i="4" s="1"/>
  <c r="L70" i="1"/>
  <c r="Q9" i="4" s="1"/>
  <c r="P119" i="4" s="1"/>
  <c r="Q22" i="8"/>
  <c r="M31" i="8" s="1"/>
  <c r="L91" i="4"/>
  <c r="H24" i="8"/>
  <c r="O84" i="4"/>
  <c r="C62" i="4"/>
  <c r="I104" i="4" s="1"/>
  <c r="K70" i="4"/>
  <c r="N75" i="4" s="1"/>
  <c r="K19" i="7"/>
  <c r="K25" i="7"/>
  <c r="N25" i="7" s="1"/>
  <c r="N42" i="7"/>
  <c r="M42" i="7"/>
  <c r="N50" i="7"/>
  <c r="M50" i="7"/>
  <c r="H18" i="8"/>
  <c r="Q15" i="8"/>
  <c r="L34" i="4"/>
  <c r="L66" i="4"/>
  <c r="N46" i="7"/>
  <c r="M46" i="7"/>
  <c r="L101" i="1"/>
  <c r="C14" i="4" s="1"/>
  <c r="I119" i="4" s="1"/>
  <c r="C13" i="4"/>
  <c r="N58" i="4"/>
  <c r="L81" i="1"/>
  <c r="L121" i="4" s="1"/>
  <c r="L132" i="4" s="1"/>
  <c r="L89" i="1"/>
  <c r="H72" i="4" s="1"/>
  <c r="I126" i="4" s="1"/>
  <c r="H85" i="4"/>
  <c r="L97" i="1"/>
  <c r="L92" i="4" s="1"/>
  <c r="I131" i="4" s="1"/>
  <c r="L113" i="1"/>
  <c r="L126" i="4" s="1"/>
  <c r="Q11" i="4"/>
  <c r="P99" i="4" s="1"/>
  <c r="I31" i="4"/>
  <c r="H71" i="4"/>
  <c r="K8" i="7"/>
  <c r="K16" i="7"/>
  <c r="N16" i="7" s="1"/>
  <c r="M39" i="7"/>
  <c r="N47" i="7"/>
  <c r="M47" i="7"/>
  <c r="N55" i="7"/>
  <c r="M55" i="7"/>
  <c r="N41" i="7"/>
  <c r="M41" i="7"/>
  <c r="N49" i="7"/>
  <c r="M49" i="7"/>
  <c r="L77" i="1"/>
  <c r="I32" i="4" s="1"/>
  <c r="P121" i="4" s="1"/>
  <c r="L115" i="1"/>
  <c r="C12" i="4"/>
  <c r="H14" i="4"/>
  <c r="K71" i="4"/>
  <c r="N6" i="7"/>
  <c r="M6" i="7"/>
  <c r="K13" i="7"/>
  <c r="N13" i="7" s="1"/>
  <c r="N14" i="7"/>
  <c r="M14" i="7"/>
  <c r="N20" i="7"/>
  <c r="M20" i="7"/>
  <c r="K27" i="7"/>
  <c r="N27" i="7" s="1"/>
  <c r="N28" i="7"/>
  <c r="M28" i="7"/>
  <c r="N36" i="7"/>
  <c r="M36" i="7"/>
  <c r="N44" i="7"/>
  <c r="M44" i="7"/>
  <c r="N52" i="7"/>
  <c r="M52" i="7"/>
  <c r="O24" i="8"/>
  <c r="G18" i="8" l="1"/>
  <c r="M30" i="8" s="1"/>
  <c r="P30" i="8" s="1"/>
  <c r="N21" i="7"/>
  <c r="N24" i="7"/>
  <c r="J18" i="8"/>
  <c r="P31" i="8" s="1"/>
  <c r="Q16" i="8"/>
  <c r="P111" i="4"/>
  <c r="I99" i="4"/>
  <c r="J14" i="4"/>
  <c r="N88" i="4"/>
  <c r="N20" i="4"/>
  <c r="G24" i="8"/>
  <c r="E16" i="4"/>
  <c r="I98" i="4"/>
  <c r="I132" i="4"/>
  <c r="J22" i="8"/>
  <c r="I102" i="4"/>
  <c r="F48" i="4"/>
  <c r="P132" i="4"/>
  <c r="N67" i="4"/>
  <c r="J24" i="8" l="1"/>
  <c r="P134" i="4"/>
  <c r="I111" i="4"/>
  <c r="P113" i="4" s="1"/>
</calcChain>
</file>

<file path=xl/sharedStrings.xml><?xml version="1.0" encoding="utf-8"?>
<sst xmlns="http://schemas.openxmlformats.org/spreadsheetml/2006/main" count="377" uniqueCount="164">
  <si>
    <t>%FeT</t>
  </si>
  <si>
    <t>TMS</t>
  </si>
  <si>
    <t>Repulpeo</t>
  </si>
  <si>
    <t>Stock Sinter Feed Patio Tolva</t>
  </si>
  <si>
    <t>Stock Pellet Feed Guayacán</t>
  </si>
  <si>
    <t>Granzas</t>
  </si>
  <si>
    <t>Pellet Feed</t>
  </si>
  <si>
    <t>Stock Intermedio</t>
  </si>
  <si>
    <t>Stock Preconcentrado</t>
  </si>
  <si>
    <t>Stock Pellet Feed</t>
  </si>
  <si>
    <t>Stock Granzas</t>
  </si>
  <si>
    <t>Stock Pellet Feed ROM</t>
  </si>
  <si>
    <t>Stock Finos Guayacan</t>
  </si>
  <si>
    <t>Stock ML Pleito</t>
  </si>
  <si>
    <t>Alim Mina</t>
  </si>
  <si>
    <t>Alim ML Pleito a CH-CM</t>
  </si>
  <si>
    <t>Rechazos</t>
  </si>
  <si>
    <t>Producción CH a Stock Intermedio</t>
  </si>
  <si>
    <t>Otros Materiales desde Pleito a Stock Intermedio</t>
  </si>
  <si>
    <t>Delta Stock Intermedio</t>
  </si>
  <si>
    <t>Alimentación a Concentradora</t>
  </si>
  <si>
    <t>By Pass Stock Intermedio a Stock Preconcentrado</t>
  </si>
  <si>
    <t>Rechazo a Botadero</t>
  </si>
  <si>
    <t>Cola Concentradora (canoa)</t>
  </si>
  <si>
    <t>Concentradora a Stock Preconcentrado</t>
  </si>
  <si>
    <t>SF a molienda</t>
  </si>
  <si>
    <t>Delta Stock Preconcentrado</t>
  </si>
  <si>
    <t>Alimentación Preconcentrado a Molienda</t>
  </si>
  <si>
    <t>Cola de Molienda</t>
  </si>
  <si>
    <t>Concentrado a Almacenamiento</t>
  </si>
  <si>
    <t>Delta Almacenamiento de Concentrado</t>
  </si>
  <si>
    <t>Concentrado a Stock Pellet Feed ROM</t>
  </si>
  <si>
    <t>Delta Stock Pellet Feed ROM</t>
  </si>
  <si>
    <t>Transporte Pellet Feed en camiones a Guayacan</t>
  </si>
  <si>
    <t>TMF</t>
  </si>
  <si>
    <t>Transporte Pellet Feed en Trenes a Guayacan</t>
  </si>
  <si>
    <t>Pérdidas Pellet Feed por Transporte</t>
  </si>
  <si>
    <t>Recepción total en Stock Pellet Feed Guayacan</t>
  </si>
  <si>
    <t>Delta Stock Pellet Feed Guayacan</t>
  </si>
  <si>
    <t>Embarque Pellet Feed Guayacan</t>
  </si>
  <si>
    <t>Recepción SFMLC</t>
  </si>
  <si>
    <t>Recepción P55 desde MLC</t>
  </si>
  <si>
    <t>Delta Stock SF Patio Tolva ROM</t>
  </si>
  <si>
    <t>Transporte SF desde Tolva ROM a Guayacan</t>
  </si>
  <si>
    <t>Embarque SF MLC</t>
  </si>
  <si>
    <t>Delta Stock Finos Guayacan</t>
  </si>
  <si>
    <t>Recepción SF directo desde MLC</t>
  </si>
  <si>
    <t>Recepción Finos Pleito</t>
  </si>
  <si>
    <t xml:space="preserve">Recepción Granzas Pleito </t>
  </si>
  <si>
    <t>Recepción Planta los Cristales</t>
  </si>
  <si>
    <t>Delta Stock Granzas Guayacan</t>
  </si>
  <si>
    <t xml:space="preserve">Embarque Granzas </t>
  </si>
  <si>
    <t>ML Pleito</t>
  </si>
  <si>
    <t>Delta Stock ML Pleito</t>
  </si>
  <si>
    <t>Finos Pleito A S Emergencia 1</t>
  </si>
  <si>
    <t>Delta Stock Emergencia 1</t>
  </si>
  <si>
    <t>Alim Finos Pleito a Preconcentrado</t>
  </si>
  <si>
    <t>P55 a S Emergencia 2</t>
  </si>
  <si>
    <t>Delta Stock Emergencia 2</t>
  </si>
  <si>
    <t>P55 a de S Emergencia 2 a Preconcentrado</t>
  </si>
  <si>
    <t>P40 a S Emergencia 3</t>
  </si>
  <si>
    <t>Delta Stock Emergencia 3</t>
  </si>
  <si>
    <t>P40  de S Emergencia 3 a Preconcentrado</t>
  </si>
  <si>
    <t>Sinter MLC aS Emergencia 4</t>
  </si>
  <si>
    <t>Delta Stock Emergencia 4</t>
  </si>
  <si>
    <t>Sinter MLC dese S Emergencia 4 a Preconcentrado</t>
  </si>
  <si>
    <t>Otro Materiales a Preconcentrado</t>
  </si>
  <si>
    <t>De  nodo Alim Otros Materiales  + Emergencia a S Preconcentrado</t>
  </si>
  <si>
    <t>Valores Calculados</t>
  </si>
  <si>
    <t>TMF Fe</t>
  </si>
  <si>
    <t>BALANCE GLOBAL MASA</t>
  </si>
  <si>
    <t>ENTRADAS</t>
  </si>
  <si>
    <t>VARIACIONES DE INVENTARIOS</t>
  </si>
  <si>
    <t>SALIDAS</t>
  </si>
  <si>
    <t>Alim Chancado</t>
  </si>
  <si>
    <t>RECHAZOS CH -CM</t>
  </si>
  <si>
    <t>Recep ML Pleito</t>
  </si>
  <si>
    <t>Otros Mat a Stock Intermedio desde Pleito</t>
  </si>
  <si>
    <t>Almac Concentrado</t>
  </si>
  <si>
    <t>Finos Pleito a S Emergencia 1</t>
  </si>
  <si>
    <t>Cola Molienda</t>
  </si>
  <si>
    <t>S Sinter Feed Patio Tolva</t>
  </si>
  <si>
    <t>Pérdidas Transporte</t>
  </si>
  <si>
    <t>S  Emergencia 1</t>
  </si>
  <si>
    <t>Embarque Pellet Feed</t>
  </si>
  <si>
    <t>Sinter MLC a S Emergencia 4</t>
  </si>
  <si>
    <t>S  Emergencia 2</t>
  </si>
  <si>
    <t>Transp Pellet Feed Camiones</t>
  </si>
  <si>
    <t>Otros Mat a Preconcentrado</t>
  </si>
  <si>
    <t>S  Emergencia 3</t>
  </si>
  <si>
    <t>Recep SFMLC</t>
  </si>
  <si>
    <t>S  Emergencia 4</t>
  </si>
  <si>
    <t>Embarque Granzas</t>
  </si>
  <si>
    <t>Recep P55 desde MLC</t>
  </si>
  <si>
    <t>Recep SF desde MLC</t>
  </si>
  <si>
    <t>S Pellet Feed Guayacan</t>
  </si>
  <si>
    <t>Recep Finos Pleito</t>
  </si>
  <si>
    <t>Repep PlantaCristales</t>
  </si>
  <si>
    <t>Recep Granzas</t>
  </si>
  <si>
    <t>TOTAL ENTRADAS</t>
  </si>
  <si>
    <t xml:space="preserve">VAR NETA </t>
  </si>
  <si>
    <t>TOTAL SALIDAS</t>
  </si>
  <si>
    <t>ENTRADAS - VAR INVENTARIO - SALIDAS</t>
  </si>
  <si>
    <t>BALANCE GLOBAL FINOS</t>
  </si>
  <si>
    <t>TMH</t>
  </si>
  <si>
    <t>Stock Sinter Guayacán</t>
  </si>
  <si>
    <t>Stock Granza Guayacán</t>
  </si>
  <si>
    <t>BALANCE METALÚRGICO - VALLE ELQUI</t>
  </si>
  <si>
    <t>REPORTE MINAS EL ROMERAL</t>
  </si>
  <si>
    <t>FECHA DE BALANCE</t>
  </si>
  <si>
    <t>TONELAJE</t>
  </si>
  <si>
    <t>LEY</t>
  </si>
  <si>
    <t>FINO</t>
  </si>
  <si>
    <t>% FeT</t>
  </si>
  <si>
    <t>FL_218_501_01</t>
  </si>
  <si>
    <t>Recepción Mediana Ley Pleito</t>
  </si>
  <si>
    <t>Pellet Feed Producción Primaria</t>
  </si>
  <si>
    <t>Materiales a Stock Intermedio</t>
  </si>
  <si>
    <t>Materiales a Stock Preconcentrado</t>
  </si>
  <si>
    <t>Sinter Feed MLC (camiones)</t>
  </si>
  <si>
    <t>Sinter Feed a Patio Tolva</t>
  </si>
  <si>
    <t>Sinter Feed Pleito (camiones)</t>
  </si>
  <si>
    <t>Granzas Pleito</t>
  </si>
  <si>
    <t>Granzas Cristales</t>
  </si>
  <si>
    <t>FL_000_501_03</t>
  </si>
  <si>
    <t>TOTAL</t>
  </si>
  <si>
    <t>EMBARQUES - VENTAS LOCALES</t>
  </si>
  <si>
    <t xml:space="preserve">PÉRDIDAS </t>
  </si>
  <si>
    <t>Rechazos a botadero Pta. Chancado</t>
  </si>
  <si>
    <t xml:space="preserve">Sinter </t>
  </si>
  <si>
    <t>Rechazos a botadero Pta. Concentradora</t>
  </si>
  <si>
    <t>Colas Pta. Concentradora</t>
  </si>
  <si>
    <t>Pellet Feed camiones locales</t>
  </si>
  <si>
    <t>Colas Pta. Molienda</t>
  </si>
  <si>
    <t>INVENTARIOS</t>
  </si>
  <si>
    <t>Alimentación Chancado Mina</t>
  </si>
  <si>
    <t>Pellet Feed Acopiado (Trenes)</t>
  </si>
  <si>
    <t>Sinter Feed Acopiado (trenes)</t>
  </si>
  <si>
    <t>Sinter Feed Infiernillo (camiones)</t>
  </si>
  <si>
    <t>Infiernillo</t>
  </si>
  <si>
    <t>Embarque SF</t>
  </si>
  <si>
    <t>Transporte Camiones PF Guayacan</t>
  </si>
  <si>
    <t>Mediciones</t>
  </si>
  <si>
    <t>Flujos</t>
  </si>
  <si>
    <t>Balance</t>
  </si>
  <si>
    <t>% Cambio relativo</t>
  </si>
  <si>
    <t>Max Var Ton</t>
  </si>
  <si>
    <t>Max Var  FeT</t>
  </si>
  <si>
    <t>TMSD</t>
  </si>
  <si>
    <t>%Fe T</t>
  </si>
  <si>
    <t>Pellet Feed Acopiado Trenes</t>
  </si>
  <si>
    <t>Sinter Feed MLC camiones</t>
  </si>
  <si>
    <t>Sinter Feed Pleito camiones</t>
  </si>
  <si>
    <t>Sinter Feed Infiernillo camiones</t>
  </si>
  <si>
    <t>PRODUCCIÓN PRIMARIA</t>
  </si>
  <si>
    <t>PRODUCCIÓN PUESTA EN PUERTO</t>
  </si>
  <si>
    <t>DELTA INVENTARIO</t>
  </si>
  <si>
    <t>BALANCE</t>
  </si>
  <si>
    <t>Delta inventario TMS</t>
  </si>
  <si>
    <t>Delta inventario TMF</t>
  </si>
  <si>
    <t>Recepción Infiernillo</t>
  </si>
  <si>
    <t>Ventas locales</t>
  </si>
  <si>
    <t xml:space="preserve">Embarque Sinter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</si>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</sst>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* #,##0.00_-;\-* #,##0.00_-;_-* &quot;-&quot;??_-;_-@_-"/>
    <numFmt numFmtId="165" formatCode="0.0%"/>
    <numFmt numFmtId="166" formatCode="0.0"/>
    <numFmt numFmtId="167" formatCode="#,##0_ ;\-#,##0\ "/>
    <numFmt numFmtId="168" formatCode="#,##0.00_ ;\-#,##0.00\ "/>
    <numFmt numFmtId="169" formatCode="#,##0.0_ ;\-#,##0.0\ "/>
    <numFmt numFmtId="170" formatCode="#,##0.000_ ;\-#,##0.000\ "/>
    <numFmt numFmtId="171" formatCode="#,##0.0000000_ ;\-#,##0.0000000\ "/>
  </numFmts>
  <fonts count="3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sz val="10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8" tint="-0.499984740745262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0"/>
      <name val="Calibri (Body)"/>
    </font>
    <font>
      <b/>
      <sz val="11"/>
      <color theme="0"/>
      <name val="Calibri (Body)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ACB8C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8E6E6"/>
        <bgColor indexed="64"/>
      </patternFill>
    </fill>
    <fill>
      <patternFill patternType="solid">
        <fgColor rgb="FF0070C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3">
    <xf numFmtId="0" fontId="0" fillId="0" borderId="0" xfId="0"/>
    <xf numFmtId="0" fontId="0" fillId="2" borderId="0" xfId="0" applyFill="1"/>
    <xf numFmtId="10" fontId="0" fillId="0" borderId="0" xfId="0" applyNumberFormat="1"/>
    <xf numFmtId="3" fontId="0" fillId="0" borderId="0" xfId="0" applyNumberFormat="1"/>
    <xf numFmtId="3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5" fillId="0" borderId="0" xfId="0" applyFont="1"/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3" fontId="10" fillId="0" borderId="1" xfId="0" applyNumberFormat="1" applyFont="1" applyBorder="1" applyAlignment="1">
      <alignment vertical="center"/>
    </xf>
    <xf numFmtId="3" fontId="11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3" fontId="4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3" fontId="0" fillId="0" borderId="1" xfId="0" applyNumberFormat="1" applyBorder="1" applyAlignment="1">
      <alignment horizontal="right" vertical="center" indent="1"/>
    </xf>
    <xf numFmtId="0" fontId="0" fillId="0" borderId="19" xfId="0" applyBorder="1"/>
    <xf numFmtId="0" fontId="0" fillId="0" borderId="14" xfId="0" applyBorder="1"/>
    <xf numFmtId="0" fontId="0" fillId="0" borderId="16" xfId="0" applyBorder="1"/>
    <xf numFmtId="3" fontId="6" fillId="0" borderId="0" xfId="0" applyNumberFormat="1" applyFont="1"/>
    <xf numFmtId="10" fontId="7" fillId="0" borderId="0" xfId="0" applyNumberFormat="1" applyFont="1"/>
    <xf numFmtId="3" fontId="6" fillId="0" borderId="0" xfId="0" applyNumberFormat="1" applyFont="1" applyAlignment="1">
      <alignment horizontal="left"/>
    </xf>
    <xf numFmtId="3" fontId="8" fillId="0" borderId="0" xfId="0" applyNumberFormat="1" applyFont="1"/>
    <xf numFmtId="10" fontId="7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right" indent="2"/>
    </xf>
    <xf numFmtId="3" fontId="6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10" fontId="7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right" indent="4"/>
    </xf>
    <xf numFmtId="3" fontId="9" fillId="0" borderId="0" xfId="0" applyNumberFormat="1" applyFont="1" applyAlignment="1">
      <alignment horizontal="left" indent="2"/>
    </xf>
    <xf numFmtId="3" fontId="9" fillId="0" borderId="0" xfId="0" applyNumberFormat="1" applyFont="1" applyAlignment="1">
      <alignment horizontal="right" indent="1"/>
    </xf>
    <xf numFmtId="0" fontId="0" fillId="0" borderId="20" xfId="0" applyBorder="1"/>
    <xf numFmtId="0" fontId="0" fillId="0" borderId="18" xfId="0" applyBorder="1"/>
    <xf numFmtId="0" fontId="14" fillId="8" borderId="13" xfId="3" applyFont="1" applyFill="1" applyBorder="1" applyAlignment="1">
      <alignment horizontal="center" vertical="center"/>
    </xf>
    <xf numFmtId="0" fontId="14" fillId="8" borderId="19" xfId="3" applyFont="1" applyFill="1" applyBorder="1" applyAlignment="1">
      <alignment horizontal="center" vertical="center"/>
    </xf>
    <xf numFmtId="0" fontId="14" fillId="0" borderId="19" xfId="3" applyFont="1" applyBorder="1"/>
    <xf numFmtId="0" fontId="14" fillId="0" borderId="14" xfId="3" applyFont="1" applyBorder="1"/>
    <xf numFmtId="0" fontId="14" fillId="0" borderId="0" xfId="3" applyFont="1"/>
    <xf numFmtId="0" fontId="14" fillId="8" borderId="15" xfId="3" applyFont="1" applyFill="1" applyBorder="1" applyAlignment="1">
      <alignment horizontal="center" vertical="center"/>
    </xf>
    <xf numFmtId="0" fontId="14" fillId="8" borderId="0" xfId="3" applyFont="1" applyFill="1" applyAlignment="1">
      <alignment horizontal="center" vertical="center"/>
    </xf>
    <xf numFmtId="0" fontId="14" fillId="0" borderId="16" xfId="3" applyFont="1" applyBorder="1"/>
    <xf numFmtId="0" fontId="14" fillId="8" borderId="0" xfId="3" applyFont="1" applyFill="1"/>
    <xf numFmtId="14" fontId="14" fillId="8" borderId="0" xfId="3" applyNumberFormat="1" applyFont="1" applyFill="1"/>
    <xf numFmtId="0" fontId="14" fillId="0" borderId="15" xfId="3" applyFont="1" applyBorder="1"/>
    <xf numFmtId="0" fontId="17" fillId="0" borderId="0" xfId="3" applyFont="1"/>
    <xf numFmtId="0" fontId="18" fillId="8" borderId="11" xfId="3" applyFont="1" applyFill="1" applyBorder="1" applyAlignment="1">
      <alignment horizontal="center" vertical="center"/>
    </xf>
    <xf numFmtId="0" fontId="18" fillId="8" borderId="12" xfId="3" applyFont="1" applyFill="1" applyBorder="1" applyAlignment="1">
      <alignment horizontal="center" vertical="center"/>
    </xf>
    <xf numFmtId="0" fontId="18" fillId="8" borderId="23" xfId="3" applyFont="1" applyFill="1" applyBorder="1" applyAlignment="1">
      <alignment horizontal="center" vertical="center"/>
    </xf>
    <xf numFmtId="0" fontId="18" fillId="8" borderId="24" xfId="3" applyFont="1" applyFill="1" applyBorder="1" applyAlignment="1">
      <alignment horizontal="center" vertical="center"/>
    </xf>
    <xf numFmtId="167" fontId="17" fillId="0" borderId="1" xfId="4" applyNumberFormat="1" applyFont="1" applyBorder="1" applyAlignment="1">
      <alignment horizontal="center" vertical="center"/>
    </xf>
    <xf numFmtId="9" fontId="17" fillId="0" borderId="1" xfId="4" applyNumberFormat="1" applyFont="1" applyBorder="1" applyAlignment="1">
      <alignment horizontal="center" vertical="center"/>
    </xf>
    <xf numFmtId="167" fontId="17" fillId="0" borderId="1" xfId="4" applyNumberFormat="1" applyFont="1" applyFill="1" applyBorder="1" applyAlignment="1">
      <alignment horizontal="center" vertical="center"/>
    </xf>
    <xf numFmtId="9" fontId="17" fillId="0" borderId="1" xfId="2" applyFont="1" applyFill="1" applyBorder="1" applyAlignment="1">
      <alignment horizontal="center" vertical="center"/>
    </xf>
    <xf numFmtId="9" fontId="17" fillId="3" borderId="9" xfId="2" applyFont="1" applyFill="1" applyBorder="1" applyAlignment="1">
      <alignment horizontal="center" vertical="center"/>
    </xf>
    <xf numFmtId="167" fontId="17" fillId="3" borderId="1" xfId="4" applyNumberFormat="1" applyFont="1" applyFill="1" applyBorder="1" applyAlignment="1">
      <alignment horizontal="center" vertical="center"/>
    </xf>
    <xf numFmtId="9" fontId="17" fillId="0" borderId="1" xfId="2" applyFont="1" applyBorder="1" applyAlignment="1">
      <alignment horizontal="center" vertical="center"/>
    </xf>
    <xf numFmtId="9" fontId="17" fillId="3" borderId="1" xfId="2" applyFont="1" applyFill="1" applyBorder="1" applyAlignment="1">
      <alignment horizontal="center" vertical="center"/>
    </xf>
    <xf numFmtId="166" fontId="14" fillId="0" borderId="0" xfId="3" applyNumberFormat="1" applyFont="1"/>
    <xf numFmtId="168" fontId="14" fillId="0" borderId="0" xfId="3" applyNumberFormat="1" applyFont="1"/>
    <xf numFmtId="169" fontId="14" fillId="0" borderId="0" xfId="3" applyNumberFormat="1" applyFont="1"/>
    <xf numFmtId="167" fontId="17" fillId="3" borderId="6" xfId="4" applyNumberFormat="1" applyFont="1" applyFill="1" applyBorder="1" applyAlignment="1">
      <alignment horizontal="center" vertical="center"/>
    </xf>
    <xf numFmtId="9" fontId="17" fillId="3" borderId="6" xfId="2" applyFont="1" applyFill="1" applyBorder="1" applyAlignment="1">
      <alignment horizontal="center" vertical="center"/>
    </xf>
    <xf numFmtId="3" fontId="20" fillId="3" borderId="1" xfId="3" applyNumberFormat="1" applyFont="1" applyFill="1" applyBorder="1" applyAlignment="1">
      <alignment horizontal="center"/>
    </xf>
    <xf numFmtId="9" fontId="20" fillId="3" borderId="1" xfId="2" applyFont="1" applyFill="1" applyBorder="1" applyAlignment="1">
      <alignment horizontal="center"/>
    </xf>
    <xf numFmtId="3" fontId="17" fillId="0" borderId="1" xfId="3" applyNumberFormat="1" applyFont="1" applyBorder="1" applyAlignment="1">
      <alignment horizontal="center"/>
    </xf>
    <xf numFmtId="9" fontId="17" fillId="0" borderId="1" xfId="2" applyFont="1" applyBorder="1" applyAlignment="1">
      <alignment horizontal="center"/>
    </xf>
    <xf numFmtId="3" fontId="17" fillId="3" borderId="1" xfId="3" applyNumberFormat="1" applyFont="1" applyFill="1" applyBorder="1" applyAlignment="1">
      <alignment horizontal="center"/>
    </xf>
    <xf numFmtId="9" fontId="17" fillId="3" borderId="1" xfId="2" applyFont="1" applyFill="1" applyBorder="1" applyAlignment="1">
      <alignment horizontal="center"/>
    </xf>
    <xf numFmtId="167" fontId="18" fillId="0" borderId="0" xfId="4" applyNumberFormat="1" applyFont="1" applyAlignment="1">
      <alignment horizontal="center" vertical="center"/>
    </xf>
    <xf numFmtId="170" fontId="18" fillId="0" borderId="0" xfId="4" applyNumberFormat="1" applyFont="1" applyAlignment="1">
      <alignment horizontal="center" vertical="center"/>
    </xf>
    <xf numFmtId="167" fontId="18" fillId="0" borderId="0" xfId="4" applyNumberFormat="1" applyFont="1" applyBorder="1" applyAlignment="1">
      <alignment horizontal="center" vertical="center"/>
    </xf>
    <xf numFmtId="167" fontId="14" fillId="0" borderId="16" xfId="3" applyNumberFormat="1" applyFont="1" applyBorder="1"/>
    <xf numFmtId="171" fontId="14" fillId="0" borderId="0" xfId="3" applyNumberFormat="1" applyFont="1"/>
    <xf numFmtId="0" fontId="14" fillId="0" borderId="17" xfId="3" applyFont="1" applyBorder="1"/>
    <xf numFmtId="0" fontId="14" fillId="0" borderId="20" xfId="3" applyFont="1" applyBorder="1"/>
    <xf numFmtId="0" fontId="14" fillId="0" borderId="18" xfId="3" applyFont="1" applyBorder="1"/>
    <xf numFmtId="0" fontId="19" fillId="0" borderId="0" xfId="3" applyFont="1" applyAlignment="1">
      <alignment vertical="center"/>
    </xf>
    <xf numFmtId="167" fontId="17" fillId="0" borderId="0" xfId="4" applyNumberFormat="1" applyFont="1" applyFill="1" applyBorder="1" applyAlignment="1">
      <alignment horizontal="center" vertical="center"/>
    </xf>
    <xf numFmtId="167" fontId="18" fillId="0" borderId="0" xfId="4" applyNumberFormat="1" applyFont="1" applyFill="1" applyBorder="1" applyAlignment="1">
      <alignment horizontal="center" vertical="center"/>
    </xf>
    <xf numFmtId="3" fontId="17" fillId="0" borderId="39" xfId="3" applyNumberFormat="1" applyFont="1" applyBorder="1" applyAlignment="1">
      <alignment horizontal="center" vertical="center"/>
    </xf>
    <xf numFmtId="9" fontId="17" fillId="0" borderId="23" xfId="4" applyNumberFormat="1" applyFont="1" applyFill="1" applyBorder="1" applyAlignment="1">
      <alignment horizontal="center" vertical="center"/>
    </xf>
    <xf numFmtId="9" fontId="17" fillId="0" borderId="24" xfId="4" applyNumberFormat="1" applyFont="1" applyFill="1" applyBorder="1" applyAlignment="1">
      <alignment horizontal="center" vertical="center"/>
    </xf>
    <xf numFmtId="167" fontId="17" fillId="5" borderId="1" xfId="4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10" fontId="3" fillId="0" borderId="0" xfId="0" applyNumberFormat="1" applyFont="1"/>
    <xf numFmtId="10" fontId="12" fillId="0" borderId="0" xfId="0" applyNumberFormat="1" applyFont="1"/>
    <xf numFmtId="0" fontId="2" fillId="0" borderId="0" xfId="1" applyAlignment="1">
      <alignment horizontal="center"/>
    </xf>
    <xf numFmtId="0" fontId="0" fillId="0" borderId="0" xfId="0" applyAlignment="1">
      <alignment wrapText="1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4" fillId="10" borderId="1" xfId="0" applyFont="1" applyFill="1" applyBorder="1"/>
    <xf numFmtId="0" fontId="4" fillId="0" borderId="1" xfId="0" applyFont="1" applyBorder="1"/>
    <xf numFmtId="10" fontId="4" fillId="0" borderId="1" xfId="0" applyNumberFormat="1" applyFont="1" applyBorder="1"/>
    <xf numFmtId="0" fontId="4" fillId="0" borderId="41" xfId="1" applyFont="1" applyBorder="1" applyAlignment="1">
      <alignment wrapText="1"/>
    </xf>
    <xf numFmtId="0" fontId="4" fillId="11" borderId="1" xfId="0" applyFont="1" applyFill="1" applyBorder="1"/>
    <xf numFmtId="0" fontId="4" fillId="12" borderId="1" xfId="0" applyFont="1" applyFill="1" applyBorder="1" applyAlignment="1">
      <alignment wrapText="1"/>
    </xf>
    <xf numFmtId="0" fontId="10" fillId="2" borderId="1" xfId="1" applyFont="1" applyFill="1" applyBorder="1" applyAlignment="1">
      <alignment horizontal="center"/>
    </xf>
    <xf numFmtId="0" fontId="10" fillId="0" borderId="0" xfId="1" applyFont="1" applyAlignment="1">
      <alignment horizontal="center"/>
    </xf>
    <xf numFmtId="10" fontId="4" fillId="13" borderId="1" xfId="0" applyNumberFormat="1" applyFont="1" applyFill="1" applyBorder="1"/>
    <xf numFmtId="165" fontId="10" fillId="0" borderId="1" xfId="0" applyNumberFormat="1" applyFont="1" applyBorder="1"/>
    <xf numFmtId="165" fontId="10" fillId="0" borderId="0" xfId="0" applyNumberFormat="1" applyFont="1"/>
    <xf numFmtId="10" fontId="10" fillId="0" borderId="1" xfId="0" applyNumberFormat="1" applyFont="1" applyBorder="1"/>
    <xf numFmtId="167" fontId="17" fillId="14" borderId="1" xfId="4" applyNumberFormat="1" applyFont="1" applyFill="1" applyBorder="1" applyAlignment="1">
      <alignment horizontal="center" vertical="center"/>
    </xf>
    <xf numFmtId="0" fontId="22" fillId="0" borderId="0" xfId="0" applyFont="1"/>
    <xf numFmtId="10" fontId="22" fillId="0" borderId="0" xfId="0" applyNumberFormat="1" applyFont="1"/>
    <xf numFmtId="3" fontId="22" fillId="0" borderId="0" xfId="0" applyNumberFormat="1" applyFont="1"/>
    <xf numFmtId="0" fontId="23" fillId="0" borderId="0" xfId="0" applyFont="1"/>
    <xf numFmtId="165" fontId="22" fillId="0" borderId="0" xfId="0" applyNumberFormat="1" applyFont="1"/>
    <xf numFmtId="0" fontId="24" fillId="0" borderId="0" xfId="0" applyFont="1"/>
    <xf numFmtId="3" fontId="24" fillId="0" borderId="0" xfId="0" applyNumberFormat="1" applyFont="1"/>
    <xf numFmtId="0" fontId="25" fillId="0" borderId="0" xfId="0" applyFont="1"/>
    <xf numFmtId="10" fontId="0" fillId="0" borderId="0" xfId="0" applyNumberFormat="1" applyAlignment="1">
      <alignment horizontal="right"/>
    </xf>
    <xf numFmtId="9" fontId="17" fillId="0" borderId="0" xfId="2" applyFont="1" applyFill="1" applyBorder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7" fillId="0" borderId="0" xfId="3" applyFont="1" applyAlignment="1">
      <alignment vertical="center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9" fontId="17" fillId="0" borderId="6" xfId="2" applyFont="1" applyFill="1" applyBorder="1" applyAlignment="1">
      <alignment horizontal="center" vertical="center"/>
    </xf>
    <xf numFmtId="167" fontId="17" fillId="0" borderId="6" xfId="4" applyNumberFormat="1" applyFont="1" applyFill="1" applyBorder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6" fillId="0" borderId="0" xfId="0" applyNumberFormat="1" applyFont="1"/>
    <xf numFmtId="10" fontId="26" fillId="0" borderId="0" xfId="0" applyNumberFormat="1" applyFont="1"/>
    <xf numFmtId="3" fontId="27" fillId="0" borderId="0" xfId="0" applyNumberFormat="1" applyFont="1"/>
    <xf numFmtId="10" fontId="27" fillId="0" borderId="0" xfId="0" applyNumberFormat="1" applyFont="1"/>
    <xf numFmtId="10" fontId="28" fillId="0" borderId="0" xfId="0" applyNumberFormat="1" applyFont="1"/>
    <xf numFmtId="0" fontId="26" fillId="0" borderId="0" xfId="1" applyFont="1" applyAlignment="1">
      <alignment horizontal="center"/>
    </xf>
    <xf numFmtId="3" fontId="17" fillId="0" borderId="12" xfId="3" applyNumberFormat="1" applyFont="1" applyBorder="1" applyAlignment="1">
      <alignment horizontal="center" vertical="center"/>
    </xf>
    <xf numFmtId="3" fontId="17" fillId="0" borderId="42" xfId="3" applyNumberFormat="1" applyFont="1" applyBorder="1" applyAlignment="1">
      <alignment horizontal="center" vertical="center"/>
    </xf>
    <xf numFmtId="3" fontId="17" fillId="0" borderId="43" xfId="3" applyNumberFormat="1" applyFont="1" applyBorder="1" applyAlignment="1">
      <alignment horizontal="center" vertical="center"/>
    </xf>
    <xf numFmtId="167" fontId="14" fillId="0" borderId="0" xfId="3" applyNumberFormat="1" applyFont="1"/>
    <xf numFmtId="3" fontId="18" fillId="0" borderId="46" xfId="3" applyNumberFormat="1" applyFont="1" applyBorder="1" applyAlignment="1">
      <alignment horizontal="center" vertical="center"/>
    </xf>
    <xf numFmtId="167" fontId="14" fillId="0" borderId="20" xfId="3" applyNumberFormat="1" applyFont="1" applyBorder="1"/>
    <xf numFmtId="0" fontId="14" fillId="0" borderId="13" xfId="3" applyFont="1" applyBorder="1"/>
    <xf numFmtId="3" fontId="14" fillId="0" borderId="0" xfId="3" applyNumberFormat="1" applyFont="1"/>
    <xf numFmtId="1" fontId="14" fillId="0" borderId="20" xfId="3" applyNumberFormat="1" applyFont="1" applyBorder="1"/>
    <xf numFmtId="167" fontId="14" fillId="0" borderId="18" xfId="3" applyNumberFormat="1" applyFont="1" applyBorder="1"/>
    <xf numFmtId="0" fontId="21" fillId="15" borderId="0" xfId="0" applyFont="1" applyFill="1"/>
    <xf numFmtId="0" fontId="4" fillId="15" borderId="1" xfId="0" applyFont="1" applyFill="1" applyBorder="1"/>
    <xf numFmtId="10" fontId="4" fillId="15" borderId="1" xfId="0" applyNumberFormat="1" applyFont="1" applyFill="1" applyBorder="1"/>
    <xf numFmtId="0" fontId="0" fillId="15" borderId="0" xfId="0" applyFill="1"/>
    <xf numFmtId="165" fontId="10" fillId="15" borderId="1" xfId="0" applyNumberFormat="1" applyFont="1" applyFill="1" applyBorder="1"/>
    <xf numFmtId="10" fontId="10" fillId="15" borderId="1" xfId="0" applyNumberFormat="1" applyFont="1" applyFill="1" applyBorder="1"/>
    <xf numFmtId="1" fontId="29" fillId="0" borderId="1" xfId="0" applyNumberFormat="1" applyFont="1" applyBorder="1" applyAlignment="1">
      <alignment horizontal="left" vertical="center"/>
    </xf>
    <xf numFmtId="1" fontId="29" fillId="0" borderId="1" xfId="0" applyNumberFormat="1" applyFont="1" applyBorder="1" applyAlignment="1">
      <alignment horizontal="right" vertical="center"/>
    </xf>
    <xf numFmtId="0" fontId="29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1" xfId="0" applyFont="1" applyBorder="1" applyAlignment="1">
      <alignment horizontal="right"/>
    </xf>
    <xf numFmtId="0" fontId="29" fillId="0" borderId="1" xfId="3" applyFont="1" applyBorder="1" applyAlignment="1">
      <alignment horizontal="left"/>
    </xf>
    <xf numFmtId="0" fontId="29" fillId="0" borderId="1" xfId="3" applyFont="1" applyBorder="1" applyAlignment="1">
      <alignment horizontal="right"/>
    </xf>
    <xf numFmtId="1" fontId="29" fillId="0" borderId="1" xfId="0" applyNumberFormat="1" applyFont="1" applyBorder="1" applyAlignment="1">
      <alignment horizontal="left"/>
    </xf>
    <xf numFmtId="1" fontId="29" fillId="0" borderId="1" xfId="4" applyNumberFormat="1" applyFont="1" applyFill="1" applyBorder="1" applyAlignment="1">
      <alignment horizontal="right" vertical="center"/>
    </xf>
    <xf numFmtId="1" fontId="29" fillId="0" borderId="1" xfId="0" applyNumberFormat="1" applyFont="1" applyBorder="1" applyAlignment="1">
      <alignment horizontal="right"/>
    </xf>
    <xf numFmtId="1" fontId="29" fillId="0" borderId="1" xfId="3" applyNumberFormat="1" applyFont="1" applyBorder="1" applyAlignment="1">
      <alignment horizontal="right" vertical="center"/>
    </xf>
    <xf numFmtId="10" fontId="29" fillId="0" borderId="1" xfId="3" applyNumberFormat="1" applyFont="1" applyBorder="1" applyAlignment="1">
      <alignment horizontal="right" vertical="center"/>
    </xf>
    <xf numFmtId="0" fontId="29" fillId="0" borderId="1" xfId="0" applyFont="1" applyBorder="1" applyAlignment="1">
      <alignment horizontal="left"/>
    </xf>
    <xf numFmtId="10" fontId="29" fillId="0" borderId="1" xfId="0" applyNumberFormat="1" applyFont="1" applyBorder="1" applyAlignment="1">
      <alignment horizontal="right"/>
    </xf>
    <xf numFmtId="10" fontId="29" fillId="0" borderId="1" xfId="4" applyNumberFormat="1" applyFont="1" applyFill="1" applyBorder="1" applyAlignment="1">
      <alignment horizontal="right" vertical="center"/>
    </xf>
    <xf numFmtId="10" fontId="29" fillId="0" borderId="1" xfId="6" applyNumberFormat="1" applyFont="1" applyFill="1" applyBorder="1" applyAlignment="1">
      <alignment horizontal="right" vertical="center"/>
    </xf>
    <xf numFmtId="10" fontId="29" fillId="0" borderId="1" xfId="0" applyNumberFormat="1" applyFont="1" applyBorder="1" applyAlignment="1">
      <alignment horizontal="right" vertical="center"/>
    </xf>
    <xf numFmtId="0" fontId="28" fillId="0" borderId="0" xfId="0" applyFont="1" applyAlignment="1">
      <alignment horizontal="center"/>
    </xf>
    <xf numFmtId="0" fontId="5" fillId="0" borderId="0" xfId="1" applyFont="1" applyAlignment="1">
      <alignment horizontal="center" wrapText="1"/>
    </xf>
    <xf numFmtId="0" fontId="26" fillId="0" borderId="0" xfId="1" applyFont="1" applyAlignment="1">
      <alignment horizontal="center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0" fillId="0" borderId="1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4" fillId="7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indent="1"/>
    </xf>
    <xf numFmtId="0" fontId="4" fillId="7" borderId="1" xfId="0" applyFont="1" applyFill="1" applyBorder="1" applyAlignment="1">
      <alignment horizontal="left" vertical="center" indent="3"/>
    </xf>
    <xf numFmtId="0" fontId="0" fillId="0" borderId="1" xfId="0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left" vertical="center" indent="1"/>
    </xf>
    <xf numFmtId="0" fontId="4" fillId="6" borderId="1" xfId="0" applyFont="1" applyFill="1" applyBorder="1" applyAlignment="1">
      <alignment horizontal="left" vertical="center" indent="3"/>
    </xf>
    <xf numFmtId="0" fontId="4" fillId="10" borderId="1" xfId="0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 wrapText="1"/>
    </xf>
    <xf numFmtId="0" fontId="4" fillId="2" borderId="3" xfId="1" applyFont="1" applyFill="1" applyBorder="1" applyAlignment="1">
      <alignment horizontal="center" wrapText="1"/>
    </xf>
    <xf numFmtId="0" fontId="17" fillId="0" borderId="31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3" borderId="31" xfId="0" applyFont="1" applyFill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8" fillId="0" borderId="0" xfId="3" applyFont="1" applyAlignment="1">
      <alignment horizontal="left" vertical="center" wrapText="1"/>
    </xf>
    <xf numFmtId="0" fontId="14" fillId="0" borderId="33" xfId="3" applyFont="1" applyBorder="1" applyAlignment="1">
      <alignment horizontal="center"/>
    </xf>
    <xf numFmtId="0" fontId="14" fillId="0" borderId="34" xfId="3" applyFont="1" applyBorder="1" applyAlignment="1">
      <alignment horizontal="center"/>
    </xf>
    <xf numFmtId="0" fontId="14" fillId="0" borderId="35" xfId="3" applyFont="1" applyBorder="1" applyAlignment="1">
      <alignment horizontal="center"/>
    </xf>
    <xf numFmtId="0" fontId="17" fillId="0" borderId="40" xfId="0" applyFont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9" fillId="9" borderId="25" xfId="3" applyFont="1" applyFill="1" applyBorder="1" applyAlignment="1">
      <alignment horizontal="center" vertical="center"/>
    </xf>
    <xf numFmtId="0" fontId="19" fillId="9" borderId="26" xfId="3" applyFont="1" applyFill="1" applyBorder="1" applyAlignment="1">
      <alignment horizontal="center" vertical="center"/>
    </xf>
    <xf numFmtId="0" fontId="19" fillId="9" borderId="30" xfId="3" applyFont="1" applyFill="1" applyBorder="1" applyAlignment="1">
      <alignment horizontal="center" vertical="center"/>
    </xf>
    <xf numFmtId="0" fontId="19" fillId="9" borderId="21" xfId="3" applyFont="1" applyFill="1" applyBorder="1" applyAlignment="1">
      <alignment horizontal="center" vertical="center"/>
    </xf>
    <xf numFmtId="0" fontId="19" fillId="9" borderId="11" xfId="3" applyFont="1" applyFill="1" applyBorder="1" applyAlignment="1">
      <alignment horizontal="center" vertical="center"/>
    </xf>
    <xf numFmtId="0" fontId="19" fillId="9" borderId="38" xfId="3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0" fontId="17" fillId="3" borderId="3" xfId="0" applyFont="1" applyFill="1" applyBorder="1" applyAlignment="1">
      <alignment horizontal="left" vertical="center"/>
    </xf>
    <xf numFmtId="0" fontId="19" fillId="9" borderId="44" xfId="3" applyFont="1" applyFill="1" applyBorder="1" applyAlignment="1">
      <alignment horizontal="center" vertical="center"/>
    </xf>
    <xf numFmtId="0" fontId="19" fillId="9" borderId="45" xfId="3" applyFont="1" applyFill="1" applyBorder="1" applyAlignment="1">
      <alignment horizontal="center" vertical="center"/>
    </xf>
    <xf numFmtId="0" fontId="17" fillId="0" borderId="31" xfId="3" applyFont="1" applyBorder="1" applyAlignment="1">
      <alignment horizontal="left"/>
    </xf>
    <xf numFmtId="0" fontId="17" fillId="0" borderId="10" xfId="3" applyFont="1" applyBorder="1" applyAlignment="1">
      <alignment horizontal="left"/>
    </xf>
    <xf numFmtId="0" fontId="17" fillId="0" borderId="3" xfId="3" applyFont="1" applyBorder="1" applyAlignment="1">
      <alignment horizontal="left"/>
    </xf>
    <xf numFmtId="0" fontId="17" fillId="3" borderId="31" xfId="3" applyFont="1" applyFill="1" applyBorder="1" applyAlignment="1">
      <alignment horizontal="left"/>
    </xf>
    <xf numFmtId="0" fontId="17" fillId="3" borderId="10" xfId="3" applyFont="1" applyFill="1" applyBorder="1" applyAlignment="1">
      <alignment horizontal="left"/>
    </xf>
    <xf numFmtId="0" fontId="17" fillId="3" borderId="3" xfId="3" applyFont="1" applyFill="1" applyBorder="1" applyAlignment="1">
      <alignment horizontal="left"/>
    </xf>
    <xf numFmtId="0" fontId="19" fillId="9" borderId="12" xfId="3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32" xfId="0" applyFont="1" applyBorder="1" applyAlignment="1">
      <alignment horizontal="left" vertical="center"/>
    </xf>
    <xf numFmtId="0" fontId="19" fillId="9" borderId="13" xfId="3" applyFont="1" applyFill="1" applyBorder="1" applyAlignment="1">
      <alignment horizontal="center" vertical="center"/>
    </xf>
    <xf numFmtId="0" fontId="19" fillId="9" borderId="19" xfId="3" applyFont="1" applyFill="1" applyBorder="1" applyAlignment="1">
      <alignment horizontal="center" vertical="center"/>
    </xf>
    <xf numFmtId="0" fontId="19" fillId="9" borderId="14" xfId="3" applyFont="1" applyFill="1" applyBorder="1" applyAlignment="1">
      <alignment horizontal="center" vertical="center"/>
    </xf>
    <xf numFmtId="0" fontId="17" fillId="0" borderId="21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7" fillId="0" borderId="27" xfId="3" applyFont="1" applyBorder="1" applyAlignment="1">
      <alignment horizontal="center" vertical="center"/>
    </xf>
    <xf numFmtId="0" fontId="17" fillId="0" borderId="6" xfId="3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center"/>
    </xf>
    <xf numFmtId="0" fontId="17" fillId="0" borderId="26" xfId="3" applyFont="1" applyBorder="1" applyAlignment="1">
      <alignment horizontal="center" vertical="center"/>
    </xf>
    <xf numFmtId="0" fontId="17" fillId="0" borderId="28" xfId="3" applyFont="1" applyBorder="1" applyAlignment="1">
      <alignment horizontal="center" vertical="center"/>
    </xf>
    <xf numFmtId="0" fontId="17" fillId="0" borderId="29" xfId="3" applyFont="1" applyBorder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7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"/>
    </xf>
    <xf numFmtId="49" fontId="16" fillId="4" borderId="11" xfId="0" applyNumberFormat="1" applyFont="1" applyFill="1" applyBorder="1" applyAlignment="1">
      <alignment horizontal="center" vertical="center" wrapText="1"/>
    </xf>
    <xf numFmtId="49" fontId="16" fillId="4" borderId="12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49" fontId="16" fillId="4" borderId="8" xfId="0" applyNumberFormat="1" applyFont="1" applyFill="1" applyBorder="1" applyAlignment="1">
      <alignment horizontal="center" vertical="center" wrapText="1"/>
    </xf>
    <xf numFmtId="49" fontId="16" fillId="4" borderId="23" xfId="0" applyNumberFormat="1" applyFont="1" applyFill="1" applyBorder="1" applyAlignment="1">
      <alignment horizontal="center" vertical="center" wrapText="1"/>
    </xf>
    <xf numFmtId="14" fontId="16" fillId="4" borderId="1" xfId="0" applyNumberFormat="1" applyFont="1" applyFill="1" applyBorder="1" applyAlignment="1">
      <alignment horizontal="center" vertical="center" wrapText="1"/>
    </xf>
    <xf numFmtId="14" fontId="16" fillId="4" borderId="8" xfId="0" applyNumberFormat="1" applyFont="1" applyFill="1" applyBorder="1" applyAlignment="1">
      <alignment horizontal="center" vertical="center" wrapText="1"/>
    </xf>
    <xf numFmtId="14" fontId="16" fillId="4" borderId="23" xfId="0" applyNumberFormat="1" applyFont="1" applyFill="1" applyBorder="1" applyAlignment="1">
      <alignment horizontal="center" vertical="center" wrapText="1"/>
    </xf>
    <xf numFmtId="14" fontId="16" fillId="4" borderId="24" xfId="0" applyNumberFormat="1" applyFont="1" applyFill="1" applyBorder="1" applyAlignment="1">
      <alignment horizontal="center" vertical="center" wrapText="1"/>
    </xf>
    <xf numFmtId="0" fontId="18" fillId="8" borderId="38" xfId="3" applyFont="1" applyFill="1" applyBorder="1" applyAlignment="1">
      <alignment horizontal="center" vertical="center"/>
    </xf>
    <xf numFmtId="0" fontId="18" fillId="8" borderId="32" xfId="3" applyFont="1" applyFill="1" applyBorder="1" applyAlignment="1">
      <alignment horizontal="center" vertical="center"/>
    </xf>
    <xf numFmtId="3" fontId="17" fillId="0" borderId="47" xfId="3" applyNumberFormat="1" applyFont="1" applyBorder="1" applyAlignment="1">
      <alignment horizontal="center" vertical="center"/>
    </xf>
    <xf numFmtId="3" fontId="17" fillId="0" borderId="48" xfId="3" applyNumberFormat="1" applyFont="1" applyBorder="1" applyAlignment="1">
      <alignment horizontal="center" vertical="center"/>
    </xf>
    <xf numFmtId="0" fontId="17" fillId="0" borderId="21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17" fillId="0" borderId="49" xfId="0" applyFont="1" applyBorder="1" applyAlignment="1">
      <alignment horizontal="left" vertical="center"/>
    </xf>
    <xf numFmtId="0" fontId="17" fillId="0" borderId="39" xfId="0" applyFont="1" applyBorder="1" applyAlignment="1">
      <alignment vertical="center"/>
    </xf>
    <xf numFmtId="0" fontId="1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0" fontId="17" fillId="0" borderId="43" xfId="0" applyFont="1" applyBorder="1" applyAlignment="1">
      <alignment vertical="center"/>
    </xf>
    <xf numFmtId="0" fontId="17" fillId="0" borderId="31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67" fontId="18" fillId="0" borderId="1" xfId="4" applyNumberFormat="1" applyFont="1" applyBorder="1" applyAlignment="1">
      <alignment horizontal="center" vertical="center"/>
    </xf>
    <xf numFmtId="0" fontId="17" fillId="0" borderId="53" xfId="0" applyFont="1" applyBorder="1" applyAlignment="1">
      <alignment horizontal="left" vertical="center"/>
    </xf>
    <xf numFmtId="0" fontId="17" fillId="0" borderId="54" xfId="0" applyFont="1" applyBorder="1" applyAlignment="1">
      <alignment horizontal="left" vertical="center"/>
    </xf>
    <xf numFmtId="0" fontId="17" fillId="0" borderId="55" xfId="0" applyFont="1" applyBorder="1" applyAlignment="1">
      <alignment horizontal="left" vertical="center"/>
    </xf>
    <xf numFmtId="167" fontId="17" fillId="0" borderId="6" xfId="4" applyNumberFormat="1" applyFont="1" applyBorder="1" applyAlignment="1">
      <alignment horizontal="center" vertical="center"/>
    </xf>
    <xf numFmtId="9" fontId="17" fillId="0" borderId="6" xfId="4" applyNumberFormat="1" applyFont="1" applyBorder="1" applyAlignment="1">
      <alignment horizontal="center" vertical="center"/>
    </xf>
    <xf numFmtId="0" fontId="18" fillId="0" borderId="50" xfId="0" applyFont="1" applyBorder="1" applyAlignment="1">
      <alignment horizontal="left" vertical="center"/>
    </xf>
    <xf numFmtId="0" fontId="18" fillId="0" borderId="51" xfId="0" applyFont="1" applyBorder="1" applyAlignment="1">
      <alignment horizontal="left" vertical="center"/>
    </xf>
    <xf numFmtId="0" fontId="18" fillId="0" borderId="52" xfId="0" applyFont="1" applyBorder="1" applyAlignment="1">
      <alignment horizontal="left" vertical="center"/>
    </xf>
    <xf numFmtId="167" fontId="18" fillId="0" borderId="36" xfId="4" applyNumberFormat="1" applyFont="1" applyBorder="1" applyAlignment="1">
      <alignment horizontal="center" vertical="center"/>
    </xf>
    <xf numFmtId="9" fontId="18" fillId="0" borderId="36" xfId="4" applyNumberFormat="1" applyFont="1" applyBorder="1" applyAlignment="1">
      <alignment horizontal="center" vertical="center"/>
    </xf>
    <xf numFmtId="167" fontId="18" fillId="0" borderId="37" xfId="4" applyNumberFormat="1" applyFont="1" applyBorder="1" applyAlignment="1">
      <alignment horizontal="center" vertical="center"/>
    </xf>
    <xf numFmtId="0" fontId="17" fillId="3" borderId="53" xfId="0" applyFont="1" applyFill="1" applyBorder="1" applyAlignment="1">
      <alignment horizontal="left" vertical="center"/>
    </xf>
    <xf numFmtId="0" fontId="17" fillId="3" borderId="54" xfId="0" applyFont="1" applyFill="1" applyBorder="1" applyAlignment="1">
      <alignment horizontal="left" vertical="center"/>
    </xf>
    <xf numFmtId="0" fontId="17" fillId="3" borderId="55" xfId="0" applyFont="1" applyFill="1" applyBorder="1" applyAlignment="1">
      <alignment horizontal="left" vertical="center"/>
    </xf>
    <xf numFmtId="9" fontId="18" fillId="0" borderId="36" xfId="2" applyFont="1" applyBorder="1" applyAlignment="1">
      <alignment horizontal="center" vertical="center"/>
    </xf>
    <xf numFmtId="0" fontId="18" fillId="0" borderId="31" xfId="3" applyFont="1" applyBorder="1" applyAlignment="1">
      <alignment horizontal="left"/>
    </xf>
    <xf numFmtId="0" fontId="18" fillId="0" borderId="10" xfId="3" applyFont="1" applyBorder="1" applyAlignment="1">
      <alignment horizontal="left"/>
    </xf>
    <xf numFmtId="0" fontId="18" fillId="0" borderId="3" xfId="3" applyFont="1" applyBorder="1" applyAlignment="1">
      <alignment horizontal="left"/>
    </xf>
    <xf numFmtId="3" fontId="18" fillId="0" borderId="1" xfId="3" applyNumberFormat="1" applyFont="1" applyBorder="1" applyAlignment="1">
      <alignment horizontal="center"/>
    </xf>
    <xf numFmtId="9" fontId="18" fillId="0" borderId="1" xfId="2" applyFont="1" applyBorder="1" applyAlignment="1">
      <alignment horizontal="center"/>
    </xf>
    <xf numFmtId="167" fontId="17" fillId="14" borderId="6" xfId="4" applyNumberFormat="1" applyFont="1" applyFill="1" applyBorder="1" applyAlignment="1">
      <alignment horizontal="center" vertical="center"/>
    </xf>
    <xf numFmtId="167" fontId="18" fillId="0" borderId="36" xfId="4" applyNumberFormat="1" applyFont="1" applyFill="1" applyBorder="1" applyAlignment="1">
      <alignment horizontal="center" vertical="center"/>
    </xf>
    <xf numFmtId="167" fontId="18" fillId="0" borderId="52" xfId="4" applyNumberFormat="1" applyFont="1" applyFill="1" applyBorder="1" applyAlignment="1">
      <alignment horizontal="center" vertical="center"/>
    </xf>
    <xf numFmtId="0" fontId="18" fillId="0" borderId="56" xfId="0" applyFont="1" applyBorder="1" applyAlignment="1">
      <alignment horizontal="left" vertical="center"/>
    </xf>
    <xf numFmtId="0" fontId="30" fillId="0" borderId="19" xfId="3" applyFont="1" applyBorder="1" applyAlignment="1">
      <alignment horizontal="center"/>
    </xf>
    <xf numFmtId="0" fontId="30" fillId="0" borderId="14" xfId="3" applyFont="1" applyBorder="1" applyAlignment="1">
      <alignment horizontal="center"/>
    </xf>
  </cellXfs>
  <cellStyles count="7">
    <cellStyle name="Millares 2" xfId="4" xr:uid="{00000000-0005-0000-0000-000000000000}"/>
    <cellStyle name="Normal" xfId="0" builtinId="0"/>
    <cellStyle name="Normal 2" xfId="1" xr:uid="{00000000-0005-0000-0000-000002000000}"/>
    <cellStyle name="Normal 2 2" xfId="3" xr:uid="{00000000-0005-0000-0000-000003000000}"/>
    <cellStyle name="Percent 2" xfId="6" xr:uid="{16367BE4-A648-A043-AF41-6B7CB9CDD3FF}"/>
    <cellStyle name="Porcentaje" xfId="2" builtinId="5"/>
    <cellStyle name="Porcentaje 2 2" xfId="5" xr:uid="{00000000-0005-0000-0000-000005000000}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rgb="FFFF0000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</dxfs>
  <tableStyles count="0" defaultTableStyle="TableStyleMedium2" defaultPivotStyle="PivotStyleLight16"/>
  <colors>
    <mruColors>
      <color rgb="FFE8E6E6"/>
      <color rgb="FFEB15C2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622744</xdr:colOff>
      <xdr:row>7</xdr:row>
      <xdr:rowOff>140304</xdr:rowOff>
    </xdr:from>
    <xdr:to>
      <xdr:col>7</xdr:col>
      <xdr:colOff>225567</xdr:colOff>
      <xdr:row>9</xdr:row>
      <xdr:rowOff>175540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F3F6639-C8F7-4D0D-8C55-3C9842EE8403}"/>
            </a:ext>
          </a:extLst>
        </xdr:cNvPr>
        <xdr:cNvSpPr/>
      </xdr:nvSpPr>
      <xdr:spPr>
        <a:xfrm>
          <a:off x="2908744" y="1260892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CH- CM</a:t>
          </a:r>
        </a:p>
      </xdr:txBody>
    </xdr:sp>
    <xdr:clientData/>
  </xdr:twoCellAnchor>
  <xdr:twoCellAnchor>
    <xdr:from>
      <xdr:col>9</xdr:col>
      <xdr:colOff>148025</xdr:colOff>
      <xdr:row>10</xdr:row>
      <xdr:rowOff>179295</xdr:rowOff>
    </xdr:from>
    <xdr:to>
      <xdr:col>9</xdr:col>
      <xdr:colOff>649940</xdr:colOff>
      <xdr:row>13</xdr:row>
      <xdr:rowOff>16189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A3E4D505-3FDA-40AF-9995-7BDE3B935E9B}"/>
            </a:ext>
          </a:extLst>
        </xdr:cNvPr>
        <xdr:cNvSpPr/>
      </xdr:nvSpPr>
      <xdr:spPr>
        <a:xfrm>
          <a:off x="6244025" y="1860177"/>
          <a:ext cx="501915" cy="397188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343336</xdr:colOff>
      <xdr:row>9</xdr:row>
      <xdr:rowOff>55933</xdr:rowOff>
    </xdr:from>
    <xdr:to>
      <xdr:col>9</xdr:col>
      <xdr:colOff>381001</xdr:colOff>
      <xdr:row>11</xdr:row>
      <xdr:rowOff>156883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419ABB0E-97EF-4F15-800A-470C169922F0}"/>
            </a:ext>
          </a:extLst>
        </xdr:cNvPr>
        <xdr:cNvSpPr/>
      </xdr:nvSpPr>
      <xdr:spPr>
        <a:xfrm>
          <a:off x="5677336" y="1550051"/>
          <a:ext cx="799665" cy="47447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Intermedio</a:t>
          </a:r>
        </a:p>
      </xdr:txBody>
    </xdr:sp>
    <xdr:clientData/>
  </xdr:twoCellAnchor>
  <xdr:twoCellAnchor>
    <xdr:from>
      <xdr:col>12</xdr:col>
      <xdr:colOff>609556</xdr:colOff>
      <xdr:row>17</xdr:row>
      <xdr:rowOff>100109</xdr:rowOff>
    </xdr:from>
    <xdr:to>
      <xdr:col>14</xdr:col>
      <xdr:colOff>97117</xdr:colOff>
      <xdr:row>19</xdr:row>
      <xdr:rowOff>67237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376B15A5-4C07-4206-A911-BA791630ED14}"/>
            </a:ext>
          </a:extLst>
        </xdr:cNvPr>
        <xdr:cNvSpPr/>
      </xdr:nvSpPr>
      <xdr:spPr>
        <a:xfrm>
          <a:off x="8991556" y="3088344"/>
          <a:ext cx="1205796" cy="34065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Stock Pre concentrado</a:t>
          </a:r>
        </a:p>
      </xdr:txBody>
    </xdr:sp>
    <xdr:clientData/>
  </xdr:twoCellAnchor>
  <xdr:twoCellAnchor>
    <xdr:from>
      <xdr:col>9</xdr:col>
      <xdr:colOff>320923</xdr:colOff>
      <xdr:row>31</xdr:row>
      <xdr:rowOff>114635</xdr:rowOff>
    </xdr:from>
    <xdr:to>
      <xdr:col>10</xdr:col>
      <xdr:colOff>685746</xdr:colOff>
      <xdr:row>35</xdr:row>
      <xdr:rowOff>36429</xdr:rowOff>
    </xdr:to>
    <xdr:sp macro="" textlink="">
      <xdr:nvSpPr>
        <xdr:cNvPr id="7" name="Cilindro 6">
          <a:extLst>
            <a:ext uri="{FF2B5EF4-FFF2-40B4-BE49-F238E27FC236}">
              <a16:creationId xmlns:a16="http://schemas.microsoft.com/office/drawing/2014/main" id="{412BE397-52D9-4D1E-A600-83E46FF3B90F}"/>
            </a:ext>
          </a:extLst>
        </xdr:cNvPr>
        <xdr:cNvSpPr/>
      </xdr:nvSpPr>
      <xdr:spPr>
        <a:xfrm>
          <a:off x="5654923" y="5717576"/>
          <a:ext cx="1126823" cy="668853"/>
        </a:xfrm>
        <a:prstGeom prst="ca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Almacenamiento</a:t>
          </a:r>
        </a:p>
        <a:p>
          <a:pPr algn="ctr"/>
          <a:r>
            <a:rPr lang="es-CL" sz="1000">
              <a:solidFill>
                <a:schemeClr val="tx1"/>
              </a:solidFill>
            </a:rPr>
            <a:t>concentrado</a:t>
          </a:r>
        </a:p>
      </xdr:txBody>
    </xdr:sp>
    <xdr:clientData/>
  </xdr:twoCellAnchor>
  <xdr:twoCellAnchor>
    <xdr:from>
      <xdr:col>8</xdr:col>
      <xdr:colOff>557605</xdr:colOff>
      <xdr:row>38</xdr:row>
      <xdr:rowOff>104587</xdr:rowOff>
    </xdr:from>
    <xdr:to>
      <xdr:col>10</xdr:col>
      <xdr:colOff>160428</xdr:colOff>
      <xdr:row>40</xdr:row>
      <xdr:rowOff>31936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16E0AD0-7C8C-42F4-8F92-2E4039336970}"/>
            </a:ext>
          </a:extLst>
        </xdr:cNvPr>
        <xdr:cNvSpPr/>
      </xdr:nvSpPr>
      <xdr:spPr>
        <a:xfrm>
          <a:off x="5891605" y="7014881"/>
          <a:ext cx="1126823" cy="300879"/>
        </a:xfrm>
        <a:prstGeom prst="rect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Filtrado</a:t>
          </a:r>
        </a:p>
      </xdr:txBody>
    </xdr:sp>
    <xdr:clientData/>
  </xdr:twoCellAnchor>
  <xdr:twoCellAnchor>
    <xdr:from>
      <xdr:col>9</xdr:col>
      <xdr:colOff>652053</xdr:colOff>
      <xdr:row>43</xdr:row>
      <xdr:rowOff>165823</xdr:rowOff>
    </xdr:from>
    <xdr:to>
      <xdr:col>10</xdr:col>
      <xdr:colOff>468538</xdr:colOff>
      <xdr:row>46</xdr:row>
      <xdr:rowOff>133472</xdr:rowOff>
    </xdr:to>
    <xdr:sp macro="" textlink="">
      <xdr:nvSpPr>
        <xdr:cNvPr id="9" name="Triángulo isósceles 8">
          <a:extLst>
            <a:ext uri="{FF2B5EF4-FFF2-40B4-BE49-F238E27FC236}">
              <a16:creationId xmlns:a16="http://schemas.microsoft.com/office/drawing/2014/main" id="{8263EF91-329E-4BBB-AA51-21DE616D84FA}"/>
            </a:ext>
          </a:extLst>
        </xdr:cNvPr>
        <xdr:cNvSpPr/>
      </xdr:nvSpPr>
      <xdr:spPr>
        <a:xfrm>
          <a:off x="6748053" y="800994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550362</xdr:colOff>
      <xdr:row>44</xdr:row>
      <xdr:rowOff>106531</xdr:rowOff>
    </xdr:from>
    <xdr:to>
      <xdr:col>10</xdr:col>
      <xdr:colOff>78551</xdr:colOff>
      <xdr:row>47</xdr:row>
      <xdr:rowOff>74180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5FB70271-DE70-419C-B7F4-1CC7DAB1F369}"/>
            </a:ext>
          </a:extLst>
        </xdr:cNvPr>
        <xdr:cNvSpPr/>
      </xdr:nvSpPr>
      <xdr:spPr>
        <a:xfrm>
          <a:off x="6841095" y="8683264"/>
          <a:ext cx="1450123" cy="551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Pellet Feed ROM</a:t>
          </a:r>
        </a:p>
      </xdr:txBody>
    </xdr:sp>
    <xdr:clientData/>
  </xdr:twoCellAnchor>
  <xdr:twoCellAnchor>
    <xdr:from>
      <xdr:col>9</xdr:col>
      <xdr:colOff>355473</xdr:colOff>
      <xdr:row>55</xdr:row>
      <xdr:rowOff>55887</xdr:rowOff>
    </xdr:from>
    <xdr:to>
      <xdr:col>10</xdr:col>
      <xdr:colOff>720296</xdr:colOff>
      <xdr:row>57</xdr:row>
      <xdr:rowOff>91123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1BF63C51-44C2-4B9C-BC2D-814963C3E993}"/>
            </a:ext>
          </a:extLst>
        </xdr:cNvPr>
        <xdr:cNvSpPr/>
      </xdr:nvSpPr>
      <xdr:spPr>
        <a:xfrm>
          <a:off x="5689473" y="10141181"/>
          <a:ext cx="1126823" cy="408766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Nodo Transporte Pellet Feed</a:t>
          </a:r>
        </a:p>
      </xdr:txBody>
    </xdr:sp>
    <xdr:clientData/>
  </xdr:twoCellAnchor>
  <xdr:twoCellAnchor>
    <xdr:from>
      <xdr:col>12</xdr:col>
      <xdr:colOff>49046</xdr:colOff>
      <xdr:row>63</xdr:row>
      <xdr:rowOff>132981</xdr:rowOff>
    </xdr:from>
    <xdr:to>
      <xdr:col>12</xdr:col>
      <xdr:colOff>627531</xdr:colOff>
      <xdr:row>66</xdr:row>
      <xdr:rowOff>100630</xdr:rowOff>
    </xdr:to>
    <xdr:sp macro="" textlink="">
      <xdr:nvSpPr>
        <xdr:cNvPr id="12" name="Triángulo isósceles 11">
          <a:extLst>
            <a:ext uri="{FF2B5EF4-FFF2-40B4-BE49-F238E27FC236}">
              <a16:creationId xmlns:a16="http://schemas.microsoft.com/office/drawing/2014/main" id="{76731950-C651-4232-83EA-32E19DD1546A}"/>
            </a:ext>
          </a:extLst>
        </xdr:cNvPr>
        <xdr:cNvSpPr/>
      </xdr:nvSpPr>
      <xdr:spPr>
        <a:xfrm>
          <a:off x="8431046" y="11712393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410682</xdr:colOff>
      <xdr:row>64</xdr:row>
      <xdr:rowOff>41685</xdr:rowOff>
    </xdr:from>
    <xdr:to>
      <xdr:col>13</xdr:col>
      <xdr:colOff>700871</xdr:colOff>
      <xdr:row>66</xdr:row>
      <xdr:rowOff>46557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96801917-65CD-418C-B0EC-9846CC9112C5}"/>
            </a:ext>
          </a:extLst>
        </xdr:cNvPr>
        <xdr:cNvSpPr/>
      </xdr:nvSpPr>
      <xdr:spPr>
        <a:xfrm>
          <a:off x="9834450" y="11830598"/>
          <a:ext cx="1044827" cy="3729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P. Feed Guayacan</a:t>
          </a:r>
        </a:p>
      </xdr:txBody>
    </xdr:sp>
    <xdr:clientData/>
  </xdr:twoCellAnchor>
  <xdr:twoCellAnchor>
    <xdr:from>
      <xdr:col>12</xdr:col>
      <xdr:colOff>78928</xdr:colOff>
      <xdr:row>71</xdr:row>
      <xdr:rowOff>31060</xdr:rowOff>
    </xdr:from>
    <xdr:to>
      <xdr:col>12</xdr:col>
      <xdr:colOff>657413</xdr:colOff>
      <xdr:row>73</xdr:row>
      <xdr:rowOff>185473</xdr:rowOff>
    </xdr:to>
    <xdr:sp macro="" textlink="">
      <xdr:nvSpPr>
        <xdr:cNvPr id="14" name="Triángulo isósceles 13">
          <a:extLst>
            <a:ext uri="{FF2B5EF4-FFF2-40B4-BE49-F238E27FC236}">
              <a16:creationId xmlns:a16="http://schemas.microsoft.com/office/drawing/2014/main" id="{DD853E13-8AAC-4FFA-863C-20C7ACA15714}"/>
            </a:ext>
          </a:extLst>
        </xdr:cNvPr>
        <xdr:cNvSpPr/>
      </xdr:nvSpPr>
      <xdr:spPr>
        <a:xfrm>
          <a:off x="7698928" y="13104589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333702</xdr:colOff>
      <xdr:row>71</xdr:row>
      <xdr:rowOff>14343</xdr:rowOff>
    </xdr:from>
    <xdr:to>
      <xdr:col>13</xdr:col>
      <xdr:colOff>623891</xdr:colOff>
      <xdr:row>73</xdr:row>
      <xdr:rowOff>168756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57219050-8780-48D7-A462-15272099D31C}"/>
            </a:ext>
          </a:extLst>
        </xdr:cNvPr>
        <xdr:cNvSpPr/>
      </xdr:nvSpPr>
      <xdr:spPr>
        <a:xfrm>
          <a:off x="8715702" y="1308787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Guayacan</a:t>
          </a:r>
        </a:p>
      </xdr:txBody>
    </xdr:sp>
    <xdr:clientData/>
  </xdr:twoCellAnchor>
  <xdr:twoCellAnchor>
    <xdr:from>
      <xdr:col>15</xdr:col>
      <xdr:colOff>46069</xdr:colOff>
      <xdr:row>63</xdr:row>
      <xdr:rowOff>103099</xdr:rowOff>
    </xdr:from>
    <xdr:to>
      <xdr:col>17</xdr:col>
      <xdr:colOff>493278</xdr:colOff>
      <xdr:row>66</xdr:row>
      <xdr:rowOff>70748</xdr:rowOff>
    </xdr:to>
    <xdr:sp macro="" textlink="">
      <xdr:nvSpPr>
        <xdr:cNvPr id="16" name="Rectángulo 15">
          <a:extLst>
            <a:ext uri="{FF2B5EF4-FFF2-40B4-BE49-F238E27FC236}">
              <a16:creationId xmlns:a16="http://schemas.microsoft.com/office/drawing/2014/main" id="{E7C4CDE3-9C42-443F-BEA8-12C081C0ED29}"/>
            </a:ext>
          </a:extLst>
        </xdr:cNvPr>
        <xdr:cNvSpPr/>
      </xdr:nvSpPr>
      <xdr:spPr>
        <a:xfrm>
          <a:off x="9952069" y="11682511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Pellet Feed Guayacan</a:t>
          </a:r>
        </a:p>
      </xdr:txBody>
    </xdr:sp>
    <xdr:clientData/>
  </xdr:twoCellAnchor>
  <xdr:twoCellAnchor>
    <xdr:from>
      <xdr:col>15</xdr:col>
      <xdr:colOff>98363</xdr:colOff>
      <xdr:row>67</xdr:row>
      <xdr:rowOff>112189</xdr:rowOff>
    </xdr:from>
    <xdr:to>
      <xdr:col>18</xdr:col>
      <xdr:colOff>113229</xdr:colOff>
      <xdr:row>70</xdr:row>
      <xdr:rowOff>79838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74D1C0C0-38E2-4C70-A2A1-091738264945}"/>
            </a:ext>
          </a:extLst>
        </xdr:cNvPr>
        <xdr:cNvSpPr/>
      </xdr:nvSpPr>
      <xdr:spPr>
        <a:xfrm>
          <a:off x="10960598" y="12438660"/>
          <a:ext cx="2300866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Transporte Camiones P Feed Guayacan</a:t>
          </a:r>
        </a:p>
      </xdr:txBody>
    </xdr:sp>
    <xdr:clientData/>
  </xdr:twoCellAnchor>
  <xdr:twoCellAnchor>
    <xdr:from>
      <xdr:col>15</xdr:col>
      <xdr:colOff>46069</xdr:colOff>
      <xdr:row>71</xdr:row>
      <xdr:rowOff>109535</xdr:rowOff>
    </xdr:from>
    <xdr:to>
      <xdr:col>17</xdr:col>
      <xdr:colOff>493278</xdr:colOff>
      <xdr:row>74</xdr:row>
      <xdr:rowOff>77183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74F502C7-D4CA-409E-A654-3B9D5C2DBC91}"/>
            </a:ext>
          </a:extLst>
        </xdr:cNvPr>
        <xdr:cNvSpPr/>
      </xdr:nvSpPr>
      <xdr:spPr>
        <a:xfrm>
          <a:off x="9952069" y="13183064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SF MLC</a:t>
          </a:r>
        </a:p>
      </xdr:txBody>
    </xdr:sp>
    <xdr:clientData/>
  </xdr:twoCellAnchor>
  <xdr:twoCellAnchor>
    <xdr:from>
      <xdr:col>12</xdr:col>
      <xdr:colOff>191787</xdr:colOff>
      <xdr:row>83</xdr:row>
      <xdr:rowOff>178464</xdr:rowOff>
    </xdr:from>
    <xdr:to>
      <xdr:col>13</xdr:col>
      <xdr:colOff>8272</xdr:colOff>
      <xdr:row>86</xdr:row>
      <xdr:rowOff>146113</xdr:rowOff>
    </xdr:to>
    <xdr:sp macro="" textlink="">
      <xdr:nvSpPr>
        <xdr:cNvPr id="19" name="Triángulo isósceles 18">
          <a:extLst>
            <a:ext uri="{FF2B5EF4-FFF2-40B4-BE49-F238E27FC236}">
              <a16:creationId xmlns:a16="http://schemas.microsoft.com/office/drawing/2014/main" id="{43AC71C4-309E-487A-8E05-EF96F78D8806}"/>
            </a:ext>
          </a:extLst>
        </xdr:cNvPr>
        <xdr:cNvSpPr/>
      </xdr:nvSpPr>
      <xdr:spPr>
        <a:xfrm>
          <a:off x="7811787" y="1549317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543679</xdr:colOff>
      <xdr:row>84</xdr:row>
      <xdr:rowOff>55551</xdr:rowOff>
    </xdr:from>
    <xdr:to>
      <xdr:col>13</xdr:col>
      <xdr:colOff>732118</xdr:colOff>
      <xdr:row>87</xdr:row>
      <xdr:rowOff>23200</xdr:rowOff>
    </xdr:to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B260033A-D231-42F1-9165-B72709D8F5F4}"/>
            </a:ext>
          </a:extLst>
        </xdr:cNvPr>
        <xdr:cNvSpPr/>
      </xdr:nvSpPr>
      <xdr:spPr>
        <a:xfrm>
          <a:off x="8925679" y="15557022"/>
          <a:ext cx="95043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Finos Granzas</a:t>
          </a:r>
        </a:p>
      </xdr:txBody>
    </xdr:sp>
    <xdr:clientData/>
  </xdr:twoCellAnchor>
  <xdr:twoCellAnchor>
    <xdr:from>
      <xdr:col>15</xdr:col>
      <xdr:colOff>158928</xdr:colOff>
      <xdr:row>84</xdr:row>
      <xdr:rowOff>95935</xdr:rowOff>
    </xdr:from>
    <xdr:to>
      <xdr:col>17</xdr:col>
      <xdr:colOff>606137</xdr:colOff>
      <xdr:row>87</xdr:row>
      <xdr:rowOff>63584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8362834B-2A48-42F5-B4AB-D1F7BB1E37D6}"/>
            </a:ext>
          </a:extLst>
        </xdr:cNvPr>
        <xdr:cNvSpPr/>
      </xdr:nvSpPr>
      <xdr:spPr>
        <a:xfrm>
          <a:off x="10064928" y="15597406"/>
          <a:ext cx="197120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Embarque Granzas</a:t>
          </a:r>
        </a:p>
      </xdr:txBody>
    </xdr:sp>
    <xdr:clientData/>
  </xdr:twoCellAnchor>
  <xdr:twoCellAnchor>
    <xdr:from>
      <xdr:col>7</xdr:col>
      <xdr:colOff>357451</xdr:colOff>
      <xdr:row>22</xdr:row>
      <xdr:rowOff>117214</xdr:rowOff>
    </xdr:from>
    <xdr:to>
      <xdr:col>7</xdr:col>
      <xdr:colOff>579945</xdr:colOff>
      <xdr:row>23</xdr:row>
      <xdr:rowOff>130273</xdr:rowOff>
    </xdr:to>
    <xdr:sp macro="" textlink="">
      <xdr:nvSpPr>
        <xdr:cNvPr id="23" name="Elipse 22">
          <a:extLst>
            <a:ext uri="{FF2B5EF4-FFF2-40B4-BE49-F238E27FC236}">
              <a16:creationId xmlns:a16="http://schemas.microsoft.com/office/drawing/2014/main" id="{4E8C280B-00B6-42FA-8F93-325A4737B4C3}"/>
            </a:ext>
          </a:extLst>
        </xdr:cNvPr>
        <xdr:cNvSpPr/>
      </xdr:nvSpPr>
      <xdr:spPr>
        <a:xfrm>
          <a:off x="4167451" y="4039273"/>
          <a:ext cx="222494" cy="199824"/>
        </a:xfrm>
        <a:prstGeom prst="ellipse">
          <a:avLst/>
        </a:prstGeom>
        <a:solidFill>
          <a:schemeClr val="accent1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12</xdr:col>
      <xdr:colOff>338288</xdr:colOff>
      <xdr:row>63</xdr:row>
      <xdr:rowOff>132982</xdr:rowOff>
    </xdr:from>
    <xdr:to>
      <xdr:col>15</xdr:col>
      <xdr:colOff>46068</xdr:colOff>
      <xdr:row>64</xdr:row>
      <xdr:rowOff>180308</xdr:rowOff>
    </xdr:to>
    <xdr:cxnSp macro="">
      <xdr:nvCxnSpPr>
        <xdr:cNvPr id="24" name="Conector: angular 23">
          <a:extLst>
            <a:ext uri="{FF2B5EF4-FFF2-40B4-BE49-F238E27FC236}">
              <a16:creationId xmlns:a16="http://schemas.microsoft.com/office/drawing/2014/main" id="{BEE1C6FC-B426-452B-8BFE-837989003BDE}"/>
            </a:ext>
          </a:extLst>
        </xdr:cNvPr>
        <xdr:cNvCxnSpPr>
          <a:cxnSpLocks/>
          <a:stCxn id="12" idx="0"/>
          <a:endCxn id="16" idx="1"/>
        </xdr:cNvCxnSpPr>
      </xdr:nvCxnSpPr>
      <xdr:spPr>
        <a:xfrm rot="16200000" flipH="1">
          <a:off x="9697251" y="10735431"/>
          <a:ext cx="234090" cy="2188015"/>
        </a:xfrm>
        <a:prstGeom prst="bentConnector4">
          <a:avLst>
            <a:gd name="adj1" fmla="val -97655"/>
            <a:gd name="adj2" fmla="val 566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91921</xdr:colOff>
      <xdr:row>61</xdr:row>
      <xdr:rowOff>55781</xdr:rowOff>
    </xdr:from>
    <xdr:to>
      <xdr:col>5</xdr:col>
      <xdr:colOff>645564</xdr:colOff>
      <xdr:row>63</xdr:row>
      <xdr:rowOff>103100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28D2C8BB-4524-41CA-A94A-F0BA8D3F8AAC}"/>
            </a:ext>
          </a:extLst>
        </xdr:cNvPr>
        <xdr:cNvSpPr/>
      </xdr:nvSpPr>
      <xdr:spPr>
        <a:xfrm>
          <a:off x="1615921" y="11261663"/>
          <a:ext cx="1315643" cy="4208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Otros Materiales a Preconcentradio</a:t>
          </a:r>
        </a:p>
      </xdr:txBody>
    </xdr:sp>
    <xdr:clientData/>
  </xdr:twoCellAnchor>
  <xdr:twoCellAnchor>
    <xdr:from>
      <xdr:col>4</xdr:col>
      <xdr:colOff>3157</xdr:colOff>
      <xdr:row>3</xdr:row>
      <xdr:rowOff>104589</xdr:rowOff>
    </xdr:from>
    <xdr:to>
      <xdr:col>6</xdr:col>
      <xdr:colOff>15036</xdr:colOff>
      <xdr:row>4</xdr:row>
      <xdr:rowOff>164353</xdr:rowOff>
    </xdr:to>
    <xdr:sp macro="" textlink="">
      <xdr:nvSpPr>
        <xdr:cNvPr id="26" name="Rectángulo 25">
          <a:extLst>
            <a:ext uri="{FF2B5EF4-FFF2-40B4-BE49-F238E27FC236}">
              <a16:creationId xmlns:a16="http://schemas.microsoft.com/office/drawing/2014/main" id="{CE7ECE3D-BB1E-4F86-838B-5068AFE2D7BB}"/>
            </a:ext>
          </a:extLst>
        </xdr:cNvPr>
        <xdr:cNvSpPr/>
      </xdr:nvSpPr>
      <xdr:spPr>
        <a:xfrm>
          <a:off x="1527157" y="478118"/>
          <a:ext cx="1535879" cy="24652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Alimentación Chancado</a:t>
          </a:r>
        </a:p>
      </xdr:txBody>
    </xdr:sp>
    <xdr:clientData/>
  </xdr:twoCellAnchor>
  <xdr:twoCellAnchor>
    <xdr:from>
      <xdr:col>5</xdr:col>
      <xdr:colOff>9097</xdr:colOff>
      <xdr:row>4</xdr:row>
      <xdr:rowOff>164352</xdr:rowOff>
    </xdr:from>
    <xdr:to>
      <xdr:col>6</xdr:col>
      <xdr:colOff>424156</xdr:colOff>
      <xdr:row>7</xdr:row>
      <xdr:rowOff>140303</xdr:rowOff>
    </xdr:to>
    <xdr:cxnSp macro="">
      <xdr:nvCxnSpPr>
        <xdr:cNvPr id="27" name="Conector: angular 26">
          <a:extLst>
            <a:ext uri="{FF2B5EF4-FFF2-40B4-BE49-F238E27FC236}">
              <a16:creationId xmlns:a16="http://schemas.microsoft.com/office/drawing/2014/main" id="{4D30E27C-9F29-4E0B-A99D-E0E66E1C1862}"/>
            </a:ext>
          </a:extLst>
        </xdr:cNvPr>
        <xdr:cNvCxnSpPr>
          <a:cxnSpLocks/>
          <a:stCxn id="26" idx="2"/>
          <a:endCxn id="3" idx="0"/>
        </xdr:cNvCxnSpPr>
      </xdr:nvCxnSpPr>
      <xdr:spPr>
        <a:xfrm rot="16200000" flipH="1">
          <a:off x="2615504" y="404239"/>
          <a:ext cx="536245" cy="117705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107037</xdr:colOff>
      <xdr:row>12</xdr:row>
      <xdr:rowOff>68049</xdr:rowOff>
    </xdr:from>
    <xdr:to>
      <xdr:col>4</xdr:col>
      <xdr:colOff>685522</xdr:colOff>
      <xdr:row>15</xdr:row>
      <xdr:rowOff>35698</xdr:rowOff>
    </xdr:to>
    <xdr:sp macro="" textlink="">
      <xdr:nvSpPr>
        <xdr:cNvPr id="28" name="Triángulo isósceles 27">
          <a:extLst>
            <a:ext uri="{FF2B5EF4-FFF2-40B4-BE49-F238E27FC236}">
              <a16:creationId xmlns:a16="http://schemas.microsoft.com/office/drawing/2014/main" id="{CC107343-61E4-4581-B34B-0E9E596BAC46}"/>
            </a:ext>
          </a:extLst>
        </xdr:cNvPr>
        <xdr:cNvSpPr/>
      </xdr:nvSpPr>
      <xdr:spPr>
        <a:xfrm>
          <a:off x="2393037" y="2122461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190358</xdr:colOff>
      <xdr:row>14</xdr:row>
      <xdr:rowOff>75444</xdr:rowOff>
    </xdr:from>
    <xdr:to>
      <xdr:col>4</xdr:col>
      <xdr:colOff>164353</xdr:colOff>
      <xdr:row>16</xdr:row>
      <xdr:rowOff>22412</xdr:rowOff>
    </xdr:to>
    <xdr:sp macro="" textlink="">
      <xdr:nvSpPr>
        <xdr:cNvPr id="29" name="Rectángulo 28">
          <a:extLst>
            <a:ext uri="{FF2B5EF4-FFF2-40B4-BE49-F238E27FC236}">
              <a16:creationId xmlns:a16="http://schemas.microsoft.com/office/drawing/2014/main" id="{29EC8C3B-536D-47B5-9039-895B7E9927D0}"/>
            </a:ext>
          </a:extLst>
        </xdr:cNvPr>
        <xdr:cNvSpPr/>
      </xdr:nvSpPr>
      <xdr:spPr>
        <a:xfrm>
          <a:off x="1714358" y="2503385"/>
          <a:ext cx="735995" cy="32049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ML Pleito</a:t>
          </a:r>
        </a:p>
      </xdr:txBody>
    </xdr:sp>
    <xdr:clientData/>
  </xdr:twoCellAnchor>
  <xdr:twoCellAnchor>
    <xdr:from>
      <xdr:col>1</xdr:col>
      <xdr:colOff>112058</xdr:colOff>
      <xdr:row>11</xdr:row>
      <xdr:rowOff>147772</xdr:rowOff>
    </xdr:from>
    <xdr:to>
      <xdr:col>1</xdr:col>
      <xdr:colOff>672353</xdr:colOff>
      <xdr:row>13</xdr:row>
      <xdr:rowOff>92918</xdr:rowOff>
    </xdr:to>
    <xdr:sp macro="" textlink="">
      <xdr:nvSpPr>
        <xdr:cNvPr id="30" name="Rectángulo 29">
          <a:extLst>
            <a:ext uri="{FF2B5EF4-FFF2-40B4-BE49-F238E27FC236}">
              <a16:creationId xmlns:a16="http://schemas.microsoft.com/office/drawing/2014/main" id="{F0E202C3-84CA-4A31-A456-FB08D039882E}"/>
            </a:ext>
          </a:extLst>
        </xdr:cNvPr>
        <xdr:cNvSpPr/>
      </xdr:nvSpPr>
      <xdr:spPr>
        <a:xfrm>
          <a:off x="112058" y="2015419"/>
          <a:ext cx="560295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ML Pleito</a:t>
          </a:r>
        </a:p>
      </xdr:txBody>
    </xdr:sp>
    <xdr:clientData/>
  </xdr:twoCellAnchor>
  <xdr:twoCellAnchor>
    <xdr:from>
      <xdr:col>1</xdr:col>
      <xdr:colOff>426357</xdr:colOff>
      <xdr:row>13</xdr:row>
      <xdr:rowOff>142588</xdr:rowOff>
    </xdr:from>
    <xdr:to>
      <xdr:col>4</xdr:col>
      <xdr:colOff>251658</xdr:colOff>
      <xdr:row>14</xdr:row>
      <xdr:rowOff>136072</xdr:rowOff>
    </xdr:to>
    <xdr:cxnSp macro="">
      <xdr:nvCxnSpPr>
        <xdr:cNvPr id="31" name="Conector: angular 30">
          <a:extLst>
            <a:ext uri="{FF2B5EF4-FFF2-40B4-BE49-F238E27FC236}">
              <a16:creationId xmlns:a16="http://schemas.microsoft.com/office/drawing/2014/main" id="{896C8262-5606-4719-8CE9-AE495972ECA7}"/>
            </a:ext>
          </a:extLst>
        </xdr:cNvPr>
        <xdr:cNvCxnSpPr>
          <a:cxnSpLocks/>
          <a:endCxn id="28" idx="1"/>
        </xdr:cNvCxnSpPr>
      </xdr:nvCxnSpPr>
      <xdr:spPr>
        <a:xfrm flipV="1">
          <a:off x="426357" y="2319731"/>
          <a:ext cx="2111301" cy="174912"/>
        </a:xfrm>
        <a:prstGeom prst="bentConnector3">
          <a:avLst>
            <a:gd name="adj1" fmla="val 5859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540901</xdr:colOff>
      <xdr:row>8</xdr:row>
      <xdr:rowOff>157922</xdr:rowOff>
    </xdr:from>
    <xdr:to>
      <xdr:col>5</xdr:col>
      <xdr:colOff>622744</xdr:colOff>
      <xdr:row>13</xdr:row>
      <xdr:rowOff>145257</xdr:rowOff>
    </xdr:to>
    <xdr:cxnSp macro="">
      <xdr:nvCxnSpPr>
        <xdr:cNvPr id="32" name="Conector: angular 31">
          <a:extLst>
            <a:ext uri="{FF2B5EF4-FFF2-40B4-BE49-F238E27FC236}">
              <a16:creationId xmlns:a16="http://schemas.microsoft.com/office/drawing/2014/main" id="{B840BD77-1CA3-4350-9C1C-FFB2F329210C}"/>
            </a:ext>
          </a:extLst>
        </xdr:cNvPr>
        <xdr:cNvCxnSpPr>
          <a:cxnSpLocks/>
          <a:stCxn id="28" idx="5"/>
          <a:endCxn id="3" idx="1"/>
        </xdr:cNvCxnSpPr>
      </xdr:nvCxnSpPr>
      <xdr:spPr>
        <a:xfrm flipV="1">
          <a:off x="2826901" y="1465275"/>
          <a:ext cx="843843" cy="92115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179295</xdr:colOff>
      <xdr:row>19</xdr:row>
      <xdr:rowOff>162298</xdr:rowOff>
    </xdr:from>
    <xdr:to>
      <xdr:col>4</xdr:col>
      <xdr:colOff>124451</xdr:colOff>
      <xdr:row>21</xdr:row>
      <xdr:rowOff>94933</xdr:rowOff>
    </xdr:to>
    <xdr:sp macro="" textlink="">
      <xdr:nvSpPr>
        <xdr:cNvPr id="33" name="Rectángulo 32">
          <a:extLst>
            <a:ext uri="{FF2B5EF4-FFF2-40B4-BE49-F238E27FC236}">
              <a16:creationId xmlns:a16="http://schemas.microsoft.com/office/drawing/2014/main" id="{A4146A08-3D85-435A-AD0F-18FDC342E1CA}"/>
            </a:ext>
          </a:extLst>
        </xdr:cNvPr>
        <xdr:cNvSpPr/>
      </xdr:nvSpPr>
      <xdr:spPr>
        <a:xfrm>
          <a:off x="941295" y="3524063"/>
          <a:ext cx="1469156" cy="30616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Otros Materiales a Stock Intermedio desde Pleito</a:t>
          </a:r>
        </a:p>
      </xdr:txBody>
    </xdr:sp>
    <xdr:clientData/>
  </xdr:twoCellAnchor>
  <xdr:twoCellAnchor>
    <xdr:from>
      <xdr:col>4</xdr:col>
      <xdr:colOff>124451</xdr:colOff>
      <xdr:row>12</xdr:row>
      <xdr:rowOff>4359</xdr:rowOff>
    </xdr:from>
    <xdr:to>
      <xdr:col>9</xdr:col>
      <xdr:colOff>273504</xdr:colOff>
      <xdr:row>20</xdr:row>
      <xdr:rowOff>128616</xdr:rowOff>
    </xdr:to>
    <xdr:cxnSp macro="">
      <xdr:nvCxnSpPr>
        <xdr:cNvPr id="34" name="Conector: angular 33">
          <a:extLst>
            <a:ext uri="{FF2B5EF4-FFF2-40B4-BE49-F238E27FC236}">
              <a16:creationId xmlns:a16="http://schemas.microsoft.com/office/drawing/2014/main" id="{99F75563-1781-4548-AD0D-093F3C7246C4}"/>
            </a:ext>
          </a:extLst>
        </xdr:cNvPr>
        <xdr:cNvCxnSpPr>
          <a:cxnSpLocks/>
          <a:stCxn id="33" idx="3"/>
          <a:endCxn id="4" idx="1"/>
        </xdr:cNvCxnSpPr>
      </xdr:nvCxnSpPr>
      <xdr:spPr>
        <a:xfrm flipV="1">
          <a:off x="2410451" y="2058771"/>
          <a:ext cx="3959053" cy="1618374"/>
        </a:xfrm>
        <a:prstGeom prst="bentConnector3">
          <a:avLst>
            <a:gd name="adj1" fmla="val 532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225567</xdr:colOff>
      <xdr:row>8</xdr:row>
      <xdr:rowOff>157922</xdr:rowOff>
    </xdr:from>
    <xdr:to>
      <xdr:col>9</xdr:col>
      <xdr:colOff>398983</xdr:colOff>
      <xdr:row>10</xdr:row>
      <xdr:rowOff>179295</xdr:rowOff>
    </xdr:to>
    <xdr:cxnSp macro="">
      <xdr:nvCxnSpPr>
        <xdr:cNvPr id="35" name="Conector: angular 34">
          <a:extLst>
            <a:ext uri="{FF2B5EF4-FFF2-40B4-BE49-F238E27FC236}">
              <a16:creationId xmlns:a16="http://schemas.microsoft.com/office/drawing/2014/main" id="{88AF082A-397C-4AC0-92AE-3B1632A56B7C}"/>
            </a:ext>
          </a:extLst>
        </xdr:cNvPr>
        <xdr:cNvCxnSpPr>
          <a:cxnSpLocks/>
          <a:stCxn id="3" idx="3"/>
          <a:endCxn id="4" idx="0"/>
        </xdr:cNvCxnSpPr>
      </xdr:nvCxnSpPr>
      <xdr:spPr>
        <a:xfrm>
          <a:off x="4797567" y="1465275"/>
          <a:ext cx="1697416" cy="39490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410882</xdr:colOff>
      <xdr:row>9</xdr:row>
      <xdr:rowOff>175540</xdr:rowOff>
    </xdr:from>
    <xdr:to>
      <xdr:col>6</xdr:col>
      <xdr:colOff>424156</xdr:colOff>
      <xdr:row>13</xdr:row>
      <xdr:rowOff>14942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52FD6086-017E-46B4-8F41-3DC9F1F1B84B}"/>
            </a:ext>
          </a:extLst>
        </xdr:cNvPr>
        <xdr:cNvCxnSpPr>
          <a:cxnSpLocks/>
          <a:stCxn id="3" idx="2"/>
        </xdr:cNvCxnSpPr>
      </xdr:nvCxnSpPr>
      <xdr:spPr>
        <a:xfrm flipH="1">
          <a:off x="4220882" y="1669658"/>
          <a:ext cx="13274" cy="586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598715</xdr:colOff>
      <xdr:row>13</xdr:row>
      <xdr:rowOff>9071</xdr:rowOff>
    </xdr:from>
    <xdr:to>
      <xdr:col>6</xdr:col>
      <xdr:colOff>715216</xdr:colOff>
      <xdr:row>14</xdr:row>
      <xdr:rowOff>37354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72257CDA-A211-4806-86A6-647E3FD4B406}"/>
            </a:ext>
          </a:extLst>
        </xdr:cNvPr>
        <xdr:cNvSpPr/>
      </xdr:nvSpPr>
      <xdr:spPr>
        <a:xfrm>
          <a:off x="3646715" y="2186214"/>
          <a:ext cx="805930" cy="20971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RECHAZOS</a:t>
          </a:r>
        </a:p>
      </xdr:txBody>
    </xdr:sp>
    <xdr:clientData/>
  </xdr:twoCellAnchor>
  <xdr:twoCellAnchor>
    <xdr:from>
      <xdr:col>9</xdr:col>
      <xdr:colOff>524461</xdr:colOff>
      <xdr:row>8</xdr:row>
      <xdr:rowOff>59288</xdr:rowOff>
    </xdr:from>
    <xdr:to>
      <xdr:col>13</xdr:col>
      <xdr:colOff>735895</xdr:colOff>
      <xdr:row>12</xdr:row>
      <xdr:rowOff>4359</xdr:rowOff>
    </xdr:to>
    <xdr:cxnSp macro="">
      <xdr:nvCxnSpPr>
        <xdr:cNvPr id="38" name="Conector: angular 37">
          <a:extLst>
            <a:ext uri="{FF2B5EF4-FFF2-40B4-BE49-F238E27FC236}">
              <a16:creationId xmlns:a16="http://schemas.microsoft.com/office/drawing/2014/main" id="{B1CF9581-2A9D-42D1-9ADC-96E6F97CA1B9}"/>
            </a:ext>
          </a:extLst>
        </xdr:cNvPr>
        <xdr:cNvCxnSpPr>
          <a:cxnSpLocks/>
          <a:stCxn id="4" idx="5"/>
          <a:endCxn id="111" idx="0"/>
        </xdr:cNvCxnSpPr>
      </xdr:nvCxnSpPr>
      <xdr:spPr>
        <a:xfrm flipV="1">
          <a:off x="7776829" y="1616709"/>
          <a:ext cx="3854329" cy="720439"/>
        </a:xfrm>
        <a:prstGeom prst="bentConnector4">
          <a:avLst>
            <a:gd name="adj1" fmla="val 45621"/>
            <a:gd name="adj2" fmla="val 13302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424797</xdr:colOff>
      <xdr:row>24</xdr:row>
      <xdr:rowOff>114642</xdr:rowOff>
    </xdr:from>
    <xdr:to>
      <xdr:col>5</xdr:col>
      <xdr:colOff>241282</xdr:colOff>
      <xdr:row>27</xdr:row>
      <xdr:rowOff>82291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F3E7F112-48F8-4A8F-A622-034888DD9168}"/>
            </a:ext>
          </a:extLst>
        </xdr:cNvPr>
        <xdr:cNvSpPr/>
      </xdr:nvSpPr>
      <xdr:spPr>
        <a:xfrm>
          <a:off x="1948797" y="441023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539021</xdr:colOff>
      <xdr:row>26</xdr:row>
      <xdr:rowOff>149053</xdr:rowOff>
    </xdr:from>
    <xdr:to>
      <xdr:col>4</xdr:col>
      <xdr:colOff>717178</xdr:colOff>
      <xdr:row>28</xdr:row>
      <xdr:rowOff>97117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7F2703D9-685F-41B7-9DCA-6D5D3411F70F}"/>
            </a:ext>
          </a:extLst>
        </xdr:cNvPr>
        <xdr:cNvSpPr/>
      </xdr:nvSpPr>
      <xdr:spPr>
        <a:xfrm>
          <a:off x="2063021" y="4818171"/>
          <a:ext cx="940157" cy="3215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1</a:t>
          </a:r>
        </a:p>
      </xdr:txBody>
    </xdr:sp>
    <xdr:clientData/>
  </xdr:twoCellAnchor>
  <xdr:twoCellAnchor>
    <xdr:from>
      <xdr:col>3</xdr:col>
      <xdr:colOff>138466</xdr:colOff>
      <xdr:row>24</xdr:row>
      <xdr:rowOff>82304</xdr:rowOff>
    </xdr:from>
    <xdr:to>
      <xdr:col>4</xdr:col>
      <xdr:colOff>216766</xdr:colOff>
      <xdr:row>26</xdr:row>
      <xdr:rowOff>27449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C54770BF-FEE4-450D-AC50-2A413892CD26}"/>
            </a:ext>
          </a:extLst>
        </xdr:cNvPr>
        <xdr:cNvSpPr/>
      </xdr:nvSpPr>
      <xdr:spPr>
        <a:xfrm>
          <a:off x="1662466" y="4377892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Finos Pleito</a:t>
          </a:r>
        </a:p>
      </xdr:txBody>
    </xdr:sp>
    <xdr:clientData/>
  </xdr:twoCellAnchor>
  <xdr:twoCellAnchor>
    <xdr:from>
      <xdr:col>3</xdr:col>
      <xdr:colOff>112059</xdr:colOff>
      <xdr:row>25</xdr:row>
      <xdr:rowOff>132083</xdr:rowOff>
    </xdr:from>
    <xdr:to>
      <xdr:col>4</xdr:col>
      <xdr:colOff>569418</xdr:colOff>
      <xdr:row>25</xdr:row>
      <xdr:rowOff>134469</xdr:rowOff>
    </xdr:to>
    <xdr:cxnSp macro="">
      <xdr:nvCxnSpPr>
        <xdr:cNvPr id="42" name="Conector: angular 41">
          <a:extLst>
            <a:ext uri="{FF2B5EF4-FFF2-40B4-BE49-F238E27FC236}">
              <a16:creationId xmlns:a16="http://schemas.microsoft.com/office/drawing/2014/main" id="{255C4D27-2EC1-4557-A37E-098481D82333}"/>
            </a:ext>
          </a:extLst>
        </xdr:cNvPr>
        <xdr:cNvCxnSpPr>
          <a:cxnSpLocks/>
        </xdr:cNvCxnSpPr>
      </xdr:nvCxnSpPr>
      <xdr:spPr>
        <a:xfrm flipV="1">
          <a:off x="1844702" y="4676869"/>
          <a:ext cx="1219359" cy="238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96661</xdr:colOff>
      <xdr:row>23</xdr:row>
      <xdr:rowOff>130272</xdr:rowOff>
    </xdr:from>
    <xdr:to>
      <xdr:col>7</xdr:col>
      <xdr:colOff>468698</xdr:colOff>
      <xdr:row>26</xdr:row>
      <xdr:rowOff>5084</xdr:rowOff>
    </xdr:to>
    <xdr:cxnSp macro="">
      <xdr:nvCxnSpPr>
        <xdr:cNvPr id="43" name="Conector: angular 42">
          <a:extLst>
            <a:ext uri="{FF2B5EF4-FFF2-40B4-BE49-F238E27FC236}">
              <a16:creationId xmlns:a16="http://schemas.microsoft.com/office/drawing/2014/main" id="{14AD5300-803D-485B-AE75-C94DAD5F4FCA}"/>
            </a:ext>
          </a:extLst>
        </xdr:cNvPr>
        <xdr:cNvCxnSpPr>
          <a:cxnSpLocks/>
          <a:stCxn id="39" idx="5"/>
          <a:endCxn id="23" idx="4"/>
        </xdr:cNvCxnSpPr>
      </xdr:nvCxnSpPr>
      <xdr:spPr>
        <a:xfrm flipV="1">
          <a:off x="2382661" y="4239096"/>
          <a:ext cx="1896037" cy="43510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66459</xdr:colOff>
      <xdr:row>24</xdr:row>
      <xdr:rowOff>27446</xdr:rowOff>
    </xdr:from>
    <xdr:to>
      <xdr:col>6</xdr:col>
      <xdr:colOff>144759</xdr:colOff>
      <xdr:row>25</xdr:row>
      <xdr:rowOff>159356</xdr:rowOff>
    </xdr:to>
    <xdr:sp macro="" textlink="">
      <xdr:nvSpPr>
        <xdr:cNvPr id="44" name="Rectángulo 43">
          <a:extLst>
            <a:ext uri="{FF2B5EF4-FFF2-40B4-BE49-F238E27FC236}">
              <a16:creationId xmlns:a16="http://schemas.microsoft.com/office/drawing/2014/main" id="{55BBD0E9-9D78-4A3E-B3E9-506A749A71F5}"/>
            </a:ext>
          </a:extLst>
        </xdr:cNvPr>
        <xdr:cNvSpPr/>
      </xdr:nvSpPr>
      <xdr:spPr>
        <a:xfrm>
          <a:off x="2352459" y="4323034"/>
          <a:ext cx="840300" cy="318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Finos Pleito</a:t>
          </a:r>
        </a:p>
      </xdr:txBody>
    </xdr:sp>
    <xdr:clientData/>
  </xdr:twoCellAnchor>
  <xdr:twoCellAnchor>
    <xdr:from>
      <xdr:col>4</xdr:col>
      <xdr:colOff>442441</xdr:colOff>
      <xdr:row>33</xdr:row>
      <xdr:rowOff>159937</xdr:rowOff>
    </xdr:from>
    <xdr:to>
      <xdr:col>5</xdr:col>
      <xdr:colOff>258926</xdr:colOff>
      <xdr:row>36</xdr:row>
      <xdr:rowOff>127586</xdr:rowOff>
    </xdr:to>
    <xdr:sp macro="" textlink="">
      <xdr:nvSpPr>
        <xdr:cNvPr id="45" name="Triángulo isósceles 44">
          <a:extLst>
            <a:ext uri="{FF2B5EF4-FFF2-40B4-BE49-F238E27FC236}">
              <a16:creationId xmlns:a16="http://schemas.microsoft.com/office/drawing/2014/main" id="{1DAC7075-C1D8-4C27-8FC7-426099EEBA91}"/>
            </a:ext>
          </a:extLst>
        </xdr:cNvPr>
        <xdr:cNvSpPr/>
      </xdr:nvSpPr>
      <xdr:spPr>
        <a:xfrm>
          <a:off x="1966441" y="6136408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496900</xdr:colOff>
      <xdr:row>36</xdr:row>
      <xdr:rowOff>112173</xdr:rowOff>
    </xdr:from>
    <xdr:to>
      <xdr:col>4</xdr:col>
      <xdr:colOff>672353</xdr:colOff>
      <xdr:row>38</xdr:row>
      <xdr:rowOff>171824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324F06A7-186A-4D0D-99FE-A8E904D8F82F}"/>
            </a:ext>
          </a:extLst>
        </xdr:cNvPr>
        <xdr:cNvSpPr/>
      </xdr:nvSpPr>
      <xdr:spPr>
        <a:xfrm>
          <a:off x="2020900" y="6648938"/>
          <a:ext cx="937453" cy="4331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2</a:t>
          </a:r>
        </a:p>
      </xdr:txBody>
    </xdr:sp>
    <xdr:clientData/>
  </xdr:twoCellAnchor>
  <xdr:twoCellAnchor>
    <xdr:from>
      <xdr:col>3</xdr:col>
      <xdr:colOff>112059</xdr:colOff>
      <xdr:row>35</xdr:row>
      <xdr:rowOff>50380</xdr:rowOff>
    </xdr:from>
    <xdr:to>
      <xdr:col>4</xdr:col>
      <xdr:colOff>587062</xdr:colOff>
      <xdr:row>35</xdr:row>
      <xdr:rowOff>52294</xdr:rowOff>
    </xdr:to>
    <xdr:cxnSp macro="">
      <xdr:nvCxnSpPr>
        <xdr:cNvPr id="47" name="Conector: angular 46">
          <a:extLst>
            <a:ext uri="{FF2B5EF4-FFF2-40B4-BE49-F238E27FC236}">
              <a16:creationId xmlns:a16="http://schemas.microsoft.com/office/drawing/2014/main" id="{8770947E-5057-45FF-87D5-305E2C01170C}"/>
            </a:ext>
          </a:extLst>
        </xdr:cNvPr>
        <xdr:cNvCxnSpPr>
          <a:cxnSpLocks/>
          <a:endCxn id="45" idx="1"/>
        </xdr:cNvCxnSpPr>
      </xdr:nvCxnSpPr>
      <xdr:spPr>
        <a:xfrm flipV="1">
          <a:off x="1636059" y="6400380"/>
          <a:ext cx="1237003" cy="191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114305</xdr:colOff>
      <xdr:row>23</xdr:row>
      <xdr:rowOff>130273</xdr:rowOff>
    </xdr:from>
    <xdr:to>
      <xdr:col>7</xdr:col>
      <xdr:colOff>468698</xdr:colOff>
      <xdr:row>35</xdr:row>
      <xdr:rowOff>50380</xdr:rowOff>
    </xdr:to>
    <xdr:cxnSp macro="">
      <xdr:nvCxnSpPr>
        <xdr:cNvPr id="48" name="Conector: angular 47">
          <a:extLst>
            <a:ext uri="{FF2B5EF4-FFF2-40B4-BE49-F238E27FC236}">
              <a16:creationId xmlns:a16="http://schemas.microsoft.com/office/drawing/2014/main" id="{9E7892D5-1CA6-4184-A49B-8B2033002C4D}"/>
            </a:ext>
          </a:extLst>
        </xdr:cNvPr>
        <xdr:cNvCxnSpPr>
          <a:cxnSpLocks/>
          <a:stCxn id="45" idx="5"/>
          <a:endCxn id="23" idx="4"/>
        </xdr:cNvCxnSpPr>
      </xdr:nvCxnSpPr>
      <xdr:spPr>
        <a:xfrm flipV="1">
          <a:off x="3162305" y="4239097"/>
          <a:ext cx="1878393" cy="216128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719103</xdr:colOff>
      <xdr:row>32</xdr:row>
      <xdr:rowOff>84686</xdr:rowOff>
    </xdr:from>
    <xdr:to>
      <xdr:col>6</xdr:col>
      <xdr:colOff>366059</xdr:colOff>
      <xdr:row>34</xdr:row>
      <xdr:rowOff>164353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BCDDD81E-CED9-4EC7-A77C-B71089B2F5A0}"/>
            </a:ext>
          </a:extLst>
        </xdr:cNvPr>
        <xdr:cNvSpPr/>
      </xdr:nvSpPr>
      <xdr:spPr>
        <a:xfrm>
          <a:off x="3005103" y="5874392"/>
          <a:ext cx="1170956" cy="4531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  de Emergencia 2 a Pre-concentrado</a:t>
          </a:r>
        </a:p>
      </xdr:txBody>
    </xdr:sp>
    <xdr:clientData/>
  </xdr:twoCellAnchor>
  <xdr:twoCellAnchor>
    <xdr:from>
      <xdr:col>3</xdr:col>
      <xdr:colOff>272600</xdr:colOff>
      <xdr:row>33</xdr:row>
      <xdr:rowOff>160222</xdr:rowOff>
    </xdr:from>
    <xdr:to>
      <xdr:col>4</xdr:col>
      <xdr:colOff>12521</xdr:colOff>
      <xdr:row>35</xdr:row>
      <xdr:rowOff>9148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FD1332BF-E16C-4786-8B93-FFAF8591DC42}"/>
            </a:ext>
          </a:extLst>
        </xdr:cNvPr>
        <xdr:cNvSpPr/>
      </xdr:nvSpPr>
      <xdr:spPr>
        <a:xfrm>
          <a:off x="1796600" y="6136693"/>
          <a:ext cx="501921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P55</a:t>
          </a:r>
        </a:p>
      </xdr:txBody>
    </xdr:sp>
    <xdr:clientData/>
  </xdr:twoCellAnchor>
  <xdr:twoCellAnchor>
    <xdr:from>
      <xdr:col>7</xdr:col>
      <xdr:colOff>468698</xdr:colOff>
      <xdr:row>17</xdr:row>
      <xdr:rowOff>177240</xdr:rowOff>
    </xdr:from>
    <xdr:to>
      <xdr:col>12</xdr:col>
      <xdr:colOff>295860</xdr:colOff>
      <xdr:row>22</xdr:row>
      <xdr:rowOff>117213</xdr:rowOff>
    </xdr:to>
    <xdr:cxnSp macro="">
      <xdr:nvCxnSpPr>
        <xdr:cNvPr id="51" name="Conector: angular 50">
          <a:extLst>
            <a:ext uri="{FF2B5EF4-FFF2-40B4-BE49-F238E27FC236}">
              <a16:creationId xmlns:a16="http://schemas.microsoft.com/office/drawing/2014/main" id="{DE996C6F-81BC-44EB-89D1-875E3EBC5937}"/>
            </a:ext>
          </a:extLst>
        </xdr:cNvPr>
        <xdr:cNvCxnSpPr>
          <a:cxnSpLocks/>
          <a:stCxn id="23" idx="0"/>
          <a:endCxn id="113" idx="1"/>
        </xdr:cNvCxnSpPr>
      </xdr:nvCxnSpPr>
      <xdr:spPr>
        <a:xfrm rot="5400000" flipH="1" flipV="1">
          <a:off x="5660380" y="1783793"/>
          <a:ext cx="873797" cy="363716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450463</xdr:colOff>
      <xdr:row>43</xdr:row>
      <xdr:rowOff>96559</xdr:rowOff>
    </xdr:from>
    <xdr:to>
      <xdr:col>5</xdr:col>
      <xdr:colOff>266948</xdr:colOff>
      <xdr:row>46</xdr:row>
      <xdr:rowOff>64208</xdr:rowOff>
    </xdr:to>
    <xdr:sp macro="" textlink="">
      <xdr:nvSpPr>
        <xdr:cNvPr id="52" name="Triángulo isósceles 51">
          <a:extLst>
            <a:ext uri="{FF2B5EF4-FFF2-40B4-BE49-F238E27FC236}">
              <a16:creationId xmlns:a16="http://schemas.microsoft.com/office/drawing/2014/main" id="{0650BF9F-EFE7-4E7B-AFCD-EB9439B4647B}"/>
            </a:ext>
          </a:extLst>
        </xdr:cNvPr>
        <xdr:cNvSpPr/>
      </xdr:nvSpPr>
      <xdr:spPr>
        <a:xfrm>
          <a:off x="1974463" y="794067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3</xdr:col>
      <xdr:colOff>467568</xdr:colOff>
      <xdr:row>46</xdr:row>
      <xdr:rowOff>78676</xdr:rowOff>
    </xdr:from>
    <xdr:to>
      <xdr:col>4</xdr:col>
      <xdr:colOff>747058</xdr:colOff>
      <xdr:row>48</xdr:row>
      <xdr:rowOff>14940</xdr:rowOff>
    </xdr:to>
    <xdr:sp macro="" textlink="">
      <xdr:nvSpPr>
        <xdr:cNvPr id="53" name="Rectángulo 52">
          <a:extLst>
            <a:ext uri="{FF2B5EF4-FFF2-40B4-BE49-F238E27FC236}">
              <a16:creationId xmlns:a16="http://schemas.microsoft.com/office/drawing/2014/main" id="{03C3E9C3-55E1-4F2F-9F1D-8B2E77B6B53B}"/>
            </a:ext>
          </a:extLst>
        </xdr:cNvPr>
        <xdr:cNvSpPr/>
      </xdr:nvSpPr>
      <xdr:spPr>
        <a:xfrm>
          <a:off x="1991568" y="8483088"/>
          <a:ext cx="1041490" cy="30979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3</a:t>
          </a:r>
        </a:p>
      </xdr:txBody>
    </xdr:sp>
    <xdr:clientData/>
  </xdr:twoCellAnchor>
  <xdr:twoCellAnchor>
    <xdr:from>
      <xdr:col>3</xdr:col>
      <xdr:colOff>209176</xdr:colOff>
      <xdr:row>44</xdr:row>
      <xdr:rowOff>171824</xdr:rowOff>
    </xdr:from>
    <xdr:to>
      <xdr:col>4</xdr:col>
      <xdr:colOff>595084</xdr:colOff>
      <xdr:row>44</xdr:row>
      <xdr:rowOff>173767</xdr:rowOff>
    </xdr:to>
    <xdr:cxnSp macro="">
      <xdr:nvCxnSpPr>
        <xdr:cNvPr id="54" name="Conector: angular 53">
          <a:extLst>
            <a:ext uri="{FF2B5EF4-FFF2-40B4-BE49-F238E27FC236}">
              <a16:creationId xmlns:a16="http://schemas.microsoft.com/office/drawing/2014/main" id="{64AE02B6-199A-4972-8DBA-DFB9E6A75A63}"/>
            </a:ext>
          </a:extLst>
        </xdr:cNvPr>
        <xdr:cNvCxnSpPr>
          <a:cxnSpLocks/>
          <a:endCxn id="52" idx="1"/>
        </xdr:cNvCxnSpPr>
      </xdr:nvCxnSpPr>
      <xdr:spPr>
        <a:xfrm>
          <a:off x="1733176" y="8202706"/>
          <a:ext cx="1147908" cy="194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734595</xdr:colOff>
      <xdr:row>42</xdr:row>
      <xdr:rowOff>7471</xdr:rowOff>
    </xdr:from>
    <xdr:to>
      <xdr:col>6</xdr:col>
      <xdr:colOff>291353</xdr:colOff>
      <xdr:row>44</xdr:row>
      <xdr:rowOff>106530</xdr:rowOff>
    </xdr:to>
    <xdr:sp macro="" textlink="">
      <xdr:nvSpPr>
        <xdr:cNvPr id="55" name="Rectángulo 54">
          <a:extLst>
            <a:ext uri="{FF2B5EF4-FFF2-40B4-BE49-F238E27FC236}">
              <a16:creationId xmlns:a16="http://schemas.microsoft.com/office/drawing/2014/main" id="{B733D5AF-04DA-4B22-9ED4-3BCF0057DE44}"/>
            </a:ext>
          </a:extLst>
        </xdr:cNvPr>
        <xdr:cNvSpPr/>
      </xdr:nvSpPr>
      <xdr:spPr>
        <a:xfrm>
          <a:off x="3020595" y="7664824"/>
          <a:ext cx="1080758" cy="47258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  de Emergencia 3 a Pre-concentrado</a:t>
          </a:r>
        </a:p>
      </xdr:txBody>
    </xdr:sp>
    <xdr:clientData/>
  </xdr:twoCellAnchor>
  <xdr:twoCellAnchor>
    <xdr:from>
      <xdr:col>3</xdr:col>
      <xdr:colOff>280623</xdr:colOff>
      <xdr:row>42</xdr:row>
      <xdr:rowOff>141668</xdr:rowOff>
    </xdr:from>
    <xdr:to>
      <xdr:col>4</xdr:col>
      <xdr:colOff>20544</xdr:colOff>
      <xdr:row>44</xdr:row>
      <xdr:rowOff>112059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FECB5612-2A32-4999-9187-5C8CB220CC8A}"/>
            </a:ext>
          </a:extLst>
        </xdr:cNvPr>
        <xdr:cNvSpPr/>
      </xdr:nvSpPr>
      <xdr:spPr>
        <a:xfrm>
          <a:off x="1804623" y="7799021"/>
          <a:ext cx="501921" cy="3439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P40</a:t>
          </a:r>
        </a:p>
      </xdr:txBody>
    </xdr:sp>
    <xdr:clientData/>
  </xdr:twoCellAnchor>
  <xdr:twoCellAnchor>
    <xdr:from>
      <xdr:col>5</xdr:col>
      <xdr:colOff>122327</xdr:colOff>
      <xdr:row>23</xdr:row>
      <xdr:rowOff>130272</xdr:rowOff>
    </xdr:from>
    <xdr:to>
      <xdr:col>7</xdr:col>
      <xdr:colOff>468698</xdr:colOff>
      <xdr:row>44</xdr:row>
      <xdr:rowOff>173766</xdr:rowOff>
    </xdr:to>
    <xdr:cxnSp macro="">
      <xdr:nvCxnSpPr>
        <xdr:cNvPr id="57" name="Conector: angular 56">
          <a:extLst>
            <a:ext uri="{FF2B5EF4-FFF2-40B4-BE49-F238E27FC236}">
              <a16:creationId xmlns:a16="http://schemas.microsoft.com/office/drawing/2014/main" id="{FDC5B356-83EC-4D7C-A6F1-59C8F6053A72}"/>
            </a:ext>
          </a:extLst>
        </xdr:cNvPr>
        <xdr:cNvCxnSpPr>
          <a:cxnSpLocks/>
          <a:stCxn id="52" idx="5"/>
          <a:endCxn id="23" idx="4"/>
        </xdr:cNvCxnSpPr>
      </xdr:nvCxnSpPr>
      <xdr:spPr>
        <a:xfrm flipV="1">
          <a:off x="2408327" y="4239096"/>
          <a:ext cx="1870371" cy="396555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399306</xdr:colOff>
      <xdr:row>54</xdr:row>
      <xdr:rowOff>24981</xdr:rowOff>
    </xdr:from>
    <xdr:to>
      <xdr:col>5</xdr:col>
      <xdr:colOff>215791</xdr:colOff>
      <xdr:row>56</xdr:row>
      <xdr:rowOff>179394</xdr:rowOff>
    </xdr:to>
    <xdr:sp macro="" textlink="">
      <xdr:nvSpPr>
        <xdr:cNvPr id="58" name="Triángulo isósceles 57">
          <a:extLst>
            <a:ext uri="{FF2B5EF4-FFF2-40B4-BE49-F238E27FC236}">
              <a16:creationId xmlns:a16="http://schemas.microsoft.com/office/drawing/2014/main" id="{067C435F-A54B-47ED-9258-C6A5E0A6EE34}"/>
            </a:ext>
          </a:extLst>
        </xdr:cNvPr>
        <xdr:cNvSpPr/>
      </xdr:nvSpPr>
      <xdr:spPr>
        <a:xfrm>
          <a:off x="1923306" y="9923510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4</xdr:col>
      <xdr:colOff>27941</xdr:colOff>
      <xdr:row>57</xdr:row>
      <xdr:rowOff>44451</xdr:rowOff>
    </xdr:from>
    <xdr:to>
      <xdr:col>5</xdr:col>
      <xdr:colOff>658563</xdr:colOff>
      <xdr:row>58</xdr:row>
      <xdr:rowOff>57511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3874C56D-D137-4D98-81EF-16CF316DEBB4}"/>
            </a:ext>
          </a:extLst>
        </xdr:cNvPr>
        <xdr:cNvSpPr/>
      </xdr:nvSpPr>
      <xdr:spPr>
        <a:xfrm>
          <a:off x="1551941" y="10503275"/>
          <a:ext cx="1392622" cy="19982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Emergencia 4</a:t>
          </a:r>
        </a:p>
      </xdr:txBody>
    </xdr:sp>
    <xdr:clientData/>
  </xdr:twoCellAnchor>
  <xdr:twoCellAnchor>
    <xdr:from>
      <xdr:col>3</xdr:col>
      <xdr:colOff>373529</xdr:colOff>
      <xdr:row>55</xdr:row>
      <xdr:rowOff>102188</xdr:rowOff>
    </xdr:from>
    <xdr:to>
      <xdr:col>4</xdr:col>
      <xdr:colOff>543927</xdr:colOff>
      <xdr:row>55</xdr:row>
      <xdr:rowOff>104588</xdr:rowOff>
    </xdr:to>
    <xdr:cxnSp macro="">
      <xdr:nvCxnSpPr>
        <xdr:cNvPr id="60" name="Conector: angular 59">
          <a:extLst>
            <a:ext uri="{FF2B5EF4-FFF2-40B4-BE49-F238E27FC236}">
              <a16:creationId xmlns:a16="http://schemas.microsoft.com/office/drawing/2014/main" id="{1072C5E0-C4E8-495C-959F-1522EDA571F4}"/>
            </a:ext>
          </a:extLst>
        </xdr:cNvPr>
        <xdr:cNvCxnSpPr>
          <a:cxnSpLocks/>
          <a:endCxn id="58" idx="1"/>
        </xdr:cNvCxnSpPr>
      </xdr:nvCxnSpPr>
      <xdr:spPr>
        <a:xfrm flipV="1">
          <a:off x="1897529" y="10187482"/>
          <a:ext cx="932398" cy="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40966</xdr:colOff>
      <xdr:row>52</xdr:row>
      <xdr:rowOff>82177</xdr:rowOff>
    </xdr:from>
    <xdr:to>
      <xdr:col>6</xdr:col>
      <xdr:colOff>418353</xdr:colOff>
      <xdr:row>55</xdr:row>
      <xdr:rowOff>102187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D55F63EC-83FB-4384-983D-4C0130DF7078}"/>
            </a:ext>
          </a:extLst>
        </xdr:cNvPr>
        <xdr:cNvSpPr/>
      </xdr:nvSpPr>
      <xdr:spPr>
        <a:xfrm>
          <a:off x="3088966" y="9607177"/>
          <a:ext cx="1139387" cy="58030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 Emergencia 4 a Pre-concentrado</a:t>
          </a:r>
        </a:p>
      </xdr:txBody>
    </xdr:sp>
    <xdr:clientData/>
  </xdr:twoCellAnchor>
  <xdr:twoCellAnchor>
    <xdr:from>
      <xdr:col>3</xdr:col>
      <xdr:colOff>94995</xdr:colOff>
      <xdr:row>52</xdr:row>
      <xdr:rowOff>174678</xdr:rowOff>
    </xdr:from>
    <xdr:to>
      <xdr:col>4</xdr:col>
      <xdr:colOff>120738</xdr:colOff>
      <xdr:row>54</xdr:row>
      <xdr:rowOff>23604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A54F34CA-C4B4-45F1-867A-49B1E781BB99}"/>
            </a:ext>
          </a:extLst>
        </xdr:cNvPr>
        <xdr:cNvSpPr/>
      </xdr:nvSpPr>
      <xdr:spPr>
        <a:xfrm>
          <a:off x="856995" y="9699678"/>
          <a:ext cx="787743" cy="2224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Sinter MLC</a:t>
          </a:r>
        </a:p>
      </xdr:txBody>
    </xdr:sp>
    <xdr:clientData/>
  </xdr:twoCellAnchor>
  <xdr:twoCellAnchor>
    <xdr:from>
      <xdr:col>5</xdr:col>
      <xdr:colOff>71170</xdr:colOff>
      <xdr:row>23</xdr:row>
      <xdr:rowOff>130272</xdr:rowOff>
    </xdr:from>
    <xdr:to>
      <xdr:col>7</xdr:col>
      <xdr:colOff>468698</xdr:colOff>
      <xdr:row>55</xdr:row>
      <xdr:rowOff>102187</xdr:rowOff>
    </xdr:to>
    <xdr:cxnSp macro="">
      <xdr:nvCxnSpPr>
        <xdr:cNvPr id="63" name="Conector: angular 62">
          <a:extLst>
            <a:ext uri="{FF2B5EF4-FFF2-40B4-BE49-F238E27FC236}">
              <a16:creationId xmlns:a16="http://schemas.microsoft.com/office/drawing/2014/main" id="{87A40AB8-D896-4C5F-A018-2E1AC254C75E}"/>
            </a:ext>
          </a:extLst>
        </xdr:cNvPr>
        <xdr:cNvCxnSpPr>
          <a:cxnSpLocks/>
          <a:stCxn id="58" idx="5"/>
          <a:endCxn id="23" idx="4"/>
        </xdr:cNvCxnSpPr>
      </xdr:nvCxnSpPr>
      <xdr:spPr>
        <a:xfrm flipV="1">
          <a:off x="2357170" y="4239096"/>
          <a:ext cx="1921528" cy="594838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645564</xdr:colOff>
      <xdr:row>23</xdr:row>
      <xdr:rowOff>130272</xdr:rowOff>
    </xdr:from>
    <xdr:to>
      <xdr:col>7</xdr:col>
      <xdr:colOff>468698</xdr:colOff>
      <xdr:row>62</xdr:row>
      <xdr:rowOff>79440</xdr:rowOff>
    </xdr:to>
    <xdr:cxnSp macro="">
      <xdr:nvCxnSpPr>
        <xdr:cNvPr id="64" name="Conector: angular 63">
          <a:extLst>
            <a:ext uri="{FF2B5EF4-FFF2-40B4-BE49-F238E27FC236}">
              <a16:creationId xmlns:a16="http://schemas.microsoft.com/office/drawing/2014/main" id="{EE7B6F79-05D3-4CE6-B9A2-79621405D533}"/>
            </a:ext>
          </a:extLst>
        </xdr:cNvPr>
        <xdr:cNvCxnSpPr>
          <a:cxnSpLocks/>
          <a:stCxn id="25" idx="3"/>
          <a:endCxn id="23" idx="4"/>
        </xdr:cNvCxnSpPr>
      </xdr:nvCxnSpPr>
      <xdr:spPr>
        <a:xfrm flipV="1">
          <a:off x="2931564" y="4239096"/>
          <a:ext cx="1347134" cy="7232991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649940</xdr:colOff>
      <xdr:row>13</xdr:row>
      <xdr:rowOff>16189</xdr:rowOff>
    </xdr:from>
    <xdr:to>
      <xdr:col>12</xdr:col>
      <xdr:colOff>440482</xdr:colOff>
      <xdr:row>16</xdr:row>
      <xdr:rowOff>100032</xdr:rowOff>
    </xdr:to>
    <xdr:cxnSp macro="">
      <xdr:nvCxnSpPr>
        <xdr:cNvPr id="65" name="Conector: angular 64">
          <a:extLst>
            <a:ext uri="{FF2B5EF4-FFF2-40B4-BE49-F238E27FC236}">
              <a16:creationId xmlns:a16="http://schemas.microsoft.com/office/drawing/2014/main" id="{3816C4E8-E1FB-436C-A268-6256259B8C39}"/>
            </a:ext>
          </a:extLst>
        </xdr:cNvPr>
        <xdr:cNvCxnSpPr>
          <a:cxnSpLocks/>
          <a:stCxn id="4" idx="4"/>
          <a:endCxn id="113" idx="0"/>
        </xdr:cNvCxnSpPr>
      </xdr:nvCxnSpPr>
      <xdr:spPr>
        <a:xfrm rot="16200000" flipH="1">
          <a:off x="7462142" y="1541163"/>
          <a:ext cx="644138" cy="207654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512793</xdr:colOff>
      <xdr:row>10</xdr:row>
      <xdr:rowOff>94526</xdr:rowOff>
    </xdr:from>
    <xdr:to>
      <xdr:col>13</xdr:col>
      <xdr:colOff>735896</xdr:colOff>
      <xdr:row>17</xdr:row>
      <xdr:rowOff>69331</xdr:rowOff>
    </xdr:to>
    <xdr:cxnSp macro="">
      <xdr:nvCxnSpPr>
        <xdr:cNvPr id="66" name="Conector: angular 65">
          <a:extLst>
            <a:ext uri="{FF2B5EF4-FFF2-40B4-BE49-F238E27FC236}">
              <a16:creationId xmlns:a16="http://schemas.microsoft.com/office/drawing/2014/main" id="{088BE017-0642-42D2-B1CB-3ED3A2E27B33}"/>
            </a:ext>
          </a:extLst>
        </xdr:cNvPr>
        <xdr:cNvCxnSpPr>
          <a:cxnSpLocks/>
          <a:stCxn id="111" idx="2"/>
          <a:endCxn id="114" idx="6"/>
        </xdr:cNvCxnSpPr>
      </xdr:nvCxnSpPr>
      <xdr:spPr>
        <a:xfrm rot="5400000">
          <a:off x="7984266" y="1923935"/>
          <a:ext cx="1282158" cy="985103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151239</xdr:colOff>
      <xdr:row>16</xdr:row>
      <xdr:rowOff>100032</xdr:rowOff>
    </xdr:from>
    <xdr:to>
      <xdr:col>12</xdr:col>
      <xdr:colOff>729724</xdr:colOff>
      <xdr:row>19</xdr:row>
      <xdr:rowOff>67681</xdr:rowOff>
    </xdr:to>
    <xdr:grpSp>
      <xdr:nvGrpSpPr>
        <xdr:cNvPr id="67" name="Grupo 66">
          <a:extLst>
            <a:ext uri="{FF2B5EF4-FFF2-40B4-BE49-F238E27FC236}">
              <a16:creationId xmlns:a16="http://schemas.microsoft.com/office/drawing/2014/main" id="{EEA62D51-1465-4F80-AE32-C479329A91BA}"/>
            </a:ext>
          </a:extLst>
        </xdr:cNvPr>
        <xdr:cNvGrpSpPr/>
      </xdr:nvGrpSpPr>
      <xdr:grpSpPr>
        <a:xfrm>
          <a:off x="9591572" y="2989282"/>
          <a:ext cx="578485" cy="507399"/>
          <a:chOff x="7267997" y="2828222"/>
          <a:chExt cx="578485" cy="520570"/>
        </a:xfrm>
      </xdr:grpSpPr>
      <xdr:sp macro="" textlink="">
        <xdr:nvSpPr>
          <xdr:cNvPr id="113" name="Triángulo isósceles 112">
            <a:extLst>
              <a:ext uri="{FF2B5EF4-FFF2-40B4-BE49-F238E27FC236}">
                <a16:creationId xmlns:a16="http://schemas.microsoft.com/office/drawing/2014/main" id="{4CC18573-85E9-46D7-9A24-7308010BB48B}"/>
              </a:ext>
            </a:extLst>
          </xdr:cNvPr>
          <xdr:cNvSpPr/>
        </xdr:nvSpPr>
        <xdr:spPr>
          <a:xfrm>
            <a:off x="7267997" y="2828222"/>
            <a:ext cx="578485" cy="520570"/>
          </a:xfrm>
          <a:prstGeom prst="triangle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4" name="Elipse 113">
            <a:extLst>
              <a:ext uri="{FF2B5EF4-FFF2-40B4-BE49-F238E27FC236}">
                <a16:creationId xmlns:a16="http://schemas.microsoft.com/office/drawing/2014/main" id="{6536DE3D-D3B7-4609-8D62-4235A07EB43D}"/>
              </a:ext>
            </a:extLst>
          </xdr:cNvPr>
          <xdr:cNvSpPr/>
        </xdr:nvSpPr>
        <xdr:spPr>
          <a:xfrm>
            <a:off x="7484929" y="2921000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5" name="Elipse 114">
            <a:extLst>
              <a:ext uri="{FF2B5EF4-FFF2-40B4-BE49-F238E27FC236}">
                <a16:creationId xmlns:a16="http://schemas.microsoft.com/office/drawing/2014/main" id="{990B155D-D4C8-4F75-ADFF-E19350430C00}"/>
              </a:ext>
            </a:extLst>
          </xdr:cNvPr>
          <xdr:cNvSpPr/>
        </xdr:nvSpPr>
        <xdr:spPr>
          <a:xfrm>
            <a:off x="7557240" y="3065781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16" name="Elipse 115">
            <a:extLst>
              <a:ext uri="{FF2B5EF4-FFF2-40B4-BE49-F238E27FC236}">
                <a16:creationId xmlns:a16="http://schemas.microsoft.com/office/drawing/2014/main" id="{91BBDB24-4A61-43EA-97AE-9DFBCB507BE5}"/>
              </a:ext>
            </a:extLst>
          </xdr:cNvPr>
          <xdr:cNvSpPr/>
        </xdr:nvSpPr>
        <xdr:spPr>
          <a:xfrm>
            <a:off x="7629550" y="3193442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13</xdr:col>
      <xdr:colOff>172483</xdr:colOff>
      <xdr:row>8</xdr:row>
      <xdr:rowOff>59288</xdr:rowOff>
    </xdr:from>
    <xdr:to>
      <xdr:col>14</xdr:col>
      <xdr:colOff>537306</xdr:colOff>
      <xdr:row>10</xdr:row>
      <xdr:rowOff>94525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7D81C6F6-7B28-4EF0-BD37-128359D08F07}"/>
            </a:ext>
          </a:extLst>
        </xdr:cNvPr>
        <xdr:cNvGrpSpPr/>
      </xdr:nvGrpSpPr>
      <xdr:grpSpPr>
        <a:xfrm>
          <a:off x="10364233" y="1509205"/>
          <a:ext cx="1306740" cy="395070"/>
          <a:chOff x="8032552" y="1308634"/>
          <a:chExt cx="1126823" cy="403057"/>
        </a:xfrm>
      </xdr:grpSpPr>
      <xdr:sp macro="" textlink="">
        <xdr:nvSpPr>
          <xdr:cNvPr id="111" name="Rectángulo 110">
            <a:extLst>
              <a:ext uri="{FF2B5EF4-FFF2-40B4-BE49-F238E27FC236}">
                <a16:creationId xmlns:a16="http://schemas.microsoft.com/office/drawing/2014/main" id="{3A861003-D7EE-492D-AE22-9CDD56FCF670}"/>
              </a:ext>
            </a:extLst>
          </xdr:cNvPr>
          <xdr:cNvSpPr/>
        </xdr:nvSpPr>
        <xdr:spPr>
          <a:xfrm>
            <a:off x="8032552" y="1308634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Concentradora</a:t>
            </a:r>
          </a:p>
        </xdr:txBody>
      </xdr:sp>
      <xdr:sp macro="" textlink="">
        <xdr:nvSpPr>
          <xdr:cNvPr id="112" name="Elipse 111">
            <a:extLst>
              <a:ext uri="{FF2B5EF4-FFF2-40B4-BE49-F238E27FC236}">
                <a16:creationId xmlns:a16="http://schemas.microsoft.com/office/drawing/2014/main" id="{226D0E48-16A6-4D9B-8361-D49DBBEFDABA}"/>
              </a:ext>
            </a:extLst>
          </xdr:cNvPr>
          <xdr:cNvSpPr/>
        </xdr:nvSpPr>
        <xdr:spPr>
          <a:xfrm>
            <a:off x="8876353" y="1588168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663336</xdr:colOff>
      <xdr:row>10</xdr:row>
      <xdr:rowOff>74710</xdr:rowOff>
    </xdr:from>
    <xdr:to>
      <xdr:col>14</xdr:col>
      <xdr:colOff>119529</xdr:colOff>
      <xdr:row>25</xdr:row>
      <xdr:rowOff>34061</xdr:rowOff>
    </xdr:to>
    <xdr:cxnSp macro="">
      <xdr:nvCxnSpPr>
        <xdr:cNvPr id="69" name="Conector: angular 68">
          <a:extLst>
            <a:ext uri="{FF2B5EF4-FFF2-40B4-BE49-F238E27FC236}">
              <a16:creationId xmlns:a16="http://schemas.microsoft.com/office/drawing/2014/main" id="{51245647-AA04-491F-812F-4B4CC3BD760A}"/>
            </a:ext>
          </a:extLst>
        </xdr:cNvPr>
        <xdr:cNvCxnSpPr>
          <a:cxnSpLocks/>
        </xdr:cNvCxnSpPr>
      </xdr:nvCxnSpPr>
      <xdr:spPr>
        <a:xfrm rot="5400000">
          <a:off x="7393022" y="1883906"/>
          <a:ext cx="2760822" cy="2504193"/>
        </a:xfrm>
        <a:prstGeom prst="bentConnector3">
          <a:avLst>
            <a:gd name="adj1" fmla="val 9978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538772</xdr:colOff>
      <xdr:row>8</xdr:row>
      <xdr:rowOff>82176</xdr:rowOff>
    </xdr:from>
    <xdr:to>
      <xdr:col>15</xdr:col>
      <xdr:colOff>739588</xdr:colOff>
      <xdr:row>8</xdr:row>
      <xdr:rowOff>84994</xdr:rowOff>
    </xdr:to>
    <xdr:cxnSp macro="">
      <xdr:nvCxnSpPr>
        <xdr:cNvPr id="70" name="Conector recto de flecha 69">
          <a:extLst>
            <a:ext uri="{FF2B5EF4-FFF2-40B4-BE49-F238E27FC236}">
              <a16:creationId xmlns:a16="http://schemas.microsoft.com/office/drawing/2014/main" id="{2B2D1C2E-0C93-4F16-989F-842E54438B56}"/>
            </a:ext>
          </a:extLst>
        </xdr:cNvPr>
        <xdr:cNvCxnSpPr>
          <a:cxnSpLocks/>
        </xdr:cNvCxnSpPr>
      </xdr:nvCxnSpPr>
      <xdr:spPr>
        <a:xfrm flipV="1">
          <a:off x="10444772" y="1389529"/>
          <a:ext cx="962816" cy="28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712376</xdr:colOff>
      <xdr:row>9</xdr:row>
      <xdr:rowOff>99125</xdr:rowOff>
    </xdr:from>
    <xdr:to>
      <xdr:col>15</xdr:col>
      <xdr:colOff>934358</xdr:colOff>
      <xdr:row>11</xdr:row>
      <xdr:rowOff>154216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DE9FD5EC-1755-4A36-8BC4-1CAC24E707FD}"/>
            </a:ext>
          </a:extLst>
        </xdr:cNvPr>
        <xdr:cNvSpPr/>
      </xdr:nvSpPr>
      <xdr:spPr>
        <a:xfrm>
          <a:off x="11679733" y="1741054"/>
          <a:ext cx="983982" cy="4179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Cola </a:t>
          </a:r>
        </a:p>
        <a:p>
          <a:r>
            <a:rPr lang="es-CL" sz="1000">
              <a:solidFill>
                <a:schemeClr val="tx1"/>
              </a:solidFill>
            </a:rPr>
            <a:t>Concentradora</a:t>
          </a:r>
        </a:p>
        <a:p>
          <a:r>
            <a:rPr lang="es-CL" sz="1000">
              <a:solidFill>
                <a:schemeClr val="tx1"/>
              </a:solidFill>
            </a:rPr>
            <a:t>(canoa)</a:t>
          </a:r>
        </a:p>
      </xdr:txBody>
    </xdr:sp>
    <xdr:clientData/>
  </xdr:twoCellAnchor>
  <xdr:twoCellAnchor>
    <xdr:from>
      <xdr:col>14</xdr:col>
      <xdr:colOff>659458</xdr:colOff>
      <xdr:row>5</xdr:row>
      <xdr:rowOff>99787</xdr:rowOff>
    </xdr:from>
    <xdr:to>
      <xdr:col>15</xdr:col>
      <xdr:colOff>798286</xdr:colOff>
      <xdr:row>8</xdr:row>
      <xdr:rowOff>40163</xdr:rowOff>
    </xdr:to>
    <xdr:sp macro="" textlink="">
      <xdr:nvSpPr>
        <xdr:cNvPr id="72" name="Rectángulo 71">
          <a:extLst>
            <a:ext uri="{FF2B5EF4-FFF2-40B4-BE49-F238E27FC236}">
              <a16:creationId xmlns:a16="http://schemas.microsoft.com/office/drawing/2014/main" id="{63E97301-FC05-4BB3-BEB1-300A0AC479C6}"/>
            </a:ext>
          </a:extLst>
        </xdr:cNvPr>
        <xdr:cNvSpPr/>
      </xdr:nvSpPr>
      <xdr:spPr>
        <a:xfrm>
          <a:off x="11626815" y="1016001"/>
          <a:ext cx="900828" cy="48466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Rechazo a </a:t>
          </a:r>
        </a:p>
        <a:p>
          <a:r>
            <a:rPr lang="es-CL" sz="1000">
              <a:solidFill>
                <a:schemeClr val="tx1"/>
              </a:solidFill>
            </a:rPr>
            <a:t>Botadero</a:t>
          </a:r>
        </a:p>
        <a:p>
          <a:r>
            <a:rPr lang="es-CL" sz="1000">
              <a:solidFill>
                <a:schemeClr val="tx1"/>
              </a:solidFill>
            </a:rPr>
            <a:t>+</a:t>
          </a:r>
        </a:p>
      </xdr:txBody>
    </xdr:sp>
    <xdr:clientData/>
  </xdr:twoCellAnchor>
  <xdr:twoCellAnchor>
    <xdr:from>
      <xdr:col>9</xdr:col>
      <xdr:colOff>320923</xdr:colOff>
      <xdr:row>23</xdr:row>
      <xdr:rowOff>165002</xdr:rowOff>
    </xdr:from>
    <xdr:to>
      <xdr:col>10</xdr:col>
      <xdr:colOff>685746</xdr:colOff>
      <xdr:row>26</xdr:row>
      <xdr:rowOff>14322</xdr:rowOff>
    </xdr:to>
    <xdr:grpSp>
      <xdr:nvGrpSpPr>
        <xdr:cNvPr id="73" name="Grupo 72">
          <a:extLst>
            <a:ext uri="{FF2B5EF4-FFF2-40B4-BE49-F238E27FC236}">
              <a16:creationId xmlns:a16="http://schemas.microsoft.com/office/drawing/2014/main" id="{70EFA69A-15C5-4EC0-8ED7-9A8B49AD4746}"/>
            </a:ext>
          </a:extLst>
        </xdr:cNvPr>
        <xdr:cNvGrpSpPr/>
      </xdr:nvGrpSpPr>
      <xdr:grpSpPr>
        <a:xfrm>
          <a:off x="7147173" y="4313669"/>
          <a:ext cx="1232656" cy="389070"/>
          <a:chOff x="5132992" y="4068644"/>
          <a:chExt cx="1126823" cy="403893"/>
        </a:xfrm>
      </xdr:grpSpPr>
      <xdr:sp macro="" textlink="">
        <xdr:nvSpPr>
          <xdr:cNvPr id="109" name="Rectángulo 108">
            <a:extLst>
              <a:ext uri="{FF2B5EF4-FFF2-40B4-BE49-F238E27FC236}">
                <a16:creationId xmlns:a16="http://schemas.microsoft.com/office/drawing/2014/main" id="{E0FE89D9-C7F5-414C-BD4B-1A5979F8C811}"/>
              </a:ext>
            </a:extLst>
          </xdr:cNvPr>
          <xdr:cNvSpPr/>
        </xdr:nvSpPr>
        <xdr:spPr>
          <a:xfrm>
            <a:off x="5132992" y="4069480"/>
            <a:ext cx="1126823" cy="403057"/>
          </a:xfrm>
          <a:prstGeom prst="rect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L" sz="1000">
                <a:solidFill>
                  <a:schemeClr val="tx1"/>
                </a:solidFill>
              </a:rPr>
              <a:t>Molienda</a:t>
            </a:r>
          </a:p>
        </xdr:txBody>
      </xdr:sp>
      <xdr:sp macro="" textlink="">
        <xdr:nvSpPr>
          <xdr:cNvPr id="110" name="Elipse 109">
            <a:extLst>
              <a:ext uri="{FF2B5EF4-FFF2-40B4-BE49-F238E27FC236}">
                <a16:creationId xmlns:a16="http://schemas.microsoft.com/office/drawing/2014/main" id="{5C10139E-E531-4BAD-8C9F-2E0F03BCAAC6}"/>
              </a:ext>
            </a:extLst>
          </xdr:cNvPr>
          <xdr:cNvSpPr/>
        </xdr:nvSpPr>
        <xdr:spPr>
          <a:xfrm>
            <a:off x="6107876" y="4068644"/>
            <a:ext cx="144621" cy="122208"/>
          </a:xfrm>
          <a:prstGeom prst="ellipse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</xdr:grpSp>
    <xdr:clientData/>
  </xdr:twoCellAnchor>
  <xdr:twoCellAnchor>
    <xdr:from>
      <xdr:col>10</xdr:col>
      <xdr:colOff>678429</xdr:colOff>
      <xdr:row>19</xdr:row>
      <xdr:rowOff>74705</xdr:rowOff>
    </xdr:from>
    <xdr:to>
      <xdr:col>12</xdr:col>
      <xdr:colOff>291354</xdr:colOff>
      <xdr:row>24</xdr:row>
      <xdr:rowOff>40207</xdr:rowOff>
    </xdr:to>
    <xdr:cxnSp macro="">
      <xdr:nvCxnSpPr>
        <xdr:cNvPr id="74" name="Conector: angular 73">
          <a:extLst>
            <a:ext uri="{FF2B5EF4-FFF2-40B4-BE49-F238E27FC236}">
              <a16:creationId xmlns:a16="http://schemas.microsoft.com/office/drawing/2014/main" id="{42C1BC66-2B01-403C-B12A-10DD930AF50F}"/>
            </a:ext>
          </a:extLst>
        </xdr:cNvPr>
        <xdr:cNvCxnSpPr>
          <a:cxnSpLocks/>
          <a:endCxn id="110" idx="6"/>
        </xdr:cNvCxnSpPr>
      </xdr:nvCxnSpPr>
      <xdr:spPr>
        <a:xfrm rot="10800000" flipV="1">
          <a:off x="7536429" y="3436470"/>
          <a:ext cx="1136925" cy="899325"/>
        </a:xfrm>
        <a:prstGeom prst="bentConnector3">
          <a:avLst>
            <a:gd name="adj1" fmla="val 531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95122</xdr:colOff>
      <xdr:row>19</xdr:row>
      <xdr:rowOff>58610</xdr:rowOff>
    </xdr:from>
    <xdr:to>
      <xdr:col>12</xdr:col>
      <xdr:colOff>124026</xdr:colOff>
      <xdr:row>23</xdr:row>
      <xdr:rowOff>156778</xdr:rowOff>
    </xdr:to>
    <xdr:cxnSp macro="">
      <xdr:nvCxnSpPr>
        <xdr:cNvPr id="75" name="Conector: angular 74">
          <a:extLst>
            <a:ext uri="{FF2B5EF4-FFF2-40B4-BE49-F238E27FC236}">
              <a16:creationId xmlns:a16="http://schemas.microsoft.com/office/drawing/2014/main" id="{B0784802-E832-4844-96EE-F7F862442B8D}"/>
            </a:ext>
          </a:extLst>
        </xdr:cNvPr>
        <xdr:cNvCxnSpPr>
          <a:cxnSpLocks/>
        </xdr:cNvCxnSpPr>
      </xdr:nvCxnSpPr>
      <xdr:spPr>
        <a:xfrm rot="5400000">
          <a:off x="8088704" y="3050528"/>
          <a:ext cx="823883" cy="1752475"/>
        </a:xfrm>
        <a:prstGeom prst="bentConnector3">
          <a:avLst>
            <a:gd name="adj1" fmla="val 3851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241362</xdr:colOff>
      <xdr:row>24</xdr:row>
      <xdr:rowOff>22411</xdr:rowOff>
    </xdr:from>
    <xdr:to>
      <xdr:col>13</xdr:col>
      <xdr:colOff>222909</xdr:colOff>
      <xdr:row>25</xdr:row>
      <xdr:rowOff>36935</xdr:rowOff>
    </xdr:to>
    <xdr:sp macro="" textlink="">
      <xdr:nvSpPr>
        <xdr:cNvPr id="76" name="Rectángulo 75">
          <a:extLst>
            <a:ext uri="{FF2B5EF4-FFF2-40B4-BE49-F238E27FC236}">
              <a16:creationId xmlns:a16="http://schemas.microsoft.com/office/drawing/2014/main" id="{5BC51274-BABD-440C-BA5D-455F4E6A5D2E}"/>
            </a:ext>
          </a:extLst>
        </xdr:cNvPr>
        <xdr:cNvSpPr/>
      </xdr:nvSpPr>
      <xdr:spPr>
        <a:xfrm>
          <a:off x="8623362" y="4317999"/>
          <a:ext cx="743547" cy="20128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Repulpeo </a:t>
          </a:r>
        </a:p>
      </xdr:txBody>
    </xdr:sp>
    <xdr:clientData/>
  </xdr:twoCellAnchor>
  <xdr:twoCellAnchor>
    <xdr:from>
      <xdr:col>13</xdr:col>
      <xdr:colOff>510395</xdr:colOff>
      <xdr:row>25</xdr:row>
      <xdr:rowOff>41490</xdr:rowOff>
    </xdr:from>
    <xdr:to>
      <xdr:col>15</xdr:col>
      <xdr:colOff>151955</xdr:colOff>
      <xdr:row>26</xdr:row>
      <xdr:rowOff>173399</xdr:rowOff>
    </xdr:to>
    <xdr:sp macro="" textlink="">
      <xdr:nvSpPr>
        <xdr:cNvPr id="77" name="Rectángulo 76">
          <a:extLst>
            <a:ext uri="{FF2B5EF4-FFF2-40B4-BE49-F238E27FC236}">
              <a16:creationId xmlns:a16="http://schemas.microsoft.com/office/drawing/2014/main" id="{F050AB48-4664-46E0-91C7-913AFD9AA1F6}"/>
            </a:ext>
          </a:extLst>
        </xdr:cNvPr>
        <xdr:cNvSpPr/>
      </xdr:nvSpPr>
      <xdr:spPr>
        <a:xfrm>
          <a:off x="9654395" y="4523843"/>
          <a:ext cx="116556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SF a Molienda </a:t>
          </a:r>
        </a:p>
      </xdr:txBody>
    </xdr:sp>
    <xdr:clientData/>
  </xdr:twoCellAnchor>
  <xdr:twoCellAnchor>
    <xdr:from>
      <xdr:col>11</xdr:col>
      <xdr:colOff>735480</xdr:colOff>
      <xdr:row>5</xdr:row>
      <xdr:rowOff>68870</xdr:rowOff>
    </xdr:from>
    <xdr:to>
      <xdr:col>13</xdr:col>
      <xdr:colOff>261470</xdr:colOff>
      <xdr:row>7</xdr:row>
      <xdr:rowOff>14015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169099FA-8917-4B94-B796-550A9430FDF4}"/>
            </a:ext>
          </a:extLst>
        </xdr:cNvPr>
        <xdr:cNvSpPr/>
      </xdr:nvSpPr>
      <xdr:spPr>
        <a:xfrm>
          <a:off x="8355480" y="815929"/>
          <a:ext cx="1049990" cy="3186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Alim a Concentradora</a:t>
          </a:r>
        </a:p>
      </xdr:txBody>
    </xdr:sp>
    <xdr:clientData/>
  </xdr:twoCellAnchor>
  <xdr:twoCellAnchor>
    <xdr:from>
      <xdr:col>10</xdr:col>
      <xdr:colOff>122335</xdr:colOff>
      <xdr:row>26</xdr:row>
      <xdr:rowOff>14322</xdr:rowOff>
    </xdr:from>
    <xdr:to>
      <xdr:col>10</xdr:col>
      <xdr:colOff>122335</xdr:colOff>
      <xdr:row>31</xdr:row>
      <xdr:rowOff>114635</xdr:rowOff>
    </xdr:to>
    <xdr:cxnSp macro="">
      <xdr:nvCxnSpPr>
        <xdr:cNvPr id="79" name="Conector recto de flecha 78">
          <a:extLst>
            <a:ext uri="{FF2B5EF4-FFF2-40B4-BE49-F238E27FC236}">
              <a16:creationId xmlns:a16="http://schemas.microsoft.com/office/drawing/2014/main" id="{112A312B-3D4A-49C5-BCA9-7A2ABCE7D7E9}"/>
            </a:ext>
          </a:extLst>
        </xdr:cNvPr>
        <xdr:cNvCxnSpPr>
          <a:cxnSpLocks/>
          <a:stCxn id="109" idx="2"/>
          <a:endCxn id="7" idx="1"/>
        </xdr:cNvCxnSpPr>
      </xdr:nvCxnSpPr>
      <xdr:spPr>
        <a:xfrm>
          <a:off x="6218335" y="4683440"/>
          <a:ext cx="0" cy="10341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679363</xdr:colOff>
      <xdr:row>27</xdr:row>
      <xdr:rowOff>64755</xdr:rowOff>
    </xdr:from>
    <xdr:to>
      <xdr:col>9</xdr:col>
      <xdr:colOff>320923</xdr:colOff>
      <xdr:row>29</xdr:row>
      <xdr:rowOff>9899</xdr:rowOff>
    </xdr:to>
    <xdr:sp macro="" textlink="">
      <xdr:nvSpPr>
        <xdr:cNvPr id="80" name="Rectángulo 79">
          <a:extLst>
            <a:ext uri="{FF2B5EF4-FFF2-40B4-BE49-F238E27FC236}">
              <a16:creationId xmlns:a16="http://schemas.microsoft.com/office/drawing/2014/main" id="{E08CA938-6E99-42AC-BA64-0D599D200A94}"/>
            </a:ext>
          </a:extLst>
        </xdr:cNvPr>
        <xdr:cNvSpPr/>
      </xdr:nvSpPr>
      <xdr:spPr>
        <a:xfrm>
          <a:off x="5780530" y="5222366"/>
          <a:ext cx="1779393" cy="32614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COLA</a:t>
          </a:r>
        </a:p>
        <a:p>
          <a:pPr algn="ctr"/>
          <a:r>
            <a:rPr lang="es-CL" sz="1000">
              <a:solidFill>
                <a:schemeClr val="tx1"/>
              </a:solidFill>
            </a:rPr>
            <a:t>MOLIENDA</a:t>
          </a:r>
        </a:p>
      </xdr:txBody>
    </xdr:sp>
    <xdr:clientData/>
  </xdr:twoCellAnchor>
  <xdr:twoCellAnchor>
    <xdr:from>
      <xdr:col>8</xdr:col>
      <xdr:colOff>500143</xdr:colOff>
      <xdr:row>24</xdr:row>
      <xdr:rowOff>183470</xdr:rowOff>
    </xdr:from>
    <xdr:to>
      <xdr:col>9</xdr:col>
      <xdr:colOff>320923</xdr:colOff>
      <xdr:row>27</xdr:row>
      <xdr:rowOff>64755</xdr:rowOff>
    </xdr:to>
    <xdr:cxnSp macro="">
      <xdr:nvCxnSpPr>
        <xdr:cNvPr id="81" name="Conector: angular 80">
          <a:extLst>
            <a:ext uri="{FF2B5EF4-FFF2-40B4-BE49-F238E27FC236}">
              <a16:creationId xmlns:a16="http://schemas.microsoft.com/office/drawing/2014/main" id="{1B03ECA3-84F4-4FAD-89E5-6A4830A6AD40}"/>
            </a:ext>
          </a:extLst>
        </xdr:cNvPr>
        <xdr:cNvCxnSpPr>
          <a:cxnSpLocks/>
          <a:stCxn id="109" idx="1"/>
          <a:endCxn id="80" idx="0"/>
        </xdr:cNvCxnSpPr>
      </xdr:nvCxnSpPr>
      <xdr:spPr>
        <a:xfrm rot="10800000" flipV="1">
          <a:off x="5072143" y="4479058"/>
          <a:ext cx="582780" cy="441579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122335</xdr:colOff>
      <xdr:row>35</xdr:row>
      <xdr:rowOff>36429</xdr:rowOff>
    </xdr:from>
    <xdr:to>
      <xdr:col>10</xdr:col>
      <xdr:colOff>179296</xdr:colOff>
      <xdr:row>43</xdr:row>
      <xdr:rowOff>165823</xdr:rowOff>
    </xdr:to>
    <xdr:cxnSp macro="">
      <xdr:nvCxnSpPr>
        <xdr:cNvPr id="82" name="Conector recto de flecha 81">
          <a:extLst>
            <a:ext uri="{FF2B5EF4-FFF2-40B4-BE49-F238E27FC236}">
              <a16:creationId xmlns:a16="http://schemas.microsoft.com/office/drawing/2014/main" id="{2DB5CAB4-41D4-458D-9F32-BA68FB908B21}"/>
            </a:ext>
          </a:extLst>
        </xdr:cNvPr>
        <xdr:cNvCxnSpPr>
          <a:cxnSpLocks/>
          <a:stCxn id="7" idx="3"/>
          <a:endCxn id="9" idx="0"/>
        </xdr:cNvCxnSpPr>
      </xdr:nvCxnSpPr>
      <xdr:spPr>
        <a:xfrm>
          <a:off x="6980335" y="6386429"/>
          <a:ext cx="56961" cy="16235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355473</xdr:colOff>
      <xdr:row>46</xdr:row>
      <xdr:rowOff>133473</xdr:rowOff>
    </xdr:from>
    <xdr:to>
      <xdr:col>10</xdr:col>
      <xdr:colOff>179296</xdr:colOff>
      <xdr:row>56</xdr:row>
      <xdr:rowOff>73506</xdr:rowOff>
    </xdr:to>
    <xdr:cxnSp macro="">
      <xdr:nvCxnSpPr>
        <xdr:cNvPr id="83" name="Conector: angular 82">
          <a:extLst>
            <a:ext uri="{FF2B5EF4-FFF2-40B4-BE49-F238E27FC236}">
              <a16:creationId xmlns:a16="http://schemas.microsoft.com/office/drawing/2014/main" id="{03D7AEE5-465C-449E-8C7C-EF18A5B0F97A}"/>
            </a:ext>
          </a:extLst>
        </xdr:cNvPr>
        <xdr:cNvCxnSpPr>
          <a:cxnSpLocks/>
          <a:stCxn id="9" idx="3"/>
          <a:endCxn id="11" idx="1"/>
        </xdr:cNvCxnSpPr>
      </xdr:nvCxnSpPr>
      <xdr:spPr>
        <a:xfrm rot="5400000">
          <a:off x="5840545" y="9148813"/>
          <a:ext cx="1807680" cy="585823"/>
        </a:xfrm>
        <a:prstGeom prst="bentConnector4">
          <a:avLst>
            <a:gd name="adj1" fmla="val 44347"/>
            <a:gd name="adj2" fmla="val 13902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179296</xdr:colOff>
      <xdr:row>46</xdr:row>
      <xdr:rowOff>133472</xdr:rowOff>
    </xdr:from>
    <xdr:to>
      <xdr:col>10</xdr:col>
      <xdr:colOff>720296</xdr:colOff>
      <xdr:row>56</xdr:row>
      <xdr:rowOff>73505</xdr:rowOff>
    </xdr:to>
    <xdr:cxnSp macro="">
      <xdr:nvCxnSpPr>
        <xdr:cNvPr id="84" name="Conector: angular 83">
          <a:extLst>
            <a:ext uri="{FF2B5EF4-FFF2-40B4-BE49-F238E27FC236}">
              <a16:creationId xmlns:a16="http://schemas.microsoft.com/office/drawing/2014/main" id="{B6B1680D-2816-4052-9762-62DAF63C645A}"/>
            </a:ext>
          </a:extLst>
        </xdr:cNvPr>
        <xdr:cNvCxnSpPr>
          <a:cxnSpLocks/>
          <a:stCxn id="9" idx="3"/>
          <a:endCxn id="11" idx="3"/>
        </xdr:cNvCxnSpPr>
      </xdr:nvCxnSpPr>
      <xdr:spPr>
        <a:xfrm rot="16200000" flipH="1">
          <a:off x="6403956" y="9171224"/>
          <a:ext cx="1807680" cy="541000"/>
        </a:xfrm>
        <a:prstGeom prst="bentConnector4">
          <a:avLst>
            <a:gd name="adj1" fmla="val 44347"/>
            <a:gd name="adj2" fmla="val 14225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19764</xdr:colOff>
      <xdr:row>49</xdr:row>
      <xdr:rowOff>6268</xdr:rowOff>
    </xdr:from>
    <xdr:to>
      <xdr:col>9</xdr:col>
      <xdr:colOff>309953</xdr:colOff>
      <xdr:row>51</xdr:row>
      <xdr:rowOff>160682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D6C67DAE-C91E-4346-8085-F104E7283DE3}"/>
            </a:ext>
          </a:extLst>
        </xdr:cNvPr>
        <xdr:cNvSpPr/>
      </xdr:nvSpPr>
      <xdr:spPr>
        <a:xfrm>
          <a:off x="4591764" y="8970974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Transp</a:t>
          </a:r>
        </a:p>
        <a:p>
          <a:pPr algn="ctr"/>
          <a:r>
            <a:rPr lang="es-CL" sz="1000">
              <a:solidFill>
                <a:schemeClr val="tx1"/>
              </a:solidFill>
            </a:rPr>
            <a:t>P. Feed</a:t>
          </a:r>
        </a:p>
        <a:p>
          <a:pPr algn="ctr"/>
          <a:r>
            <a:rPr lang="es-CL" sz="1000">
              <a:solidFill>
                <a:schemeClr val="tx1"/>
              </a:solidFill>
            </a:rPr>
            <a:t>Camiones</a:t>
          </a:r>
        </a:p>
      </xdr:txBody>
    </xdr:sp>
    <xdr:clientData/>
  </xdr:twoCellAnchor>
  <xdr:twoCellAnchor>
    <xdr:from>
      <xdr:col>11</xdr:col>
      <xdr:colOff>219785</xdr:colOff>
      <xdr:row>49</xdr:row>
      <xdr:rowOff>24221</xdr:rowOff>
    </xdr:from>
    <xdr:to>
      <xdr:col>12</xdr:col>
      <xdr:colOff>509974</xdr:colOff>
      <xdr:row>51</xdr:row>
      <xdr:rowOff>178635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3E799C5B-C891-4BE7-9CC0-C2D3A6971771}"/>
            </a:ext>
          </a:extLst>
        </xdr:cNvPr>
        <xdr:cNvSpPr/>
      </xdr:nvSpPr>
      <xdr:spPr>
        <a:xfrm>
          <a:off x="7077785" y="8988927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Trenes</a:t>
          </a:r>
        </a:p>
      </xdr:txBody>
    </xdr:sp>
    <xdr:clientData/>
  </xdr:twoCellAnchor>
  <xdr:twoCellAnchor>
    <xdr:from>
      <xdr:col>10</xdr:col>
      <xdr:colOff>713069</xdr:colOff>
      <xdr:row>57</xdr:row>
      <xdr:rowOff>44451</xdr:rowOff>
    </xdr:from>
    <xdr:to>
      <xdr:col>11</xdr:col>
      <xdr:colOff>745879</xdr:colOff>
      <xdr:row>57</xdr:row>
      <xdr:rowOff>44451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FCEB180-6B89-482E-A060-A60B24260C42}"/>
            </a:ext>
          </a:extLst>
        </xdr:cNvPr>
        <xdr:cNvCxnSpPr>
          <a:cxnSpLocks/>
        </xdr:cNvCxnSpPr>
      </xdr:nvCxnSpPr>
      <xdr:spPr>
        <a:xfrm>
          <a:off x="6809069" y="10503275"/>
          <a:ext cx="7948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732118</xdr:colOff>
      <xdr:row>56</xdr:row>
      <xdr:rowOff>168493</xdr:rowOff>
    </xdr:from>
    <xdr:to>
      <xdr:col>12</xdr:col>
      <xdr:colOff>82177</xdr:colOff>
      <xdr:row>59</xdr:row>
      <xdr:rowOff>136142</xdr:rowOff>
    </xdr:to>
    <xdr:sp macro="" textlink="">
      <xdr:nvSpPr>
        <xdr:cNvPr id="88" name="Rectángulo 87">
          <a:extLst>
            <a:ext uri="{FF2B5EF4-FFF2-40B4-BE49-F238E27FC236}">
              <a16:creationId xmlns:a16="http://schemas.microsoft.com/office/drawing/2014/main" id="{21C25907-B5C3-4718-8706-50E44F9EBAB9}"/>
            </a:ext>
          </a:extLst>
        </xdr:cNvPr>
        <xdr:cNvSpPr/>
      </xdr:nvSpPr>
      <xdr:spPr>
        <a:xfrm>
          <a:off x="7590118" y="10440552"/>
          <a:ext cx="87405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Pérdidas por Transporte</a:t>
          </a:r>
        </a:p>
      </xdr:txBody>
    </xdr:sp>
    <xdr:clientData/>
  </xdr:twoCellAnchor>
  <xdr:twoCellAnchor>
    <xdr:from>
      <xdr:col>10</xdr:col>
      <xdr:colOff>156885</xdr:colOff>
      <xdr:row>57</xdr:row>
      <xdr:rowOff>91123</xdr:rowOff>
    </xdr:from>
    <xdr:to>
      <xdr:col>12</xdr:col>
      <xdr:colOff>193667</xdr:colOff>
      <xdr:row>65</xdr:row>
      <xdr:rowOff>23424</xdr:rowOff>
    </xdr:to>
    <xdr:cxnSp macro="">
      <xdr:nvCxnSpPr>
        <xdr:cNvPr id="89" name="Conector: angular 88">
          <a:extLst>
            <a:ext uri="{FF2B5EF4-FFF2-40B4-BE49-F238E27FC236}">
              <a16:creationId xmlns:a16="http://schemas.microsoft.com/office/drawing/2014/main" id="{1C87AC81-B006-4EBF-8019-365D3B57F000}"/>
            </a:ext>
          </a:extLst>
        </xdr:cNvPr>
        <xdr:cNvCxnSpPr>
          <a:cxnSpLocks/>
          <a:stCxn id="11" idx="2"/>
          <a:endCxn id="12" idx="1"/>
        </xdr:cNvCxnSpPr>
      </xdr:nvCxnSpPr>
      <xdr:spPr>
        <a:xfrm rot="16200000" flipH="1">
          <a:off x="7082067" y="10482765"/>
          <a:ext cx="1426418" cy="1560782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627530</xdr:colOff>
      <xdr:row>66</xdr:row>
      <xdr:rowOff>100630</xdr:rowOff>
    </xdr:from>
    <xdr:to>
      <xdr:col>15</xdr:col>
      <xdr:colOff>98362</xdr:colOff>
      <xdr:row>69</xdr:row>
      <xdr:rowOff>2632</xdr:rowOff>
    </xdr:to>
    <xdr:cxnSp macro="">
      <xdr:nvCxnSpPr>
        <xdr:cNvPr id="90" name="Conector: angular 89">
          <a:extLst>
            <a:ext uri="{FF2B5EF4-FFF2-40B4-BE49-F238E27FC236}">
              <a16:creationId xmlns:a16="http://schemas.microsoft.com/office/drawing/2014/main" id="{A9F62696-8335-4246-A60F-5BAC0D65DCB7}"/>
            </a:ext>
          </a:extLst>
        </xdr:cNvPr>
        <xdr:cNvCxnSpPr>
          <a:cxnSpLocks/>
          <a:stCxn id="12" idx="4"/>
          <a:endCxn id="17" idx="1"/>
        </xdr:cNvCxnSpPr>
      </xdr:nvCxnSpPr>
      <xdr:spPr>
        <a:xfrm rot="16200000" flipH="1">
          <a:off x="9753916" y="11495950"/>
          <a:ext cx="462296" cy="195106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260341</xdr:colOff>
      <xdr:row>60</xdr:row>
      <xdr:rowOff>70629</xdr:rowOff>
    </xdr:from>
    <xdr:to>
      <xdr:col>10</xdr:col>
      <xdr:colOff>648428</xdr:colOff>
      <xdr:row>62</xdr:row>
      <xdr:rowOff>115276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597F159A-A6A7-4027-B15C-EC02456714F4}"/>
            </a:ext>
          </a:extLst>
        </xdr:cNvPr>
        <xdr:cNvSpPr/>
      </xdr:nvSpPr>
      <xdr:spPr>
        <a:xfrm>
          <a:off x="5594341" y="11089747"/>
          <a:ext cx="1150087" cy="4181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s-CL" sz="1000">
              <a:solidFill>
                <a:schemeClr val="tx1"/>
              </a:solidFill>
            </a:rPr>
            <a:t>Transp</a:t>
          </a:r>
        </a:p>
        <a:p>
          <a:r>
            <a:rPr lang="es-CL" sz="1000">
              <a:solidFill>
                <a:schemeClr val="tx1"/>
              </a:solidFill>
            </a:rPr>
            <a:t>Total</a:t>
          </a:r>
        </a:p>
        <a:p>
          <a:r>
            <a:rPr lang="es-CL" sz="1000">
              <a:solidFill>
                <a:schemeClr val="tx1"/>
              </a:solidFill>
            </a:rPr>
            <a:t>P. Feed</a:t>
          </a:r>
        </a:p>
        <a:p>
          <a:r>
            <a:rPr lang="es-CL" sz="1000">
              <a:solidFill>
                <a:schemeClr val="tx1"/>
              </a:solidFill>
            </a:rPr>
            <a:t>A Guayacan</a:t>
          </a:r>
        </a:p>
      </xdr:txBody>
    </xdr:sp>
    <xdr:clientData/>
  </xdr:twoCellAnchor>
  <xdr:twoCellAnchor>
    <xdr:from>
      <xdr:col>9</xdr:col>
      <xdr:colOff>20710</xdr:colOff>
      <xdr:row>71</xdr:row>
      <xdr:rowOff>33108</xdr:rowOff>
    </xdr:from>
    <xdr:to>
      <xdr:col>9</xdr:col>
      <xdr:colOff>599195</xdr:colOff>
      <xdr:row>74</xdr:row>
      <xdr:rowOff>756</xdr:rowOff>
    </xdr:to>
    <xdr:sp macro="" textlink="">
      <xdr:nvSpPr>
        <xdr:cNvPr id="92" name="Triángulo isósceles 91">
          <a:extLst>
            <a:ext uri="{FF2B5EF4-FFF2-40B4-BE49-F238E27FC236}">
              <a16:creationId xmlns:a16="http://schemas.microsoft.com/office/drawing/2014/main" id="{B544ED76-CA3C-4BBC-82A0-4EA4EF03AAEE}"/>
            </a:ext>
          </a:extLst>
        </xdr:cNvPr>
        <xdr:cNvSpPr/>
      </xdr:nvSpPr>
      <xdr:spPr>
        <a:xfrm>
          <a:off x="6116710" y="13106637"/>
          <a:ext cx="578485" cy="527943"/>
        </a:xfrm>
        <a:prstGeom prst="triangl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s-CL"/>
        </a:p>
      </xdr:txBody>
    </xdr:sp>
    <xdr:clientData/>
  </xdr:twoCellAnchor>
  <xdr:twoCellAnchor>
    <xdr:from>
      <xdr:col>8</xdr:col>
      <xdr:colOff>289651</xdr:colOff>
      <xdr:row>68</xdr:row>
      <xdr:rowOff>175351</xdr:rowOff>
    </xdr:from>
    <xdr:to>
      <xdr:col>9</xdr:col>
      <xdr:colOff>579840</xdr:colOff>
      <xdr:row>71</xdr:row>
      <xdr:rowOff>143000</xdr:rowOff>
    </xdr:to>
    <xdr:sp macro="" textlink="">
      <xdr:nvSpPr>
        <xdr:cNvPr id="93" name="Rectángulo 92">
          <a:extLst>
            <a:ext uri="{FF2B5EF4-FFF2-40B4-BE49-F238E27FC236}">
              <a16:creationId xmlns:a16="http://schemas.microsoft.com/office/drawing/2014/main" id="{AF7E8894-2C64-498A-A7A0-931C6FD44194}"/>
            </a:ext>
          </a:extLst>
        </xdr:cNvPr>
        <xdr:cNvSpPr/>
      </xdr:nvSpPr>
      <xdr:spPr>
        <a:xfrm>
          <a:off x="5623651" y="12688586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Stock SF Patio Tolva ROM</a:t>
          </a:r>
        </a:p>
      </xdr:txBody>
    </xdr:sp>
    <xdr:clientData/>
  </xdr:twoCellAnchor>
  <xdr:twoCellAnchor>
    <xdr:from>
      <xdr:col>6</xdr:col>
      <xdr:colOff>754539</xdr:colOff>
      <xdr:row>71</xdr:row>
      <xdr:rowOff>171941</xdr:rowOff>
    </xdr:from>
    <xdr:to>
      <xdr:col>9</xdr:col>
      <xdr:colOff>165331</xdr:colOff>
      <xdr:row>72</xdr:row>
      <xdr:rowOff>110315</xdr:rowOff>
    </xdr:to>
    <xdr:cxnSp macro="">
      <xdr:nvCxnSpPr>
        <xdr:cNvPr id="94" name="Conector: angular 93">
          <a:extLst>
            <a:ext uri="{FF2B5EF4-FFF2-40B4-BE49-F238E27FC236}">
              <a16:creationId xmlns:a16="http://schemas.microsoft.com/office/drawing/2014/main" id="{86270FA5-11BD-40AD-85C3-1F12AA030966}"/>
            </a:ext>
          </a:extLst>
        </xdr:cNvPr>
        <xdr:cNvCxnSpPr>
          <a:cxnSpLocks/>
          <a:stCxn id="98" idx="3"/>
          <a:endCxn id="92" idx="1"/>
        </xdr:cNvCxnSpPr>
      </xdr:nvCxnSpPr>
      <xdr:spPr>
        <a:xfrm>
          <a:off x="4564539" y="13245470"/>
          <a:ext cx="1696792" cy="12513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697573</xdr:colOff>
      <xdr:row>73</xdr:row>
      <xdr:rowOff>159714</xdr:rowOff>
    </xdr:from>
    <xdr:to>
      <xdr:col>9</xdr:col>
      <xdr:colOff>20710</xdr:colOff>
      <xdr:row>76</xdr:row>
      <xdr:rowOff>4405</xdr:rowOff>
    </xdr:to>
    <xdr:cxnSp macro="">
      <xdr:nvCxnSpPr>
        <xdr:cNvPr id="95" name="Conector: angular 94">
          <a:extLst>
            <a:ext uri="{FF2B5EF4-FFF2-40B4-BE49-F238E27FC236}">
              <a16:creationId xmlns:a16="http://schemas.microsoft.com/office/drawing/2014/main" id="{B29E9E04-A5FB-48E8-96D6-8B9CC50554CA}"/>
            </a:ext>
          </a:extLst>
        </xdr:cNvPr>
        <xdr:cNvCxnSpPr>
          <a:cxnSpLocks/>
        </xdr:cNvCxnSpPr>
      </xdr:nvCxnSpPr>
      <xdr:spPr>
        <a:xfrm flipV="1">
          <a:off x="3745573" y="13606773"/>
          <a:ext cx="1609137" cy="40498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454574</xdr:colOff>
      <xdr:row>72</xdr:row>
      <xdr:rowOff>108267</xdr:rowOff>
    </xdr:from>
    <xdr:to>
      <xdr:col>12</xdr:col>
      <xdr:colOff>223549</xdr:colOff>
      <xdr:row>72</xdr:row>
      <xdr:rowOff>110315</xdr:rowOff>
    </xdr:to>
    <xdr:cxnSp macro="">
      <xdr:nvCxnSpPr>
        <xdr:cNvPr id="96" name="Conector: angular 95">
          <a:extLst>
            <a:ext uri="{FF2B5EF4-FFF2-40B4-BE49-F238E27FC236}">
              <a16:creationId xmlns:a16="http://schemas.microsoft.com/office/drawing/2014/main" id="{E1CD2755-A62A-4324-A64C-5B29C31EB7E2}"/>
            </a:ext>
          </a:extLst>
        </xdr:cNvPr>
        <xdr:cNvCxnSpPr>
          <a:cxnSpLocks/>
          <a:stCxn id="92" idx="5"/>
          <a:endCxn id="14" idx="1"/>
        </xdr:cNvCxnSpPr>
      </xdr:nvCxnSpPr>
      <xdr:spPr>
        <a:xfrm flipV="1">
          <a:off x="5788574" y="13368561"/>
          <a:ext cx="2054975" cy="204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368172</xdr:colOff>
      <xdr:row>71</xdr:row>
      <xdr:rowOff>31059</xdr:rowOff>
    </xdr:from>
    <xdr:to>
      <xdr:col>15</xdr:col>
      <xdr:colOff>46070</xdr:colOff>
      <xdr:row>72</xdr:row>
      <xdr:rowOff>186741</xdr:rowOff>
    </xdr:to>
    <xdr:cxnSp macro="">
      <xdr:nvCxnSpPr>
        <xdr:cNvPr id="97" name="Conector: angular 96">
          <a:extLst>
            <a:ext uri="{FF2B5EF4-FFF2-40B4-BE49-F238E27FC236}">
              <a16:creationId xmlns:a16="http://schemas.microsoft.com/office/drawing/2014/main" id="{E31D06A6-8FFC-472B-AFEE-4077F4344E52}"/>
            </a:ext>
          </a:extLst>
        </xdr:cNvPr>
        <xdr:cNvCxnSpPr>
          <a:cxnSpLocks/>
          <a:stCxn id="14" idx="0"/>
          <a:endCxn id="18" idx="1"/>
        </xdr:cNvCxnSpPr>
      </xdr:nvCxnSpPr>
      <xdr:spPr>
        <a:xfrm rot="16200000" flipH="1">
          <a:off x="8798897" y="12293863"/>
          <a:ext cx="342447" cy="1963898"/>
        </a:xfrm>
        <a:prstGeom prst="bentConnector4">
          <a:avLst>
            <a:gd name="adj1" fmla="val -67700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464350</xdr:colOff>
      <xdr:row>70</xdr:row>
      <xdr:rowOff>94733</xdr:rowOff>
    </xdr:from>
    <xdr:to>
      <xdr:col>6</xdr:col>
      <xdr:colOff>754539</xdr:colOff>
      <xdr:row>73</xdr:row>
      <xdr:rowOff>62382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E8EFE1A5-A077-4B4C-85F9-EC8B3F07C1C6}"/>
            </a:ext>
          </a:extLst>
        </xdr:cNvPr>
        <xdr:cNvSpPr/>
      </xdr:nvSpPr>
      <xdr:spPr>
        <a:xfrm>
          <a:off x="3512350" y="12981498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SFMLC</a:t>
          </a:r>
        </a:p>
      </xdr:txBody>
    </xdr:sp>
    <xdr:clientData/>
  </xdr:twoCellAnchor>
  <xdr:twoCellAnchor>
    <xdr:from>
      <xdr:col>5</xdr:col>
      <xdr:colOff>463861</xdr:colOff>
      <xdr:row>74</xdr:row>
      <xdr:rowOff>159438</xdr:rowOff>
    </xdr:from>
    <xdr:to>
      <xdr:col>6</xdr:col>
      <xdr:colOff>754050</xdr:colOff>
      <xdr:row>77</xdr:row>
      <xdr:rowOff>127087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18F284A6-7D83-4180-870F-EA808BF0731B}"/>
            </a:ext>
          </a:extLst>
        </xdr:cNvPr>
        <xdr:cNvSpPr/>
      </xdr:nvSpPr>
      <xdr:spPr>
        <a:xfrm>
          <a:off x="2749861" y="13793262"/>
          <a:ext cx="1052189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P55 desde MLC</a:t>
          </a:r>
        </a:p>
      </xdr:txBody>
    </xdr:sp>
    <xdr:clientData/>
  </xdr:twoCellAnchor>
  <xdr:twoCellAnchor>
    <xdr:from>
      <xdr:col>8</xdr:col>
      <xdr:colOff>335400</xdr:colOff>
      <xdr:row>73</xdr:row>
      <xdr:rowOff>185473</xdr:rowOff>
    </xdr:from>
    <xdr:to>
      <xdr:col>12</xdr:col>
      <xdr:colOff>78928</xdr:colOff>
      <xdr:row>78</xdr:row>
      <xdr:rowOff>12066</xdr:rowOff>
    </xdr:to>
    <xdr:cxnSp macro="">
      <xdr:nvCxnSpPr>
        <xdr:cNvPr id="100" name="Conector: angular 99">
          <a:extLst>
            <a:ext uri="{FF2B5EF4-FFF2-40B4-BE49-F238E27FC236}">
              <a16:creationId xmlns:a16="http://schemas.microsoft.com/office/drawing/2014/main" id="{26C0BD9C-31C4-4004-BC34-1DE1864C5785}"/>
            </a:ext>
          </a:extLst>
        </xdr:cNvPr>
        <xdr:cNvCxnSpPr>
          <a:cxnSpLocks/>
          <a:stCxn id="101" idx="0"/>
          <a:endCxn id="14" idx="2"/>
        </xdr:cNvCxnSpPr>
      </xdr:nvCxnSpPr>
      <xdr:spPr>
        <a:xfrm rot="5400000" flipH="1" flipV="1">
          <a:off x="5922956" y="12616976"/>
          <a:ext cx="760416" cy="279152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637756</xdr:colOff>
      <xdr:row>78</xdr:row>
      <xdr:rowOff>12066</xdr:rowOff>
    </xdr:from>
    <xdr:to>
      <xdr:col>9</xdr:col>
      <xdr:colOff>33044</xdr:colOff>
      <xdr:row>80</xdr:row>
      <xdr:rowOff>166479</xdr:rowOff>
    </xdr:to>
    <xdr:sp macro="" textlink="">
      <xdr:nvSpPr>
        <xdr:cNvPr id="101" name="Rectángulo 100">
          <a:extLst>
            <a:ext uri="{FF2B5EF4-FFF2-40B4-BE49-F238E27FC236}">
              <a16:creationId xmlns:a16="http://schemas.microsoft.com/office/drawing/2014/main" id="{D0DD804B-ECED-49F1-BF26-7D7482C9FCAA}"/>
            </a:ext>
          </a:extLst>
        </xdr:cNvPr>
        <xdr:cNvSpPr/>
      </xdr:nvSpPr>
      <xdr:spPr>
        <a:xfrm>
          <a:off x="4447756" y="14392948"/>
          <a:ext cx="919288" cy="527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SF directo desde MLC</a:t>
          </a:r>
        </a:p>
      </xdr:txBody>
    </xdr:sp>
    <xdr:clientData/>
  </xdr:twoCellAnchor>
  <xdr:twoCellAnchor>
    <xdr:from>
      <xdr:col>9</xdr:col>
      <xdr:colOff>257900</xdr:colOff>
      <xdr:row>73</xdr:row>
      <xdr:rowOff>185474</xdr:rowOff>
    </xdr:from>
    <xdr:to>
      <xdr:col>12</xdr:col>
      <xdr:colOff>368171</xdr:colOff>
      <xdr:row>81</xdr:row>
      <xdr:rowOff>173364</xdr:rowOff>
    </xdr:to>
    <xdr:cxnSp macro="">
      <xdr:nvCxnSpPr>
        <xdr:cNvPr id="102" name="Conector: angular 101">
          <a:extLst>
            <a:ext uri="{FF2B5EF4-FFF2-40B4-BE49-F238E27FC236}">
              <a16:creationId xmlns:a16="http://schemas.microsoft.com/office/drawing/2014/main" id="{94AA125F-DEBC-47E2-BB9E-8BE50D1D4D3B}"/>
            </a:ext>
          </a:extLst>
        </xdr:cNvPr>
        <xdr:cNvCxnSpPr>
          <a:cxnSpLocks/>
          <a:stCxn id="103" idx="0"/>
          <a:endCxn id="14" idx="3"/>
        </xdr:cNvCxnSpPr>
      </xdr:nvCxnSpPr>
      <xdr:spPr>
        <a:xfrm rot="5400000" flipH="1" flipV="1">
          <a:off x="6049032" y="13175401"/>
          <a:ext cx="1482007" cy="239627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560256</xdr:colOff>
      <xdr:row>81</xdr:row>
      <xdr:rowOff>173363</xdr:rowOff>
    </xdr:from>
    <xdr:to>
      <xdr:col>9</xdr:col>
      <xdr:colOff>717544</xdr:colOff>
      <xdr:row>84</xdr:row>
      <xdr:rowOff>3260</xdr:rowOff>
    </xdr:to>
    <xdr:sp macro="" textlink="">
      <xdr:nvSpPr>
        <xdr:cNvPr id="103" name="Rectángulo 102">
          <a:extLst>
            <a:ext uri="{FF2B5EF4-FFF2-40B4-BE49-F238E27FC236}">
              <a16:creationId xmlns:a16="http://schemas.microsoft.com/office/drawing/2014/main" id="{009E039C-543C-4DB7-A27D-3DE96C1FD7C7}"/>
            </a:ext>
          </a:extLst>
        </xdr:cNvPr>
        <xdr:cNvSpPr/>
      </xdr:nvSpPr>
      <xdr:spPr>
        <a:xfrm>
          <a:off x="5132256" y="15114539"/>
          <a:ext cx="919288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Finos Pleito</a:t>
          </a:r>
        </a:p>
      </xdr:txBody>
    </xdr:sp>
    <xdr:clientData/>
  </xdr:twoCellAnchor>
  <xdr:twoCellAnchor>
    <xdr:from>
      <xdr:col>9</xdr:col>
      <xdr:colOff>635000</xdr:colOff>
      <xdr:row>85</xdr:row>
      <xdr:rowOff>68907</xdr:rowOff>
    </xdr:from>
    <xdr:to>
      <xdr:col>12</xdr:col>
      <xdr:colOff>336408</xdr:colOff>
      <xdr:row>88</xdr:row>
      <xdr:rowOff>29883</xdr:rowOff>
    </xdr:to>
    <xdr:cxnSp macro="">
      <xdr:nvCxnSpPr>
        <xdr:cNvPr id="104" name="Conector: angular 103">
          <a:extLst>
            <a:ext uri="{FF2B5EF4-FFF2-40B4-BE49-F238E27FC236}">
              <a16:creationId xmlns:a16="http://schemas.microsoft.com/office/drawing/2014/main" id="{85F4059C-9B38-4BA1-B86B-9B35DC0E8F8D}"/>
            </a:ext>
          </a:extLst>
        </xdr:cNvPr>
        <xdr:cNvCxnSpPr>
          <a:cxnSpLocks/>
          <a:endCxn id="19" idx="1"/>
        </xdr:cNvCxnSpPr>
      </xdr:nvCxnSpPr>
      <xdr:spPr>
        <a:xfrm flipV="1">
          <a:off x="6731000" y="15757142"/>
          <a:ext cx="1987408" cy="52127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358190</xdr:colOff>
      <xdr:row>86</xdr:row>
      <xdr:rowOff>84406</xdr:rowOff>
    </xdr:from>
    <xdr:to>
      <xdr:col>9</xdr:col>
      <xdr:colOff>714370</xdr:colOff>
      <xdr:row>88</xdr:row>
      <xdr:rowOff>101069</xdr:rowOff>
    </xdr:to>
    <xdr:sp macro="" textlink="">
      <xdr:nvSpPr>
        <xdr:cNvPr id="105" name="Rectángulo 104">
          <a:extLst>
            <a:ext uri="{FF2B5EF4-FFF2-40B4-BE49-F238E27FC236}">
              <a16:creationId xmlns:a16="http://schemas.microsoft.com/office/drawing/2014/main" id="{A7B06DAC-8A18-4E01-A09F-87AF633D5EDF}"/>
            </a:ext>
          </a:extLst>
        </xdr:cNvPr>
        <xdr:cNvSpPr/>
      </xdr:nvSpPr>
      <xdr:spPr>
        <a:xfrm>
          <a:off x="5692190" y="15959406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Planta Cristales</a:t>
          </a:r>
        </a:p>
      </xdr:txBody>
    </xdr:sp>
    <xdr:clientData/>
  </xdr:twoCellAnchor>
  <xdr:twoCellAnchor>
    <xdr:from>
      <xdr:col>9</xdr:col>
      <xdr:colOff>732118</xdr:colOff>
      <xdr:row>86</xdr:row>
      <xdr:rowOff>146113</xdr:rowOff>
    </xdr:from>
    <xdr:to>
      <xdr:col>12</xdr:col>
      <xdr:colOff>191787</xdr:colOff>
      <xdr:row>92</xdr:row>
      <xdr:rowOff>7472</xdr:rowOff>
    </xdr:to>
    <xdr:cxnSp macro="">
      <xdr:nvCxnSpPr>
        <xdr:cNvPr id="106" name="Conector: angular 105">
          <a:extLst>
            <a:ext uri="{FF2B5EF4-FFF2-40B4-BE49-F238E27FC236}">
              <a16:creationId xmlns:a16="http://schemas.microsoft.com/office/drawing/2014/main" id="{86E094F6-396D-4DF9-B4CB-4C2CE5993571}"/>
            </a:ext>
          </a:extLst>
        </xdr:cNvPr>
        <xdr:cNvCxnSpPr>
          <a:cxnSpLocks/>
          <a:endCxn id="19" idx="2"/>
        </xdr:cNvCxnSpPr>
      </xdr:nvCxnSpPr>
      <xdr:spPr>
        <a:xfrm flipV="1">
          <a:off x="6828118" y="16021113"/>
          <a:ext cx="1745669" cy="981947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424735</xdr:colOff>
      <xdr:row>90</xdr:row>
      <xdr:rowOff>60254</xdr:rowOff>
    </xdr:from>
    <xdr:to>
      <xdr:col>10</xdr:col>
      <xdr:colOff>18915</xdr:colOff>
      <xdr:row>92</xdr:row>
      <xdr:rowOff>76917</xdr:rowOff>
    </xdr:to>
    <xdr:sp macro="" textlink="">
      <xdr:nvSpPr>
        <xdr:cNvPr id="107" name="Rectángulo 106">
          <a:extLst>
            <a:ext uri="{FF2B5EF4-FFF2-40B4-BE49-F238E27FC236}">
              <a16:creationId xmlns:a16="http://schemas.microsoft.com/office/drawing/2014/main" id="{4975C42F-B8BF-41CF-B70E-C2C5EAF56749}"/>
            </a:ext>
          </a:extLst>
        </xdr:cNvPr>
        <xdr:cNvSpPr/>
      </xdr:nvSpPr>
      <xdr:spPr>
        <a:xfrm>
          <a:off x="5758735" y="16682313"/>
          <a:ext cx="1118180" cy="39019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CL" sz="1000">
              <a:solidFill>
                <a:schemeClr val="tx1"/>
              </a:solidFill>
            </a:rPr>
            <a:t>Recepción Granzas Pleito</a:t>
          </a:r>
        </a:p>
      </xdr:txBody>
    </xdr:sp>
    <xdr:clientData/>
  </xdr:twoCellAnchor>
  <xdr:twoCellAnchor>
    <xdr:from>
      <xdr:col>12</xdr:col>
      <xdr:colOff>481030</xdr:colOff>
      <xdr:row>83</xdr:row>
      <xdr:rowOff>178463</xdr:rowOff>
    </xdr:from>
    <xdr:to>
      <xdr:col>15</xdr:col>
      <xdr:colOff>158928</xdr:colOff>
      <xdr:row>85</xdr:row>
      <xdr:rowOff>173141</xdr:rowOff>
    </xdr:to>
    <xdr:cxnSp macro="">
      <xdr:nvCxnSpPr>
        <xdr:cNvPr id="108" name="Conector: angular 107">
          <a:extLst>
            <a:ext uri="{FF2B5EF4-FFF2-40B4-BE49-F238E27FC236}">
              <a16:creationId xmlns:a16="http://schemas.microsoft.com/office/drawing/2014/main" id="{345EC32C-1B08-43F3-BCF4-9486FB0C656E}"/>
            </a:ext>
          </a:extLst>
        </xdr:cNvPr>
        <xdr:cNvCxnSpPr>
          <a:cxnSpLocks/>
          <a:stCxn id="19" idx="0"/>
          <a:endCxn id="21" idx="1"/>
        </xdr:cNvCxnSpPr>
      </xdr:nvCxnSpPr>
      <xdr:spPr>
        <a:xfrm rot="16200000" flipH="1">
          <a:off x="8898875" y="14695324"/>
          <a:ext cx="368207" cy="1963898"/>
        </a:xfrm>
        <a:prstGeom prst="bentConnector4">
          <a:avLst>
            <a:gd name="adj1" fmla="val -62964"/>
            <a:gd name="adj2" fmla="val 5736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372573</xdr:colOff>
      <xdr:row>1</xdr:row>
      <xdr:rowOff>86212</xdr:rowOff>
    </xdr:from>
    <xdr:to>
      <xdr:col>4</xdr:col>
      <xdr:colOff>425450</xdr:colOff>
      <xdr:row>4</xdr:row>
      <xdr:rowOff>77399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02806AC-8B64-2C40-ABE7-EB54EB7A1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753573" y="276712"/>
          <a:ext cx="1005377" cy="54998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77"/>
  <sheetViews>
    <sheetView zoomScaleNormal="100" workbookViewId="0">
      <pane xSplit="6" topLeftCell="G1" activePane="topRight" state="frozen"/>
      <selection activeCell="E54" sqref="E54"/>
      <selection pane="topRight" activeCell="C65" sqref="A1:C65"/>
    </sheetView>
  </sheetViews>
  <sheetFormatPr baseColWidth="10" defaultColWidth="11.453125" defaultRowHeight="14.5" outlineLevelCol="1"/>
  <cols>
    <col min="1" max="1" width="33.1796875" hidden="1" customWidth="1" outlineLevel="1"/>
    <col min="2" max="2" width="31.1796875" hidden="1" customWidth="1" outlineLevel="1"/>
    <col min="3" max="3" width="30.81640625" hidden="1" customWidth="1" outlineLevel="1"/>
    <col min="4" max="4" width="16.453125" hidden="1" customWidth="1" outlineLevel="1"/>
    <col min="5" max="5" width="15.1796875" customWidth="1" collapsed="1"/>
    <col min="6" max="6" width="60.81640625" customWidth="1"/>
    <col min="7" max="8" width="14" customWidth="1"/>
    <col min="9" max="9" width="27.1796875" customWidth="1"/>
    <col min="10" max="12" width="14" customWidth="1"/>
    <col min="13" max="13" width="18.453125" customWidth="1"/>
    <col min="14" max="16" width="14" customWidth="1"/>
    <col min="17" max="17" width="9.453125" customWidth="1"/>
    <col min="18" max="18" width="14" customWidth="1"/>
    <col min="19" max="19" width="9.1796875" customWidth="1"/>
    <col min="20" max="22" width="14" customWidth="1"/>
    <col min="23" max="23" width="24.453125" customWidth="1"/>
    <col min="24" max="25" width="14" customWidth="1"/>
    <col min="26" max="26" width="39.453125" bestFit="1" customWidth="1"/>
    <col min="27" max="34" width="14" customWidth="1"/>
    <col min="37" max="37" width="11.1796875" bestFit="1" customWidth="1"/>
    <col min="66" max="66" width="11.81640625" customWidth="1"/>
    <col min="67" max="67" width="15.453125" customWidth="1"/>
  </cols>
  <sheetData>
    <row r="1" spans="1:46">
      <c r="A1" s="135">
        <v>109199</v>
      </c>
      <c r="B1" s="135">
        <v>109880.56415999999</v>
      </c>
      <c r="C1" s="140">
        <v>25.5</v>
      </c>
      <c r="D1" s="119">
        <v>26.251920328000001</v>
      </c>
      <c r="E1" s="118">
        <v>0.01</v>
      </c>
      <c r="F1" s="118"/>
      <c r="G1" s="135"/>
      <c r="H1" s="135"/>
      <c r="I1" s="135"/>
      <c r="J1" s="135"/>
      <c r="K1" s="135"/>
      <c r="L1" s="135"/>
    </row>
    <row r="2" spans="1:46">
      <c r="A2" s="135">
        <v>0</v>
      </c>
      <c r="B2" s="135">
        <v>0</v>
      </c>
      <c r="C2" s="140">
        <v>0</v>
      </c>
      <c r="D2" s="119">
        <v>0</v>
      </c>
      <c r="E2" s="118">
        <v>0.01</v>
      </c>
      <c r="F2" s="118"/>
      <c r="G2" s="135"/>
      <c r="H2" s="135"/>
      <c r="I2" s="135"/>
      <c r="J2" s="135"/>
      <c r="K2" s="135"/>
      <c r="L2" s="135"/>
    </row>
    <row r="3" spans="1:46">
      <c r="A3" s="135">
        <v>52085</v>
      </c>
      <c r="B3" s="135">
        <v>52195.728946000003</v>
      </c>
      <c r="C3" s="140">
        <v>16.809999999999999</v>
      </c>
      <c r="D3" s="119">
        <v>16.656782352</v>
      </c>
      <c r="E3" s="118">
        <v>0.01</v>
      </c>
      <c r="F3" s="118"/>
      <c r="G3" s="136"/>
      <c r="H3" s="136"/>
      <c r="I3" s="136"/>
      <c r="J3" s="136"/>
      <c r="K3" s="136"/>
      <c r="L3" s="13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  <c r="AN3" s="95"/>
      <c r="AO3" s="95"/>
      <c r="AP3" s="95"/>
      <c r="AQ3" s="95"/>
      <c r="AR3" s="95"/>
      <c r="AS3" s="95"/>
    </row>
    <row r="4" spans="1:46">
      <c r="A4" s="135">
        <v>57114</v>
      </c>
      <c r="B4" s="135">
        <v>57684.835215999999</v>
      </c>
      <c r="C4" s="140">
        <v>33.43</v>
      </c>
      <c r="D4" s="119">
        <v>34.934015365999997</v>
      </c>
      <c r="E4" s="118">
        <v>0.01</v>
      </c>
      <c r="F4" s="118"/>
      <c r="G4" s="135"/>
      <c r="H4" s="135"/>
      <c r="I4" s="135"/>
      <c r="J4" s="135"/>
      <c r="K4" s="135"/>
      <c r="L4" s="135"/>
    </row>
    <row r="5" spans="1:46">
      <c r="A5" s="135">
        <v>61069</v>
      </c>
      <c r="B5" s="135">
        <v>61069</v>
      </c>
      <c r="C5" s="140">
        <v>49.82</v>
      </c>
      <c r="D5" s="119">
        <v>49.82</v>
      </c>
      <c r="E5" s="118">
        <v>0.01</v>
      </c>
      <c r="F5" s="118"/>
      <c r="G5" s="135"/>
      <c r="H5" s="135"/>
      <c r="I5" s="135"/>
      <c r="J5" s="135"/>
      <c r="K5" s="135"/>
      <c r="L5" s="135"/>
    </row>
    <row r="6" spans="1:46">
      <c r="A6" s="135">
        <v>37539</v>
      </c>
      <c r="B6" s="135">
        <v>36608.483217000001</v>
      </c>
      <c r="C6" s="140">
        <v>47.11</v>
      </c>
      <c r="D6" s="119">
        <v>44.7545</v>
      </c>
      <c r="E6" s="118">
        <v>0.01</v>
      </c>
      <c r="F6" s="118"/>
      <c r="G6" s="135"/>
      <c r="H6" s="135"/>
      <c r="I6" s="135"/>
      <c r="J6" s="135"/>
      <c r="K6" s="135"/>
      <c r="L6" s="135"/>
    </row>
    <row r="7" spans="1:46">
      <c r="A7" s="135">
        <v>86600</v>
      </c>
      <c r="B7" s="135">
        <v>82145.351999000006</v>
      </c>
      <c r="C7" s="140">
        <v>42.57</v>
      </c>
      <c r="D7" s="119">
        <v>41.624097638999999</v>
      </c>
      <c r="E7" s="118">
        <v>0.01</v>
      </c>
      <c r="F7" s="118"/>
      <c r="G7" s="135"/>
      <c r="H7" s="135"/>
      <c r="I7" s="135"/>
      <c r="J7" s="135"/>
      <c r="K7" s="135"/>
      <c r="L7" s="135"/>
    </row>
    <row r="8" spans="1:46">
      <c r="A8" s="135">
        <v>0</v>
      </c>
      <c r="B8" s="135">
        <v>0</v>
      </c>
      <c r="C8" s="140">
        <v>0</v>
      </c>
      <c r="D8" s="119">
        <v>0</v>
      </c>
      <c r="E8" s="118">
        <v>0.01</v>
      </c>
      <c r="F8" s="118"/>
      <c r="G8" s="135"/>
      <c r="H8" s="135"/>
      <c r="I8" s="135"/>
      <c r="J8" s="135"/>
      <c r="K8" s="135"/>
      <c r="L8" s="135"/>
    </row>
    <row r="9" spans="1:46">
      <c r="A9" s="135">
        <v>19491</v>
      </c>
      <c r="B9" s="135">
        <v>19654.716090000002</v>
      </c>
      <c r="C9" s="140">
        <v>27.8</v>
      </c>
      <c r="D9" s="119">
        <v>27.382140926999998</v>
      </c>
      <c r="E9" s="118">
        <v>0.01</v>
      </c>
      <c r="F9" s="118"/>
      <c r="G9" s="135"/>
      <c r="H9" s="135"/>
      <c r="I9" s="135"/>
      <c r="J9" s="135"/>
      <c r="K9" s="135"/>
      <c r="L9" s="135"/>
    </row>
    <row r="10" spans="1:46">
      <c r="A10" s="135">
        <v>7144</v>
      </c>
      <c r="B10" s="135">
        <v>7183.3611259999998</v>
      </c>
      <c r="C10" s="140">
        <v>14.7</v>
      </c>
      <c r="D10" s="119">
        <v>14.65796126</v>
      </c>
      <c r="E10" s="118">
        <v>0.01</v>
      </c>
      <c r="F10" s="118"/>
      <c r="G10" s="135"/>
      <c r="H10" s="135"/>
      <c r="I10" s="135"/>
      <c r="J10" s="135"/>
      <c r="K10" s="135"/>
      <c r="L10" s="135"/>
      <c r="AT10" s="3"/>
    </row>
    <row r="11" spans="1:46">
      <c r="A11" s="135">
        <v>26620</v>
      </c>
      <c r="B11" s="135">
        <v>25002.378000000001</v>
      </c>
      <c r="C11" s="140">
        <v>49.13</v>
      </c>
      <c r="D11" s="119">
        <v>46.9625792</v>
      </c>
      <c r="E11" s="118">
        <v>0.01</v>
      </c>
      <c r="F11" s="118"/>
      <c r="G11" s="135"/>
      <c r="H11" s="135"/>
      <c r="I11" s="135"/>
      <c r="J11" s="135"/>
      <c r="K11" s="135"/>
      <c r="L11" s="135"/>
    </row>
    <row r="12" spans="1:46">
      <c r="A12" s="135">
        <v>33345</v>
      </c>
      <c r="B12" s="135">
        <v>30304.896783</v>
      </c>
      <c r="C12" s="140">
        <v>55.63</v>
      </c>
      <c r="D12" s="119">
        <v>52.848500000000001</v>
      </c>
      <c r="E12" s="118">
        <v>0.01</v>
      </c>
      <c r="F12" s="118"/>
      <c r="G12" s="135"/>
      <c r="H12" s="135"/>
      <c r="I12" s="135"/>
      <c r="J12" s="135"/>
      <c r="K12" s="135"/>
      <c r="L12" s="135"/>
    </row>
    <row r="13" spans="1:46">
      <c r="A13" s="135">
        <v>28325</v>
      </c>
      <c r="B13" s="135">
        <v>28138.902222000001</v>
      </c>
      <c r="C13" s="140">
        <v>51.79</v>
      </c>
      <c r="D13" s="119">
        <v>51.365737031000002</v>
      </c>
      <c r="E13" s="118">
        <v>0.01</v>
      </c>
      <c r="F13" s="118"/>
      <c r="G13" s="135"/>
      <c r="H13" s="135"/>
      <c r="I13" s="135"/>
      <c r="J13" s="135"/>
      <c r="K13" s="135"/>
      <c r="L13" s="135"/>
    </row>
    <row r="14" spans="1:46">
      <c r="A14" s="135">
        <v>-21948</v>
      </c>
      <c r="B14" s="135">
        <v>-20891.867204999999</v>
      </c>
      <c r="C14" s="140">
        <v>49.13</v>
      </c>
      <c r="D14" s="119">
        <v>48.695319464000001</v>
      </c>
      <c r="E14" s="118">
        <v>0.01</v>
      </c>
      <c r="F14" s="118"/>
      <c r="G14" s="135"/>
      <c r="H14" s="135"/>
      <c r="I14" s="135"/>
      <c r="J14" s="135"/>
      <c r="K14" s="135"/>
      <c r="L14" s="135"/>
    </row>
    <row r="15" spans="1:46">
      <c r="A15" s="135">
        <v>100588</v>
      </c>
      <c r="B15" s="135">
        <v>98197.342982999995</v>
      </c>
      <c r="C15" s="140">
        <v>53.72</v>
      </c>
      <c r="D15" s="119">
        <v>52.129353385000002</v>
      </c>
      <c r="E15" s="118">
        <v>0.01</v>
      </c>
      <c r="F15" s="118"/>
      <c r="G15" s="135"/>
      <c r="H15" s="135"/>
      <c r="I15" s="135"/>
      <c r="J15" s="135"/>
      <c r="K15" s="135"/>
      <c r="L15" s="135"/>
    </row>
    <row r="16" spans="1:46">
      <c r="A16" s="135">
        <v>35912</v>
      </c>
      <c r="B16" s="135">
        <v>38270.682962999999</v>
      </c>
      <c r="C16" s="140">
        <v>7.73</v>
      </c>
      <c r="D16" s="119">
        <v>7.7623959585</v>
      </c>
      <c r="E16" s="118">
        <v>0.01</v>
      </c>
      <c r="F16" s="118"/>
      <c r="G16" s="135"/>
      <c r="H16" s="135"/>
      <c r="I16" s="135"/>
      <c r="J16" s="135"/>
      <c r="K16" s="135"/>
      <c r="L16" s="135"/>
      <c r="M16" s="123"/>
    </row>
    <row r="17" spans="1:32">
      <c r="A17" s="135">
        <v>117320</v>
      </c>
      <c r="B17" s="135">
        <v>118370.45903</v>
      </c>
      <c r="C17" s="140">
        <v>66.41</v>
      </c>
      <c r="D17" s="119">
        <v>66.476346019000005</v>
      </c>
      <c r="E17" s="118">
        <v>0.01</v>
      </c>
      <c r="F17" s="118"/>
      <c r="G17" s="135"/>
      <c r="H17" s="135"/>
      <c r="I17" s="135"/>
      <c r="J17" s="135"/>
      <c r="K17" s="135"/>
      <c r="L17" s="135"/>
      <c r="M17" s="123"/>
    </row>
    <row r="18" spans="1:32">
      <c r="A18" s="135">
        <v>-280</v>
      </c>
      <c r="B18" s="135">
        <v>-279.80795475000002</v>
      </c>
      <c r="C18" s="140">
        <v>66.41</v>
      </c>
      <c r="D18" s="119">
        <v>66.396241849000006</v>
      </c>
      <c r="E18" s="118">
        <v>0.01</v>
      </c>
      <c r="F18" s="118"/>
      <c r="G18" s="135"/>
      <c r="H18" s="135"/>
      <c r="I18" s="135"/>
      <c r="J18" s="135"/>
      <c r="K18" s="135"/>
      <c r="L18" s="135"/>
      <c r="M18" s="123"/>
    </row>
    <row r="19" spans="1:32">
      <c r="A19" s="135">
        <v>117320</v>
      </c>
      <c r="B19" s="135">
        <v>118650.26698</v>
      </c>
      <c r="C19" s="140">
        <v>66.41</v>
      </c>
      <c r="D19" s="119">
        <v>66.476157069999999</v>
      </c>
      <c r="E19" s="118">
        <v>0.01</v>
      </c>
      <c r="F19" s="118"/>
      <c r="G19" s="135"/>
      <c r="H19" s="135"/>
      <c r="I19" s="135"/>
      <c r="J19" s="135"/>
      <c r="K19" s="135"/>
      <c r="L19" s="135"/>
      <c r="M19" s="123"/>
    </row>
    <row r="20" spans="1:32">
      <c r="A20" s="135">
        <v>295</v>
      </c>
      <c r="B20" s="135">
        <v>295.21734726</v>
      </c>
      <c r="C20" s="140">
        <v>66.41</v>
      </c>
      <c r="D20" s="119">
        <v>66.427353236000002</v>
      </c>
      <c r="E20" s="118">
        <v>0.01</v>
      </c>
      <c r="F20" s="118"/>
      <c r="G20" s="135"/>
      <c r="H20" s="135"/>
      <c r="I20" s="135"/>
      <c r="J20" s="135"/>
      <c r="K20" s="135"/>
      <c r="L20" s="135"/>
      <c r="M20" s="123"/>
    </row>
    <row r="21" spans="1:32">
      <c r="A21" s="135">
        <v>0</v>
      </c>
      <c r="B21" s="135">
        <v>0</v>
      </c>
      <c r="C21" s="140">
        <v>0</v>
      </c>
      <c r="D21" s="119">
        <v>0</v>
      </c>
      <c r="E21" s="118">
        <v>0.01</v>
      </c>
      <c r="F21" s="118"/>
      <c r="G21" s="135"/>
      <c r="H21" s="135"/>
      <c r="I21" s="135"/>
      <c r="J21" s="135"/>
      <c r="K21" s="135"/>
      <c r="L21" s="135"/>
      <c r="M21" s="123"/>
    </row>
    <row r="22" spans="1:32">
      <c r="A22" s="135">
        <v>113375</v>
      </c>
      <c r="B22" s="135">
        <v>118355.04962999999</v>
      </c>
      <c r="C22" s="140">
        <v>66.400000000000006</v>
      </c>
      <c r="D22" s="119">
        <v>66.476278801999996</v>
      </c>
      <c r="E22" s="118">
        <v>0.01</v>
      </c>
      <c r="F22" s="118"/>
      <c r="G22" s="135"/>
      <c r="H22" s="135"/>
      <c r="I22" s="135"/>
      <c r="J22" s="135"/>
      <c r="K22" s="135"/>
      <c r="L22" s="135"/>
      <c r="M22" s="123"/>
    </row>
    <row r="23" spans="1:32">
      <c r="A23" s="135">
        <v>0</v>
      </c>
      <c r="B23" s="135">
        <v>0</v>
      </c>
      <c r="C23" s="140">
        <v>66.400000000000006</v>
      </c>
      <c r="D23" s="119">
        <v>66.400000000000006</v>
      </c>
      <c r="E23" s="118">
        <v>0.01</v>
      </c>
      <c r="F23" s="118"/>
      <c r="G23" s="135"/>
      <c r="H23" s="135"/>
      <c r="I23" s="135"/>
      <c r="J23" s="135"/>
      <c r="K23" s="135"/>
      <c r="L23" s="135"/>
      <c r="M23" s="124"/>
    </row>
    <row r="24" spans="1:32">
      <c r="A24" s="135">
        <v>113375</v>
      </c>
      <c r="B24" s="135">
        <v>118355.04962999999</v>
      </c>
      <c r="C24" s="140">
        <v>66.400000000000006</v>
      </c>
      <c r="D24" s="119">
        <v>66.476278801999996</v>
      </c>
      <c r="E24" s="118">
        <v>0.01</v>
      </c>
      <c r="F24" s="118"/>
      <c r="G24" s="135"/>
      <c r="H24" s="135"/>
      <c r="I24" s="135"/>
      <c r="J24" s="135"/>
      <c r="K24" s="135"/>
      <c r="L24" s="135"/>
      <c r="M24" s="123"/>
      <c r="AD24" s="6"/>
      <c r="AE24" s="6"/>
      <c r="AF24" s="6"/>
    </row>
    <row r="25" spans="1:32">
      <c r="A25" s="135">
        <v>16139</v>
      </c>
      <c r="B25" s="135">
        <v>16589.049632999999</v>
      </c>
      <c r="C25" s="140">
        <v>66.37</v>
      </c>
      <c r="D25" s="119">
        <v>67.373629965999996</v>
      </c>
      <c r="E25" s="118">
        <v>0.01</v>
      </c>
      <c r="F25" s="118"/>
      <c r="G25" s="135"/>
      <c r="H25" s="135"/>
      <c r="I25" s="135"/>
      <c r="J25" s="135"/>
      <c r="K25" s="135"/>
      <c r="L25" s="135"/>
      <c r="M25" s="123"/>
      <c r="AD25" s="6"/>
      <c r="AE25" s="4"/>
      <c r="AF25" s="4"/>
    </row>
    <row r="26" spans="1:32">
      <c r="A26" s="135">
        <v>101766</v>
      </c>
      <c r="B26" s="135">
        <v>101766</v>
      </c>
      <c r="C26" s="140">
        <v>66.33</v>
      </c>
      <c r="D26" s="119">
        <v>66.33</v>
      </c>
      <c r="E26" s="118">
        <v>0.01</v>
      </c>
      <c r="F26" s="118"/>
      <c r="G26" s="135"/>
      <c r="H26" s="135"/>
      <c r="I26" s="135"/>
      <c r="J26" s="135"/>
      <c r="K26" s="135"/>
      <c r="L26" s="135"/>
      <c r="M26" s="123"/>
      <c r="AD26" s="6"/>
      <c r="AE26" s="4"/>
      <c r="AF26" s="4"/>
    </row>
    <row r="27" spans="1:32">
      <c r="A27" s="135">
        <v>0</v>
      </c>
      <c r="B27" s="135">
        <v>0</v>
      </c>
      <c r="C27" s="140">
        <v>0</v>
      </c>
      <c r="D27" s="119">
        <v>0</v>
      </c>
      <c r="E27" s="118">
        <v>0.01</v>
      </c>
      <c r="F27" s="118"/>
      <c r="G27" s="135"/>
      <c r="H27" s="135"/>
      <c r="I27" s="135"/>
      <c r="J27" s="135"/>
      <c r="K27" s="135"/>
      <c r="L27" s="135"/>
      <c r="M27" s="123"/>
      <c r="AD27" s="6"/>
      <c r="AE27" s="4"/>
      <c r="AF27" s="4"/>
    </row>
    <row r="28" spans="1:32">
      <c r="A28" s="135">
        <v>0</v>
      </c>
      <c r="B28" s="135">
        <v>0</v>
      </c>
      <c r="C28" s="140">
        <v>0</v>
      </c>
      <c r="D28" s="119">
        <v>0</v>
      </c>
      <c r="E28" s="118">
        <v>0.01</v>
      </c>
      <c r="F28" s="118"/>
      <c r="G28" s="135"/>
      <c r="H28" s="135"/>
      <c r="I28" s="135"/>
      <c r="J28" s="135"/>
      <c r="K28" s="135"/>
      <c r="L28" s="135"/>
      <c r="M28" s="123"/>
      <c r="AD28" s="6"/>
      <c r="AE28" s="4"/>
      <c r="AF28" s="4"/>
    </row>
    <row r="29" spans="1:32">
      <c r="A29" s="135">
        <v>0</v>
      </c>
      <c r="B29" s="135">
        <v>0</v>
      </c>
      <c r="C29" s="140">
        <v>0</v>
      </c>
      <c r="D29" s="119">
        <v>0</v>
      </c>
      <c r="E29" s="118">
        <v>0.01</v>
      </c>
      <c r="F29" s="118"/>
      <c r="G29" s="135"/>
      <c r="H29" s="135"/>
      <c r="I29" s="135"/>
      <c r="J29" s="135"/>
      <c r="K29" s="135"/>
      <c r="L29" s="135"/>
      <c r="M29" s="123"/>
      <c r="AD29" s="6"/>
      <c r="AE29" s="4"/>
      <c r="AF29" s="4"/>
    </row>
    <row r="30" spans="1:32">
      <c r="A30" s="135">
        <v>0</v>
      </c>
      <c r="B30" s="135">
        <v>0</v>
      </c>
      <c r="C30" s="140">
        <v>0</v>
      </c>
      <c r="D30" s="119">
        <v>0</v>
      </c>
      <c r="E30" s="118">
        <v>0.01</v>
      </c>
      <c r="F30" s="118"/>
      <c r="G30" s="135"/>
      <c r="H30" s="135"/>
      <c r="I30" s="135"/>
      <c r="J30" s="135"/>
      <c r="K30" s="135"/>
      <c r="L30" s="135"/>
      <c r="M30" s="123"/>
      <c r="AD30" s="6"/>
      <c r="AE30" s="4"/>
      <c r="AF30" s="4"/>
    </row>
    <row r="31" spans="1:32">
      <c r="A31" s="135">
        <v>0</v>
      </c>
      <c r="B31" s="135">
        <v>0</v>
      </c>
      <c r="C31" s="140">
        <v>0</v>
      </c>
      <c r="D31" s="119">
        <v>0</v>
      </c>
      <c r="E31" s="118">
        <v>0.01</v>
      </c>
      <c r="F31" s="118"/>
      <c r="G31" s="135"/>
      <c r="H31" s="135"/>
      <c r="I31" s="135"/>
      <c r="J31" s="135"/>
      <c r="K31" s="135"/>
      <c r="L31" s="135"/>
      <c r="M31" s="123"/>
      <c r="AD31" s="6"/>
      <c r="AE31" s="4"/>
      <c r="AF31" s="4"/>
    </row>
    <row r="32" spans="1:32">
      <c r="A32" s="135">
        <v>59464</v>
      </c>
      <c r="B32" s="135">
        <v>59464</v>
      </c>
      <c r="C32" s="140">
        <v>61.4</v>
      </c>
      <c r="D32" s="119">
        <v>60.354921523000002</v>
      </c>
      <c r="E32" s="118">
        <v>0.01</v>
      </c>
      <c r="F32" s="118"/>
      <c r="G32" s="135"/>
      <c r="H32" s="135"/>
      <c r="I32" s="135"/>
      <c r="J32" s="135"/>
      <c r="K32" s="135"/>
      <c r="L32" s="135"/>
      <c r="M32" s="123"/>
      <c r="AD32" s="6"/>
      <c r="AE32" s="4"/>
      <c r="AF32" s="4"/>
    </row>
    <row r="33" spans="1:32">
      <c r="A33" s="135">
        <v>-32740</v>
      </c>
      <c r="B33" s="135">
        <v>-38772</v>
      </c>
      <c r="C33" s="140">
        <v>59.67</v>
      </c>
      <c r="D33" s="119">
        <v>60.334113623999997</v>
      </c>
      <c r="E33" s="118">
        <v>0.01</v>
      </c>
      <c r="F33" s="118"/>
      <c r="G33" s="135"/>
      <c r="H33" s="135"/>
      <c r="I33" s="135"/>
      <c r="J33" s="135"/>
      <c r="K33" s="135"/>
      <c r="L33" s="135"/>
      <c r="M33" s="123"/>
      <c r="AD33" s="6"/>
      <c r="AE33" s="4"/>
      <c r="AF33" s="4"/>
    </row>
    <row r="34" spans="1:32">
      <c r="A34" s="135">
        <v>13748</v>
      </c>
      <c r="B34" s="135">
        <v>13748</v>
      </c>
      <c r="C34" s="140">
        <v>61.3</v>
      </c>
      <c r="D34" s="119">
        <v>61.3</v>
      </c>
      <c r="E34" s="118">
        <v>0.01</v>
      </c>
      <c r="F34" s="118"/>
      <c r="G34" s="135"/>
      <c r="H34" s="135"/>
      <c r="I34" s="135"/>
      <c r="J34" s="135"/>
      <c r="K34" s="135"/>
      <c r="L34" s="135"/>
      <c r="M34" s="123"/>
      <c r="AD34" s="6"/>
      <c r="AE34" s="4"/>
      <c r="AF34" s="4"/>
    </row>
    <row r="35" spans="1:32">
      <c r="A35" s="135">
        <v>6944</v>
      </c>
      <c r="B35" s="135">
        <v>6944</v>
      </c>
      <c r="C35" s="140">
        <v>58.6</v>
      </c>
      <c r="D35" s="119">
        <v>58.6</v>
      </c>
      <c r="E35" s="118">
        <v>0.01</v>
      </c>
      <c r="F35" s="118"/>
      <c r="G35" s="135"/>
      <c r="H35" s="135"/>
      <c r="I35" s="135"/>
      <c r="J35" s="135"/>
      <c r="K35" s="135"/>
      <c r="L35" s="135"/>
      <c r="M35" s="123"/>
      <c r="AD35" s="6"/>
      <c r="AE35" s="4"/>
      <c r="AF35" s="4"/>
    </row>
    <row r="36" spans="1:32">
      <c r="A36" s="135">
        <v>8561</v>
      </c>
      <c r="B36" s="135">
        <v>8561</v>
      </c>
      <c r="C36" s="140">
        <v>58.36</v>
      </c>
      <c r="D36" s="119">
        <v>58.36</v>
      </c>
      <c r="E36" s="118">
        <v>0.01</v>
      </c>
      <c r="F36" s="118"/>
      <c r="G36" s="135"/>
      <c r="H36" s="135"/>
      <c r="I36" s="135"/>
      <c r="J36" s="135"/>
      <c r="K36" s="135"/>
      <c r="L36" s="135"/>
      <c r="M36" s="123"/>
      <c r="AD36" s="6"/>
      <c r="AE36" s="4"/>
      <c r="AF36" s="4"/>
    </row>
    <row r="37" spans="1:32">
      <c r="A37" s="135">
        <v>0</v>
      </c>
      <c r="B37" s="135">
        <v>0</v>
      </c>
      <c r="C37" s="140">
        <v>0</v>
      </c>
      <c r="D37" s="119">
        <v>0</v>
      </c>
      <c r="E37" s="118">
        <v>0.01</v>
      </c>
      <c r="F37" s="118"/>
      <c r="G37" s="135"/>
      <c r="H37" s="135"/>
      <c r="I37" s="135"/>
      <c r="J37" s="135"/>
      <c r="K37" s="135"/>
      <c r="L37" s="135"/>
      <c r="M37" s="123"/>
      <c r="AD37" s="6"/>
      <c r="AE37" s="4"/>
      <c r="AF37" s="4"/>
    </row>
    <row r="38" spans="1:32">
      <c r="A38" s="135">
        <v>10977</v>
      </c>
      <c r="B38" s="135">
        <v>8561</v>
      </c>
      <c r="C38" s="140">
        <v>58.36</v>
      </c>
      <c r="D38" s="119">
        <v>58.36</v>
      </c>
      <c r="E38" s="118">
        <v>0.01</v>
      </c>
      <c r="F38" s="118"/>
      <c r="G38" s="135"/>
      <c r="H38" s="135"/>
      <c r="I38" s="135"/>
      <c r="J38" s="135"/>
      <c r="K38" s="135"/>
      <c r="L38" s="135"/>
      <c r="M38" s="123"/>
      <c r="AD38" s="6"/>
      <c r="AE38" s="4"/>
      <c r="AF38" s="4"/>
    </row>
    <row r="39" spans="1:32">
      <c r="A39" s="135">
        <v>0</v>
      </c>
      <c r="B39" s="135">
        <v>0</v>
      </c>
      <c r="C39" s="140">
        <v>0</v>
      </c>
      <c r="D39" s="119">
        <v>0</v>
      </c>
      <c r="E39" s="118">
        <v>0.01</v>
      </c>
      <c r="F39" s="118"/>
      <c r="G39" s="135"/>
      <c r="H39" s="135"/>
      <c r="I39" s="135"/>
      <c r="J39" s="135"/>
      <c r="K39" s="135"/>
      <c r="L39" s="135"/>
      <c r="M39" s="123"/>
      <c r="AD39" s="6"/>
      <c r="AE39" s="4"/>
      <c r="AF39" s="4"/>
    </row>
    <row r="40" spans="1:32">
      <c r="A40" s="135">
        <v>0</v>
      </c>
      <c r="B40" s="135">
        <v>0</v>
      </c>
      <c r="C40" s="140">
        <v>0</v>
      </c>
      <c r="D40" s="119">
        <v>0</v>
      </c>
      <c r="E40" s="118">
        <v>0.01</v>
      </c>
      <c r="F40" s="118"/>
      <c r="G40" s="135"/>
      <c r="H40" s="135"/>
      <c r="I40" s="135"/>
      <c r="J40" s="135"/>
      <c r="K40" s="135"/>
      <c r="L40" s="135"/>
      <c r="M40" s="123"/>
      <c r="AD40" s="6"/>
      <c r="AE40" s="4"/>
      <c r="AF40" s="4"/>
    </row>
    <row r="41" spans="1:32">
      <c r="A41" s="135">
        <v>0</v>
      </c>
      <c r="B41" s="135">
        <v>0</v>
      </c>
      <c r="C41" s="140">
        <v>0</v>
      </c>
      <c r="D41" s="119">
        <v>0</v>
      </c>
      <c r="E41" s="118">
        <v>0.01</v>
      </c>
      <c r="F41" s="118"/>
      <c r="G41" s="135"/>
      <c r="H41" s="135"/>
      <c r="I41" s="135"/>
      <c r="J41" s="135"/>
      <c r="K41" s="135"/>
      <c r="L41" s="135"/>
      <c r="M41" s="123"/>
      <c r="AD41" s="6"/>
      <c r="AE41" s="4"/>
      <c r="AF41" s="4"/>
    </row>
    <row r="42" spans="1:32">
      <c r="A42" s="135">
        <v>0</v>
      </c>
      <c r="B42" s="135">
        <v>0</v>
      </c>
      <c r="C42" s="140">
        <v>0</v>
      </c>
      <c r="D42" s="119">
        <v>0</v>
      </c>
      <c r="E42" s="118">
        <v>0.01</v>
      </c>
      <c r="F42" s="118"/>
      <c r="G42" s="135"/>
      <c r="H42" s="135"/>
      <c r="I42" s="135"/>
      <c r="J42" s="135"/>
      <c r="K42" s="135"/>
      <c r="L42" s="135"/>
      <c r="M42" s="123"/>
      <c r="AD42" s="6"/>
      <c r="AE42" s="4"/>
      <c r="AF42" s="4"/>
    </row>
    <row r="43" spans="1:32">
      <c r="A43" s="135">
        <v>0</v>
      </c>
      <c r="B43" s="135">
        <v>0</v>
      </c>
      <c r="C43" s="140">
        <v>0</v>
      </c>
      <c r="D43" s="119">
        <v>0</v>
      </c>
      <c r="E43" s="118">
        <v>0.01</v>
      </c>
      <c r="F43" s="118"/>
      <c r="G43" s="135"/>
      <c r="H43" s="135"/>
      <c r="I43" s="135"/>
      <c r="J43" s="135"/>
      <c r="K43" s="135"/>
      <c r="L43" s="135"/>
      <c r="M43" s="123"/>
      <c r="AD43" s="6"/>
      <c r="AE43" s="4"/>
      <c r="AF43" s="4"/>
    </row>
    <row r="44" spans="1:32">
      <c r="A44" s="135">
        <v>0</v>
      </c>
      <c r="B44" s="135">
        <v>0</v>
      </c>
      <c r="C44" s="140">
        <v>0</v>
      </c>
      <c r="D44" s="119">
        <v>0</v>
      </c>
      <c r="E44" s="118">
        <v>0.01</v>
      </c>
      <c r="F44" s="118"/>
      <c r="G44" s="135"/>
      <c r="H44" s="135"/>
      <c r="I44" s="135"/>
      <c r="J44" s="135"/>
      <c r="K44" s="135"/>
      <c r="L44" s="135"/>
      <c r="M44" s="123"/>
      <c r="AD44" s="6"/>
      <c r="AE44" s="4"/>
      <c r="AF44" s="4"/>
    </row>
    <row r="45" spans="1:32">
      <c r="A45" s="135">
        <v>0</v>
      </c>
      <c r="B45" s="135">
        <v>0</v>
      </c>
      <c r="C45" s="140">
        <v>0</v>
      </c>
      <c r="D45" s="119">
        <v>0</v>
      </c>
      <c r="E45" s="118">
        <v>0.01</v>
      </c>
      <c r="F45" s="118"/>
      <c r="G45" s="135"/>
      <c r="H45" s="135"/>
      <c r="I45" s="135"/>
      <c r="J45" s="135"/>
      <c r="K45" s="135"/>
      <c r="L45" s="135"/>
      <c r="M45" s="123"/>
      <c r="AD45" s="6"/>
      <c r="AE45" s="4"/>
      <c r="AF45" s="4"/>
    </row>
    <row r="46" spans="1:32">
      <c r="A46" s="135">
        <v>0</v>
      </c>
      <c r="B46" s="135">
        <v>0</v>
      </c>
      <c r="C46" s="140">
        <v>0</v>
      </c>
      <c r="D46" s="119">
        <v>0</v>
      </c>
      <c r="E46" s="118">
        <v>0.01</v>
      </c>
      <c r="F46" s="118"/>
      <c r="G46" s="135"/>
      <c r="H46" s="135"/>
      <c r="I46" s="135"/>
      <c r="J46" s="135"/>
      <c r="K46" s="135"/>
      <c r="L46" s="135"/>
      <c r="M46" s="123"/>
      <c r="AD46" s="6"/>
      <c r="AE46" s="4"/>
      <c r="AF46" s="4"/>
    </row>
    <row r="47" spans="1:32">
      <c r="A47" s="135">
        <v>0</v>
      </c>
      <c r="B47" s="135">
        <v>0</v>
      </c>
      <c r="C47" s="140">
        <v>0</v>
      </c>
      <c r="D47" s="119">
        <v>0</v>
      </c>
      <c r="E47" s="118">
        <v>0.01</v>
      </c>
      <c r="F47" s="118"/>
      <c r="G47" s="135"/>
      <c r="H47" s="135"/>
      <c r="I47" s="135"/>
      <c r="J47" s="135"/>
      <c r="K47" s="135"/>
      <c r="L47" s="135"/>
      <c r="M47" s="123"/>
      <c r="AD47" s="6"/>
      <c r="AE47" s="4"/>
      <c r="AF47" s="4"/>
    </row>
    <row r="48" spans="1:32">
      <c r="A48" s="135">
        <v>0</v>
      </c>
      <c r="B48" s="135">
        <v>0</v>
      </c>
      <c r="C48" s="140">
        <v>0</v>
      </c>
      <c r="D48" s="119">
        <v>0</v>
      </c>
      <c r="E48" s="118">
        <v>0.01</v>
      </c>
      <c r="F48" s="118"/>
      <c r="G48" s="135"/>
      <c r="H48" s="135"/>
      <c r="I48" s="135"/>
      <c r="J48" s="135"/>
      <c r="K48" s="135"/>
      <c r="L48" s="135"/>
      <c r="M48" s="123"/>
      <c r="AD48" s="6"/>
      <c r="AE48" s="4"/>
      <c r="AF48" s="4"/>
    </row>
    <row r="49" spans="1:32">
      <c r="A49" s="135">
        <v>0</v>
      </c>
      <c r="B49" s="135">
        <v>0</v>
      </c>
      <c r="C49" s="140">
        <v>0</v>
      </c>
      <c r="D49" s="119">
        <v>0</v>
      </c>
      <c r="E49" s="118">
        <v>0.01</v>
      </c>
      <c r="F49" s="118"/>
      <c r="G49" s="135"/>
      <c r="H49" s="135"/>
      <c r="I49" s="135"/>
      <c r="J49" s="135"/>
      <c r="K49" s="135"/>
      <c r="L49" s="135"/>
      <c r="M49" s="123"/>
      <c r="AD49" s="6"/>
      <c r="AE49" s="4"/>
      <c r="AF49" s="4"/>
    </row>
    <row r="50" spans="1:32">
      <c r="A50" s="135">
        <v>0</v>
      </c>
      <c r="B50" s="135">
        <v>0</v>
      </c>
      <c r="C50" s="140">
        <v>0</v>
      </c>
      <c r="D50" s="119">
        <v>0</v>
      </c>
      <c r="E50" s="118">
        <v>0.01</v>
      </c>
      <c r="F50" s="118"/>
      <c r="G50" s="135"/>
      <c r="H50" s="135"/>
      <c r="I50" s="135"/>
      <c r="J50" s="135"/>
      <c r="K50" s="135"/>
      <c r="L50" s="135"/>
      <c r="M50" s="123"/>
      <c r="AD50" s="6"/>
      <c r="AE50" s="4"/>
      <c r="AF50" s="4"/>
    </row>
    <row r="51" spans="1:32">
      <c r="A51" s="135">
        <v>0</v>
      </c>
      <c r="B51" s="135">
        <v>0</v>
      </c>
      <c r="C51" s="140">
        <v>0</v>
      </c>
      <c r="D51" s="119">
        <v>0</v>
      </c>
      <c r="E51" s="118">
        <v>0.01</v>
      </c>
      <c r="F51" s="118"/>
      <c r="G51" s="135"/>
      <c r="H51" s="135"/>
      <c r="I51" s="135"/>
      <c r="J51" s="135"/>
      <c r="K51" s="135"/>
      <c r="L51" s="135"/>
      <c r="M51" s="123"/>
      <c r="AD51" s="6"/>
      <c r="AE51" s="4"/>
      <c r="AF51" s="4"/>
    </row>
    <row r="52" spans="1:32">
      <c r="A52" s="135">
        <v>0</v>
      </c>
      <c r="B52" s="135">
        <v>0</v>
      </c>
      <c r="C52" s="140">
        <v>0</v>
      </c>
      <c r="D52" s="119">
        <v>0</v>
      </c>
      <c r="E52" s="118">
        <v>0.01</v>
      </c>
      <c r="F52" s="118"/>
      <c r="G52" s="135"/>
      <c r="H52" s="135"/>
      <c r="I52" s="135"/>
      <c r="J52" s="135"/>
      <c r="K52" s="135"/>
      <c r="L52" s="135"/>
      <c r="M52" s="123"/>
      <c r="AD52" s="6"/>
      <c r="AE52" s="4"/>
      <c r="AF52" s="4"/>
    </row>
    <row r="53" spans="1:32">
      <c r="A53" s="135">
        <v>0</v>
      </c>
      <c r="B53" s="135">
        <v>0</v>
      </c>
      <c r="C53" s="140">
        <v>0</v>
      </c>
      <c r="D53" s="119">
        <v>0</v>
      </c>
      <c r="E53" s="118">
        <v>0.01</v>
      </c>
      <c r="F53" s="118"/>
      <c r="G53" s="135"/>
      <c r="H53" s="135"/>
      <c r="I53" s="135"/>
      <c r="J53" s="135"/>
      <c r="K53" s="135"/>
      <c r="L53" s="135"/>
      <c r="M53" s="123"/>
      <c r="AD53" s="6"/>
      <c r="AE53" s="4"/>
      <c r="AF53" s="4"/>
    </row>
    <row r="54" spans="1:32">
      <c r="A54" s="135">
        <v>80442</v>
      </c>
      <c r="B54" s="135">
        <v>80442</v>
      </c>
      <c r="C54" s="140">
        <v>54.36</v>
      </c>
      <c r="D54" s="119">
        <v>54.36</v>
      </c>
      <c r="E54" s="118">
        <v>0.01</v>
      </c>
      <c r="F54" s="118"/>
      <c r="G54" s="135"/>
      <c r="H54" s="135"/>
      <c r="I54" s="135"/>
      <c r="J54" s="135"/>
      <c r="K54" s="135"/>
      <c r="L54" s="135"/>
      <c r="M54" s="123"/>
      <c r="AD54" s="6"/>
      <c r="AE54" s="4"/>
      <c r="AF54" s="4"/>
    </row>
    <row r="55" spans="1:32">
      <c r="A55" s="135">
        <v>80442</v>
      </c>
      <c r="B55" s="135">
        <v>80442</v>
      </c>
      <c r="C55" s="140">
        <v>54.36</v>
      </c>
      <c r="D55" s="119">
        <v>54.36</v>
      </c>
      <c r="E55" s="118">
        <v>0.01</v>
      </c>
      <c r="F55" s="118"/>
      <c r="G55" s="135"/>
      <c r="H55" s="135"/>
      <c r="I55" s="135"/>
      <c r="J55" s="135"/>
      <c r="K55" s="135"/>
      <c r="L55" s="135"/>
      <c r="M55" s="123"/>
      <c r="AD55" s="6"/>
      <c r="AE55" s="4"/>
      <c r="AF55" s="4"/>
    </row>
    <row r="56" spans="1:32">
      <c r="A56" s="135"/>
      <c r="B56" s="135"/>
      <c r="C56" s="135"/>
      <c r="D56" s="118"/>
      <c r="E56" s="118"/>
      <c r="F56" s="118"/>
      <c r="G56" s="135"/>
      <c r="H56" s="135"/>
      <c r="I56" s="135"/>
      <c r="J56" s="135"/>
      <c r="K56" s="135"/>
      <c r="L56" s="135"/>
      <c r="M56" s="123"/>
      <c r="AD56" s="6"/>
      <c r="AE56" s="4"/>
      <c r="AF56" s="4"/>
    </row>
    <row r="57" spans="1:32">
      <c r="A57" s="135"/>
      <c r="B57" s="135"/>
      <c r="C57" s="135"/>
      <c r="D57" s="118"/>
      <c r="E57" s="118"/>
      <c r="F57" s="118"/>
      <c r="G57" s="135"/>
      <c r="H57" s="135"/>
      <c r="I57" s="135"/>
      <c r="J57" s="135"/>
      <c r="K57" s="135"/>
      <c r="L57" s="135"/>
      <c r="M57" s="123"/>
      <c r="AD57" s="6"/>
      <c r="AE57" s="4"/>
      <c r="AF57" s="4"/>
    </row>
    <row r="58" spans="1:32">
      <c r="A58" s="135"/>
      <c r="B58" s="135"/>
      <c r="C58" s="135"/>
      <c r="D58" s="118"/>
      <c r="E58" s="118"/>
      <c r="F58" s="118"/>
      <c r="G58" s="135"/>
      <c r="H58" s="135"/>
      <c r="I58" s="135"/>
      <c r="J58" s="135"/>
      <c r="K58" s="135"/>
      <c r="L58" s="135"/>
      <c r="M58" s="123"/>
      <c r="AD58" s="6"/>
      <c r="AE58" s="4"/>
      <c r="AF58" s="4"/>
    </row>
    <row r="59" spans="1:32">
      <c r="A59" s="135"/>
      <c r="B59" s="135"/>
      <c r="C59" s="135"/>
      <c r="D59" s="118"/>
      <c r="E59" s="118"/>
      <c r="F59" s="118"/>
      <c r="G59" s="135"/>
      <c r="H59" s="135"/>
      <c r="I59" s="135"/>
      <c r="J59" s="135"/>
      <c r="K59" s="135"/>
      <c r="L59" s="135"/>
      <c r="M59" s="123"/>
      <c r="AD59" s="6"/>
      <c r="AE59" s="4"/>
      <c r="AF59" s="4"/>
    </row>
    <row r="60" spans="1:32" ht="18.5">
      <c r="A60" s="135"/>
      <c r="B60" s="135"/>
      <c r="C60" s="135"/>
      <c r="D60" s="118"/>
      <c r="E60" s="118"/>
      <c r="F60" s="118"/>
      <c r="G60" s="137"/>
      <c r="H60" s="137"/>
      <c r="I60" s="135"/>
      <c r="J60" s="178" t="s">
        <v>68</v>
      </c>
      <c r="K60" s="178"/>
      <c r="L60" s="178"/>
      <c r="M60" s="123"/>
      <c r="N60" s="179"/>
      <c r="O60" s="179"/>
      <c r="R60" s="101"/>
      <c r="AD60" s="6"/>
      <c r="AE60" s="4"/>
      <c r="AF60" s="4"/>
    </row>
    <row r="61" spans="1:32">
      <c r="A61" s="135"/>
      <c r="B61" s="135"/>
      <c r="C61" s="135"/>
      <c r="D61" s="118"/>
      <c r="E61" s="118"/>
      <c r="F61" s="118"/>
      <c r="G61" s="138"/>
      <c r="H61" s="138"/>
      <c r="I61" s="135"/>
      <c r="J61" s="138" t="s">
        <v>1</v>
      </c>
      <c r="K61" s="138" t="s">
        <v>0</v>
      </c>
      <c r="L61" s="138" t="s">
        <v>69</v>
      </c>
      <c r="M61" s="123"/>
      <c r="N61" s="100"/>
      <c r="O61" s="100"/>
      <c r="P61" s="98"/>
      <c r="R61" s="98"/>
      <c r="V61" s="3"/>
      <c r="W61" s="3"/>
      <c r="AD61" s="6"/>
      <c r="AE61" s="4"/>
      <c r="AF61" s="4"/>
    </row>
    <row r="62" spans="1:32" ht="15.5">
      <c r="A62" s="135"/>
      <c r="B62" s="135"/>
      <c r="C62" s="135"/>
      <c r="D62" s="118"/>
      <c r="E62" s="118"/>
      <c r="F62" s="118"/>
      <c r="G62" s="139"/>
      <c r="H62" s="140"/>
      <c r="I62" s="135" t="s">
        <v>14</v>
      </c>
      <c r="J62" s="135">
        <f>B1</f>
        <v>109880.56415999999</v>
      </c>
      <c r="K62" s="140">
        <f>IF(D1&gt;1,D1/100,D1)</f>
        <v>0.26251920328</v>
      </c>
      <c r="L62" s="139">
        <f>+J62*K62</f>
        <v>28845.758159240122</v>
      </c>
      <c r="M62" s="123"/>
      <c r="N62" s="5"/>
      <c r="O62" s="5"/>
      <c r="P62" s="2"/>
      <c r="Q62" s="99"/>
      <c r="R62" s="2"/>
      <c r="S62" s="99"/>
      <c r="V62" s="3"/>
      <c r="W62" s="3"/>
      <c r="AD62" s="6"/>
      <c r="AE62" s="4"/>
      <c r="AF62" s="4"/>
    </row>
    <row r="63" spans="1:32" ht="15.5">
      <c r="A63" s="135"/>
      <c r="B63" s="135"/>
      <c r="C63" s="135"/>
      <c r="D63" s="118"/>
      <c r="E63" s="118"/>
      <c r="F63" s="118"/>
      <c r="G63" s="141"/>
      <c r="H63" s="142"/>
      <c r="I63" s="135" t="s">
        <v>15</v>
      </c>
      <c r="J63" s="135">
        <f t="shared" ref="J63:J116" si="0">B2</f>
        <v>0</v>
      </c>
      <c r="K63" s="140">
        <f t="shared" ref="K63:K116" si="1">IF(D2&gt;1,D2/100,D2)</f>
        <v>0</v>
      </c>
      <c r="L63" s="139">
        <f t="shared" ref="L63:L116" si="2">+J63*K63</f>
        <v>0</v>
      </c>
      <c r="M63" s="123"/>
      <c r="N63" s="5"/>
      <c r="O63" s="5"/>
      <c r="P63" s="2"/>
      <c r="Q63" s="99"/>
      <c r="R63" s="2"/>
      <c r="S63" s="99"/>
      <c r="V63" s="3"/>
      <c r="W63" s="3"/>
      <c r="AD63" s="6"/>
      <c r="AE63" s="4"/>
      <c r="AF63" s="4"/>
    </row>
    <row r="64" spans="1:32" ht="15.5">
      <c r="A64" s="135"/>
      <c r="B64" s="135"/>
      <c r="C64" s="135"/>
      <c r="D64" s="118"/>
      <c r="E64" s="118"/>
      <c r="F64" s="118"/>
      <c r="G64" s="141"/>
      <c r="H64" s="142"/>
      <c r="I64" s="135" t="s">
        <v>16</v>
      </c>
      <c r="J64" s="135">
        <f t="shared" si="0"/>
        <v>52195.728946000003</v>
      </c>
      <c r="K64" s="140">
        <f t="shared" si="1"/>
        <v>0.16656782351999999</v>
      </c>
      <c r="L64" s="139">
        <f t="shared" si="2"/>
        <v>8694.1289675750832</v>
      </c>
      <c r="M64" s="123"/>
      <c r="N64" s="5"/>
      <c r="O64" s="5"/>
      <c r="P64" s="2"/>
      <c r="Q64" s="99"/>
      <c r="R64" s="2"/>
      <c r="S64" s="99"/>
      <c r="V64" s="3"/>
      <c r="W64" s="97"/>
      <c r="AD64" s="6"/>
      <c r="AE64" s="4"/>
      <c r="AF64" s="4"/>
    </row>
    <row r="65" spans="1:32" ht="15.5">
      <c r="A65" s="135"/>
      <c r="B65" s="135"/>
      <c r="C65" s="135"/>
      <c r="D65" s="118"/>
      <c r="E65" s="118"/>
      <c r="F65" s="118"/>
      <c r="G65" s="141"/>
      <c r="H65" s="142"/>
      <c r="I65" s="135" t="s">
        <v>17</v>
      </c>
      <c r="J65" s="135">
        <f t="shared" si="0"/>
        <v>57684.835215999999</v>
      </c>
      <c r="K65" s="140">
        <f t="shared" si="1"/>
        <v>0.34934015365999999</v>
      </c>
      <c r="L65" s="139">
        <f t="shared" si="2"/>
        <v>20151.629198209219</v>
      </c>
      <c r="M65" s="123"/>
      <c r="N65" s="5"/>
      <c r="O65" s="5"/>
      <c r="P65" s="2"/>
      <c r="Q65" s="99"/>
      <c r="R65" s="2"/>
      <c r="S65" s="99"/>
      <c r="V65" s="3"/>
      <c r="W65" s="97"/>
      <c r="AD65" s="6"/>
      <c r="AE65" s="4"/>
      <c r="AF65" s="4"/>
    </row>
    <row r="66" spans="1:32" ht="15.5">
      <c r="A66" s="118"/>
      <c r="B66" s="118"/>
      <c r="C66" s="118"/>
      <c r="D66" s="118"/>
      <c r="E66" s="118"/>
      <c r="F66" s="118"/>
      <c r="G66" s="141"/>
      <c r="H66" s="142"/>
      <c r="I66" s="135" t="s">
        <v>18</v>
      </c>
      <c r="J66" s="135">
        <f t="shared" si="0"/>
        <v>61069</v>
      </c>
      <c r="K66" s="140">
        <f t="shared" si="1"/>
        <v>0.49819999999999998</v>
      </c>
      <c r="L66" s="139">
        <f t="shared" si="2"/>
        <v>30424.575799999999</v>
      </c>
      <c r="M66" s="123"/>
      <c r="N66" s="5"/>
      <c r="O66" s="5"/>
      <c r="P66" s="2"/>
      <c r="Q66" s="99"/>
      <c r="R66" s="2"/>
      <c r="S66" s="99"/>
      <c r="V66" s="3"/>
      <c r="W66" s="97"/>
      <c r="AD66" s="6"/>
      <c r="AE66" s="4"/>
      <c r="AF66" s="4"/>
    </row>
    <row r="67" spans="1:32" ht="15.5">
      <c r="A67" s="120"/>
      <c r="B67" s="120"/>
      <c r="C67" s="119"/>
      <c r="D67" s="118"/>
      <c r="E67" s="118"/>
      <c r="F67" s="121"/>
      <c r="G67" s="141"/>
      <c r="H67" s="142"/>
      <c r="I67" s="135" t="s">
        <v>19</v>
      </c>
      <c r="J67" s="135">
        <f t="shared" si="0"/>
        <v>36608.483217000001</v>
      </c>
      <c r="K67" s="140">
        <f t="shared" si="1"/>
        <v>0.44754500000000003</v>
      </c>
      <c r="L67" s="139">
        <f t="shared" si="2"/>
        <v>16383.943621352266</v>
      </c>
      <c r="M67" s="123"/>
      <c r="N67" s="5"/>
      <c r="O67" s="5"/>
      <c r="P67" s="2"/>
      <c r="Q67" s="99"/>
      <c r="R67" s="2"/>
      <c r="S67" s="99"/>
      <c r="V67" s="3"/>
      <c r="W67" s="97"/>
      <c r="AD67" s="6"/>
      <c r="AE67" s="4"/>
      <c r="AF67" s="4"/>
    </row>
    <row r="68" spans="1:32" ht="15.5">
      <c r="A68" s="118"/>
      <c r="B68" s="118"/>
      <c r="C68" s="118"/>
      <c r="D68" s="118"/>
      <c r="E68" s="118"/>
      <c r="F68" s="118"/>
      <c r="G68" s="141"/>
      <c r="H68" s="142"/>
      <c r="I68" s="135" t="s">
        <v>20</v>
      </c>
      <c r="J68" s="135">
        <f t="shared" si="0"/>
        <v>82145.351999000006</v>
      </c>
      <c r="K68" s="140">
        <f t="shared" si="1"/>
        <v>0.41624097638999996</v>
      </c>
      <c r="L68" s="139">
        <f t="shared" si="2"/>
        <v>34192.261521963999</v>
      </c>
      <c r="M68" s="123"/>
      <c r="N68" s="5"/>
      <c r="O68" s="5"/>
      <c r="P68" s="2"/>
      <c r="Q68" s="99"/>
      <c r="R68" s="2"/>
      <c r="S68" s="99"/>
      <c r="V68" s="3"/>
      <c r="W68" s="97"/>
      <c r="AD68" s="6"/>
      <c r="AE68" s="4"/>
      <c r="AF68" s="4"/>
    </row>
    <row r="69" spans="1:32" ht="19" customHeight="1">
      <c r="A69" s="118"/>
      <c r="B69" s="118"/>
      <c r="C69" s="118"/>
      <c r="D69" s="118"/>
      <c r="E69" s="118"/>
      <c r="F69" s="118"/>
      <c r="G69" s="141"/>
      <c r="H69" s="142"/>
      <c r="I69" s="135" t="s">
        <v>21</v>
      </c>
      <c r="J69" s="135">
        <f t="shared" si="0"/>
        <v>0</v>
      </c>
      <c r="K69" s="140">
        <f t="shared" si="1"/>
        <v>0</v>
      </c>
      <c r="L69" s="139">
        <f t="shared" si="2"/>
        <v>0</v>
      </c>
      <c r="M69" s="123"/>
      <c r="N69" s="5"/>
      <c r="O69" s="5"/>
      <c r="P69" s="2"/>
      <c r="Q69" s="99"/>
      <c r="R69" s="2"/>
      <c r="S69" s="99"/>
      <c r="V69" s="3"/>
      <c r="W69" s="97"/>
      <c r="AD69" s="6"/>
      <c r="AE69" s="4"/>
      <c r="AF69" s="4"/>
    </row>
    <row r="70" spans="1:32" ht="15.5">
      <c r="A70" s="118"/>
      <c r="B70" s="118"/>
      <c r="C70" s="118"/>
      <c r="D70" s="118"/>
      <c r="E70" s="118"/>
      <c r="F70" s="118"/>
      <c r="G70" s="141"/>
      <c r="H70" s="142"/>
      <c r="I70" s="135" t="s">
        <v>22</v>
      </c>
      <c r="J70" s="135">
        <f t="shared" si="0"/>
        <v>19654.716090000002</v>
      </c>
      <c r="K70" s="140">
        <f t="shared" si="1"/>
        <v>0.27382140926999998</v>
      </c>
      <c r="L70" s="139">
        <f t="shared" si="2"/>
        <v>5381.882058565544</v>
      </c>
      <c r="M70" s="123"/>
      <c r="N70" s="5"/>
      <c r="O70" s="5"/>
      <c r="P70" s="2"/>
      <c r="Q70" s="99"/>
      <c r="R70" s="2"/>
      <c r="S70" s="99"/>
      <c r="V70" s="3"/>
      <c r="W70" s="97"/>
      <c r="AD70" s="6"/>
      <c r="AE70" s="4"/>
      <c r="AF70" s="4"/>
    </row>
    <row r="71" spans="1:32" ht="15.5">
      <c r="A71" s="118"/>
      <c r="B71" s="118"/>
      <c r="C71" s="118"/>
      <c r="D71" s="118"/>
      <c r="E71" s="118"/>
      <c r="F71" s="118"/>
      <c r="G71" s="139"/>
      <c r="H71" s="142"/>
      <c r="I71" s="135" t="s">
        <v>23</v>
      </c>
      <c r="J71" s="135">
        <f t="shared" si="0"/>
        <v>7183.3611259999998</v>
      </c>
      <c r="K71" s="140">
        <f t="shared" si="1"/>
        <v>0.14657961259999999</v>
      </c>
      <c r="L71" s="139">
        <f t="shared" si="2"/>
        <v>1052.9342910149796</v>
      </c>
      <c r="M71" s="123"/>
      <c r="N71" s="5"/>
      <c r="O71" s="5"/>
      <c r="P71" s="2"/>
      <c r="Q71" s="99"/>
      <c r="R71" s="2"/>
      <c r="S71" s="99"/>
      <c r="V71" s="3"/>
      <c r="W71" s="97"/>
      <c r="AD71" s="6"/>
      <c r="AE71" s="4"/>
      <c r="AF71" s="4"/>
    </row>
    <row r="72" spans="1:32" ht="15.5">
      <c r="A72" s="118"/>
      <c r="B72" s="118"/>
      <c r="C72" s="118"/>
      <c r="D72" s="118"/>
      <c r="E72" s="118"/>
      <c r="F72" s="118"/>
      <c r="G72" s="141"/>
      <c r="H72" s="142"/>
      <c r="I72" s="135" t="s">
        <v>24</v>
      </c>
      <c r="J72" s="135">
        <f t="shared" si="0"/>
        <v>25002.378000000001</v>
      </c>
      <c r="K72" s="140">
        <f t="shared" si="1"/>
        <v>0.46962579199999999</v>
      </c>
      <c r="L72" s="139">
        <f t="shared" si="2"/>
        <v>11741.761570133376</v>
      </c>
      <c r="M72" s="123"/>
      <c r="N72" s="5"/>
      <c r="O72" s="5"/>
      <c r="P72" s="2"/>
      <c r="Q72" s="99"/>
      <c r="R72" s="2"/>
      <c r="S72" s="99"/>
      <c r="V72" s="3"/>
      <c r="W72" s="97"/>
      <c r="AD72" s="6"/>
      <c r="AE72" s="4"/>
      <c r="AF72" s="4"/>
    </row>
    <row r="73" spans="1:32" ht="15.5">
      <c r="A73" s="118"/>
      <c r="B73" s="118"/>
      <c r="C73" s="118"/>
      <c r="D73" s="118"/>
      <c r="E73" s="118"/>
      <c r="F73" s="118"/>
      <c r="G73" s="141"/>
      <c r="H73" s="142"/>
      <c r="I73" s="135" t="s">
        <v>25</v>
      </c>
      <c r="J73" s="135">
        <f t="shared" si="0"/>
        <v>30304.896783</v>
      </c>
      <c r="K73" s="140">
        <f t="shared" si="1"/>
        <v>0.52848499999999998</v>
      </c>
      <c r="L73" s="139">
        <f t="shared" si="2"/>
        <v>16015.683376363755</v>
      </c>
      <c r="M73" s="123"/>
      <c r="N73" s="5"/>
      <c r="O73" s="5"/>
      <c r="P73" s="2"/>
      <c r="Q73" s="99"/>
      <c r="R73" s="2"/>
      <c r="S73" s="99"/>
      <c r="V73" s="3"/>
      <c r="W73" s="97"/>
      <c r="AD73" s="6"/>
      <c r="AE73" s="4"/>
      <c r="AF73" s="4"/>
    </row>
    <row r="74" spans="1:32" ht="15.5">
      <c r="A74" s="118"/>
      <c r="B74" s="118"/>
      <c r="C74" s="118"/>
      <c r="D74" s="118"/>
      <c r="E74" s="118"/>
      <c r="F74" s="118"/>
      <c r="G74" s="141"/>
      <c r="H74" s="142"/>
      <c r="I74" s="135" t="s">
        <v>2</v>
      </c>
      <c r="J74" s="135">
        <f t="shared" si="0"/>
        <v>28138.902222000001</v>
      </c>
      <c r="K74" s="140">
        <f t="shared" si="1"/>
        <v>0.51365737031000003</v>
      </c>
      <c r="L74" s="139">
        <f t="shared" si="2"/>
        <v>14453.754518762737</v>
      </c>
      <c r="M74" s="123"/>
      <c r="N74" s="5"/>
      <c r="O74" s="5"/>
      <c r="P74" s="2"/>
      <c r="Q74" s="99"/>
      <c r="R74" s="2"/>
      <c r="S74" s="99"/>
      <c r="V74" s="3"/>
      <c r="W74" s="97"/>
      <c r="AD74" s="6"/>
      <c r="AE74" s="4"/>
      <c r="AF74" s="4"/>
    </row>
    <row r="75" spans="1:32" ht="15.5">
      <c r="A75" s="120"/>
      <c r="B75" s="120"/>
      <c r="C75" s="119"/>
      <c r="D75" s="118"/>
      <c r="E75" s="118"/>
      <c r="F75" s="121"/>
      <c r="G75" s="141"/>
      <c r="H75" s="142"/>
      <c r="I75" s="135" t="s">
        <v>26</v>
      </c>
      <c r="J75" s="135">
        <f t="shared" si="0"/>
        <v>-20891.867204999999</v>
      </c>
      <c r="K75" s="140">
        <f t="shared" si="1"/>
        <v>0.48695319464000003</v>
      </c>
      <c r="L75" s="139">
        <f t="shared" si="2"/>
        <v>-10173.361477469398</v>
      </c>
      <c r="M75" s="123"/>
      <c r="N75" s="5"/>
      <c r="O75" s="5"/>
      <c r="P75" s="2"/>
      <c r="Q75" s="99"/>
      <c r="R75" s="2"/>
      <c r="S75" s="99"/>
      <c r="V75" s="3"/>
      <c r="W75" s="3"/>
      <c r="AD75" s="6"/>
      <c r="AE75" s="4"/>
      <c r="AF75" s="4"/>
    </row>
    <row r="76" spans="1:32" ht="15.5">
      <c r="A76" s="118"/>
      <c r="B76" s="118"/>
      <c r="C76" s="118"/>
      <c r="D76" s="118"/>
      <c r="E76" s="118"/>
      <c r="F76" s="118"/>
      <c r="G76" s="141"/>
      <c r="H76" s="142"/>
      <c r="I76" s="135" t="s">
        <v>27</v>
      </c>
      <c r="J76" s="135">
        <f t="shared" si="0"/>
        <v>98197.342982999995</v>
      </c>
      <c r="K76" s="140">
        <f t="shared" si="1"/>
        <v>0.52129353384999999</v>
      </c>
      <c r="L76" s="139">
        <f t="shared" si="2"/>
        <v>51189.639938288565</v>
      </c>
      <c r="M76" s="124"/>
      <c r="N76" s="5"/>
      <c r="O76" s="5"/>
      <c r="P76" s="2"/>
      <c r="Q76" s="99"/>
      <c r="R76" s="2"/>
      <c r="S76" s="99"/>
      <c r="V76" s="3"/>
      <c r="W76" s="3"/>
      <c r="AD76" s="6"/>
      <c r="AE76" s="4"/>
      <c r="AF76" s="4"/>
    </row>
    <row r="77" spans="1:32" ht="15.5">
      <c r="A77" s="118"/>
      <c r="B77" s="118"/>
      <c r="C77" s="118"/>
      <c r="D77" s="118"/>
      <c r="E77" s="118"/>
      <c r="F77" s="118"/>
      <c r="G77" s="141"/>
      <c r="H77" s="142"/>
      <c r="I77" s="135" t="s">
        <v>28</v>
      </c>
      <c r="J77" s="135">
        <f t="shared" si="0"/>
        <v>38270.682962999999</v>
      </c>
      <c r="K77" s="140">
        <f t="shared" si="1"/>
        <v>7.7623959584999999E-2</v>
      </c>
      <c r="L77" s="139">
        <f t="shared" si="2"/>
        <v>2970.72194761026</v>
      </c>
      <c r="M77" s="123"/>
      <c r="N77" s="5"/>
      <c r="O77" s="5"/>
      <c r="P77" s="2"/>
      <c r="Q77" s="99"/>
      <c r="R77" s="2"/>
      <c r="S77" s="99"/>
      <c r="V77" s="3"/>
      <c r="W77" s="3"/>
      <c r="AD77" s="6"/>
      <c r="AE77" s="4"/>
      <c r="AF77" s="4"/>
    </row>
    <row r="78" spans="1:32" ht="15.5">
      <c r="A78" s="118"/>
      <c r="B78" s="118"/>
      <c r="C78" s="118"/>
      <c r="D78" s="118"/>
      <c r="E78" s="118"/>
      <c r="F78" s="118"/>
      <c r="G78" s="139"/>
      <c r="H78" s="142"/>
      <c r="I78" s="135" t="s">
        <v>29</v>
      </c>
      <c r="J78" s="135">
        <f t="shared" si="0"/>
        <v>118370.45903</v>
      </c>
      <c r="K78" s="140">
        <f t="shared" si="1"/>
        <v>0.6647634601900001</v>
      </c>
      <c r="L78" s="139">
        <f t="shared" si="2"/>
        <v>78688.355929061436</v>
      </c>
      <c r="M78" s="123"/>
      <c r="N78" s="5"/>
      <c r="O78" s="5"/>
      <c r="P78" s="2"/>
      <c r="Q78" s="99"/>
      <c r="R78" s="2"/>
      <c r="S78" s="99"/>
      <c r="V78" s="3"/>
      <c r="W78" s="3"/>
      <c r="AD78" s="6"/>
      <c r="AE78" s="4"/>
      <c r="AF78" s="4"/>
    </row>
    <row r="79" spans="1:32" ht="15.5">
      <c r="A79" s="120"/>
      <c r="B79" s="120"/>
      <c r="C79" s="119"/>
      <c r="D79" s="118"/>
      <c r="E79" s="118"/>
      <c r="F79" s="121"/>
      <c r="G79" s="141"/>
      <c r="H79" s="142"/>
      <c r="I79" s="135" t="s">
        <v>30</v>
      </c>
      <c r="J79" s="135">
        <f t="shared" si="0"/>
        <v>-279.80795475000002</v>
      </c>
      <c r="K79" s="140">
        <f t="shared" si="1"/>
        <v>0.66396241849000004</v>
      </c>
      <c r="L79" s="139">
        <f t="shared" si="2"/>
        <v>-185.7819663485505</v>
      </c>
      <c r="M79" s="123"/>
      <c r="N79" s="5"/>
      <c r="O79" s="5"/>
      <c r="P79" s="2"/>
      <c r="Q79" s="99"/>
      <c r="R79" s="2"/>
      <c r="S79" s="99"/>
      <c r="AD79" s="6"/>
      <c r="AE79" s="4"/>
      <c r="AF79" s="4"/>
    </row>
    <row r="80" spans="1:32" ht="15.5">
      <c r="A80" s="118"/>
      <c r="B80" s="118"/>
      <c r="C80" s="118"/>
      <c r="D80" s="118"/>
      <c r="E80" s="118"/>
      <c r="F80" s="118"/>
      <c r="G80" s="139"/>
      <c r="H80" s="142"/>
      <c r="I80" s="135" t="s">
        <v>31</v>
      </c>
      <c r="J80" s="135">
        <f t="shared" si="0"/>
        <v>118650.26698</v>
      </c>
      <c r="K80" s="140">
        <f t="shared" si="1"/>
        <v>0.66476157069999997</v>
      </c>
      <c r="L80" s="139">
        <f t="shared" si="2"/>
        <v>78874.137841599149</v>
      </c>
      <c r="M80" s="123"/>
      <c r="N80" s="5"/>
      <c r="O80" s="5"/>
      <c r="P80" s="2"/>
      <c r="Q80" s="99"/>
      <c r="R80" s="2"/>
      <c r="S80" s="99"/>
    </row>
    <row r="81" spans="1:19" ht="15.5">
      <c r="A81" s="120"/>
      <c r="B81" s="120"/>
      <c r="C81" s="119"/>
      <c r="D81" s="118"/>
      <c r="E81" s="118"/>
      <c r="F81" s="121"/>
      <c r="G81" s="141"/>
      <c r="H81" s="142"/>
      <c r="I81" s="135" t="s">
        <v>32</v>
      </c>
      <c r="J81" s="135">
        <f t="shared" si="0"/>
        <v>295.21734726</v>
      </c>
      <c r="K81" s="140">
        <f t="shared" si="1"/>
        <v>0.66427353235999997</v>
      </c>
      <c r="L81" s="139">
        <f t="shared" si="2"/>
        <v>196.10507007834894</v>
      </c>
      <c r="M81" s="123"/>
      <c r="N81" s="5"/>
      <c r="O81" s="5"/>
      <c r="P81" s="2"/>
      <c r="Q81" s="99"/>
      <c r="R81" s="2"/>
      <c r="S81" s="99"/>
    </row>
    <row r="82" spans="1:19" ht="15.5">
      <c r="A82" s="118"/>
      <c r="B82" s="118"/>
      <c r="C82" s="118"/>
      <c r="D82" s="118"/>
      <c r="E82" s="118"/>
      <c r="F82" s="118"/>
      <c r="G82" s="141"/>
      <c r="H82" s="142"/>
      <c r="I82" s="135" t="s">
        <v>33</v>
      </c>
      <c r="J82" s="135">
        <f t="shared" si="0"/>
        <v>0</v>
      </c>
      <c r="K82" s="140">
        <f t="shared" si="1"/>
        <v>0</v>
      </c>
      <c r="L82" s="139">
        <f t="shared" si="2"/>
        <v>0</v>
      </c>
      <c r="M82" s="123"/>
      <c r="N82" s="5"/>
      <c r="O82" s="5"/>
      <c r="P82" s="2"/>
      <c r="Q82" s="99"/>
      <c r="R82" s="2"/>
      <c r="S82" s="99"/>
    </row>
    <row r="83" spans="1:19" ht="15.5">
      <c r="A83" s="118"/>
      <c r="B83" s="118"/>
      <c r="C83" s="118"/>
      <c r="D83" s="118"/>
      <c r="E83" s="118"/>
      <c r="F83" s="118"/>
      <c r="G83" s="141"/>
      <c r="H83" s="142"/>
      <c r="I83" s="135" t="s">
        <v>35</v>
      </c>
      <c r="J83" s="135">
        <f t="shared" si="0"/>
        <v>118355.04962999999</v>
      </c>
      <c r="K83" s="140">
        <f t="shared" si="1"/>
        <v>0.66476278802</v>
      </c>
      <c r="L83" s="139">
        <f t="shared" si="2"/>
        <v>78678.032768284262</v>
      </c>
      <c r="M83" s="123"/>
      <c r="N83" s="5"/>
      <c r="O83" s="5"/>
      <c r="P83" s="2"/>
      <c r="Q83" s="99"/>
      <c r="R83" s="2"/>
      <c r="S83" s="99"/>
    </row>
    <row r="84" spans="1:19" ht="15.5">
      <c r="A84" s="118"/>
      <c r="B84" s="118"/>
      <c r="C84" s="118"/>
      <c r="D84" s="118"/>
      <c r="E84" s="118"/>
      <c r="F84" s="118"/>
      <c r="G84" s="139"/>
      <c r="H84" s="140"/>
      <c r="I84" s="135" t="s">
        <v>36</v>
      </c>
      <c r="J84" s="135">
        <f t="shared" si="0"/>
        <v>0</v>
      </c>
      <c r="K84" s="140">
        <f t="shared" si="1"/>
        <v>0.66400000000000003</v>
      </c>
      <c r="L84" s="139">
        <f t="shared" si="2"/>
        <v>0</v>
      </c>
      <c r="M84" s="123"/>
      <c r="N84" s="5"/>
      <c r="O84" s="5"/>
      <c r="P84" s="2"/>
      <c r="Q84" s="99"/>
      <c r="R84" s="2"/>
      <c r="S84" s="99"/>
    </row>
    <row r="85" spans="1:19" ht="15.5">
      <c r="A85" s="118"/>
      <c r="B85" s="118"/>
      <c r="C85" s="118"/>
      <c r="D85" s="118"/>
      <c r="E85" s="118"/>
      <c r="F85" s="118"/>
      <c r="G85" s="141"/>
      <c r="H85" s="142"/>
      <c r="I85" s="135" t="s">
        <v>37</v>
      </c>
      <c r="J85" s="135">
        <f t="shared" si="0"/>
        <v>118355.04962999999</v>
      </c>
      <c r="K85" s="140">
        <f t="shared" si="1"/>
        <v>0.66476278802</v>
      </c>
      <c r="L85" s="139">
        <f t="shared" si="2"/>
        <v>78678.032768284262</v>
      </c>
      <c r="M85" s="123"/>
      <c r="N85" s="5"/>
      <c r="O85" s="5"/>
      <c r="P85" s="2"/>
      <c r="Q85" s="99"/>
      <c r="R85" s="2"/>
      <c r="S85" s="99"/>
    </row>
    <row r="86" spans="1:19" ht="15.5">
      <c r="A86" s="120"/>
      <c r="B86" s="120"/>
      <c r="C86" s="122"/>
      <c r="D86" s="118"/>
      <c r="E86" s="118"/>
      <c r="F86" s="121"/>
      <c r="G86" s="141"/>
      <c r="H86" s="142"/>
      <c r="I86" s="135" t="s">
        <v>38</v>
      </c>
      <c r="J86" s="135">
        <f t="shared" si="0"/>
        <v>16589.049632999999</v>
      </c>
      <c r="K86" s="140">
        <f t="shared" si="1"/>
        <v>0.67373629965999993</v>
      </c>
      <c r="L86" s="139">
        <f t="shared" si="2"/>
        <v>11176.644914613498</v>
      </c>
      <c r="M86" s="123"/>
      <c r="N86" s="5"/>
      <c r="O86" s="5"/>
      <c r="P86" s="2"/>
      <c r="Q86" s="99"/>
      <c r="R86" s="2"/>
      <c r="S86" s="99"/>
    </row>
    <row r="87" spans="1:19" ht="15.5">
      <c r="A87" s="118"/>
      <c r="B87" s="118"/>
      <c r="C87" s="118"/>
      <c r="D87" s="118"/>
      <c r="E87" s="118"/>
      <c r="F87" s="121"/>
      <c r="G87" s="141"/>
      <c r="H87" s="142"/>
      <c r="I87" s="135" t="s">
        <v>39</v>
      </c>
      <c r="J87" s="135">
        <f t="shared" si="0"/>
        <v>101766</v>
      </c>
      <c r="K87" s="140">
        <f t="shared" si="1"/>
        <v>0.6633</v>
      </c>
      <c r="L87" s="139">
        <f t="shared" si="2"/>
        <v>67501.387799999997</v>
      </c>
      <c r="M87" s="125"/>
      <c r="N87" s="5"/>
      <c r="O87" s="5"/>
      <c r="P87" s="2"/>
      <c r="Q87" s="99"/>
      <c r="R87" s="2"/>
      <c r="S87" s="99"/>
    </row>
    <row r="88" spans="1:19" ht="15.5">
      <c r="A88" s="118"/>
      <c r="B88" s="118"/>
      <c r="C88" s="118"/>
      <c r="D88" s="118"/>
      <c r="E88" s="118"/>
      <c r="F88" s="118"/>
      <c r="G88" s="141"/>
      <c r="H88" s="142"/>
      <c r="I88" s="135" t="s">
        <v>141</v>
      </c>
      <c r="J88" s="135">
        <f t="shared" si="0"/>
        <v>0</v>
      </c>
      <c r="K88" s="140">
        <f t="shared" si="1"/>
        <v>0</v>
      </c>
      <c r="L88" s="139">
        <f t="shared" si="2"/>
        <v>0</v>
      </c>
      <c r="M88" s="123"/>
      <c r="N88" s="5"/>
      <c r="O88" s="5"/>
      <c r="P88" s="2"/>
      <c r="Q88" s="99"/>
      <c r="R88" s="2"/>
      <c r="S88" s="99"/>
    </row>
    <row r="89" spans="1:19" ht="15.5">
      <c r="A89" s="118"/>
      <c r="B89" s="118"/>
      <c r="C89" s="118"/>
      <c r="D89" s="118"/>
      <c r="E89" s="118"/>
      <c r="F89" s="118"/>
      <c r="G89" s="141"/>
      <c r="H89" s="142"/>
      <c r="I89" s="135" t="s">
        <v>40</v>
      </c>
      <c r="J89" s="135">
        <f t="shared" si="0"/>
        <v>0</v>
      </c>
      <c r="K89" s="140">
        <f t="shared" si="1"/>
        <v>0</v>
      </c>
      <c r="L89" s="139">
        <f t="shared" si="2"/>
        <v>0</v>
      </c>
      <c r="M89" s="123"/>
      <c r="N89" s="5"/>
      <c r="O89" s="5"/>
      <c r="P89" s="2"/>
      <c r="Q89" s="99"/>
      <c r="R89" s="2"/>
      <c r="S89" s="99"/>
    </row>
    <row r="90" spans="1:19" ht="15.5">
      <c r="A90" s="118"/>
      <c r="B90" s="118"/>
      <c r="C90" s="118"/>
      <c r="D90" s="118"/>
      <c r="E90" s="118"/>
      <c r="F90" s="118"/>
      <c r="G90" s="141"/>
      <c r="H90" s="142"/>
      <c r="I90" s="135" t="s">
        <v>41</v>
      </c>
      <c r="J90" s="135">
        <f t="shared" si="0"/>
        <v>0</v>
      </c>
      <c r="K90" s="140">
        <f t="shared" si="1"/>
        <v>0</v>
      </c>
      <c r="L90" s="139">
        <f t="shared" si="2"/>
        <v>0</v>
      </c>
      <c r="M90" s="123"/>
      <c r="N90" s="5"/>
      <c r="O90" s="5"/>
      <c r="P90" s="2"/>
      <c r="Q90" s="99"/>
      <c r="R90" s="2"/>
      <c r="S90" s="99"/>
    </row>
    <row r="91" spans="1:19" ht="18.5">
      <c r="A91" s="120"/>
      <c r="B91" s="120"/>
      <c r="C91" s="119"/>
      <c r="D91" s="118"/>
      <c r="E91" s="118"/>
      <c r="F91" s="121"/>
      <c r="G91" s="141"/>
      <c r="H91" s="143"/>
      <c r="I91" s="135" t="s">
        <v>42</v>
      </c>
      <c r="J91" s="135">
        <f t="shared" si="0"/>
        <v>0</v>
      </c>
      <c r="K91" s="140">
        <f t="shared" si="1"/>
        <v>0</v>
      </c>
      <c r="L91" s="139">
        <f t="shared" si="2"/>
        <v>0</v>
      </c>
      <c r="M91" s="123"/>
      <c r="N91" s="5"/>
      <c r="O91" s="5"/>
      <c r="P91" s="2"/>
      <c r="Q91" s="99"/>
      <c r="R91" s="2"/>
      <c r="S91" s="99"/>
    </row>
    <row r="92" spans="1:19" ht="15.5">
      <c r="A92" s="118"/>
      <c r="B92" s="118"/>
      <c r="C92" s="118"/>
      <c r="D92" s="118"/>
      <c r="E92" s="118"/>
      <c r="F92" s="118"/>
      <c r="G92" s="141"/>
      <c r="H92" s="142"/>
      <c r="I92" s="135" t="s">
        <v>43</v>
      </c>
      <c r="J92" s="135">
        <f t="shared" si="0"/>
        <v>0</v>
      </c>
      <c r="K92" s="140">
        <f t="shared" si="1"/>
        <v>0</v>
      </c>
      <c r="L92" s="139">
        <f t="shared" si="2"/>
        <v>0</v>
      </c>
      <c r="M92" s="123"/>
      <c r="N92" s="5"/>
      <c r="O92" s="5"/>
      <c r="P92" s="2"/>
      <c r="Q92" s="99"/>
      <c r="R92" s="2"/>
      <c r="S92" s="99"/>
    </row>
    <row r="93" spans="1:19" ht="15.5">
      <c r="A93" s="118"/>
      <c r="B93" s="118"/>
      <c r="C93" s="118"/>
      <c r="D93" s="118"/>
      <c r="E93" s="118"/>
      <c r="F93" s="118"/>
      <c r="G93" s="141"/>
      <c r="H93" s="142"/>
      <c r="I93" s="135" t="s">
        <v>140</v>
      </c>
      <c r="J93" s="135">
        <f t="shared" si="0"/>
        <v>59464</v>
      </c>
      <c r="K93" s="140">
        <f t="shared" si="1"/>
        <v>0.60354921523000005</v>
      </c>
      <c r="L93" s="139">
        <f t="shared" si="2"/>
        <v>35889.450534436721</v>
      </c>
      <c r="M93" s="123"/>
      <c r="N93" s="5"/>
      <c r="O93" s="5"/>
      <c r="P93" s="2"/>
      <c r="Q93" s="99"/>
      <c r="R93" s="2"/>
      <c r="S93" s="99"/>
    </row>
    <row r="94" spans="1:19" ht="15.5">
      <c r="A94" s="120"/>
      <c r="B94" s="120"/>
      <c r="C94" s="122"/>
      <c r="D94" s="118"/>
      <c r="E94" s="118"/>
      <c r="F94" s="121"/>
      <c r="G94" s="141"/>
      <c r="H94" s="142"/>
      <c r="I94" s="135" t="s">
        <v>45</v>
      </c>
      <c r="J94" s="135">
        <f t="shared" si="0"/>
        <v>-38772</v>
      </c>
      <c r="K94" s="140">
        <f t="shared" si="1"/>
        <v>0.60334113623999996</v>
      </c>
      <c r="L94" s="139">
        <f t="shared" si="2"/>
        <v>-23392.742534297278</v>
      </c>
      <c r="M94" s="123"/>
      <c r="N94" s="5"/>
      <c r="O94" s="5"/>
      <c r="P94" s="2"/>
      <c r="Q94" s="99"/>
      <c r="R94" s="2"/>
      <c r="S94" s="99"/>
    </row>
    <row r="95" spans="1:19" ht="15.5">
      <c r="A95" s="118"/>
      <c r="B95" s="118"/>
      <c r="C95" s="118"/>
      <c r="D95" s="118"/>
      <c r="E95" s="118"/>
      <c r="F95" s="118"/>
      <c r="G95" s="141"/>
      <c r="H95" s="142"/>
      <c r="I95" s="135" t="s">
        <v>46</v>
      </c>
      <c r="J95" s="135">
        <f t="shared" si="0"/>
        <v>13748</v>
      </c>
      <c r="K95" s="140">
        <f t="shared" si="1"/>
        <v>0.61299999999999999</v>
      </c>
      <c r="L95" s="139">
        <f t="shared" si="2"/>
        <v>8427.5239999999994</v>
      </c>
      <c r="M95" s="123"/>
      <c r="N95" s="5"/>
      <c r="O95" s="5"/>
      <c r="P95" s="2"/>
      <c r="Q95" s="99"/>
      <c r="R95" s="2"/>
      <c r="S95" s="99"/>
    </row>
    <row r="96" spans="1:19" ht="15.5">
      <c r="A96" s="118"/>
      <c r="B96" s="118"/>
      <c r="C96" s="118"/>
      <c r="D96" s="118"/>
      <c r="E96" s="118"/>
      <c r="F96" s="118"/>
      <c r="G96" s="141"/>
      <c r="H96" s="142"/>
      <c r="I96" s="135" t="s">
        <v>47</v>
      </c>
      <c r="J96" s="135">
        <f t="shared" si="0"/>
        <v>6944</v>
      </c>
      <c r="K96" s="140">
        <f t="shared" si="1"/>
        <v>0.58599999999999997</v>
      </c>
      <c r="L96" s="139">
        <f t="shared" si="2"/>
        <v>4069.1839999999997</v>
      </c>
      <c r="M96" s="123"/>
      <c r="N96" s="5"/>
      <c r="O96" s="5"/>
      <c r="P96" s="2"/>
      <c r="Q96" s="99"/>
      <c r="R96" s="2"/>
      <c r="S96" s="99"/>
    </row>
    <row r="97" spans="1:19" ht="15.5">
      <c r="A97" s="118"/>
      <c r="B97" s="118"/>
      <c r="C97" s="118"/>
      <c r="D97" s="118"/>
      <c r="E97" s="118"/>
      <c r="F97" s="118"/>
      <c r="G97" s="141"/>
      <c r="H97" s="142"/>
      <c r="I97" s="135" t="s">
        <v>48</v>
      </c>
      <c r="J97" s="135">
        <f t="shared" si="0"/>
        <v>8561</v>
      </c>
      <c r="K97" s="140">
        <f t="shared" si="1"/>
        <v>0.58360000000000001</v>
      </c>
      <c r="L97" s="139">
        <f t="shared" si="2"/>
        <v>4996.1995999999999</v>
      </c>
      <c r="M97" s="123"/>
      <c r="N97" s="5"/>
      <c r="O97" s="5"/>
      <c r="P97" s="2"/>
      <c r="Q97" s="99"/>
      <c r="R97" s="2"/>
      <c r="S97" s="99"/>
    </row>
    <row r="98" spans="1:19" ht="15.5">
      <c r="A98" s="118"/>
      <c r="B98" s="118"/>
      <c r="C98" s="118"/>
      <c r="D98" s="118"/>
      <c r="E98" s="118"/>
      <c r="F98" s="118"/>
      <c r="G98" s="141"/>
      <c r="H98" s="142"/>
      <c r="I98" s="135" t="s">
        <v>49</v>
      </c>
      <c r="J98" s="135">
        <f t="shared" si="0"/>
        <v>0</v>
      </c>
      <c r="K98" s="140">
        <f t="shared" si="1"/>
        <v>0</v>
      </c>
      <c r="L98" s="139">
        <f t="shared" si="2"/>
        <v>0</v>
      </c>
      <c r="M98" s="123"/>
      <c r="N98" s="5"/>
      <c r="O98" s="5"/>
      <c r="P98" s="2"/>
      <c r="Q98" s="99"/>
      <c r="R98" s="2"/>
      <c r="S98" s="99"/>
    </row>
    <row r="99" spans="1:19" ht="15.5">
      <c r="A99" s="120"/>
      <c r="B99" s="120"/>
      <c r="C99" s="119"/>
      <c r="D99" s="118"/>
      <c r="E99" s="118"/>
      <c r="F99" s="121"/>
      <c r="G99" s="141"/>
      <c r="H99" s="142"/>
      <c r="I99" s="135" t="s">
        <v>50</v>
      </c>
      <c r="J99" s="135">
        <f t="shared" si="0"/>
        <v>8561</v>
      </c>
      <c r="K99" s="140">
        <f t="shared" si="1"/>
        <v>0.58360000000000001</v>
      </c>
      <c r="L99" s="139">
        <f t="shared" si="2"/>
        <v>4996.1995999999999</v>
      </c>
      <c r="M99" s="123"/>
      <c r="N99" s="5"/>
      <c r="O99" s="5"/>
      <c r="P99" s="2"/>
      <c r="Q99" s="99"/>
      <c r="R99" s="2"/>
      <c r="S99" s="99"/>
    </row>
    <row r="100" spans="1:19" ht="15.5">
      <c r="A100" s="118"/>
      <c r="B100" s="118"/>
      <c r="C100" s="118"/>
      <c r="D100" s="118"/>
      <c r="E100" s="118"/>
      <c r="F100" s="118"/>
      <c r="G100" s="141"/>
      <c r="H100" s="142"/>
      <c r="I100" s="135" t="s">
        <v>51</v>
      </c>
      <c r="J100" s="135">
        <f t="shared" si="0"/>
        <v>0</v>
      </c>
      <c r="K100" s="140">
        <f t="shared" si="1"/>
        <v>0</v>
      </c>
      <c r="L100" s="139">
        <f t="shared" si="2"/>
        <v>0</v>
      </c>
      <c r="M100" s="123"/>
      <c r="N100" s="5"/>
      <c r="O100" s="5"/>
      <c r="P100" s="2"/>
      <c r="Q100" s="99"/>
      <c r="R100" s="2"/>
      <c r="S100" s="99"/>
    </row>
    <row r="101" spans="1:19" ht="15.5">
      <c r="A101" s="118"/>
      <c r="B101" s="118"/>
      <c r="C101" s="118"/>
      <c r="D101" s="118"/>
      <c r="E101" s="118"/>
      <c r="F101" s="118"/>
      <c r="G101" s="141"/>
      <c r="H101" s="142"/>
      <c r="I101" s="135" t="s">
        <v>52</v>
      </c>
      <c r="J101" s="135">
        <f t="shared" si="0"/>
        <v>0</v>
      </c>
      <c r="K101" s="140">
        <f t="shared" si="1"/>
        <v>0</v>
      </c>
      <c r="L101" s="139">
        <f t="shared" si="2"/>
        <v>0</v>
      </c>
      <c r="M101" s="123"/>
      <c r="N101" s="5"/>
      <c r="O101" s="5"/>
      <c r="P101" s="2"/>
      <c r="Q101" s="99"/>
      <c r="R101" s="2"/>
      <c r="S101" s="99"/>
    </row>
    <row r="102" spans="1:19" ht="15.5">
      <c r="A102" s="120"/>
      <c r="B102" s="120"/>
      <c r="C102" s="119"/>
      <c r="D102" s="118"/>
      <c r="E102" s="118"/>
      <c r="F102" s="121"/>
      <c r="G102" s="141"/>
      <c r="H102" s="142"/>
      <c r="I102" s="135" t="s">
        <v>53</v>
      </c>
      <c r="J102" s="135">
        <f t="shared" si="0"/>
        <v>0</v>
      </c>
      <c r="K102" s="140">
        <f t="shared" si="1"/>
        <v>0</v>
      </c>
      <c r="L102" s="139">
        <f t="shared" si="2"/>
        <v>0</v>
      </c>
      <c r="M102" s="123"/>
      <c r="N102" s="5"/>
      <c r="O102" s="5"/>
      <c r="P102" s="2"/>
      <c r="Q102" s="99"/>
      <c r="R102" s="2"/>
      <c r="S102" s="99"/>
    </row>
    <row r="103" spans="1:19" ht="15.5">
      <c r="A103" s="118"/>
      <c r="B103" s="118"/>
      <c r="C103" s="118"/>
      <c r="D103" s="118"/>
      <c r="E103" s="118"/>
      <c r="F103" s="118"/>
      <c r="G103" s="141"/>
      <c r="H103" s="142"/>
      <c r="I103" s="135" t="s">
        <v>54</v>
      </c>
      <c r="J103" s="135">
        <f t="shared" si="0"/>
        <v>0</v>
      </c>
      <c r="K103" s="140">
        <f t="shared" si="1"/>
        <v>0</v>
      </c>
      <c r="L103" s="139">
        <f t="shared" si="2"/>
        <v>0</v>
      </c>
      <c r="M103" s="123"/>
      <c r="N103" s="5"/>
      <c r="O103" s="5"/>
      <c r="P103" s="2"/>
      <c r="Q103" s="99"/>
      <c r="R103" s="2"/>
      <c r="S103" s="99"/>
    </row>
    <row r="104" spans="1:19" ht="15.5">
      <c r="A104" s="120"/>
      <c r="B104" s="120"/>
      <c r="C104" s="119"/>
      <c r="D104" s="118"/>
      <c r="E104" s="118"/>
      <c r="F104" s="121"/>
      <c r="G104" s="141"/>
      <c r="H104" s="142"/>
      <c r="I104" s="135" t="s">
        <v>55</v>
      </c>
      <c r="J104" s="135">
        <f t="shared" si="0"/>
        <v>0</v>
      </c>
      <c r="K104" s="140">
        <f t="shared" si="1"/>
        <v>0</v>
      </c>
      <c r="L104" s="139">
        <f t="shared" si="2"/>
        <v>0</v>
      </c>
      <c r="M104" s="123"/>
      <c r="N104" s="5"/>
      <c r="O104" s="5"/>
      <c r="P104" s="2"/>
      <c r="Q104" s="99"/>
      <c r="R104" s="2"/>
      <c r="S104" s="99"/>
    </row>
    <row r="105" spans="1:19" ht="15.5">
      <c r="A105" s="118"/>
      <c r="B105" s="118"/>
      <c r="C105" s="118"/>
      <c r="D105" s="118"/>
      <c r="E105" s="118"/>
      <c r="F105" s="118"/>
      <c r="G105" s="141"/>
      <c r="H105" s="142"/>
      <c r="I105" s="135" t="s">
        <v>56</v>
      </c>
      <c r="J105" s="135">
        <f t="shared" si="0"/>
        <v>0</v>
      </c>
      <c r="K105" s="140">
        <f t="shared" si="1"/>
        <v>0</v>
      </c>
      <c r="L105" s="139">
        <f t="shared" si="2"/>
        <v>0</v>
      </c>
      <c r="M105" s="123"/>
      <c r="N105" s="5"/>
      <c r="O105" s="5"/>
      <c r="P105" s="2"/>
      <c r="Q105" s="99"/>
      <c r="R105" s="2"/>
      <c r="S105" s="99"/>
    </row>
    <row r="106" spans="1:19" ht="15.5">
      <c r="A106" s="120"/>
      <c r="B106" s="120"/>
      <c r="C106" s="119"/>
      <c r="D106" s="118"/>
      <c r="E106" s="118"/>
      <c r="F106" s="118"/>
      <c r="G106" s="141"/>
      <c r="H106" s="142"/>
      <c r="I106" s="135" t="s">
        <v>57</v>
      </c>
      <c r="J106" s="135">
        <f t="shared" si="0"/>
        <v>0</v>
      </c>
      <c r="K106" s="140">
        <f t="shared" si="1"/>
        <v>0</v>
      </c>
      <c r="L106" s="139">
        <f t="shared" si="2"/>
        <v>0</v>
      </c>
      <c r="M106" s="123"/>
      <c r="N106" s="5"/>
      <c r="O106" s="5"/>
      <c r="P106" s="2"/>
      <c r="Q106" s="99"/>
      <c r="R106" s="2"/>
      <c r="S106" s="99"/>
    </row>
    <row r="107" spans="1:19" ht="15.5">
      <c r="A107" s="120"/>
      <c r="B107" s="120"/>
      <c r="C107" s="119"/>
      <c r="D107" s="118"/>
      <c r="E107" s="118"/>
      <c r="F107" s="118"/>
      <c r="G107" s="141"/>
      <c r="H107" s="142"/>
      <c r="I107" s="135" t="s">
        <v>58</v>
      </c>
      <c r="J107" s="135">
        <f t="shared" si="0"/>
        <v>0</v>
      </c>
      <c r="K107" s="140">
        <f t="shared" si="1"/>
        <v>0</v>
      </c>
      <c r="L107" s="139">
        <f t="shared" si="2"/>
        <v>0</v>
      </c>
      <c r="M107" s="123"/>
      <c r="N107" s="5"/>
      <c r="O107" s="5"/>
      <c r="P107" s="2"/>
      <c r="Q107" s="99"/>
      <c r="R107" s="2"/>
      <c r="S107" s="99"/>
    </row>
    <row r="108" spans="1:19" ht="15.5">
      <c r="A108" s="118"/>
      <c r="B108" s="118"/>
      <c r="C108" s="118"/>
      <c r="D108" s="118"/>
      <c r="E108" s="118"/>
      <c r="F108" s="118"/>
      <c r="G108" s="141"/>
      <c r="H108" s="142"/>
      <c r="I108" s="135" t="s">
        <v>59</v>
      </c>
      <c r="J108" s="135">
        <f t="shared" si="0"/>
        <v>0</v>
      </c>
      <c r="K108" s="140">
        <f t="shared" si="1"/>
        <v>0</v>
      </c>
      <c r="L108" s="139">
        <f t="shared" si="2"/>
        <v>0</v>
      </c>
      <c r="M108" s="123"/>
      <c r="N108" s="5"/>
      <c r="O108" s="5"/>
      <c r="P108" s="2"/>
      <c r="Q108" s="99"/>
      <c r="R108" s="2"/>
      <c r="S108" s="99"/>
    </row>
    <row r="109" spans="1:19" ht="15.5">
      <c r="A109" s="118"/>
      <c r="B109" s="118"/>
      <c r="C109" s="118"/>
      <c r="D109" s="118"/>
      <c r="E109" s="118"/>
      <c r="F109" s="118"/>
      <c r="G109" s="141"/>
      <c r="H109" s="142"/>
      <c r="I109" s="135" t="s">
        <v>60</v>
      </c>
      <c r="J109" s="135">
        <f t="shared" si="0"/>
        <v>0</v>
      </c>
      <c r="K109" s="140">
        <f t="shared" si="1"/>
        <v>0</v>
      </c>
      <c r="L109" s="139">
        <f t="shared" si="2"/>
        <v>0</v>
      </c>
      <c r="M109" s="123"/>
      <c r="N109" s="5"/>
      <c r="O109" s="5"/>
      <c r="P109" s="2"/>
      <c r="Q109" s="99"/>
      <c r="R109" s="2"/>
      <c r="S109" s="99"/>
    </row>
    <row r="110" spans="1:19" ht="15.5">
      <c r="A110" s="120"/>
      <c r="B110" s="120"/>
      <c r="C110" s="119"/>
      <c r="D110" s="118"/>
      <c r="E110" s="118"/>
      <c r="F110" s="121"/>
      <c r="G110" s="141"/>
      <c r="H110" s="142"/>
      <c r="I110" s="135" t="s">
        <v>61</v>
      </c>
      <c r="J110" s="135">
        <f t="shared" si="0"/>
        <v>0</v>
      </c>
      <c r="K110" s="140">
        <f t="shared" si="1"/>
        <v>0</v>
      </c>
      <c r="L110" s="139">
        <f t="shared" si="2"/>
        <v>0</v>
      </c>
      <c r="M110" s="123"/>
      <c r="N110" s="5"/>
      <c r="O110" s="5"/>
      <c r="P110" s="2"/>
      <c r="Q110" s="99"/>
      <c r="R110" s="2"/>
      <c r="S110" s="99"/>
    </row>
    <row r="111" spans="1:19" ht="15.5">
      <c r="A111" s="118"/>
      <c r="B111" s="118"/>
      <c r="C111" s="118"/>
      <c r="D111" s="118"/>
      <c r="E111" s="118"/>
      <c r="F111" s="118"/>
      <c r="G111" s="141"/>
      <c r="H111" s="142"/>
      <c r="I111" s="135" t="s">
        <v>62</v>
      </c>
      <c r="J111" s="135">
        <f t="shared" si="0"/>
        <v>0</v>
      </c>
      <c r="K111" s="140">
        <f t="shared" si="1"/>
        <v>0</v>
      </c>
      <c r="L111" s="139">
        <f t="shared" si="2"/>
        <v>0</v>
      </c>
      <c r="M111" s="123"/>
      <c r="N111" s="5"/>
      <c r="O111" s="5"/>
      <c r="P111" s="2"/>
      <c r="Q111" s="99"/>
      <c r="R111" s="2"/>
      <c r="S111" s="99"/>
    </row>
    <row r="112" spans="1:19" ht="15.5">
      <c r="A112" s="118"/>
      <c r="B112" s="118"/>
      <c r="C112" s="118"/>
      <c r="D112" s="118"/>
      <c r="E112" s="118"/>
      <c r="F112" s="118"/>
      <c r="G112" s="141"/>
      <c r="H112" s="142"/>
      <c r="I112" s="135" t="s">
        <v>63</v>
      </c>
      <c r="J112" s="135">
        <f t="shared" si="0"/>
        <v>0</v>
      </c>
      <c r="K112" s="140">
        <f t="shared" si="1"/>
        <v>0</v>
      </c>
      <c r="L112" s="139">
        <f t="shared" si="2"/>
        <v>0</v>
      </c>
      <c r="M112" s="123"/>
      <c r="N112" s="5"/>
      <c r="O112" s="5"/>
      <c r="P112" s="2"/>
      <c r="Q112" s="99"/>
      <c r="R112" s="2"/>
      <c r="S112" s="99"/>
    </row>
    <row r="113" spans="1:19" ht="15.5">
      <c r="A113" s="120"/>
      <c r="B113" s="120"/>
      <c r="C113" s="119"/>
      <c r="D113" s="118"/>
      <c r="E113" s="118"/>
      <c r="F113" s="121"/>
      <c r="G113" s="141"/>
      <c r="H113" s="142"/>
      <c r="I113" s="135" t="s">
        <v>64</v>
      </c>
      <c r="J113" s="135">
        <f t="shared" si="0"/>
        <v>0</v>
      </c>
      <c r="K113" s="140">
        <f t="shared" si="1"/>
        <v>0</v>
      </c>
      <c r="L113" s="139">
        <f t="shared" si="2"/>
        <v>0</v>
      </c>
      <c r="M113" s="123"/>
      <c r="N113" s="5"/>
      <c r="O113" s="5"/>
      <c r="P113" s="2"/>
      <c r="Q113" s="99"/>
      <c r="R113" s="2"/>
      <c r="S113" s="99"/>
    </row>
    <row r="114" spans="1:19" ht="15.5">
      <c r="A114" s="118"/>
      <c r="B114" s="118"/>
      <c r="C114" s="118"/>
      <c r="D114" s="118"/>
      <c r="E114" s="118"/>
      <c r="F114" s="118"/>
      <c r="G114" s="141"/>
      <c r="H114" s="142"/>
      <c r="I114" s="135" t="s">
        <v>65</v>
      </c>
      <c r="J114" s="135">
        <f t="shared" si="0"/>
        <v>0</v>
      </c>
      <c r="K114" s="140">
        <f t="shared" si="1"/>
        <v>0</v>
      </c>
      <c r="L114" s="139">
        <f t="shared" si="2"/>
        <v>0</v>
      </c>
      <c r="M114" s="123"/>
      <c r="N114" s="5"/>
      <c r="O114" s="5"/>
      <c r="P114" s="2"/>
      <c r="Q114" s="99"/>
      <c r="R114" s="2"/>
      <c r="S114" s="99"/>
    </row>
    <row r="115" spans="1:19" ht="15.5">
      <c r="A115" s="118"/>
      <c r="B115" s="118"/>
      <c r="C115" s="118"/>
      <c r="D115" s="118"/>
      <c r="E115" s="118"/>
      <c r="F115" s="118"/>
      <c r="G115" s="141"/>
      <c r="H115" s="142"/>
      <c r="I115" s="135" t="s">
        <v>66</v>
      </c>
      <c r="J115" s="135">
        <f t="shared" si="0"/>
        <v>80442</v>
      </c>
      <c r="K115" s="140">
        <f t="shared" si="1"/>
        <v>0.54359999999999997</v>
      </c>
      <c r="L115" s="139">
        <f t="shared" si="2"/>
        <v>43728.271199999996</v>
      </c>
      <c r="M115" s="123"/>
      <c r="N115" s="5"/>
      <c r="O115" s="5"/>
      <c r="P115" s="2"/>
      <c r="Q115" s="99"/>
      <c r="R115" s="2"/>
      <c r="S115" s="99"/>
    </row>
    <row r="116" spans="1:19" ht="15.5">
      <c r="A116" s="118"/>
      <c r="B116" s="118"/>
      <c r="C116" s="118"/>
      <c r="D116" s="118"/>
      <c r="E116" s="118"/>
      <c r="F116" s="118"/>
      <c r="G116" s="139"/>
      <c r="H116" s="140"/>
      <c r="I116" s="135" t="s">
        <v>67</v>
      </c>
      <c r="J116" s="135">
        <f t="shared" si="0"/>
        <v>80442</v>
      </c>
      <c r="K116" s="140">
        <f t="shared" si="1"/>
        <v>0.54359999999999997</v>
      </c>
      <c r="L116" s="139">
        <f t="shared" si="2"/>
        <v>43728.271199999996</v>
      </c>
      <c r="M116" s="123"/>
      <c r="N116" s="5"/>
      <c r="O116" s="5"/>
      <c r="P116" s="2"/>
      <c r="Q116" s="99"/>
      <c r="R116" s="2"/>
      <c r="S116" s="99"/>
    </row>
    <row r="117" spans="1:19">
      <c r="A117" s="118"/>
      <c r="B117" s="118"/>
      <c r="C117" s="118"/>
      <c r="D117" s="118"/>
      <c r="E117" s="118"/>
      <c r="F117" s="118"/>
      <c r="G117" s="135"/>
      <c r="H117" s="135"/>
      <c r="I117" s="135"/>
      <c r="J117" s="135"/>
      <c r="K117" s="135"/>
      <c r="L117" s="135"/>
      <c r="M117" s="123"/>
    </row>
    <row r="118" spans="1:19">
      <c r="A118" s="118"/>
      <c r="B118" s="118"/>
      <c r="C118" s="118"/>
      <c r="D118" s="118"/>
      <c r="E118" s="118"/>
      <c r="F118" s="118"/>
      <c r="G118" s="180"/>
      <c r="H118" s="180"/>
      <c r="I118" s="135"/>
      <c r="J118" s="144"/>
      <c r="K118" s="144"/>
      <c r="L118" s="135"/>
      <c r="M118" s="123"/>
    </row>
    <row r="119" spans="1:19">
      <c r="A119" s="118"/>
      <c r="B119" s="118"/>
      <c r="C119" s="118"/>
      <c r="D119" s="118"/>
      <c r="E119" s="118"/>
      <c r="F119" s="118"/>
      <c r="G119" s="144"/>
      <c r="H119" s="144"/>
      <c r="I119" s="135"/>
      <c r="J119" s="144"/>
      <c r="K119" s="144"/>
      <c r="L119" s="135"/>
    </row>
    <row r="120" spans="1:19">
      <c r="A120" s="118"/>
      <c r="B120" s="118"/>
      <c r="C120" s="118"/>
      <c r="D120" s="118"/>
      <c r="E120" s="118"/>
      <c r="F120" s="118"/>
      <c r="G120" s="135"/>
      <c r="H120" s="135"/>
      <c r="I120" s="135"/>
      <c r="J120" s="139"/>
      <c r="K120" s="140"/>
      <c r="L120" s="135"/>
    </row>
    <row r="121" spans="1:19">
      <c r="A121" s="118"/>
      <c r="B121" s="118"/>
      <c r="C121" s="118"/>
      <c r="D121" s="118"/>
      <c r="E121" s="118"/>
      <c r="F121" s="118"/>
      <c r="G121" s="135"/>
      <c r="H121" s="135"/>
      <c r="I121" s="135"/>
      <c r="J121" s="139"/>
      <c r="K121" s="140"/>
      <c r="L121" s="135"/>
    </row>
    <row r="122" spans="1:19">
      <c r="A122" s="118"/>
      <c r="B122" s="118"/>
      <c r="C122" s="118"/>
      <c r="D122" s="118"/>
      <c r="E122" s="118"/>
      <c r="F122" s="118"/>
      <c r="G122" s="135"/>
      <c r="H122" s="135"/>
      <c r="I122" s="135"/>
      <c r="J122" s="139"/>
      <c r="K122" s="140"/>
      <c r="L122" s="135"/>
    </row>
    <row r="123" spans="1:19">
      <c r="A123" s="118"/>
      <c r="B123" s="118"/>
      <c r="C123" s="118"/>
      <c r="D123" s="118"/>
      <c r="E123" s="118"/>
      <c r="F123" s="118"/>
      <c r="J123" s="3"/>
      <c r="K123" s="2"/>
    </row>
    <row r="124" spans="1:19">
      <c r="A124" s="118"/>
      <c r="B124" s="118"/>
      <c r="C124" s="118"/>
      <c r="D124" s="118"/>
      <c r="E124" s="118"/>
      <c r="F124" s="118"/>
      <c r="J124" s="3"/>
      <c r="K124" s="2"/>
    </row>
    <row r="125" spans="1:19">
      <c r="A125" s="118"/>
      <c r="B125" s="118"/>
      <c r="C125" s="118"/>
      <c r="D125" s="118"/>
      <c r="E125" s="118"/>
      <c r="F125" s="118"/>
      <c r="J125" s="3"/>
      <c r="K125" s="2"/>
    </row>
    <row r="126" spans="1:19">
      <c r="A126" s="118"/>
      <c r="B126" s="118"/>
      <c r="C126" s="118"/>
      <c r="D126" s="118"/>
      <c r="E126" s="118"/>
      <c r="F126" s="118"/>
      <c r="J126" s="3"/>
      <c r="K126" s="2"/>
    </row>
    <row r="127" spans="1:19">
      <c r="A127" s="118"/>
      <c r="B127" s="118"/>
      <c r="C127" s="118"/>
      <c r="D127" s="118"/>
      <c r="E127" s="118"/>
      <c r="F127" s="118"/>
      <c r="J127" s="3"/>
      <c r="K127" s="2"/>
    </row>
    <row r="128" spans="1:19">
      <c r="A128" s="118"/>
      <c r="B128" s="118"/>
      <c r="C128" s="118"/>
      <c r="D128" s="118"/>
      <c r="E128" s="118"/>
      <c r="F128" s="118"/>
      <c r="J128" s="3"/>
      <c r="K128" s="2"/>
    </row>
    <row r="129" spans="1:11">
      <c r="A129" s="118"/>
      <c r="B129" s="118"/>
      <c r="C129" s="118"/>
      <c r="D129" s="118"/>
      <c r="E129" s="118"/>
      <c r="F129" s="118"/>
      <c r="J129" s="3"/>
      <c r="K129" s="2"/>
    </row>
    <row r="130" spans="1:11">
      <c r="A130" s="118"/>
      <c r="B130" s="118"/>
      <c r="C130" s="118"/>
      <c r="D130" s="118"/>
      <c r="E130" s="118"/>
      <c r="F130" s="118"/>
      <c r="J130" s="3"/>
      <c r="K130" s="2"/>
    </row>
    <row r="131" spans="1:11">
      <c r="A131" s="118"/>
      <c r="B131" s="118"/>
      <c r="C131" s="118"/>
      <c r="D131" s="118"/>
      <c r="E131" s="118"/>
      <c r="F131" s="118"/>
      <c r="J131" s="3"/>
      <c r="K131" s="2"/>
    </row>
    <row r="132" spans="1:11">
      <c r="A132" s="118"/>
      <c r="B132" s="118"/>
      <c r="C132" s="118"/>
      <c r="D132" s="118"/>
      <c r="E132" s="118"/>
      <c r="F132" s="118"/>
      <c r="J132" s="3"/>
      <c r="K132" s="2"/>
    </row>
    <row r="133" spans="1:11">
      <c r="A133" s="118"/>
      <c r="B133" s="118"/>
      <c r="C133" s="118"/>
      <c r="D133" s="118"/>
      <c r="E133" s="118"/>
      <c r="F133" s="118"/>
      <c r="J133" s="3"/>
      <c r="K133" s="2"/>
    </row>
    <row r="134" spans="1:11">
      <c r="A134" s="118"/>
      <c r="B134" s="118"/>
      <c r="C134" s="118"/>
      <c r="D134" s="118"/>
      <c r="E134" s="118"/>
      <c r="F134" s="118"/>
      <c r="J134" s="3"/>
      <c r="K134" s="2"/>
    </row>
    <row r="135" spans="1:11">
      <c r="A135" s="118"/>
      <c r="B135" s="118"/>
      <c r="C135" s="118"/>
      <c r="D135" s="118"/>
      <c r="E135" s="118"/>
      <c r="F135" s="118"/>
      <c r="J135" s="3"/>
      <c r="K135" s="2"/>
    </row>
    <row r="136" spans="1:11">
      <c r="A136" s="118"/>
      <c r="B136" s="118"/>
      <c r="C136" s="118"/>
      <c r="D136" s="118"/>
      <c r="E136" s="118"/>
      <c r="F136" s="118"/>
      <c r="J136" s="3"/>
      <c r="K136" s="2"/>
    </row>
    <row r="137" spans="1:11">
      <c r="A137" s="118"/>
      <c r="B137" s="118"/>
      <c r="C137" s="118"/>
      <c r="D137" s="118"/>
      <c r="E137" s="118"/>
      <c r="F137" s="118"/>
      <c r="J137" s="3"/>
      <c r="K137" s="2"/>
    </row>
    <row r="138" spans="1:11">
      <c r="A138" s="118"/>
      <c r="B138" s="118"/>
      <c r="C138" s="118"/>
      <c r="D138" s="118"/>
      <c r="E138" s="118"/>
      <c r="F138" s="118"/>
      <c r="J138" s="3"/>
      <c r="K138" s="2"/>
    </row>
    <row r="139" spans="1:11">
      <c r="A139" s="118"/>
      <c r="B139" s="118"/>
      <c r="C139" s="118"/>
      <c r="D139" s="118"/>
      <c r="E139" s="118"/>
      <c r="F139" s="118"/>
      <c r="J139" s="3"/>
      <c r="K139" s="2"/>
    </row>
    <row r="140" spans="1:11">
      <c r="A140" s="118"/>
      <c r="B140" s="118"/>
      <c r="C140" s="118"/>
      <c r="D140" s="118"/>
      <c r="E140" s="118"/>
      <c r="F140" s="118"/>
      <c r="J140" s="3"/>
      <c r="K140" s="2"/>
    </row>
    <row r="141" spans="1:11">
      <c r="A141" s="118"/>
      <c r="B141" s="118"/>
      <c r="C141" s="118"/>
      <c r="D141" s="118"/>
      <c r="E141" s="118"/>
      <c r="F141" s="118"/>
      <c r="J141" s="3"/>
      <c r="K141" s="2"/>
    </row>
    <row r="142" spans="1:11">
      <c r="A142" s="118"/>
      <c r="B142" s="118"/>
      <c r="C142" s="118"/>
      <c r="D142" s="118"/>
      <c r="E142" s="118"/>
      <c r="F142" s="118"/>
      <c r="J142" s="3"/>
      <c r="K142" s="2"/>
    </row>
    <row r="143" spans="1:11">
      <c r="A143" s="118"/>
      <c r="B143" s="118"/>
      <c r="C143" s="118"/>
      <c r="D143" s="118"/>
      <c r="E143" s="118"/>
      <c r="F143" s="118"/>
      <c r="J143" s="3"/>
      <c r="K143" s="2"/>
    </row>
    <row r="144" spans="1:11">
      <c r="A144" s="118"/>
      <c r="B144" s="118"/>
      <c r="C144" s="118"/>
      <c r="D144" s="118"/>
      <c r="E144" s="118"/>
      <c r="F144" s="118"/>
      <c r="J144" s="3"/>
      <c r="K144" s="2"/>
    </row>
    <row r="145" spans="1:11">
      <c r="A145" s="118"/>
      <c r="B145" s="118"/>
      <c r="C145" s="118"/>
      <c r="D145" s="118"/>
      <c r="E145" s="118"/>
      <c r="F145" s="118"/>
      <c r="J145" s="3"/>
      <c r="K145" s="2"/>
    </row>
    <row r="146" spans="1:11">
      <c r="A146" s="118"/>
      <c r="B146" s="118"/>
      <c r="C146" s="118"/>
      <c r="D146" s="118"/>
      <c r="E146" s="118"/>
      <c r="F146" s="118"/>
      <c r="J146" s="3"/>
      <c r="K146" s="2"/>
    </row>
    <row r="147" spans="1:11">
      <c r="A147" s="118"/>
      <c r="B147" s="118"/>
      <c r="C147" s="118"/>
      <c r="D147" s="118"/>
      <c r="E147" s="118"/>
      <c r="F147" s="118"/>
      <c r="J147" s="3"/>
      <c r="K147" s="2"/>
    </row>
    <row r="148" spans="1:11">
      <c r="A148" s="118"/>
      <c r="B148" s="118"/>
      <c r="C148" s="118"/>
      <c r="D148" s="118"/>
      <c r="E148" s="118"/>
      <c r="F148" s="118"/>
      <c r="J148" s="3"/>
      <c r="K148" s="2"/>
    </row>
    <row r="149" spans="1:11">
      <c r="A149" s="118"/>
      <c r="B149" s="118"/>
      <c r="C149" s="118"/>
      <c r="D149" s="118"/>
      <c r="E149" s="118"/>
      <c r="F149" s="118"/>
      <c r="J149" s="3"/>
      <c r="K149" s="2"/>
    </row>
    <row r="150" spans="1:11">
      <c r="A150" s="118"/>
      <c r="B150" s="118"/>
      <c r="C150" s="118"/>
      <c r="D150" s="118"/>
      <c r="E150" s="118"/>
      <c r="F150" s="118"/>
      <c r="J150" s="3"/>
      <c r="K150" s="2"/>
    </row>
    <row r="151" spans="1:11">
      <c r="A151" s="118"/>
      <c r="B151" s="118"/>
      <c r="C151" s="118"/>
      <c r="D151" s="118"/>
      <c r="E151" s="118"/>
      <c r="F151" s="118"/>
      <c r="J151" s="3"/>
      <c r="K151" s="2"/>
    </row>
    <row r="152" spans="1:11">
      <c r="A152" s="118"/>
      <c r="B152" s="118"/>
      <c r="C152" s="118"/>
      <c r="D152" s="118"/>
      <c r="E152" s="118"/>
      <c r="F152" s="118"/>
      <c r="J152" s="3"/>
      <c r="K152" s="2"/>
    </row>
    <row r="153" spans="1:11">
      <c r="A153" s="118"/>
      <c r="B153" s="118"/>
      <c r="C153" s="118"/>
      <c r="D153" s="118"/>
      <c r="E153" s="118"/>
      <c r="F153" s="118"/>
      <c r="J153" s="3"/>
      <c r="K153" s="2"/>
    </row>
    <row r="154" spans="1:11">
      <c r="A154" s="118"/>
      <c r="B154" s="118"/>
      <c r="C154" s="118"/>
      <c r="D154" s="118"/>
      <c r="E154" s="118"/>
      <c r="F154" s="118"/>
      <c r="J154" s="3"/>
      <c r="K154" s="2"/>
    </row>
    <row r="155" spans="1:11">
      <c r="A155" s="118"/>
      <c r="B155" s="118"/>
      <c r="C155" s="118"/>
      <c r="D155" s="118"/>
      <c r="E155" s="118"/>
      <c r="F155" s="118"/>
      <c r="J155" s="3"/>
      <c r="K155" s="2"/>
    </row>
    <row r="156" spans="1:11">
      <c r="A156" s="118"/>
      <c r="B156" s="118"/>
      <c r="C156" s="118"/>
      <c r="D156" s="118"/>
      <c r="E156" s="118"/>
      <c r="F156" s="118"/>
      <c r="J156" s="3"/>
      <c r="K156" s="2"/>
    </row>
    <row r="157" spans="1:11">
      <c r="A157" s="118"/>
      <c r="B157" s="118"/>
      <c r="C157" s="118"/>
      <c r="D157" s="118"/>
      <c r="E157" s="118"/>
      <c r="F157" s="118"/>
      <c r="J157" s="3"/>
      <c r="K157" s="2"/>
    </row>
    <row r="158" spans="1:11">
      <c r="A158" s="118"/>
      <c r="B158" s="118"/>
      <c r="C158" s="118"/>
      <c r="D158" s="118"/>
      <c r="E158" s="118"/>
      <c r="F158" s="118"/>
      <c r="J158" s="3"/>
      <c r="K158" s="2"/>
    </row>
    <row r="159" spans="1:11">
      <c r="J159" s="3"/>
      <c r="K159" s="2"/>
    </row>
    <row r="160" spans="1:11">
      <c r="J160" s="3"/>
      <c r="K160" s="2"/>
    </row>
    <row r="161" spans="7:11">
      <c r="J161" s="3"/>
      <c r="K161" s="2"/>
    </row>
    <row r="162" spans="7:11">
      <c r="J162" s="3"/>
      <c r="K162" s="2"/>
    </row>
    <row r="163" spans="7:11">
      <c r="J163" s="3"/>
      <c r="K163" s="2"/>
    </row>
    <row r="164" spans="7:11">
      <c r="J164" s="3"/>
      <c r="K164" s="2"/>
    </row>
    <row r="165" spans="7:11">
      <c r="J165" s="3"/>
      <c r="K165" s="2"/>
    </row>
    <row r="166" spans="7:11">
      <c r="J166" s="3"/>
      <c r="K166" s="2"/>
    </row>
    <row r="167" spans="7:11">
      <c r="J167" s="3"/>
      <c r="K167" s="2"/>
    </row>
    <row r="168" spans="7:11">
      <c r="J168" s="3"/>
      <c r="K168" s="2"/>
    </row>
    <row r="169" spans="7:11">
      <c r="J169" s="3"/>
      <c r="K169" s="2"/>
    </row>
    <row r="170" spans="7:11">
      <c r="J170" s="3"/>
      <c r="K170" s="2"/>
    </row>
    <row r="171" spans="7:11">
      <c r="J171" s="3"/>
      <c r="K171" s="2"/>
    </row>
    <row r="172" spans="7:11">
      <c r="J172" s="3"/>
      <c r="K172" s="2"/>
    </row>
    <row r="173" spans="7:11">
      <c r="J173" s="3"/>
      <c r="K173" s="2"/>
    </row>
    <row r="174" spans="7:11">
      <c r="J174" s="3"/>
      <c r="K174" s="2"/>
    </row>
    <row r="176" spans="7:11">
      <c r="G176" s="100"/>
      <c r="H176" s="100"/>
    </row>
    <row r="177" spans="7:8">
      <c r="G177" s="100"/>
      <c r="H177" s="100"/>
    </row>
  </sheetData>
  <mergeCells count="3">
    <mergeCell ref="J60:L60"/>
    <mergeCell ref="N60:O60"/>
    <mergeCell ref="G118:H118"/>
  </mergeCells>
  <phoneticPr fontId="1" type="noConversion"/>
  <conditionalFormatting sqref="G51:U52">
    <cfRule type="expression" dxfId="20" priority="52">
      <formula>G51&lt;&gt;0</formula>
    </cfRule>
  </conditionalFormatting>
  <conditionalFormatting sqref="G53:W58">
    <cfRule type="expression" dxfId="19" priority="32">
      <formula>G53&lt;&gt;0</formula>
    </cfRule>
  </conditionalFormatting>
  <conditionalFormatting sqref="G4:X27 G28:O31 Q28:X34 P29:P34 G32:N50 P35:X35 R36:X37 P36:P50 Q37:Q38 R38:T38 V38:X41 Q39:T40 S41:T41 Q41:Q50 R42:T43 W42:X47 T44:T45 R44:R50 S45:S50 W48:W52">
    <cfRule type="expression" dxfId="18" priority="65">
      <formula>G4&lt;&gt;0</formula>
    </cfRule>
  </conditionalFormatting>
  <conditionalFormatting sqref="N62:O116">
    <cfRule type="expression" dxfId="17" priority="31">
      <formula>ABS(N62)&gt;=10%</formula>
    </cfRule>
  </conditionalFormatting>
  <conditionalFormatting sqref="O32 O34:O50">
    <cfRule type="expression" dxfId="16" priority="64">
      <formula>O32&lt;&gt;0</formula>
    </cfRule>
  </conditionalFormatting>
  <conditionalFormatting sqref="T47:T50">
    <cfRule type="expression" dxfId="15" priority="61">
      <formula>T47&lt;&gt;0</formula>
    </cfRule>
  </conditionalFormatting>
  <conditionalFormatting sqref="U38:U50">
    <cfRule type="expression" dxfId="14" priority="54">
      <formula>U38&lt;&gt;0</formula>
    </cfRule>
  </conditionalFormatting>
  <conditionalFormatting sqref="V42:V51">
    <cfRule type="expression" dxfId="13" priority="55">
      <formula>V42&lt;&gt;0</formula>
    </cfRule>
  </conditionalFormatting>
  <conditionalFormatting sqref="V61:W78">
    <cfRule type="cellIs" dxfId="12" priority="27" operator="lessThan">
      <formula>-0.001</formula>
    </cfRule>
    <cfRule type="cellIs" dxfId="11" priority="28" operator="greaterThan">
      <formula>0.001</formula>
    </cfRule>
  </conditionalFormatting>
  <conditionalFormatting sqref="X48:X58">
    <cfRule type="expression" dxfId="10" priority="34">
      <formula>X48&lt;&gt;0</formula>
    </cfRule>
  </conditionalFormatting>
  <conditionalFormatting sqref="BC12 BE12:BU12">
    <cfRule type="expression" dxfId="9" priority="25">
      <formula>BC12&lt;&gt;0</formula>
    </cfRule>
  </conditionalFormatting>
  <conditionalFormatting sqref="BC4:BU11 AY4:BB12 AA4:AX21 AZ13:BE13 BG13:BU13 BF13:BF21 BH14:BI14 BL14:BU14 BJ14:BK17 AY14:BE21 BO15:BU15 BI15:BI17 BM15:BN17 BG15:BH21 BP16:BU16 BL16:BL17 BO17:BP17 BI19:BL21 BS20:BW20 BM20:BR21">
    <cfRule type="expression" dxfId="8" priority="26">
      <formula>AA4&lt;&gt;0</formula>
    </cfRule>
  </conditionalFormatting>
  <conditionalFormatting sqref="BI18:BU18">
    <cfRule type="expression" dxfId="7" priority="22">
      <formula>BI18&lt;&gt;0</formula>
    </cfRule>
  </conditionalFormatting>
  <conditionalFormatting sqref="BM19:BV19">
    <cfRule type="expression" dxfId="6" priority="23">
      <formula>BM19&lt;&gt;0</formula>
    </cfRule>
  </conditionalFormatting>
  <conditionalFormatting sqref="BR17:BU17 BS21:BX21">
    <cfRule type="expression" dxfId="5" priority="24">
      <formula>BR17&lt;&gt;0</formula>
    </cfRule>
  </conditionalFormatting>
  <conditionalFormatting sqref="BV4:BW18">
    <cfRule type="expression" dxfId="4" priority="20">
      <formula>BV4&lt;&gt;0</formula>
    </cfRule>
  </conditionalFormatting>
  <conditionalFormatting sqref="BX4:BX20">
    <cfRule type="expression" dxfId="3" priority="21">
      <formula>BX4&lt;&gt;0</formula>
    </cfRule>
  </conditionalFormatting>
  <conditionalFormatting sqref="BY4:CC21">
    <cfRule type="expression" dxfId="2" priority="1">
      <formula>BY4&lt;&gt;0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134"/>
  <sheetViews>
    <sheetView showGridLines="0" topLeftCell="A99" zoomScale="60" zoomScaleNormal="60" workbookViewId="0">
      <selection activeCell="E134" sqref="E134"/>
    </sheetView>
  </sheetViews>
  <sheetFormatPr baseColWidth="10" defaultColWidth="11.453125" defaultRowHeight="14.5"/>
  <cols>
    <col min="1" max="1" width="3" customWidth="1"/>
    <col min="6" max="6" width="9.81640625" customWidth="1"/>
    <col min="7" max="7" width="10.81640625" customWidth="1"/>
    <col min="8" max="8" width="15.1796875" customWidth="1"/>
    <col min="9" max="9" width="12.81640625" bestFit="1" customWidth="1"/>
    <col min="10" max="10" width="12.453125" customWidth="1"/>
    <col min="11" max="11" width="13.453125" customWidth="1"/>
    <col min="13" max="13" width="10.81640625" customWidth="1"/>
    <col min="14" max="14" width="13.453125" bestFit="1" customWidth="1"/>
    <col min="16" max="16" width="17.81640625" customWidth="1"/>
  </cols>
  <sheetData>
    <row r="1" spans="2:19" ht="15" thickBot="1"/>
    <row r="2" spans="2:19">
      <c r="B2" s="7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4"/>
    </row>
    <row r="3" spans="2:19">
      <c r="B3" s="8"/>
      <c r="S3" s="25"/>
    </row>
    <row r="4" spans="2:19">
      <c r="B4" s="8"/>
      <c r="S4" s="25"/>
    </row>
    <row r="5" spans="2:19">
      <c r="B5" s="8"/>
      <c r="S5" s="25"/>
    </row>
    <row r="6" spans="2:19">
      <c r="B6" s="8"/>
      <c r="E6" s="26">
        <f>+Utilidad!J62</f>
        <v>109880.56415999999</v>
      </c>
      <c r="S6" s="25"/>
    </row>
    <row r="7" spans="2:19">
      <c r="B7" s="8"/>
      <c r="E7" s="27">
        <f>+Utilidad!K62</f>
        <v>0.26251920328</v>
      </c>
      <c r="I7" s="26">
        <f>+Utilidad!J65</f>
        <v>57684.835215999999</v>
      </c>
      <c r="L7" s="28">
        <f>+Utilidad!J68</f>
        <v>82145.351999000006</v>
      </c>
      <c r="Q7" s="28">
        <f>+Utilidad!J70</f>
        <v>19654.716090000002</v>
      </c>
      <c r="S7" s="25"/>
    </row>
    <row r="8" spans="2:19">
      <c r="B8" s="8"/>
      <c r="E8" s="29">
        <f>+Utilidad!L62</f>
        <v>28845.758159240122</v>
      </c>
      <c r="I8" s="27">
        <f>+Utilidad!K65</f>
        <v>0.34934015365999999</v>
      </c>
      <c r="L8" s="30">
        <f>+Utilidad!K68</f>
        <v>0.41624097638999996</v>
      </c>
      <c r="Q8" s="30">
        <f>+Utilidad!K70</f>
        <v>0.27382140926999998</v>
      </c>
      <c r="S8" s="25"/>
    </row>
    <row r="9" spans="2:19">
      <c r="B9" s="8"/>
      <c r="I9" s="29">
        <f>+Utilidad!L65</f>
        <v>20151.629198209219</v>
      </c>
      <c r="L9" s="31">
        <f>+Utilidad!L68</f>
        <v>34192.261521963999</v>
      </c>
      <c r="Q9" s="31">
        <f>+Utilidad!L70</f>
        <v>5381.882058565544</v>
      </c>
      <c r="S9" s="25"/>
    </row>
    <row r="10" spans="2:19">
      <c r="B10" s="8"/>
      <c r="E10" s="26">
        <f>+Utilidad!J63</f>
        <v>0</v>
      </c>
      <c r="S10" s="25"/>
    </row>
    <row r="11" spans="2:19">
      <c r="B11" s="8"/>
      <c r="E11" s="27">
        <f>+Utilidad!K63</f>
        <v>0</v>
      </c>
      <c r="Q11" s="28">
        <f>+Utilidad!J71</f>
        <v>7183.3611259999998</v>
      </c>
      <c r="S11" s="25"/>
    </row>
    <row r="12" spans="2:19">
      <c r="B12" s="8"/>
      <c r="C12" s="26">
        <f>+Utilidad!J101</f>
        <v>0</v>
      </c>
      <c r="E12" s="29">
        <f>+Utilidad!L63</f>
        <v>0</v>
      </c>
      <c r="Q12" s="30">
        <f>+Utilidad!K71</f>
        <v>0.14657961259999999</v>
      </c>
      <c r="S12" s="25"/>
    </row>
    <row r="13" spans="2:19">
      <c r="B13" s="8"/>
      <c r="C13" s="27">
        <f>+Utilidad!K101</f>
        <v>0</v>
      </c>
      <c r="H13" s="32">
        <f>+Utilidad!J66</f>
        <v>61069</v>
      </c>
      <c r="N13" s="26">
        <f>+Utilidad!J72</f>
        <v>25002.378000000001</v>
      </c>
      <c r="Q13" s="31">
        <f>+Utilidad!L71</f>
        <v>1052.9342910149796</v>
      </c>
      <c r="S13" s="25"/>
    </row>
    <row r="14" spans="2:19">
      <c r="B14" s="8"/>
      <c r="C14" s="29">
        <f>+Utilidad!L101</f>
        <v>0</v>
      </c>
      <c r="H14" s="33">
        <f>+Utilidad!K66</f>
        <v>0.49819999999999998</v>
      </c>
      <c r="J14" s="34">
        <f>+I7+H13-L14-L7</f>
        <v>36608.483217000001</v>
      </c>
      <c r="L14" s="28">
        <f>+Utilidad!J69</f>
        <v>0</v>
      </c>
      <c r="N14" s="27">
        <f>+Utilidad!K72</f>
        <v>0.46962579199999999</v>
      </c>
      <c r="S14" s="25"/>
    </row>
    <row r="15" spans="2:19">
      <c r="B15" s="8"/>
      <c r="G15" s="35">
        <f>+Utilidad!J64</f>
        <v>52195.728946000003</v>
      </c>
      <c r="H15" s="36">
        <f>+Utilidad!L66</f>
        <v>30424.575799999999</v>
      </c>
      <c r="L15" s="30">
        <f>+Utilidad!K69</f>
        <v>0</v>
      </c>
      <c r="N15" s="29">
        <f>+Utilidad!L72</f>
        <v>11741.761570133376</v>
      </c>
      <c r="S15" s="25"/>
    </row>
    <row r="16" spans="2:19">
      <c r="B16" s="8"/>
      <c r="E16" s="37">
        <f>+C12-E10</f>
        <v>0</v>
      </c>
      <c r="G16" s="38">
        <f>+Utilidad!K64</f>
        <v>0.16656782351999999</v>
      </c>
      <c r="L16" s="31">
        <f>+Utilidad!L69</f>
        <v>0</v>
      </c>
      <c r="S16" s="25"/>
    </row>
    <row r="17" spans="2:19">
      <c r="B17" s="8"/>
      <c r="G17" s="39">
        <f>+Utilidad!L64</f>
        <v>8694.1289675750832</v>
      </c>
      <c r="S17" s="25"/>
    </row>
    <row r="18" spans="2:19">
      <c r="B18" s="8"/>
      <c r="K18" s="26">
        <f>+Utilidad!J116</f>
        <v>80442</v>
      </c>
      <c r="S18" s="25"/>
    </row>
    <row r="19" spans="2:19">
      <c r="B19" s="8"/>
      <c r="K19" s="27">
        <f>+Utilidad!K116</f>
        <v>0.54359999999999997</v>
      </c>
      <c r="S19" s="25"/>
    </row>
    <row r="20" spans="2:19">
      <c r="B20" s="8"/>
      <c r="K20" s="29">
        <f>+Utilidad!L116</f>
        <v>43728.271199999996</v>
      </c>
      <c r="N20" s="34">
        <f>+L14+N13+K18-M22-L21</f>
        <v>-20891.867205000002</v>
      </c>
      <c r="S20" s="25"/>
    </row>
    <row r="21" spans="2:19">
      <c r="B21" s="8"/>
      <c r="L21" s="26">
        <f>+Utilidad!J76</f>
        <v>98197.342982999995</v>
      </c>
      <c r="S21" s="25"/>
    </row>
    <row r="22" spans="2:19">
      <c r="B22" s="8"/>
      <c r="L22" s="27">
        <f>+Utilidad!K76</f>
        <v>0.52129353384999999</v>
      </c>
      <c r="M22" s="26">
        <f>+Utilidad!J74</f>
        <v>28138.902222000001</v>
      </c>
      <c r="O22" s="26">
        <f>+Utilidad!J73</f>
        <v>30304.896783</v>
      </c>
      <c r="S22" s="25"/>
    </row>
    <row r="23" spans="2:19">
      <c r="B23" s="8"/>
      <c r="L23" s="29">
        <f>+Utilidad!L76</f>
        <v>51189.639938288565</v>
      </c>
      <c r="M23" s="27">
        <f>+Utilidad!K74</f>
        <v>0.51365737031000003</v>
      </c>
      <c r="O23" s="27">
        <f>+Utilidad!K73</f>
        <v>0.52848499999999998</v>
      </c>
      <c r="S23" s="25"/>
    </row>
    <row r="24" spans="2:19">
      <c r="B24" s="8"/>
      <c r="M24" s="29">
        <f>+Utilidad!L74</f>
        <v>14453.754518762737</v>
      </c>
      <c r="O24" s="29">
        <f>+Utilidad!L73</f>
        <v>16015.683376363755</v>
      </c>
      <c r="Q24">
        <f>+(O22+N13)/(L7)</f>
        <v>0.67328550474375326</v>
      </c>
      <c r="S24" s="25"/>
    </row>
    <row r="25" spans="2:19">
      <c r="B25" s="8"/>
      <c r="G25" s="26">
        <f>+Utilidad!J105</f>
        <v>0</v>
      </c>
      <c r="S25" s="25"/>
    </row>
    <row r="26" spans="2:19">
      <c r="B26" s="8"/>
      <c r="C26" s="26">
        <f>+Utilidad!J103</f>
        <v>0</v>
      </c>
      <c r="G26" s="27">
        <f>+Utilidad!K105</f>
        <v>0</v>
      </c>
      <c r="S26" s="25"/>
    </row>
    <row r="27" spans="2:19">
      <c r="B27" s="8"/>
      <c r="C27" s="27">
        <f>+Utilidad!K103</f>
        <v>0</v>
      </c>
      <c r="G27" s="29">
        <f>+Utilidad!L105</f>
        <v>0</v>
      </c>
      <c r="Q27">
        <f>+(K28)/(L21+M22+O22)</f>
        <v>0.75567923936016856</v>
      </c>
      <c r="S27" s="25"/>
    </row>
    <row r="28" spans="2:19">
      <c r="B28" s="8"/>
      <c r="C28" s="29">
        <f>+Utilidad!L103</f>
        <v>0</v>
      </c>
      <c r="K28" s="35">
        <f>+Utilidad!J78</f>
        <v>118370.45903</v>
      </c>
      <c r="S28" s="25"/>
    </row>
    <row r="29" spans="2:19">
      <c r="B29" s="8"/>
      <c r="F29" s="40">
        <f>+C26-G25</f>
        <v>0</v>
      </c>
      <c r="K29" s="38">
        <f>+Utilidad!K78</f>
        <v>0.6647634601900001</v>
      </c>
      <c r="M29">
        <f>K28/(L21+M22+O22)</f>
        <v>0.75567923936016856</v>
      </c>
      <c r="S29" s="25"/>
    </row>
    <row r="30" spans="2:19">
      <c r="B30" s="8"/>
      <c r="I30" s="35">
        <f>+Utilidad!J77</f>
        <v>38270.682962999999</v>
      </c>
      <c r="K30" s="39">
        <f>+Utilidad!L78</f>
        <v>78688.355929061436</v>
      </c>
      <c r="S30" s="25"/>
    </row>
    <row r="31" spans="2:19">
      <c r="B31" s="8"/>
      <c r="I31" s="38">
        <f>+Utilidad!K77</f>
        <v>7.7623959584999999E-2</v>
      </c>
      <c r="S31" s="25"/>
    </row>
    <row r="32" spans="2:19">
      <c r="B32" s="8"/>
      <c r="I32" s="39">
        <f>+Utilidad!L77</f>
        <v>2970.72194761026</v>
      </c>
      <c r="S32" s="25"/>
    </row>
    <row r="33" spans="2:19">
      <c r="B33" s="8"/>
      <c r="S33" s="25"/>
    </row>
    <row r="34" spans="2:19">
      <c r="B34" s="8"/>
      <c r="G34" s="26">
        <f>+Utilidad!J108</f>
        <v>0</v>
      </c>
      <c r="L34" s="34">
        <f>+K28-K39</f>
        <v>-279.80795000000217</v>
      </c>
      <c r="S34" s="25"/>
    </row>
    <row r="35" spans="2:19">
      <c r="B35" s="8"/>
      <c r="C35" s="26">
        <f>+Utilidad!J106</f>
        <v>0</v>
      </c>
      <c r="G35" s="27">
        <f>+Utilidad!K108</f>
        <v>0</v>
      </c>
      <c r="S35" s="25"/>
    </row>
    <row r="36" spans="2:19">
      <c r="B36" s="8"/>
      <c r="C36" s="27">
        <f>+Utilidad!K106</f>
        <v>0</v>
      </c>
      <c r="G36" s="29">
        <f>+Utilidad!L108</f>
        <v>0</v>
      </c>
      <c r="S36" s="25"/>
    </row>
    <row r="37" spans="2:19">
      <c r="B37" s="8"/>
      <c r="C37" s="29">
        <f>+Utilidad!L106</f>
        <v>0</v>
      </c>
      <c r="S37" s="25"/>
    </row>
    <row r="38" spans="2:19">
      <c r="B38" s="8"/>
      <c r="F38" s="40">
        <f>+C35-G34</f>
        <v>0</v>
      </c>
      <c r="S38" s="25"/>
    </row>
    <row r="39" spans="2:19">
      <c r="B39" s="8"/>
      <c r="K39" s="32">
        <f>+Utilidad!J80</f>
        <v>118650.26698</v>
      </c>
      <c r="S39" s="25"/>
    </row>
    <row r="40" spans="2:19">
      <c r="B40" s="8"/>
      <c r="K40" s="33">
        <f>+Utilidad!K80</f>
        <v>0.66476157069999997</v>
      </c>
      <c r="S40" s="25"/>
    </row>
    <row r="41" spans="2:19">
      <c r="B41" s="8"/>
      <c r="K41" s="36">
        <f>+Utilidad!L80</f>
        <v>78874.137841599149</v>
      </c>
      <c r="S41" s="25"/>
    </row>
    <row r="42" spans="2:19">
      <c r="B42" s="8"/>
      <c r="S42" s="25"/>
    </row>
    <row r="43" spans="2:19">
      <c r="B43" s="8"/>
      <c r="S43" s="25"/>
    </row>
    <row r="44" spans="2:19">
      <c r="B44" s="8"/>
      <c r="C44" s="26">
        <f>+Utilidad!J109</f>
        <v>0</v>
      </c>
      <c r="G44" s="26">
        <f>+Utilidad!J111</f>
        <v>0</v>
      </c>
      <c r="S44" s="25"/>
    </row>
    <row r="45" spans="2:19">
      <c r="B45" s="8"/>
      <c r="C45" s="27">
        <f>+Utilidad!K109</f>
        <v>0</v>
      </c>
      <c r="G45" s="27">
        <f>+Utilidad!K111</f>
        <v>0</v>
      </c>
      <c r="S45" s="25"/>
    </row>
    <row r="46" spans="2:19">
      <c r="B46" s="8"/>
      <c r="C46" s="29">
        <f>+Utilidad!L109</f>
        <v>0</v>
      </c>
      <c r="G46" s="29">
        <f>+Utilidad!L111</f>
        <v>0</v>
      </c>
      <c r="S46" s="25"/>
    </row>
    <row r="47" spans="2:19">
      <c r="B47" s="8"/>
      <c r="S47" s="25"/>
    </row>
    <row r="48" spans="2:19">
      <c r="B48" s="8"/>
      <c r="F48" s="40">
        <f>+C44-G44</f>
        <v>0</v>
      </c>
      <c r="K48" s="41">
        <f>+K39-(I53+L53)</f>
        <v>295.21735000000626</v>
      </c>
      <c r="S48" s="25"/>
    </row>
    <row r="49" spans="2:19">
      <c r="B49" s="8"/>
      <c r="S49" s="25"/>
    </row>
    <row r="50" spans="2:19">
      <c r="B50" s="8"/>
      <c r="S50" s="25"/>
    </row>
    <row r="51" spans="2:19">
      <c r="B51" s="8"/>
      <c r="S51" s="25"/>
    </row>
    <row r="52" spans="2:19">
      <c r="B52" s="8"/>
      <c r="S52" s="25"/>
    </row>
    <row r="53" spans="2:19">
      <c r="B53" s="8"/>
      <c r="I53" s="32">
        <f>+Utilidad!J82</f>
        <v>0</v>
      </c>
      <c r="L53" s="32">
        <f>+Utilidad!J83</f>
        <v>118355.04962999999</v>
      </c>
      <c r="S53" s="25"/>
    </row>
    <row r="54" spans="2:19">
      <c r="B54" s="8"/>
      <c r="C54" s="26">
        <f>+Utilidad!J112</f>
        <v>0</v>
      </c>
      <c r="I54" s="33">
        <f>+Utilidad!K82</f>
        <v>0</v>
      </c>
      <c r="L54" s="33">
        <f>+Utilidad!K83</f>
        <v>0.66476278802</v>
      </c>
      <c r="S54" s="25"/>
    </row>
    <row r="55" spans="2:19">
      <c r="B55" s="8"/>
      <c r="C55" s="27">
        <f>+Utilidad!K112</f>
        <v>0</v>
      </c>
      <c r="I55" s="36">
        <f>+Utilidad!L82</f>
        <v>0</v>
      </c>
      <c r="L55" s="36">
        <f>+Utilidad!L83</f>
        <v>78678.032768284262</v>
      </c>
      <c r="S55" s="25"/>
    </row>
    <row r="56" spans="2:19">
      <c r="B56" s="8"/>
      <c r="C56" s="29">
        <f>+Utilidad!L112</f>
        <v>0</v>
      </c>
      <c r="S56" s="25"/>
    </row>
    <row r="57" spans="2:19">
      <c r="B57" s="8"/>
      <c r="S57" s="25"/>
    </row>
    <row r="58" spans="2:19">
      <c r="B58" s="8"/>
      <c r="M58" s="28">
        <f>+Utilidad!J84</f>
        <v>0</v>
      </c>
      <c r="N58" s="5">
        <f>+M58/(L53+I53)</f>
        <v>0</v>
      </c>
      <c r="S58" s="25"/>
    </row>
    <row r="59" spans="2:19">
      <c r="B59" s="8"/>
      <c r="M59" s="30">
        <f>+Utilidad!K84</f>
        <v>0.66400000000000003</v>
      </c>
      <c r="S59" s="25"/>
    </row>
    <row r="60" spans="2:19">
      <c r="B60" s="8"/>
      <c r="M60" s="31">
        <f>+Utilidad!L84</f>
        <v>0</v>
      </c>
      <c r="S60" s="25"/>
    </row>
    <row r="61" spans="2:19">
      <c r="B61" s="8"/>
      <c r="S61" s="25"/>
    </row>
    <row r="62" spans="2:19">
      <c r="B62" s="8"/>
      <c r="C62" s="26">
        <f>+Utilidad!J115</f>
        <v>80442</v>
      </c>
      <c r="S62" s="25"/>
    </row>
    <row r="63" spans="2:19">
      <c r="B63" s="8"/>
      <c r="C63" s="27">
        <f>+Utilidad!K115</f>
        <v>0.54359999999999997</v>
      </c>
      <c r="O63" s="32">
        <f>+Utilidad!J87</f>
        <v>101766</v>
      </c>
      <c r="S63" s="25"/>
    </row>
    <row r="64" spans="2:19">
      <c r="B64" s="8"/>
      <c r="C64" s="29">
        <f>+Utilidad!L116</f>
        <v>43728.271199999996</v>
      </c>
      <c r="O64" s="33">
        <f>+Utilidad!K87</f>
        <v>0.6633</v>
      </c>
      <c r="S64" s="25"/>
    </row>
    <row r="65" spans="2:19">
      <c r="B65" s="8"/>
      <c r="L65" s="28">
        <f>+Utilidad!J85</f>
        <v>118355.04962999999</v>
      </c>
      <c r="O65" s="36">
        <f>+Utilidad!L87</f>
        <v>67501.387799999997</v>
      </c>
      <c r="S65" s="25"/>
    </row>
    <row r="66" spans="2:19">
      <c r="B66" s="8"/>
      <c r="L66" s="30">
        <f>+Utilidad!K85</f>
        <v>0.66476278802</v>
      </c>
      <c r="S66" s="25"/>
    </row>
    <row r="67" spans="2:19">
      <c r="B67" s="8"/>
      <c r="L67" s="31">
        <f>+Utilidad!L85</f>
        <v>78678.032768284262</v>
      </c>
      <c r="N67" s="37">
        <f>+L65-(O63+O67)</f>
        <v>16589.049629999994</v>
      </c>
      <c r="O67" s="32">
        <f>+Utilidad!J88</f>
        <v>0</v>
      </c>
      <c r="S67" s="25"/>
    </row>
    <row r="68" spans="2:19">
      <c r="B68" s="8"/>
      <c r="O68" s="33">
        <f>+Utilidad!K88</f>
        <v>0</v>
      </c>
      <c r="S68" s="25"/>
    </row>
    <row r="69" spans="2:19">
      <c r="B69" s="8"/>
      <c r="O69" s="36">
        <f>+Utilidad!L88</f>
        <v>0</v>
      </c>
      <c r="S69" s="25"/>
    </row>
    <row r="70" spans="2:19">
      <c r="B70" s="8"/>
      <c r="H70" s="32">
        <f>+Utilidad!J89</f>
        <v>0</v>
      </c>
      <c r="K70" s="32">
        <f>+Utilidad!J92</f>
        <v>0</v>
      </c>
      <c r="S70" s="25"/>
    </row>
    <row r="71" spans="2:19">
      <c r="B71" s="8"/>
      <c r="H71" s="33">
        <f>+Utilidad!K89</f>
        <v>0</v>
      </c>
      <c r="K71" s="33">
        <f>+Utilidad!K92</f>
        <v>0</v>
      </c>
      <c r="S71" s="25"/>
    </row>
    <row r="72" spans="2:19">
      <c r="B72" s="8"/>
      <c r="H72" s="36">
        <f>+Utilidad!L89</f>
        <v>0</v>
      </c>
      <c r="K72" s="36">
        <f>+Utilidad!L92</f>
        <v>0</v>
      </c>
      <c r="S72" s="25"/>
    </row>
    <row r="73" spans="2:19">
      <c r="B73" s="8"/>
      <c r="S73" s="25"/>
    </row>
    <row r="74" spans="2:19">
      <c r="B74" s="8"/>
      <c r="L74" s="32">
        <f>+Utilidad!J95</f>
        <v>13748</v>
      </c>
      <c r="O74" s="32">
        <f>+Utilidad!J93</f>
        <v>59464</v>
      </c>
      <c r="S74" s="25"/>
    </row>
    <row r="75" spans="2:19">
      <c r="B75" s="8"/>
      <c r="H75" s="32">
        <f>+Utilidad!J90</f>
        <v>0</v>
      </c>
      <c r="J75" s="37">
        <f>+(H75+H70)-K70</f>
        <v>0</v>
      </c>
      <c r="L75" s="33">
        <f>+Utilidad!K95</f>
        <v>0.61299999999999999</v>
      </c>
      <c r="N75" s="37">
        <f>+(L78+L74+K70-O74)</f>
        <v>-38772</v>
      </c>
      <c r="O75" s="33">
        <f>+Utilidad!K93</f>
        <v>0.60354921523000005</v>
      </c>
      <c r="S75" s="25"/>
    </row>
    <row r="76" spans="2:19">
      <c r="B76" s="8"/>
      <c r="H76" s="33">
        <f>+Utilidad!K90</f>
        <v>0</v>
      </c>
      <c r="L76" s="36">
        <f>+Utilidad!L95</f>
        <v>8427.5239999999994</v>
      </c>
      <c r="O76" s="36">
        <f>+Utilidad!L93</f>
        <v>35889.450534436721</v>
      </c>
      <c r="S76" s="25"/>
    </row>
    <row r="77" spans="2:19">
      <c r="B77" s="8"/>
      <c r="H77" s="36">
        <f>+Utilidad!L90</f>
        <v>0</v>
      </c>
      <c r="S77" s="25"/>
    </row>
    <row r="78" spans="2:19">
      <c r="B78" s="8"/>
      <c r="L78" s="32">
        <f>+Utilidad!J96</f>
        <v>6944</v>
      </c>
      <c r="S78" s="25"/>
    </row>
    <row r="79" spans="2:19">
      <c r="B79" s="8"/>
      <c r="L79" s="33">
        <f>+Utilidad!K96</f>
        <v>0.58599999999999997</v>
      </c>
      <c r="N79" s="1"/>
      <c r="O79" s="1"/>
      <c r="S79" s="25"/>
    </row>
    <row r="80" spans="2:19">
      <c r="B80" s="8"/>
      <c r="L80" s="36">
        <f>+Utilidad!L96</f>
        <v>4069.1839999999997</v>
      </c>
      <c r="N80" s="1"/>
      <c r="O80" s="1" t="s">
        <v>139</v>
      </c>
      <c r="S80" s="25"/>
    </row>
    <row r="81" spans="2:19">
      <c r="B81" s="8"/>
      <c r="S81" s="25"/>
    </row>
    <row r="82" spans="2:19">
      <c r="B82" s="8"/>
      <c r="S82" s="25"/>
    </row>
    <row r="83" spans="2:19">
      <c r="B83" s="8"/>
      <c r="S83" s="25"/>
    </row>
    <row r="84" spans="2:19">
      <c r="B84" s="8"/>
      <c r="O84" s="32">
        <f>+Utilidad!J100</f>
        <v>0</v>
      </c>
      <c r="S84" s="25"/>
    </row>
    <row r="85" spans="2:19">
      <c r="B85" s="8"/>
      <c r="H85" s="3">
        <f>5562+L74</f>
        <v>19310</v>
      </c>
      <c r="O85" s="33">
        <f>+Utilidad!K100</f>
        <v>0</v>
      </c>
      <c r="S85" s="25"/>
    </row>
    <row r="86" spans="2:19">
      <c r="B86" s="8"/>
      <c r="K86" s="32">
        <f>+Utilidad!J98</f>
        <v>0</v>
      </c>
      <c r="O86" s="36">
        <f>+Utilidad!L100</f>
        <v>0</v>
      </c>
      <c r="S86" s="25"/>
    </row>
    <row r="87" spans="2:19">
      <c r="B87" s="8"/>
      <c r="K87" s="33">
        <f>+Utilidad!K98</f>
        <v>0</v>
      </c>
      <c r="S87" s="25"/>
    </row>
    <row r="88" spans="2:19">
      <c r="B88" s="8"/>
      <c r="K88" s="36">
        <f>+Utilidad!L98</f>
        <v>0</v>
      </c>
      <c r="N88" s="42">
        <f>+L90+K86-O84</f>
        <v>8561</v>
      </c>
      <c r="S88" s="25"/>
    </row>
    <row r="89" spans="2:19">
      <c r="B89" s="8"/>
      <c r="S89" s="25"/>
    </row>
    <row r="90" spans="2:19">
      <c r="B90" s="8"/>
      <c r="L90" s="32">
        <f>+Utilidad!J97</f>
        <v>8561</v>
      </c>
      <c r="S90" s="25"/>
    </row>
    <row r="91" spans="2:19">
      <c r="B91" s="8"/>
      <c r="L91" s="33">
        <f>+Utilidad!K97</f>
        <v>0.58360000000000001</v>
      </c>
      <c r="S91" s="25"/>
    </row>
    <row r="92" spans="2:19">
      <c r="B92" s="8"/>
      <c r="L92" s="36">
        <f>+Utilidad!L97</f>
        <v>4996.1995999999999</v>
      </c>
      <c r="S92" s="25"/>
    </row>
    <row r="93" spans="2:19">
      <c r="B93" s="8"/>
      <c r="S93" s="25"/>
    </row>
    <row r="94" spans="2:19" ht="15" thickBot="1">
      <c r="B94" s="9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4"/>
    </row>
    <row r="95" spans="2:19" ht="15.5">
      <c r="G95" s="10" t="s">
        <v>70</v>
      </c>
    </row>
    <row r="96" spans="2:19" ht="25.5" customHeight="1">
      <c r="G96" s="197" t="s">
        <v>71</v>
      </c>
      <c r="H96" s="197"/>
      <c r="I96" s="198"/>
      <c r="J96" s="199" t="s">
        <v>72</v>
      </c>
      <c r="K96" s="199"/>
      <c r="L96" s="199"/>
      <c r="M96" s="200" t="s">
        <v>73</v>
      </c>
      <c r="N96" s="200"/>
      <c r="O96" s="200"/>
      <c r="P96" s="200"/>
    </row>
    <row r="97" spans="7:16" ht="25.5" customHeight="1">
      <c r="G97" s="190" t="s">
        <v>74</v>
      </c>
      <c r="H97" s="191"/>
      <c r="I97" s="22">
        <f>+E6</f>
        <v>109880.56415999999</v>
      </c>
      <c r="J97" s="196" t="s">
        <v>7</v>
      </c>
      <c r="K97" s="183"/>
      <c r="L97" s="11">
        <f>+Utilidad!J67</f>
        <v>36608.483217000001</v>
      </c>
      <c r="M97" s="183" t="s">
        <v>75</v>
      </c>
      <c r="N97" s="183"/>
      <c r="O97" s="183"/>
      <c r="P97" s="11">
        <f>+G15</f>
        <v>52195.728946000003</v>
      </c>
    </row>
    <row r="98" spans="7:16" ht="25.5" customHeight="1">
      <c r="G98" s="190" t="s">
        <v>76</v>
      </c>
      <c r="H98" s="191"/>
      <c r="I98" s="22">
        <f>+C12</f>
        <v>0</v>
      </c>
      <c r="J98" s="183" t="s">
        <v>8</v>
      </c>
      <c r="K98" s="183"/>
      <c r="L98" s="11">
        <f>+Utilidad!J75</f>
        <v>-20891.867204999999</v>
      </c>
      <c r="M98" s="183" t="s">
        <v>22</v>
      </c>
      <c r="N98" s="183"/>
      <c r="O98" s="183"/>
      <c r="P98" s="11">
        <f>+Q7</f>
        <v>19654.716090000002</v>
      </c>
    </row>
    <row r="99" spans="7:16" ht="25.5" customHeight="1">
      <c r="G99" s="190" t="s">
        <v>77</v>
      </c>
      <c r="H99" s="191"/>
      <c r="I99" s="22">
        <f>+H13</f>
        <v>61069</v>
      </c>
      <c r="J99" s="183" t="s">
        <v>78</v>
      </c>
      <c r="K99" s="183"/>
      <c r="L99" s="11">
        <f>+Utilidad!J79</f>
        <v>-279.80795475000002</v>
      </c>
      <c r="M99" s="183" t="s">
        <v>23</v>
      </c>
      <c r="N99" s="183"/>
      <c r="O99" s="183"/>
      <c r="P99" s="11">
        <f>+Q11</f>
        <v>7183.3611259999998</v>
      </c>
    </row>
    <row r="100" spans="7:16" ht="25.5" customHeight="1">
      <c r="G100" s="181" t="s">
        <v>79</v>
      </c>
      <c r="H100" s="182"/>
      <c r="I100" s="22">
        <f>+C26</f>
        <v>0</v>
      </c>
      <c r="J100" s="183" t="s">
        <v>11</v>
      </c>
      <c r="K100" s="183"/>
      <c r="L100" s="11">
        <f>+Utilidad!J81</f>
        <v>295.21734726</v>
      </c>
      <c r="M100" s="183" t="s">
        <v>80</v>
      </c>
      <c r="N100" s="183"/>
      <c r="O100" s="183"/>
      <c r="P100" s="11">
        <f>+I30</f>
        <v>38270.682962999999</v>
      </c>
    </row>
    <row r="101" spans="7:16" ht="25.5" customHeight="1">
      <c r="G101" s="181" t="s">
        <v>57</v>
      </c>
      <c r="H101" s="182"/>
      <c r="I101" s="22">
        <f>+C35</f>
        <v>0</v>
      </c>
      <c r="J101" s="183" t="s">
        <v>81</v>
      </c>
      <c r="K101" s="183"/>
      <c r="L101" s="11">
        <f>+Utilidad!J91</f>
        <v>0</v>
      </c>
      <c r="M101" s="183" t="s">
        <v>82</v>
      </c>
      <c r="N101" s="183"/>
      <c r="O101" s="183"/>
      <c r="P101" s="11">
        <f>+M58</f>
        <v>0</v>
      </c>
    </row>
    <row r="102" spans="7:16" ht="25.5" customHeight="1">
      <c r="G102" s="181" t="s">
        <v>60</v>
      </c>
      <c r="H102" s="182"/>
      <c r="I102" s="22">
        <f>+C44</f>
        <v>0</v>
      </c>
      <c r="J102" s="12" t="s">
        <v>83</v>
      </c>
      <c r="K102" s="12"/>
      <c r="L102" s="11">
        <f>+Utilidad!J104</f>
        <v>0</v>
      </c>
      <c r="M102" s="183" t="s">
        <v>84</v>
      </c>
      <c r="N102" s="183"/>
      <c r="O102" s="183"/>
      <c r="P102" s="11">
        <f>+O63</f>
        <v>101766</v>
      </c>
    </row>
    <row r="103" spans="7:16" ht="25.5" customHeight="1">
      <c r="G103" s="181" t="s">
        <v>85</v>
      </c>
      <c r="H103" s="182"/>
      <c r="I103" s="22">
        <f>+C54</f>
        <v>0</v>
      </c>
      <c r="J103" s="12" t="s">
        <v>86</v>
      </c>
      <c r="K103" s="12"/>
      <c r="L103" s="11">
        <f>+Utilidad!J107</f>
        <v>0</v>
      </c>
      <c r="M103" s="183" t="s">
        <v>87</v>
      </c>
      <c r="N103" s="183"/>
      <c r="O103" s="183"/>
      <c r="P103" s="11">
        <f>+O67</f>
        <v>0</v>
      </c>
    </row>
    <row r="104" spans="7:16" ht="25.5" customHeight="1">
      <c r="G104" s="181" t="s">
        <v>88</v>
      </c>
      <c r="H104" s="182"/>
      <c r="I104" s="22">
        <f>+C62</f>
        <v>80442</v>
      </c>
      <c r="J104" s="12" t="s">
        <v>89</v>
      </c>
      <c r="K104" s="12"/>
      <c r="L104" s="11">
        <f>+Utilidad!J110</f>
        <v>0</v>
      </c>
      <c r="M104" s="183" t="s">
        <v>44</v>
      </c>
      <c r="N104" s="183"/>
      <c r="O104" s="183"/>
      <c r="P104" s="11">
        <f>+O74</f>
        <v>59464</v>
      </c>
    </row>
    <row r="105" spans="7:16" ht="25.5" customHeight="1">
      <c r="G105" s="181" t="s">
        <v>90</v>
      </c>
      <c r="H105" s="182"/>
      <c r="I105" s="22">
        <f>+H70</f>
        <v>0</v>
      </c>
      <c r="J105" s="12" t="s">
        <v>91</v>
      </c>
      <c r="K105" s="12"/>
      <c r="L105" s="11">
        <f>+Utilidad!J113</f>
        <v>0</v>
      </c>
      <c r="M105" s="183" t="s">
        <v>92</v>
      </c>
      <c r="N105" s="183"/>
      <c r="O105" s="183"/>
      <c r="P105" s="11">
        <f>+O84</f>
        <v>0</v>
      </c>
    </row>
    <row r="106" spans="7:16" ht="25.5" customHeight="1">
      <c r="G106" s="181" t="s">
        <v>93</v>
      </c>
      <c r="H106" s="182"/>
      <c r="I106" s="22">
        <f>+H75</f>
        <v>0</v>
      </c>
      <c r="J106" s="183" t="s">
        <v>13</v>
      </c>
      <c r="K106" s="183"/>
      <c r="L106" s="11">
        <f>+Utilidad!J102</f>
        <v>0</v>
      </c>
      <c r="M106" s="183"/>
      <c r="N106" s="183"/>
      <c r="O106" s="183"/>
      <c r="P106" s="11"/>
    </row>
    <row r="107" spans="7:16" ht="25.5" customHeight="1">
      <c r="G107" s="20" t="s">
        <v>94</v>
      </c>
      <c r="H107" s="21"/>
      <c r="I107" s="22">
        <f>+L74</f>
        <v>13748</v>
      </c>
      <c r="J107" s="12" t="s">
        <v>95</v>
      </c>
      <c r="K107" s="12"/>
      <c r="L107" s="11">
        <f>+Utilidad!J86</f>
        <v>16589.049632999999</v>
      </c>
      <c r="M107" s="187"/>
      <c r="N107" s="188"/>
      <c r="O107" s="189"/>
      <c r="P107" s="11"/>
    </row>
    <row r="108" spans="7:16" ht="25.5" customHeight="1">
      <c r="G108" s="20" t="s">
        <v>96</v>
      </c>
      <c r="H108" s="21"/>
      <c r="I108" s="22">
        <f>+L78</f>
        <v>6944</v>
      </c>
      <c r="J108" s="183" t="s">
        <v>12</v>
      </c>
      <c r="K108" s="183"/>
      <c r="L108" s="11">
        <f>+Utilidad!J94</f>
        <v>-38772</v>
      </c>
      <c r="M108" s="187"/>
      <c r="N108" s="188"/>
      <c r="O108" s="189"/>
      <c r="P108" s="11"/>
    </row>
    <row r="109" spans="7:16" ht="25.5" customHeight="1">
      <c r="G109" s="20" t="s">
        <v>97</v>
      </c>
      <c r="H109" s="21"/>
      <c r="I109" s="22">
        <f>+K86</f>
        <v>0</v>
      </c>
      <c r="J109" s="183" t="s">
        <v>10</v>
      </c>
      <c r="K109" s="183"/>
      <c r="L109" s="11">
        <f>+Utilidad!J99</f>
        <v>8561</v>
      </c>
      <c r="M109" s="187"/>
      <c r="N109" s="188"/>
      <c r="O109" s="189"/>
      <c r="P109" s="11"/>
    </row>
    <row r="110" spans="7:16" ht="25.5" customHeight="1">
      <c r="G110" s="181" t="s">
        <v>98</v>
      </c>
      <c r="H110" s="182"/>
      <c r="I110" s="22">
        <f>+L90</f>
        <v>8561</v>
      </c>
      <c r="J110" s="183"/>
      <c r="K110" s="183"/>
      <c r="L110" s="11"/>
      <c r="M110" s="183"/>
      <c r="N110" s="183"/>
      <c r="O110" s="183"/>
      <c r="P110" s="11"/>
    </row>
    <row r="111" spans="7:16" ht="18.5">
      <c r="G111" s="184" t="s">
        <v>99</v>
      </c>
      <c r="H111" s="185"/>
      <c r="I111" s="13">
        <f>+SUM(I97:I110)</f>
        <v>280644.56416000001</v>
      </c>
      <c r="J111" s="186" t="s">
        <v>100</v>
      </c>
      <c r="K111" s="186"/>
      <c r="L111" s="14">
        <f>+SUM(L97:L110)</f>
        <v>2110.0750375100033</v>
      </c>
      <c r="M111" s="186" t="s">
        <v>101</v>
      </c>
      <c r="N111" s="186"/>
      <c r="O111" s="186"/>
      <c r="P111" s="13">
        <f>+SUM(P97:P110)</f>
        <v>278534.48912500002</v>
      </c>
    </row>
    <row r="112" spans="7:16">
      <c r="G112" s="15"/>
      <c r="H112" s="15"/>
      <c r="I112" s="15"/>
      <c r="J112" s="15"/>
      <c r="K112" s="15"/>
      <c r="L112" s="15"/>
      <c r="M112" s="15"/>
      <c r="N112" s="15"/>
      <c r="O112" s="15"/>
      <c r="P112" s="15"/>
    </row>
    <row r="113" spans="7:16" ht="18.5">
      <c r="G113" s="15"/>
      <c r="H113" s="15"/>
      <c r="I113" s="15"/>
      <c r="J113" s="15"/>
      <c r="K113" s="15"/>
      <c r="L113" s="16" t="s">
        <v>102</v>
      </c>
      <c r="M113" s="17"/>
      <c r="N113" s="18"/>
      <c r="O113" s="17"/>
      <c r="P113" s="19">
        <f>+I111-L111-P111</f>
        <v>-2.5100307539105415E-6</v>
      </c>
    </row>
    <row r="116" spans="7:16" ht="15.5">
      <c r="G116" s="10" t="s">
        <v>103</v>
      </c>
    </row>
    <row r="117" spans="7:16" ht="18.5">
      <c r="G117" s="192" t="s">
        <v>71</v>
      </c>
      <c r="H117" s="192"/>
      <c r="I117" s="193"/>
      <c r="J117" s="194" t="s">
        <v>72</v>
      </c>
      <c r="K117" s="194"/>
      <c r="L117" s="194"/>
      <c r="M117" s="195" t="s">
        <v>73</v>
      </c>
      <c r="N117" s="195"/>
      <c r="O117" s="195"/>
      <c r="P117" s="195"/>
    </row>
    <row r="118" spans="7:16" ht="27.75" customHeight="1">
      <c r="G118" s="190" t="s">
        <v>74</v>
      </c>
      <c r="H118" s="191"/>
      <c r="I118" s="22">
        <f>+E8</f>
        <v>28845.758159240122</v>
      </c>
      <c r="J118" s="196" t="s">
        <v>7</v>
      </c>
      <c r="K118" s="183"/>
      <c r="L118" s="11">
        <f>+Utilidad!L67</f>
        <v>16383.943621352266</v>
      </c>
      <c r="M118" s="183" t="s">
        <v>75</v>
      </c>
      <c r="N118" s="183"/>
      <c r="O118" s="183"/>
      <c r="P118" s="11">
        <f>+G17</f>
        <v>8694.1289675750832</v>
      </c>
    </row>
    <row r="119" spans="7:16" ht="27.75" customHeight="1">
      <c r="G119" s="190" t="s">
        <v>76</v>
      </c>
      <c r="H119" s="191"/>
      <c r="I119" s="22">
        <f>+C14</f>
        <v>0</v>
      </c>
      <c r="J119" s="183" t="s">
        <v>8</v>
      </c>
      <c r="K119" s="183"/>
      <c r="L119" s="11">
        <f>+Utilidad!L75</f>
        <v>-10173.361477469398</v>
      </c>
      <c r="M119" s="183" t="s">
        <v>22</v>
      </c>
      <c r="N119" s="183"/>
      <c r="O119" s="183"/>
      <c r="P119" s="11">
        <f>+Q9</f>
        <v>5381.882058565544</v>
      </c>
    </row>
    <row r="120" spans="7:16" ht="27.75" customHeight="1">
      <c r="G120" s="190" t="s">
        <v>77</v>
      </c>
      <c r="H120" s="191"/>
      <c r="I120" s="22">
        <f>+H15</f>
        <v>30424.575799999999</v>
      </c>
      <c r="J120" s="183" t="s">
        <v>78</v>
      </c>
      <c r="K120" s="183"/>
      <c r="L120" s="11">
        <f>+Utilidad!L79</f>
        <v>-185.7819663485505</v>
      </c>
      <c r="M120" s="183" t="s">
        <v>23</v>
      </c>
      <c r="N120" s="183"/>
      <c r="O120" s="183"/>
      <c r="P120" s="11">
        <f>+Q13</f>
        <v>1052.9342910149796</v>
      </c>
    </row>
    <row r="121" spans="7:16" ht="27.75" customHeight="1">
      <c r="G121" s="181" t="s">
        <v>79</v>
      </c>
      <c r="H121" s="182"/>
      <c r="I121" s="22">
        <f>+C28</f>
        <v>0</v>
      </c>
      <c r="J121" s="183" t="s">
        <v>11</v>
      </c>
      <c r="K121" s="183"/>
      <c r="L121" s="11">
        <f>+Utilidad!L81</f>
        <v>196.10507007834894</v>
      </c>
      <c r="M121" s="183" t="s">
        <v>80</v>
      </c>
      <c r="N121" s="183"/>
      <c r="O121" s="183"/>
      <c r="P121" s="11">
        <f>+I32</f>
        <v>2970.72194761026</v>
      </c>
    </row>
    <row r="122" spans="7:16" ht="27.75" customHeight="1">
      <c r="G122" s="181" t="s">
        <v>57</v>
      </c>
      <c r="H122" s="182"/>
      <c r="I122" s="22">
        <f>+C37</f>
        <v>0</v>
      </c>
      <c r="J122" s="183" t="s">
        <v>81</v>
      </c>
      <c r="K122" s="183"/>
      <c r="L122" s="11">
        <f>+Utilidad!L91</f>
        <v>0</v>
      </c>
      <c r="M122" s="183" t="s">
        <v>82</v>
      </c>
      <c r="N122" s="183"/>
      <c r="O122" s="183"/>
      <c r="P122" s="11">
        <f>+M60</f>
        <v>0</v>
      </c>
    </row>
    <row r="123" spans="7:16" ht="27.75" customHeight="1">
      <c r="G123" s="181" t="s">
        <v>60</v>
      </c>
      <c r="H123" s="182"/>
      <c r="I123" s="22">
        <f>+C46</f>
        <v>0</v>
      </c>
      <c r="J123" s="12" t="s">
        <v>83</v>
      </c>
      <c r="K123" s="12"/>
      <c r="L123" s="11">
        <f>+Utilidad!L104</f>
        <v>0</v>
      </c>
      <c r="M123" s="183" t="s">
        <v>84</v>
      </c>
      <c r="N123" s="183"/>
      <c r="O123" s="183"/>
      <c r="P123" s="11">
        <f>+O65</f>
        <v>67501.387799999997</v>
      </c>
    </row>
    <row r="124" spans="7:16" ht="27.75" customHeight="1">
      <c r="G124" s="181" t="s">
        <v>85</v>
      </c>
      <c r="H124" s="182"/>
      <c r="I124" s="22">
        <f>+C56</f>
        <v>0</v>
      </c>
      <c r="J124" s="12" t="s">
        <v>86</v>
      </c>
      <c r="K124" s="12"/>
      <c r="L124" s="11">
        <f>+Utilidad!L107</f>
        <v>0</v>
      </c>
      <c r="M124" s="183" t="s">
        <v>87</v>
      </c>
      <c r="N124" s="183"/>
      <c r="O124" s="183"/>
      <c r="P124" s="11">
        <f>+O69</f>
        <v>0</v>
      </c>
    </row>
    <row r="125" spans="7:16" ht="27.75" customHeight="1">
      <c r="G125" s="181" t="s">
        <v>88</v>
      </c>
      <c r="H125" s="182"/>
      <c r="I125" s="22">
        <f>C64</f>
        <v>43728.271199999996</v>
      </c>
      <c r="J125" s="12" t="s">
        <v>89</v>
      </c>
      <c r="K125" s="12"/>
      <c r="L125" s="11">
        <f>+Utilidad!L110</f>
        <v>0</v>
      </c>
      <c r="M125" s="183" t="s">
        <v>44</v>
      </c>
      <c r="N125" s="183"/>
      <c r="O125" s="183"/>
      <c r="P125" s="11">
        <f>+O76</f>
        <v>35889.450534436721</v>
      </c>
    </row>
    <row r="126" spans="7:16" ht="27.75" customHeight="1">
      <c r="G126" s="181" t="s">
        <v>90</v>
      </c>
      <c r="H126" s="182"/>
      <c r="I126" s="22">
        <f>+H72</f>
        <v>0</v>
      </c>
      <c r="J126" s="12" t="s">
        <v>91</v>
      </c>
      <c r="K126" s="12"/>
      <c r="L126" s="11">
        <f>+Utilidad!L113</f>
        <v>0</v>
      </c>
      <c r="M126" s="183" t="s">
        <v>92</v>
      </c>
      <c r="N126" s="183"/>
      <c r="O126" s="183"/>
      <c r="P126" s="11">
        <f>+O86</f>
        <v>0</v>
      </c>
    </row>
    <row r="127" spans="7:16" ht="27.75" customHeight="1">
      <c r="G127" s="181" t="s">
        <v>93</v>
      </c>
      <c r="H127" s="182"/>
      <c r="I127" s="22">
        <f>+H77</f>
        <v>0</v>
      </c>
      <c r="J127" s="183" t="s">
        <v>13</v>
      </c>
      <c r="K127" s="183"/>
      <c r="L127" s="11">
        <f>+Utilidad!L102</f>
        <v>0</v>
      </c>
      <c r="M127" s="183"/>
      <c r="N127" s="183"/>
      <c r="O127" s="183"/>
      <c r="P127" s="11"/>
    </row>
    <row r="128" spans="7:16" ht="27.75" customHeight="1">
      <c r="G128" s="20" t="s">
        <v>94</v>
      </c>
      <c r="H128" s="21"/>
      <c r="I128" s="22">
        <f>+L76</f>
        <v>8427.5239999999994</v>
      </c>
      <c r="J128" s="12" t="s">
        <v>95</v>
      </c>
      <c r="K128" s="12"/>
      <c r="L128" s="11">
        <f>+Utilidad!L86</f>
        <v>11176.644914613498</v>
      </c>
      <c r="M128" s="187"/>
      <c r="N128" s="188"/>
      <c r="O128" s="189"/>
      <c r="P128" s="11"/>
    </row>
    <row r="129" spans="7:16" ht="27.75" customHeight="1">
      <c r="G129" s="20" t="s">
        <v>96</v>
      </c>
      <c r="H129" s="21"/>
      <c r="I129" s="22">
        <f>+L80</f>
        <v>4069.1839999999997</v>
      </c>
      <c r="J129" s="183" t="s">
        <v>12</v>
      </c>
      <c r="K129" s="183"/>
      <c r="L129" s="11">
        <f>+Utilidad!L94</f>
        <v>-23392.742534297278</v>
      </c>
      <c r="M129" s="187"/>
      <c r="N129" s="188"/>
      <c r="O129" s="189"/>
      <c r="P129" s="11"/>
    </row>
    <row r="130" spans="7:16" ht="27.75" customHeight="1">
      <c r="G130" s="20" t="s">
        <v>97</v>
      </c>
      <c r="H130" s="21"/>
      <c r="I130" s="22">
        <f>+K88</f>
        <v>0</v>
      </c>
      <c r="J130" s="183" t="s">
        <v>10</v>
      </c>
      <c r="K130" s="183"/>
      <c r="L130" s="11">
        <f>+Utilidad!L99</f>
        <v>4996.1995999999999</v>
      </c>
      <c r="M130" s="187"/>
      <c r="N130" s="188"/>
      <c r="O130" s="189"/>
      <c r="P130" s="11"/>
    </row>
    <row r="131" spans="7:16" ht="27.75" customHeight="1">
      <c r="G131" s="181" t="s">
        <v>98</v>
      </c>
      <c r="H131" s="182"/>
      <c r="I131" s="22">
        <f>+L92</f>
        <v>4996.1995999999999</v>
      </c>
      <c r="J131" s="183"/>
      <c r="K131" s="183"/>
      <c r="L131" s="11"/>
      <c r="M131" s="183"/>
      <c r="N131" s="183"/>
      <c r="O131" s="183"/>
      <c r="P131" s="11"/>
    </row>
    <row r="132" spans="7:16" ht="18.5">
      <c r="G132" s="184" t="s">
        <v>99</v>
      </c>
      <c r="H132" s="185"/>
      <c r="I132" s="13">
        <f>+SUM(I118:I131)</f>
        <v>120491.51275924011</v>
      </c>
      <c r="J132" s="186" t="s">
        <v>100</v>
      </c>
      <c r="K132" s="186"/>
      <c r="L132" s="14">
        <f>+SUM(L118:L131)</f>
        <v>-998.992772071113</v>
      </c>
      <c r="M132" s="186" t="s">
        <v>101</v>
      </c>
      <c r="N132" s="186"/>
      <c r="O132" s="186"/>
      <c r="P132" s="13">
        <f>+SUM(P118:P131)</f>
        <v>121490.50559920257</v>
      </c>
    </row>
    <row r="134" spans="7:16" ht="18.5">
      <c r="L134" s="16" t="s">
        <v>102</v>
      </c>
      <c r="M134" s="17"/>
      <c r="N134" s="18"/>
      <c r="O134" s="17"/>
      <c r="P134" s="19">
        <f>+I132-L132-P132</f>
        <v>-6.7891349317505956E-5</v>
      </c>
    </row>
  </sheetData>
  <mergeCells count="80">
    <mergeCell ref="M105:O105"/>
    <mergeCell ref="M97:O97"/>
    <mergeCell ref="M99:O99"/>
    <mergeCell ref="M100:O100"/>
    <mergeCell ref="M101:O101"/>
    <mergeCell ref="M102:O102"/>
    <mergeCell ref="M103:O103"/>
    <mergeCell ref="M98:O98"/>
    <mergeCell ref="M104:O104"/>
    <mergeCell ref="G96:I96"/>
    <mergeCell ref="J96:L96"/>
    <mergeCell ref="M96:P96"/>
    <mergeCell ref="G97:H97"/>
    <mergeCell ref="J97:K97"/>
    <mergeCell ref="G98:H98"/>
    <mergeCell ref="J98:K98"/>
    <mergeCell ref="G99:H99"/>
    <mergeCell ref="J99:K99"/>
    <mergeCell ref="G100:H100"/>
    <mergeCell ref="J100:K100"/>
    <mergeCell ref="G101:H101"/>
    <mergeCell ref="J106:K106"/>
    <mergeCell ref="G102:H102"/>
    <mergeCell ref="G103:H103"/>
    <mergeCell ref="G104:H104"/>
    <mergeCell ref="G105:H105"/>
    <mergeCell ref="G106:H106"/>
    <mergeCell ref="J101:K101"/>
    <mergeCell ref="M106:O106"/>
    <mergeCell ref="G110:H110"/>
    <mergeCell ref="J110:K110"/>
    <mergeCell ref="M110:O110"/>
    <mergeCell ref="G111:H111"/>
    <mergeCell ref="J111:K111"/>
    <mergeCell ref="M111:O111"/>
    <mergeCell ref="J108:K108"/>
    <mergeCell ref="J109:K109"/>
    <mergeCell ref="M107:O107"/>
    <mergeCell ref="M108:O108"/>
    <mergeCell ref="M109:O109"/>
    <mergeCell ref="G117:I117"/>
    <mergeCell ref="J117:L117"/>
    <mergeCell ref="M117:P117"/>
    <mergeCell ref="G118:H118"/>
    <mergeCell ref="J118:K118"/>
    <mergeCell ref="M118:O118"/>
    <mergeCell ref="G119:H119"/>
    <mergeCell ref="J119:K119"/>
    <mergeCell ref="M119:O119"/>
    <mergeCell ref="G120:H120"/>
    <mergeCell ref="J120:K120"/>
    <mergeCell ref="M120:O120"/>
    <mergeCell ref="G121:H121"/>
    <mergeCell ref="J121:K121"/>
    <mergeCell ref="M121:O121"/>
    <mergeCell ref="G122:H122"/>
    <mergeCell ref="J122:K122"/>
    <mergeCell ref="M122:O122"/>
    <mergeCell ref="G123:H123"/>
    <mergeCell ref="M123:O123"/>
    <mergeCell ref="G124:H124"/>
    <mergeCell ref="M124:O124"/>
    <mergeCell ref="G125:H125"/>
    <mergeCell ref="M125:O125"/>
    <mergeCell ref="G126:H126"/>
    <mergeCell ref="M126:O126"/>
    <mergeCell ref="G127:H127"/>
    <mergeCell ref="J127:K127"/>
    <mergeCell ref="M127:O127"/>
    <mergeCell ref="M128:O128"/>
    <mergeCell ref="J129:K129"/>
    <mergeCell ref="M129:O129"/>
    <mergeCell ref="J130:K130"/>
    <mergeCell ref="M130:O130"/>
    <mergeCell ref="G131:H131"/>
    <mergeCell ref="J131:K131"/>
    <mergeCell ref="M131:O131"/>
    <mergeCell ref="G132:H132"/>
    <mergeCell ref="J132:K132"/>
    <mergeCell ref="M132:O132"/>
  </mergeCells>
  <phoneticPr fontId="1" type="noConversion"/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" id="{11C74377-02BB-4CEC-AD32-574DE43F3C6D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E16</xm:sqref>
        </x14:conditionalFormatting>
        <x14:conditionalFormatting xmlns:xm="http://schemas.microsoft.com/office/excel/2006/main">
          <x14:cfRule type="iconSet" priority="6" id="{E9B417B4-502F-4EEE-9D7C-CE6F00A1381A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F29</xm:sqref>
        </x14:conditionalFormatting>
        <x14:conditionalFormatting xmlns:xm="http://schemas.microsoft.com/office/excel/2006/main">
          <x14:cfRule type="iconSet" priority="4" id="{0AD6243A-45A5-47DB-B15A-FDB68117E66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F38</xm:sqref>
        </x14:conditionalFormatting>
        <x14:conditionalFormatting xmlns:xm="http://schemas.microsoft.com/office/excel/2006/main">
          <x14:cfRule type="iconSet" priority="3" id="{9285488E-FB57-43D0-9C6B-A32A74A1B82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F48</xm:sqref>
        </x14:conditionalFormatting>
        <x14:conditionalFormatting xmlns:xm="http://schemas.microsoft.com/office/excel/2006/main">
          <x14:cfRule type="iconSet" priority="14" id="{AA6884B4-5B87-4B2B-90B0-5B1AFEF428A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J14</xm:sqref>
        </x14:conditionalFormatting>
        <x14:conditionalFormatting xmlns:xm="http://schemas.microsoft.com/office/excel/2006/main">
          <x14:cfRule type="iconSet" priority="9" id="{F1405932-F310-492D-8E03-60D67671198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J75</xm:sqref>
        </x14:conditionalFormatting>
        <x14:conditionalFormatting xmlns:xm="http://schemas.microsoft.com/office/excel/2006/main">
          <x14:cfRule type="iconSet" priority="11" id="{CFEF6902-F9F8-426F-A2C0-0814CBFADAB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K48</xm:sqref>
        </x14:conditionalFormatting>
        <x14:conditionalFormatting xmlns:xm="http://schemas.microsoft.com/office/excel/2006/main">
          <x14:cfRule type="iconSet" priority="12" id="{47D46443-C13F-4E8F-88E0-E379DBDAAA18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L34</xm:sqref>
        </x14:conditionalFormatting>
        <x14:conditionalFormatting xmlns:xm="http://schemas.microsoft.com/office/excel/2006/main">
          <x14:cfRule type="iconSet" priority="2" id="{5855D640-0D68-403A-BE2B-1C0438B48E4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L111</xm:sqref>
        </x14:conditionalFormatting>
        <x14:conditionalFormatting xmlns:xm="http://schemas.microsoft.com/office/excel/2006/main">
          <x14:cfRule type="iconSet" priority="1" id="{3FB60B19-64D8-41FB-8DC4-66A873610FC0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L132</xm:sqref>
        </x14:conditionalFormatting>
        <x14:conditionalFormatting xmlns:xm="http://schemas.microsoft.com/office/excel/2006/main">
          <x14:cfRule type="iconSet" priority="13" id="{F70366D2-FE7D-4A63-84D5-66BF541E67E6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N20</xm:sqref>
        </x14:conditionalFormatting>
        <x14:conditionalFormatting xmlns:xm="http://schemas.microsoft.com/office/excel/2006/main">
          <x14:cfRule type="iconSet" priority="10" id="{29BFAB21-DC84-4910-A669-C11C9614338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N67</xm:sqref>
        </x14:conditionalFormatting>
        <x14:conditionalFormatting xmlns:xm="http://schemas.microsoft.com/office/excel/2006/main">
          <x14:cfRule type="iconSet" priority="8" id="{B5F9C961-80B8-4994-9078-D395E6E07091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N75</xm:sqref>
        </x14:conditionalFormatting>
        <x14:conditionalFormatting xmlns:xm="http://schemas.microsoft.com/office/excel/2006/main">
          <x14:cfRule type="iconSet" priority="7" id="{20F55917-D3CE-4692-B77E-7860663EC1E4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N88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E742-D316-A04E-A3DB-C52263974828}">
  <dimension ref="B2:N58"/>
  <sheetViews>
    <sheetView topLeftCell="A36" zoomScale="68" zoomScaleNormal="68" workbookViewId="0">
      <selection activeCell="G37" sqref="G37"/>
    </sheetView>
  </sheetViews>
  <sheetFormatPr baseColWidth="10" defaultRowHeight="14.5"/>
  <cols>
    <col min="1" max="1" width="16.6328125" customWidth="1"/>
    <col min="2" max="2" width="53.453125" customWidth="1"/>
    <col min="6" max="6" width="53" customWidth="1"/>
    <col min="13" max="14" width="16.453125" customWidth="1"/>
  </cols>
  <sheetData>
    <row r="2" spans="2:14" ht="18.5">
      <c r="B2" s="201" t="s">
        <v>142</v>
      </c>
      <c r="C2" s="201"/>
      <c r="D2" s="201"/>
      <c r="F2" s="201" t="s">
        <v>144</v>
      </c>
      <c r="G2" s="201"/>
      <c r="H2" s="201"/>
      <c r="J2" s="202" t="s">
        <v>145</v>
      </c>
      <c r="K2" s="203"/>
      <c r="L2" s="108"/>
      <c r="M2" s="109" t="s">
        <v>146</v>
      </c>
      <c r="N2" s="110" t="s">
        <v>147</v>
      </c>
    </row>
    <row r="3" spans="2:14" ht="18.5">
      <c r="B3" s="105" t="s">
        <v>143</v>
      </c>
      <c r="C3" s="105" t="s">
        <v>1</v>
      </c>
      <c r="D3" s="105" t="s">
        <v>0</v>
      </c>
      <c r="F3" s="105" t="s">
        <v>143</v>
      </c>
      <c r="G3" s="105" t="s">
        <v>1</v>
      </c>
      <c r="H3" s="105" t="s">
        <v>0</v>
      </c>
      <c r="J3" s="111" t="s">
        <v>148</v>
      </c>
      <c r="K3" s="111" t="s">
        <v>149</v>
      </c>
      <c r="L3" s="112"/>
      <c r="M3" s="113"/>
      <c r="N3" s="113"/>
    </row>
    <row r="4" spans="2:14" ht="18.5">
      <c r="B4" s="105" t="s">
        <v>14</v>
      </c>
      <c r="C4" s="106">
        <f>Utilidad!A1</f>
        <v>109199</v>
      </c>
      <c r="D4" s="107">
        <f>IF(Utilidad!C1&gt;1,Utilidad!C1/100,Utilidad!C1)</f>
        <v>0.255</v>
      </c>
      <c r="F4" s="105" t="s">
        <v>14</v>
      </c>
      <c r="G4" s="106">
        <f>Utilidad!B1</f>
        <v>109880.56415999999</v>
      </c>
      <c r="H4" s="107">
        <f>IF(Utilidad!D1&gt;1,Utilidad!D1/100,Utilidad!D1)</f>
        <v>0.26251920328</v>
      </c>
      <c r="J4" s="114">
        <f>+IF(C4&lt;&gt;0,(G4-C4)/C4,ABS(G4-C4))</f>
        <v>6.2414871931061131E-3</v>
      </c>
      <c r="K4" s="114">
        <f>+IF(D4&lt;&gt;0,(H4-D4)/D4,0)</f>
        <v>2.9487071686274499E-2</v>
      </c>
      <c r="L4" s="115"/>
      <c r="M4" s="116">
        <f>+IF(J4&lt;&gt;"",ABS(J4),0)</f>
        <v>6.2414871931061131E-3</v>
      </c>
      <c r="N4" s="116">
        <f>+IF(J4&lt;&gt;"",ABS(K4),0)</f>
        <v>2.9487071686274499E-2</v>
      </c>
    </row>
    <row r="5" spans="2:14" ht="18.5">
      <c r="B5" s="105" t="s">
        <v>15</v>
      </c>
      <c r="C5" s="106">
        <f>Utilidad!A2</f>
        <v>0</v>
      </c>
      <c r="D5" s="107">
        <f>IF(Utilidad!C2&gt;1,Utilidad!C2/100,Utilidad!C2)</f>
        <v>0</v>
      </c>
      <c r="F5" s="105" t="s">
        <v>15</v>
      </c>
      <c r="G5" s="106">
        <f>Utilidad!B2</f>
        <v>0</v>
      </c>
      <c r="H5" s="107">
        <f>IF(Utilidad!D2&gt;1,Utilidad!D2/100,Utilidad!D2)</f>
        <v>0</v>
      </c>
      <c r="J5" s="114">
        <f>+IF(C5&lt;&gt;0,(G5-C5)/C5,ABS(G5-C5))</f>
        <v>0</v>
      </c>
      <c r="K5" s="114">
        <f t="shared" ref="K5:K56" si="0">+IF(D5&lt;&gt;0,(H5-D5)/D5,0)</f>
        <v>0</v>
      </c>
      <c r="L5" s="115"/>
      <c r="M5" s="116">
        <f>+IF(J5&lt;&gt;"",ABS(J5),0)</f>
        <v>0</v>
      </c>
      <c r="N5" s="116">
        <f t="shared" ref="N5:N56" si="1">+IF(J5&lt;&gt;"",ABS(K5),0)</f>
        <v>0</v>
      </c>
    </row>
    <row r="6" spans="2:14" ht="18.5">
      <c r="B6" s="105" t="s">
        <v>16</v>
      </c>
      <c r="C6" s="106">
        <f>Utilidad!A3</f>
        <v>52085</v>
      </c>
      <c r="D6" s="107">
        <f>IF(Utilidad!C3&gt;1,Utilidad!C3/100,Utilidad!C3)</f>
        <v>0.1681</v>
      </c>
      <c r="F6" s="105" t="s">
        <v>16</v>
      </c>
      <c r="G6" s="106">
        <f>Utilidad!B3</f>
        <v>52195.728946000003</v>
      </c>
      <c r="H6" s="107">
        <f>IF(Utilidad!D3&gt;1,Utilidad!D3/100,Utilidad!D3)</f>
        <v>0.16656782351999999</v>
      </c>
      <c r="J6" s="114">
        <f t="shared" ref="J6:J56" si="2">+IF(C6&lt;&gt;0,(G6-C6)/C6,ABS(G6-C6))</f>
        <v>2.1259277335125833E-3</v>
      </c>
      <c r="K6" s="114">
        <f t="shared" si="0"/>
        <v>-9.114672694824558E-3</v>
      </c>
      <c r="M6" s="116">
        <f t="shared" ref="M6:M56" si="3">+IF(J6&lt;&gt;"",ABS(J6),0)</f>
        <v>2.1259277335125833E-3</v>
      </c>
      <c r="N6" s="116">
        <f t="shared" si="1"/>
        <v>9.114672694824558E-3</v>
      </c>
    </row>
    <row r="7" spans="2:14" ht="18.5">
      <c r="B7" s="105" t="s">
        <v>17</v>
      </c>
      <c r="C7" s="106">
        <f>Utilidad!A4</f>
        <v>57114</v>
      </c>
      <c r="D7" s="107">
        <f>IF(Utilidad!C4&gt;1,Utilidad!C4/100,Utilidad!C4)</f>
        <v>0.33429999999999999</v>
      </c>
      <c r="F7" s="105" t="s">
        <v>17</v>
      </c>
      <c r="G7" s="106">
        <f>Utilidad!B4</f>
        <v>57684.835215999999</v>
      </c>
      <c r="H7" s="107">
        <f>IF(Utilidad!D4&gt;1,Utilidad!D4/100,Utilidad!D4)</f>
        <v>0.34934015365999999</v>
      </c>
      <c r="J7" s="114">
        <f t="shared" si="2"/>
        <v>9.9946635851104713E-3</v>
      </c>
      <c r="K7" s="114">
        <f t="shared" si="0"/>
        <v>4.4989990008973975E-2</v>
      </c>
      <c r="M7" s="116">
        <f t="shared" si="3"/>
        <v>9.9946635851104713E-3</v>
      </c>
      <c r="N7" s="116">
        <f t="shared" si="1"/>
        <v>4.4989990008973975E-2</v>
      </c>
    </row>
    <row r="8" spans="2:14" ht="18.5">
      <c r="B8" s="105" t="s">
        <v>18</v>
      </c>
      <c r="C8" s="106">
        <f>Utilidad!A5</f>
        <v>61069</v>
      </c>
      <c r="D8" s="107">
        <f>IF(Utilidad!C5&gt;1,Utilidad!C5/100,Utilidad!C5)</f>
        <v>0.49819999999999998</v>
      </c>
      <c r="F8" s="105" t="s">
        <v>18</v>
      </c>
      <c r="G8" s="106">
        <f>Utilidad!B5</f>
        <v>61069</v>
      </c>
      <c r="H8" s="107">
        <f>IF(Utilidad!D5&gt;1,Utilidad!D5/100,Utilidad!D5)</f>
        <v>0.49819999999999998</v>
      </c>
      <c r="J8" s="114">
        <f t="shared" si="2"/>
        <v>0</v>
      </c>
      <c r="K8" s="114">
        <f t="shared" si="0"/>
        <v>0</v>
      </c>
      <c r="M8" s="116">
        <f t="shared" si="3"/>
        <v>0</v>
      </c>
      <c r="N8" s="116">
        <f t="shared" si="1"/>
        <v>0</v>
      </c>
    </row>
    <row r="9" spans="2:14" ht="18.5">
      <c r="B9" s="105" t="s">
        <v>19</v>
      </c>
      <c r="C9" s="106">
        <f>Utilidad!A6</f>
        <v>37539</v>
      </c>
      <c r="D9" s="107">
        <f>IF(Utilidad!C6&gt;1,Utilidad!C6/100,Utilidad!C6)</f>
        <v>0.47110000000000002</v>
      </c>
      <c r="F9" s="105" t="s">
        <v>19</v>
      </c>
      <c r="G9" s="106">
        <f>Utilidad!B6</f>
        <v>36608.483217000001</v>
      </c>
      <c r="H9" s="107">
        <f>IF(Utilidad!D6&gt;1,Utilidad!D6/100,Utilidad!D6)</f>
        <v>0.44754500000000003</v>
      </c>
      <c r="J9" s="114">
        <f t="shared" si="2"/>
        <v>-2.4788001358587046E-2</v>
      </c>
      <c r="K9" s="114">
        <f t="shared" si="0"/>
        <v>-4.9999999999999982E-2</v>
      </c>
      <c r="M9" s="116">
        <f t="shared" si="3"/>
        <v>2.4788001358587046E-2</v>
      </c>
      <c r="N9" s="116">
        <f t="shared" si="1"/>
        <v>4.9999999999999982E-2</v>
      </c>
    </row>
    <row r="10" spans="2:14" ht="18.5">
      <c r="B10" s="105" t="s">
        <v>20</v>
      </c>
      <c r="C10" s="106">
        <f>Utilidad!A7</f>
        <v>86600</v>
      </c>
      <c r="D10" s="107">
        <f>IF(Utilidad!C7&gt;1,Utilidad!C7/100,Utilidad!C7)</f>
        <v>0.42570000000000002</v>
      </c>
      <c r="F10" s="105" t="s">
        <v>20</v>
      </c>
      <c r="G10" s="106">
        <f>Utilidad!B7</f>
        <v>82145.351999000006</v>
      </c>
      <c r="H10" s="107">
        <f>IF(Utilidad!D7&gt;1,Utilidad!D7/100,Utilidad!D7)</f>
        <v>0.41624097638999996</v>
      </c>
      <c r="J10" s="114">
        <f t="shared" si="2"/>
        <v>-5.1439353360277065E-2</v>
      </c>
      <c r="K10" s="114">
        <f t="shared" si="0"/>
        <v>-2.2219928611698522E-2</v>
      </c>
      <c r="M10" s="116">
        <f t="shared" si="3"/>
        <v>5.1439353360277065E-2</v>
      </c>
      <c r="N10" s="116">
        <f t="shared" si="1"/>
        <v>2.2219928611698522E-2</v>
      </c>
    </row>
    <row r="11" spans="2:14" ht="18.5">
      <c r="B11" s="105" t="s">
        <v>21</v>
      </c>
      <c r="C11" s="106">
        <f>Utilidad!A8</f>
        <v>0</v>
      </c>
      <c r="D11" s="107">
        <f>IF(Utilidad!C8&gt;1,Utilidad!C8/100,Utilidad!C8)</f>
        <v>0</v>
      </c>
      <c r="F11" s="105" t="s">
        <v>21</v>
      </c>
      <c r="G11" s="106">
        <f>Utilidad!B8</f>
        <v>0</v>
      </c>
      <c r="H11" s="107">
        <f>IF(Utilidad!D8&gt;1,Utilidad!D8/100,Utilidad!D8)</f>
        <v>0</v>
      </c>
      <c r="J11" s="114">
        <f t="shared" si="2"/>
        <v>0</v>
      </c>
      <c r="K11" s="114">
        <f t="shared" si="0"/>
        <v>0</v>
      </c>
      <c r="M11" s="116">
        <f t="shared" si="3"/>
        <v>0</v>
      </c>
      <c r="N11" s="116">
        <f t="shared" si="1"/>
        <v>0</v>
      </c>
    </row>
    <row r="12" spans="2:14" ht="18.5">
      <c r="B12" s="105" t="s">
        <v>22</v>
      </c>
      <c r="C12" s="106">
        <f>Utilidad!A9</f>
        <v>19491</v>
      </c>
      <c r="D12" s="107">
        <f>IF(Utilidad!C9&gt;1,Utilidad!C9/100,Utilidad!C9)</f>
        <v>0.27800000000000002</v>
      </c>
      <c r="F12" s="105" t="s">
        <v>22</v>
      </c>
      <c r="G12" s="106">
        <f>Utilidad!B9</f>
        <v>19654.716090000002</v>
      </c>
      <c r="H12" s="107">
        <f>IF(Utilidad!D9&gt;1,Utilidad!D9/100,Utilidad!D9)</f>
        <v>0.27382140926999998</v>
      </c>
      <c r="J12" s="114">
        <f t="shared" si="2"/>
        <v>8.399573649376723E-3</v>
      </c>
      <c r="K12" s="114">
        <f t="shared" si="0"/>
        <v>-1.5030901906474971E-2</v>
      </c>
      <c r="M12" s="116">
        <f t="shared" si="3"/>
        <v>8.399573649376723E-3</v>
      </c>
      <c r="N12" s="116">
        <f t="shared" si="1"/>
        <v>1.5030901906474971E-2</v>
      </c>
    </row>
    <row r="13" spans="2:14" ht="18.5">
      <c r="B13" s="105" t="s">
        <v>23</v>
      </c>
      <c r="C13" s="106">
        <f>Utilidad!A10</f>
        <v>7144</v>
      </c>
      <c r="D13" s="107">
        <f>IF(Utilidad!C10&gt;1,Utilidad!C10/100,Utilidad!C10)</f>
        <v>0.14699999999999999</v>
      </c>
      <c r="F13" s="105" t="s">
        <v>23</v>
      </c>
      <c r="G13" s="106">
        <f>Utilidad!B10</f>
        <v>7183.3611259999998</v>
      </c>
      <c r="H13" s="107">
        <f>IF(Utilidad!D10&gt;1,Utilidad!D10/100,Utilidad!D10)</f>
        <v>0.14657961259999999</v>
      </c>
      <c r="I13">
        <f>SUM(G12:G15)</f>
        <v>82145.351999000006</v>
      </c>
      <c r="J13" s="114">
        <f t="shared" si="2"/>
        <v>5.5096760918252781E-3</v>
      </c>
      <c r="K13" s="114">
        <f t="shared" si="0"/>
        <v>-2.8597782312925145E-3</v>
      </c>
      <c r="M13" s="116">
        <f t="shared" si="3"/>
        <v>5.5096760918252781E-3</v>
      </c>
      <c r="N13" s="116">
        <f t="shared" si="1"/>
        <v>2.8597782312925145E-3</v>
      </c>
    </row>
    <row r="14" spans="2:14" ht="18.5">
      <c r="B14" s="105" t="s">
        <v>24</v>
      </c>
      <c r="C14" s="106">
        <f>Utilidad!A11</f>
        <v>26620</v>
      </c>
      <c r="D14" s="107">
        <f>IF(Utilidad!C11&gt;1,Utilidad!C11/100,Utilidad!C11)</f>
        <v>0.49130000000000001</v>
      </c>
      <c r="F14" s="105" t="s">
        <v>24</v>
      </c>
      <c r="G14" s="106">
        <f>Utilidad!B11</f>
        <v>25002.378000000001</v>
      </c>
      <c r="H14" s="107">
        <f>IF(Utilidad!D11&gt;1,Utilidad!D11/100,Utilidad!D11)</f>
        <v>0.46962579199999999</v>
      </c>
      <c r="J14" s="114">
        <f t="shared" si="2"/>
        <v>-6.0767167543200579E-2</v>
      </c>
      <c r="K14" s="114">
        <f t="shared" si="0"/>
        <v>-4.4116035009159428E-2</v>
      </c>
      <c r="M14" s="116">
        <f t="shared" si="3"/>
        <v>6.0767167543200579E-2</v>
      </c>
      <c r="N14" s="116">
        <f t="shared" si="1"/>
        <v>4.4116035009159428E-2</v>
      </c>
    </row>
    <row r="15" spans="2:14" ht="18.5">
      <c r="B15" s="105" t="s">
        <v>25</v>
      </c>
      <c r="C15" s="106">
        <f>Utilidad!A12</f>
        <v>33345</v>
      </c>
      <c r="D15" s="107">
        <f>IF(Utilidad!C12&gt;1,Utilidad!C12/100,Utilidad!C12)</f>
        <v>0.55630000000000002</v>
      </c>
      <c r="F15" s="105" t="s">
        <v>25</v>
      </c>
      <c r="G15" s="106">
        <f>Utilidad!B12</f>
        <v>30304.896783</v>
      </c>
      <c r="H15" s="107">
        <f>IF(Utilidad!D12&gt;1,Utilidad!D12/100,Utilidad!D12)</f>
        <v>0.52848499999999998</v>
      </c>
      <c r="J15" s="114">
        <f t="shared" si="2"/>
        <v>-9.1171186594691853E-2</v>
      </c>
      <c r="K15" s="114">
        <f t="shared" si="0"/>
        <v>-5.0000000000000058E-2</v>
      </c>
      <c r="M15" s="116">
        <f t="shared" si="3"/>
        <v>9.1171186594691853E-2</v>
      </c>
      <c r="N15" s="116">
        <f t="shared" si="1"/>
        <v>5.0000000000000058E-2</v>
      </c>
    </row>
    <row r="16" spans="2:14" ht="18.5">
      <c r="B16" s="105" t="s">
        <v>2</v>
      </c>
      <c r="C16" s="106">
        <f>Utilidad!A13</f>
        <v>28325</v>
      </c>
      <c r="D16" s="107">
        <f>IF(Utilidad!C13&gt;1,Utilidad!C13/100,Utilidad!C13)</f>
        <v>0.51790000000000003</v>
      </c>
      <c r="F16" s="105" t="s">
        <v>2</v>
      </c>
      <c r="G16" s="106">
        <f>Utilidad!B13</f>
        <v>28138.902222000001</v>
      </c>
      <c r="H16" s="107">
        <f>IF(Utilidad!D13&gt;1,Utilidad!D13/100,Utilidad!D13)</f>
        <v>0.51365737031000003</v>
      </c>
      <c r="J16" s="114">
        <f t="shared" si="2"/>
        <v>-6.5700892497793251E-3</v>
      </c>
      <c r="K16" s="114">
        <f t="shared" si="0"/>
        <v>-8.1919862714809784E-3</v>
      </c>
      <c r="M16" s="116">
        <f t="shared" si="3"/>
        <v>6.5700892497793251E-3</v>
      </c>
      <c r="N16" s="116">
        <f t="shared" si="1"/>
        <v>8.1919862714809784E-3</v>
      </c>
    </row>
    <row r="17" spans="2:14" ht="18.5">
      <c r="B17" s="105" t="s">
        <v>26</v>
      </c>
      <c r="C17" s="106">
        <f>Utilidad!A14</f>
        <v>-21948</v>
      </c>
      <c r="D17" s="107">
        <f>IF(Utilidad!C14&gt;1,Utilidad!C14/100,Utilidad!C14)</f>
        <v>0.49130000000000001</v>
      </c>
      <c r="F17" s="105" t="s">
        <v>26</v>
      </c>
      <c r="G17" s="106">
        <f>Utilidad!B14</f>
        <v>-20891.867204999999</v>
      </c>
      <c r="H17" s="107">
        <f>IF(Utilidad!D14&gt;1,Utilidad!D14/100,Utilidad!D14)</f>
        <v>0.48695319464000003</v>
      </c>
      <c r="J17" s="114">
        <f t="shared" si="2"/>
        <v>-4.8119773783488307E-2</v>
      </c>
      <c r="K17" s="114">
        <f t="shared" si="0"/>
        <v>-8.8475582332586677E-3</v>
      </c>
      <c r="M17" s="116">
        <f t="shared" si="3"/>
        <v>4.8119773783488307E-2</v>
      </c>
      <c r="N17" s="116">
        <f t="shared" si="1"/>
        <v>8.8475582332586677E-3</v>
      </c>
    </row>
    <row r="18" spans="2:14" ht="18.5">
      <c r="B18" s="105" t="s">
        <v>27</v>
      </c>
      <c r="C18" s="106">
        <f>Utilidad!A15</f>
        <v>100588</v>
      </c>
      <c r="D18" s="107">
        <f>IF(Utilidad!C15&gt;1,Utilidad!C15/100,Utilidad!C15)</f>
        <v>0.53720000000000001</v>
      </c>
      <c r="F18" s="105" t="s">
        <v>27</v>
      </c>
      <c r="G18" s="106">
        <f>Utilidad!B15</f>
        <v>98197.342982999995</v>
      </c>
      <c r="H18" s="107">
        <f>IF(Utilidad!D15&gt;1,Utilidad!D15/100,Utilidad!D15)</f>
        <v>0.52129353384999999</v>
      </c>
      <c r="J18" s="114">
        <f t="shared" si="2"/>
        <v>-2.3766821260985456E-2</v>
      </c>
      <c r="K18" s="114">
        <f t="shared" si="0"/>
        <v>-2.9609951880119174E-2</v>
      </c>
      <c r="M18" s="116">
        <f t="shared" si="3"/>
        <v>2.3766821260985456E-2</v>
      </c>
      <c r="N18" s="116">
        <f t="shared" si="1"/>
        <v>2.9609951880119174E-2</v>
      </c>
    </row>
    <row r="19" spans="2:14" ht="18.5">
      <c r="B19" s="105" t="s">
        <v>28</v>
      </c>
      <c r="C19" s="106">
        <f>Utilidad!A16</f>
        <v>35912</v>
      </c>
      <c r="D19" s="107">
        <f>IF(Utilidad!C16&gt;1,Utilidad!C16/100,Utilidad!C16)</f>
        <v>7.7300000000000008E-2</v>
      </c>
      <c r="F19" s="105" t="s">
        <v>28</v>
      </c>
      <c r="G19" s="106">
        <f>Utilidad!B16</f>
        <v>38270.682962999999</v>
      </c>
      <c r="H19" s="107">
        <f>IF(Utilidad!D16&gt;1,Utilidad!D16/100,Utilidad!D16)</f>
        <v>7.7623959584999999E-2</v>
      </c>
      <c r="J19" s="114">
        <f t="shared" si="2"/>
        <v>6.5679521134996643E-2</v>
      </c>
      <c r="K19" s="114">
        <f t="shared" si="0"/>
        <v>4.1909390038808733E-3</v>
      </c>
      <c r="M19" s="116">
        <f t="shared" si="3"/>
        <v>6.5679521134996643E-2</v>
      </c>
      <c r="N19" s="116">
        <f t="shared" si="1"/>
        <v>4.1909390038808733E-3</v>
      </c>
    </row>
    <row r="20" spans="2:14" ht="18.5">
      <c r="B20" s="105" t="s">
        <v>31</v>
      </c>
      <c r="C20" s="106">
        <f>Utilidad!A19</f>
        <v>117320</v>
      </c>
      <c r="D20" s="107">
        <f>IF(Utilidad!C19&gt;1,Utilidad!C19/100,Utilidad!C19)</f>
        <v>0.66409999999999991</v>
      </c>
      <c r="F20" s="105" t="s">
        <v>31</v>
      </c>
      <c r="G20" s="106">
        <f>Utilidad!B19</f>
        <v>118650.26698</v>
      </c>
      <c r="H20" s="107">
        <f>IF(Utilidad!D19&gt;1,Utilidad!D19/100,Utilidad!D19)</f>
        <v>0.66476157069999997</v>
      </c>
      <c r="J20" s="114">
        <f t="shared" si="2"/>
        <v>1.1338791169451077E-2</v>
      </c>
      <c r="K20" s="114">
        <f t="shared" si="0"/>
        <v>9.9619138683941901E-4</v>
      </c>
      <c r="M20" s="116">
        <f t="shared" si="3"/>
        <v>1.1338791169451077E-2</v>
      </c>
      <c r="N20" s="116">
        <f t="shared" si="1"/>
        <v>9.9619138683941901E-4</v>
      </c>
    </row>
    <row r="21" spans="2:14" ht="18.5">
      <c r="B21" s="105" t="s">
        <v>32</v>
      </c>
      <c r="C21" s="106">
        <f>Utilidad!A20</f>
        <v>295</v>
      </c>
      <c r="D21" s="107">
        <f>IF(Utilidad!C20&gt;1,Utilidad!C20/100,Utilidad!C20)</f>
        <v>0.66409999999999991</v>
      </c>
      <c r="F21" s="105" t="s">
        <v>32</v>
      </c>
      <c r="G21" s="106">
        <f>Utilidad!B20</f>
        <v>295.21734726</v>
      </c>
      <c r="H21" s="107">
        <f>IF(Utilidad!D20&gt;1,Utilidad!D20/100,Utilidad!D20)</f>
        <v>0.66427353235999997</v>
      </c>
      <c r="J21" s="114">
        <f t="shared" si="2"/>
        <v>7.3677037288134514E-4</v>
      </c>
      <c r="K21" s="114">
        <f t="shared" si="0"/>
        <v>2.6130456256597136E-4</v>
      </c>
      <c r="M21" s="116">
        <f t="shared" si="3"/>
        <v>7.3677037288134514E-4</v>
      </c>
      <c r="N21" s="116">
        <f t="shared" si="1"/>
        <v>2.6130456256597136E-4</v>
      </c>
    </row>
    <row r="22" spans="2:14" ht="18.5">
      <c r="B22" s="105" t="s">
        <v>33</v>
      </c>
      <c r="C22" s="106">
        <f>Utilidad!A21</f>
        <v>0</v>
      </c>
      <c r="D22" s="107">
        <f>IF(Utilidad!C21&gt;1,Utilidad!C21/100,Utilidad!C21)</f>
        <v>0</v>
      </c>
      <c r="F22" s="105" t="s">
        <v>33</v>
      </c>
      <c r="G22" s="106">
        <f>Utilidad!B21</f>
        <v>0</v>
      </c>
      <c r="H22" s="107">
        <f>IF(Utilidad!D21&gt;1,Utilidad!D21/100,Utilidad!D21)</f>
        <v>0</v>
      </c>
      <c r="J22" s="114">
        <f t="shared" si="2"/>
        <v>0</v>
      </c>
      <c r="K22" s="114">
        <f t="shared" si="0"/>
        <v>0</v>
      </c>
      <c r="M22" s="116">
        <f t="shared" si="3"/>
        <v>0</v>
      </c>
      <c r="N22" s="116">
        <f t="shared" si="1"/>
        <v>0</v>
      </c>
    </row>
    <row r="23" spans="2:14" ht="18.5">
      <c r="B23" s="105" t="s">
        <v>35</v>
      </c>
      <c r="C23" s="106">
        <f>Utilidad!A22</f>
        <v>113375</v>
      </c>
      <c r="D23" s="107">
        <f>IF(Utilidad!C22&gt;1,Utilidad!C22/100,Utilidad!C22)</f>
        <v>0.66400000000000003</v>
      </c>
      <c r="F23" s="105" t="s">
        <v>35</v>
      </c>
      <c r="G23" s="106">
        <f>Utilidad!B22</f>
        <v>118355.04962999999</v>
      </c>
      <c r="H23" s="107">
        <f>IF(Utilidad!D22&gt;1,Utilidad!D22/100,Utilidad!D22)</f>
        <v>0.66476278802</v>
      </c>
      <c r="J23" s="114">
        <f t="shared" si="2"/>
        <v>4.3925465314222659E-2</v>
      </c>
      <c r="K23" s="114">
        <f t="shared" si="0"/>
        <v>1.1487771385541572E-3</v>
      </c>
      <c r="M23" s="116">
        <f t="shared" si="3"/>
        <v>4.3925465314222659E-2</v>
      </c>
      <c r="N23" s="116">
        <f t="shared" si="1"/>
        <v>1.1487771385541572E-3</v>
      </c>
    </row>
    <row r="24" spans="2:14" ht="18.5">
      <c r="B24" s="105" t="s">
        <v>36</v>
      </c>
      <c r="C24" s="106">
        <f>Utilidad!A23</f>
        <v>0</v>
      </c>
      <c r="D24" s="107">
        <f>IF(Utilidad!C23&gt;1,Utilidad!C23/100,Utilidad!C23)</f>
        <v>0.66400000000000003</v>
      </c>
      <c r="F24" s="105" t="s">
        <v>36</v>
      </c>
      <c r="G24" s="106">
        <f>Utilidad!B23</f>
        <v>0</v>
      </c>
      <c r="H24" s="107">
        <f>IF(Utilidad!D23&gt;1,Utilidad!D23/100,Utilidad!D23)</f>
        <v>0.66400000000000003</v>
      </c>
      <c r="J24" s="114">
        <f t="shared" si="2"/>
        <v>0</v>
      </c>
      <c r="K24" s="114">
        <f t="shared" si="0"/>
        <v>0</v>
      </c>
      <c r="M24" s="116">
        <f t="shared" si="3"/>
        <v>0</v>
      </c>
      <c r="N24" s="116">
        <f t="shared" si="1"/>
        <v>0</v>
      </c>
    </row>
    <row r="25" spans="2:14" ht="18.5">
      <c r="B25" s="105" t="s">
        <v>37</v>
      </c>
      <c r="C25" s="106">
        <f>Utilidad!A24</f>
        <v>113375</v>
      </c>
      <c r="D25" s="107">
        <f>IF(Utilidad!C24&gt;1,Utilidad!C24/100,Utilidad!C24)</f>
        <v>0.66400000000000003</v>
      </c>
      <c r="F25" s="105" t="s">
        <v>37</v>
      </c>
      <c r="G25" s="106">
        <f>Utilidad!B24</f>
        <v>118355.04962999999</v>
      </c>
      <c r="H25" s="107">
        <f>IF(Utilidad!D24&gt;1,Utilidad!D24/100,Utilidad!D24)</f>
        <v>0.66476278802</v>
      </c>
      <c r="J25" s="114">
        <f t="shared" si="2"/>
        <v>4.3925465314222659E-2</v>
      </c>
      <c r="K25" s="114">
        <f t="shared" si="0"/>
        <v>1.1487771385541572E-3</v>
      </c>
      <c r="M25" s="116">
        <f t="shared" si="3"/>
        <v>4.3925465314222659E-2</v>
      </c>
      <c r="N25" s="116">
        <f t="shared" si="1"/>
        <v>1.1487771385541572E-3</v>
      </c>
    </row>
    <row r="26" spans="2:14" ht="18.5">
      <c r="B26" s="105" t="s">
        <v>38</v>
      </c>
      <c r="C26" s="106">
        <f>Utilidad!A25</f>
        <v>16139</v>
      </c>
      <c r="D26" s="107">
        <f>IF(Utilidad!C25&gt;1,Utilidad!C25/100,Utilidad!C25)</f>
        <v>0.66370000000000007</v>
      </c>
      <c r="F26" s="105" t="s">
        <v>38</v>
      </c>
      <c r="G26" s="106">
        <f>Utilidad!B25</f>
        <v>16589.049632999999</v>
      </c>
      <c r="H26" s="107">
        <f>IF(Utilidad!D25&gt;1,Utilidad!D25/100,Utilidad!D25)</f>
        <v>0.67373629965999993</v>
      </c>
      <c r="J26" s="114">
        <f t="shared" si="2"/>
        <v>2.7885843794534897E-2</v>
      </c>
      <c r="K26" s="114">
        <f t="shared" si="0"/>
        <v>1.5121741238511162E-2</v>
      </c>
      <c r="M26" s="116">
        <f t="shared" si="3"/>
        <v>2.7885843794534897E-2</v>
      </c>
      <c r="N26" s="116">
        <f t="shared" si="1"/>
        <v>1.5121741238511162E-2</v>
      </c>
    </row>
    <row r="27" spans="2:14" ht="18.5">
      <c r="B27" s="105" t="s">
        <v>39</v>
      </c>
      <c r="C27" s="106">
        <f>Utilidad!A26</f>
        <v>101766</v>
      </c>
      <c r="D27" s="107">
        <f>IF(Utilidad!C26&gt;1,Utilidad!C26/100,Utilidad!C26)</f>
        <v>0.6633</v>
      </c>
      <c r="F27" s="105" t="s">
        <v>39</v>
      </c>
      <c r="G27" s="106">
        <f>Utilidad!B26</f>
        <v>101766</v>
      </c>
      <c r="H27" s="107">
        <f>IF(Utilidad!D26&gt;1,Utilidad!D26/100,Utilidad!D26)</f>
        <v>0.6633</v>
      </c>
      <c r="J27" s="114">
        <f t="shared" si="2"/>
        <v>0</v>
      </c>
      <c r="K27" s="114">
        <f t="shared" si="0"/>
        <v>0</v>
      </c>
      <c r="M27" s="116">
        <f t="shared" si="3"/>
        <v>0</v>
      </c>
      <c r="N27" s="116">
        <f t="shared" si="1"/>
        <v>0</v>
      </c>
    </row>
    <row r="28" spans="2:14" ht="18.5">
      <c r="B28" s="105" t="s">
        <v>141</v>
      </c>
      <c r="C28" s="106">
        <f>Utilidad!A27</f>
        <v>0</v>
      </c>
      <c r="D28" s="107">
        <f>IF(Utilidad!C27&gt;1,Utilidad!C27/100,Utilidad!C27)</f>
        <v>0</v>
      </c>
      <c r="F28" s="105" t="s">
        <v>141</v>
      </c>
      <c r="G28" s="106">
        <f>Utilidad!B27</f>
        <v>0</v>
      </c>
      <c r="H28" s="107">
        <f>IF(Utilidad!D27&gt;1,Utilidad!D27/100,Utilidad!D27)</f>
        <v>0</v>
      </c>
      <c r="J28" s="114">
        <f t="shared" si="2"/>
        <v>0</v>
      </c>
      <c r="K28" s="114">
        <f t="shared" si="0"/>
        <v>0</v>
      </c>
      <c r="M28" s="116">
        <f t="shared" si="3"/>
        <v>0</v>
      </c>
      <c r="N28" s="116">
        <f t="shared" si="1"/>
        <v>0</v>
      </c>
    </row>
    <row r="29" spans="2:14" ht="18.5">
      <c r="B29" s="105" t="s">
        <v>40</v>
      </c>
      <c r="C29" s="106">
        <f>Utilidad!A28</f>
        <v>0</v>
      </c>
      <c r="D29" s="107">
        <f>IF(Utilidad!C28&gt;1,Utilidad!C28/100,Utilidad!C28)</f>
        <v>0</v>
      </c>
      <c r="F29" s="105" t="s">
        <v>40</v>
      </c>
      <c r="G29" s="106">
        <f>Utilidad!B28</f>
        <v>0</v>
      </c>
      <c r="H29" s="107">
        <f>IF(Utilidad!D28&gt;1,Utilidad!D28/100,Utilidad!D28)</f>
        <v>0</v>
      </c>
      <c r="J29" s="114">
        <f t="shared" si="2"/>
        <v>0</v>
      </c>
      <c r="K29" s="114">
        <f t="shared" si="0"/>
        <v>0</v>
      </c>
      <c r="M29" s="116">
        <f t="shared" si="3"/>
        <v>0</v>
      </c>
      <c r="N29" s="116">
        <f t="shared" si="1"/>
        <v>0</v>
      </c>
    </row>
    <row r="30" spans="2:14" ht="18.5">
      <c r="B30" s="105" t="s">
        <v>41</v>
      </c>
      <c r="C30" s="106">
        <f>Utilidad!A29</f>
        <v>0</v>
      </c>
      <c r="D30" s="107">
        <f>IF(Utilidad!C29&gt;1,Utilidad!C29/100,Utilidad!C29)</f>
        <v>0</v>
      </c>
      <c r="F30" s="105" t="s">
        <v>41</v>
      </c>
      <c r="G30" s="106">
        <f>Utilidad!B29</f>
        <v>0</v>
      </c>
      <c r="H30" s="107">
        <f>IF(Utilidad!D29&gt;1,Utilidad!D29/100,Utilidad!D29)</f>
        <v>0</v>
      </c>
      <c r="J30" s="114">
        <f t="shared" si="2"/>
        <v>0</v>
      </c>
      <c r="K30" s="114">
        <f t="shared" si="0"/>
        <v>0</v>
      </c>
      <c r="M30" s="116">
        <f t="shared" si="3"/>
        <v>0</v>
      </c>
      <c r="N30" s="116">
        <f t="shared" si="1"/>
        <v>0</v>
      </c>
    </row>
    <row r="31" spans="2:14" ht="18.5">
      <c r="B31" s="105" t="s">
        <v>42</v>
      </c>
      <c r="C31" s="106">
        <f>Utilidad!A30</f>
        <v>0</v>
      </c>
      <c r="D31" s="107">
        <f>IF(Utilidad!C30&gt;1,Utilidad!C30/100,Utilidad!C30)</f>
        <v>0</v>
      </c>
      <c r="F31" s="105" t="s">
        <v>42</v>
      </c>
      <c r="G31" s="106">
        <f>Utilidad!B30</f>
        <v>0</v>
      </c>
      <c r="H31" s="107">
        <f>IF(Utilidad!D30&gt;1,Utilidad!D30/100,Utilidad!D30)</f>
        <v>0</v>
      </c>
      <c r="J31" s="114">
        <f t="shared" si="2"/>
        <v>0</v>
      </c>
      <c r="K31" s="114">
        <f t="shared" si="0"/>
        <v>0</v>
      </c>
      <c r="M31" s="116">
        <f t="shared" si="3"/>
        <v>0</v>
      </c>
      <c r="N31" s="116">
        <f t="shared" si="1"/>
        <v>0</v>
      </c>
    </row>
    <row r="32" spans="2:14" ht="18.5">
      <c r="B32" s="105" t="s">
        <v>43</v>
      </c>
      <c r="C32" s="106">
        <f>Utilidad!A31</f>
        <v>0</v>
      </c>
      <c r="D32" s="107">
        <f>IF(Utilidad!C31&gt;1,Utilidad!C31/100,Utilidad!C31)</f>
        <v>0</v>
      </c>
      <c r="F32" s="105" t="s">
        <v>43</v>
      </c>
      <c r="G32" s="106">
        <f>Utilidad!B31</f>
        <v>0</v>
      </c>
      <c r="H32" s="107">
        <f>IF(Utilidad!D31&gt;1,Utilidad!D31/100,Utilidad!D31)</f>
        <v>0</v>
      </c>
      <c r="J32" s="114">
        <f t="shared" si="2"/>
        <v>0</v>
      </c>
      <c r="K32" s="114">
        <f t="shared" si="0"/>
        <v>0</v>
      </c>
      <c r="M32" s="116">
        <f t="shared" si="3"/>
        <v>0</v>
      </c>
      <c r="N32" s="116">
        <f t="shared" si="1"/>
        <v>0</v>
      </c>
    </row>
    <row r="33" spans="2:14" ht="18.5">
      <c r="B33" s="105" t="s">
        <v>140</v>
      </c>
      <c r="C33" s="106">
        <f>Utilidad!A32</f>
        <v>59464</v>
      </c>
      <c r="D33" s="107">
        <f>IF(Utilidad!C32&gt;1,Utilidad!C32/100,Utilidad!C32)</f>
        <v>0.61399999999999999</v>
      </c>
      <c r="F33" s="105" t="s">
        <v>140</v>
      </c>
      <c r="G33" s="106">
        <f>Utilidad!B32</f>
        <v>59464</v>
      </c>
      <c r="H33" s="107">
        <f>IF(Utilidad!D32&gt;1,Utilidad!D32/100,Utilidad!D32)</f>
        <v>0.60354921523000005</v>
      </c>
      <c r="J33" s="114">
        <f t="shared" si="2"/>
        <v>0</v>
      </c>
      <c r="K33" s="114">
        <f t="shared" si="0"/>
        <v>-1.7020822100977107E-2</v>
      </c>
      <c r="M33" s="116">
        <f t="shared" si="3"/>
        <v>0</v>
      </c>
      <c r="N33" s="116">
        <f t="shared" si="1"/>
        <v>1.7020822100977107E-2</v>
      </c>
    </row>
    <row r="34" spans="2:14" ht="18.5">
      <c r="B34" s="105" t="s">
        <v>45</v>
      </c>
      <c r="C34" s="106">
        <f>Utilidad!A33</f>
        <v>-32740</v>
      </c>
      <c r="D34" s="107">
        <f>IF(Utilidad!C33&gt;1,Utilidad!C33/100,Utilidad!C33)</f>
        <v>0.59670000000000001</v>
      </c>
      <c r="F34" s="105" t="s">
        <v>45</v>
      </c>
      <c r="G34" s="106">
        <f>Utilidad!B33</f>
        <v>-38772</v>
      </c>
      <c r="H34" s="107">
        <f>IF(Utilidad!D33&gt;1,Utilidad!D33/100,Utilidad!D33)</f>
        <v>0.60334113623999996</v>
      </c>
      <c r="J34" s="114">
        <f t="shared" si="2"/>
        <v>0.18423946243127673</v>
      </c>
      <c r="K34" s="114">
        <f t="shared" si="0"/>
        <v>1.1129774157868201E-2</v>
      </c>
      <c r="M34" s="116">
        <f t="shared" si="3"/>
        <v>0.18423946243127673</v>
      </c>
      <c r="N34" s="116">
        <f t="shared" si="1"/>
        <v>1.1129774157868201E-2</v>
      </c>
    </row>
    <row r="35" spans="2:14" ht="18.5">
      <c r="B35" s="105" t="s">
        <v>46</v>
      </c>
      <c r="C35" s="106">
        <f>Utilidad!A34</f>
        <v>13748</v>
      </c>
      <c r="D35" s="107">
        <f>IF(Utilidad!C34&gt;1,Utilidad!C34/100,Utilidad!C34)</f>
        <v>0.61299999999999999</v>
      </c>
      <c r="F35" s="105" t="s">
        <v>46</v>
      </c>
      <c r="G35" s="106">
        <f>Utilidad!B34</f>
        <v>13748</v>
      </c>
      <c r="H35" s="107">
        <f>IF(Utilidad!D34&gt;1,Utilidad!D34/100,Utilidad!D34)</f>
        <v>0.61299999999999999</v>
      </c>
      <c r="J35" s="114">
        <f t="shared" si="2"/>
        <v>0</v>
      </c>
      <c r="K35" s="114">
        <f t="shared" si="0"/>
        <v>0</v>
      </c>
      <c r="M35" s="116">
        <f t="shared" si="3"/>
        <v>0</v>
      </c>
      <c r="N35" s="116">
        <f t="shared" si="1"/>
        <v>0</v>
      </c>
    </row>
    <row r="36" spans="2:14" ht="18.5">
      <c r="B36" s="105" t="s">
        <v>47</v>
      </c>
      <c r="C36" s="106">
        <f>Utilidad!A35</f>
        <v>6944</v>
      </c>
      <c r="D36" s="107">
        <f>IF(Utilidad!C35&gt;1,Utilidad!C35/100,Utilidad!C35)</f>
        <v>0.58599999999999997</v>
      </c>
      <c r="F36" s="105" t="s">
        <v>47</v>
      </c>
      <c r="G36" s="106">
        <f>Utilidad!B35</f>
        <v>6944</v>
      </c>
      <c r="H36" s="107">
        <f>IF(Utilidad!D35&gt;1,Utilidad!D35/100,Utilidad!D35)</f>
        <v>0.58599999999999997</v>
      </c>
      <c r="J36" s="114">
        <f t="shared" si="2"/>
        <v>0</v>
      </c>
      <c r="K36" s="114">
        <f t="shared" si="0"/>
        <v>0</v>
      </c>
      <c r="M36" s="116">
        <f t="shared" si="3"/>
        <v>0</v>
      </c>
      <c r="N36" s="116">
        <f t="shared" si="1"/>
        <v>0</v>
      </c>
    </row>
    <row r="37" spans="2:14" ht="18.5">
      <c r="B37" s="105" t="s">
        <v>48</v>
      </c>
      <c r="C37" s="106">
        <f>Utilidad!A36</f>
        <v>8561</v>
      </c>
      <c r="D37" s="107">
        <f>IF(Utilidad!C36&gt;1,Utilidad!C36/100,Utilidad!C36)</f>
        <v>0.58360000000000001</v>
      </c>
      <c r="F37" s="105" t="s">
        <v>48</v>
      </c>
      <c r="G37" s="106">
        <f>Utilidad!B36</f>
        <v>8561</v>
      </c>
      <c r="H37" s="107">
        <f>IF(Utilidad!D36&gt;1,Utilidad!D36/100,Utilidad!D36)</f>
        <v>0.58360000000000001</v>
      </c>
      <c r="J37" s="114">
        <f t="shared" si="2"/>
        <v>0</v>
      </c>
      <c r="K37" s="114">
        <f t="shared" si="0"/>
        <v>0</v>
      </c>
      <c r="M37" s="116">
        <f t="shared" si="3"/>
        <v>0</v>
      </c>
      <c r="N37" s="116">
        <f t="shared" si="1"/>
        <v>0</v>
      </c>
    </row>
    <row r="38" spans="2:14" ht="18.5">
      <c r="B38" s="105" t="s">
        <v>49</v>
      </c>
      <c r="C38" s="106">
        <f>Utilidad!A37</f>
        <v>0</v>
      </c>
      <c r="D38" s="107">
        <f>IF(Utilidad!C37&gt;1,Utilidad!C37/100,Utilidad!C37)</f>
        <v>0</v>
      </c>
      <c r="F38" s="105" t="s">
        <v>49</v>
      </c>
      <c r="G38" s="106">
        <f>Utilidad!B37</f>
        <v>0</v>
      </c>
      <c r="H38" s="107">
        <f>IF(Utilidad!D37&gt;1,Utilidad!D37/100,Utilidad!D37)</f>
        <v>0</v>
      </c>
      <c r="J38" s="114">
        <f t="shared" si="2"/>
        <v>0</v>
      </c>
      <c r="K38" s="114">
        <f t="shared" si="0"/>
        <v>0</v>
      </c>
      <c r="M38" s="116">
        <f t="shared" si="3"/>
        <v>0</v>
      </c>
      <c r="N38" s="116">
        <f t="shared" si="1"/>
        <v>0</v>
      </c>
    </row>
    <row r="39" spans="2:14" ht="18.5">
      <c r="B39" s="105" t="s">
        <v>50</v>
      </c>
      <c r="C39" s="106">
        <f>Utilidad!A38</f>
        <v>10977</v>
      </c>
      <c r="D39" s="107">
        <f>IF(Utilidad!C38&gt;1,Utilidad!C38/100,Utilidad!C38)</f>
        <v>0.58360000000000001</v>
      </c>
      <c r="F39" s="105" t="s">
        <v>50</v>
      </c>
      <c r="G39" s="106">
        <f>Utilidad!B38</f>
        <v>8561</v>
      </c>
      <c r="H39" s="107">
        <f>IF(Utilidad!D38&gt;1,Utilidad!D38/100,Utilidad!D38)</f>
        <v>0.58360000000000001</v>
      </c>
      <c r="J39" s="114">
        <f t="shared" si="2"/>
        <v>-0.22009656554614193</v>
      </c>
      <c r="K39" s="114">
        <f t="shared" si="0"/>
        <v>0</v>
      </c>
      <c r="M39" s="116">
        <f t="shared" si="3"/>
        <v>0.22009656554614193</v>
      </c>
      <c r="N39" s="116">
        <f t="shared" si="1"/>
        <v>0</v>
      </c>
    </row>
    <row r="40" spans="2:14" ht="18.5">
      <c r="B40" s="105" t="s">
        <v>51</v>
      </c>
      <c r="C40" s="106">
        <f>Utilidad!A39</f>
        <v>0</v>
      </c>
      <c r="D40" s="107">
        <f>IF(Utilidad!C39&gt;1,Utilidad!C39/100,Utilidad!C39)</f>
        <v>0</v>
      </c>
      <c r="F40" s="105" t="s">
        <v>51</v>
      </c>
      <c r="G40" s="106">
        <f>Utilidad!B39</f>
        <v>0</v>
      </c>
      <c r="H40" s="107">
        <f>IF(Utilidad!D39&gt;1,Utilidad!D39/100,Utilidad!D39)</f>
        <v>0</v>
      </c>
      <c r="J40" s="114">
        <f t="shared" si="2"/>
        <v>0</v>
      </c>
      <c r="K40" s="114">
        <f t="shared" si="0"/>
        <v>0</v>
      </c>
      <c r="M40" s="116">
        <f t="shared" si="3"/>
        <v>0</v>
      </c>
      <c r="N40" s="116">
        <f t="shared" si="1"/>
        <v>0</v>
      </c>
    </row>
    <row r="41" spans="2:14" ht="18.5">
      <c r="B41" s="105" t="s">
        <v>52</v>
      </c>
      <c r="C41" s="106">
        <f>Utilidad!A40</f>
        <v>0</v>
      </c>
      <c r="D41" s="107">
        <f>IF(Utilidad!C40&gt;1,Utilidad!C40/100,Utilidad!C40)</f>
        <v>0</v>
      </c>
      <c r="F41" s="105" t="s">
        <v>52</v>
      </c>
      <c r="G41" s="106">
        <f>Utilidad!B40</f>
        <v>0</v>
      </c>
      <c r="H41" s="107">
        <f>IF(Utilidad!D40&gt;1,Utilidad!D40/100,Utilidad!D40)</f>
        <v>0</v>
      </c>
      <c r="J41" s="114">
        <f t="shared" si="2"/>
        <v>0</v>
      </c>
      <c r="K41" s="114">
        <f t="shared" si="0"/>
        <v>0</v>
      </c>
      <c r="M41" s="116">
        <f t="shared" si="3"/>
        <v>0</v>
      </c>
      <c r="N41" s="116">
        <f t="shared" si="1"/>
        <v>0</v>
      </c>
    </row>
    <row r="42" spans="2:14" ht="18.5">
      <c r="B42" s="105" t="s">
        <v>53</v>
      </c>
      <c r="C42" s="106">
        <f>Utilidad!A41</f>
        <v>0</v>
      </c>
      <c r="D42" s="107">
        <f>IF(Utilidad!C41&gt;1,Utilidad!C41/100,Utilidad!C41)</f>
        <v>0</v>
      </c>
      <c r="F42" s="105" t="s">
        <v>53</v>
      </c>
      <c r="G42" s="106">
        <f>Utilidad!B41</f>
        <v>0</v>
      </c>
      <c r="H42" s="107">
        <f>IF(Utilidad!D41&gt;1,Utilidad!D41/100,Utilidad!D41)</f>
        <v>0</v>
      </c>
      <c r="J42" s="114">
        <f t="shared" si="2"/>
        <v>0</v>
      </c>
      <c r="K42" s="114">
        <f t="shared" si="0"/>
        <v>0</v>
      </c>
      <c r="M42" s="116">
        <f t="shared" si="3"/>
        <v>0</v>
      </c>
      <c r="N42" s="116">
        <f t="shared" si="1"/>
        <v>0</v>
      </c>
    </row>
    <row r="43" spans="2:14" ht="18.5">
      <c r="B43" s="105" t="s">
        <v>54</v>
      </c>
      <c r="C43" s="106">
        <f>Utilidad!A42</f>
        <v>0</v>
      </c>
      <c r="D43" s="107">
        <f>IF(Utilidad!C42&gt;1,Utilidad!C42/100,Utilidad!C42)</f>
        <v>0</v>
      </c>
      <c r="F43" s="105" t="s">
        <v>54</v>
      </c>
      <c r="G43" s="106">
        <f>Utilidad!B42</f>
        <v>0</v>
      </c>
      <c r="H43" s="107">
        <f>IF(Utilidad!D42&gt;1,Utilidad!D42/100,Utilidad!D42)</f>
        <v>0</v>
      </c>
      <c r="J43" s="114">
        <f t="shared" si="2"/>
        <v>0</v>
      </c>
      <c r="K43" s="114">
        <f t="shared" si="0"/>
        <v>0</v>
      </c>
      <c r="M43" s="116">
        <f t="shared" si="3"/>
        <v>0</v>
      </c>
      <c r="N43" s="116">
        <f t="shared" si="1"/>
        <v>0</v>
      </c>
    </row>
    <row r="44" spans="2:14" ht="18.5">
      <c r="B44" s="105" t="s">
        <v>55</v>
      </c>
      <c r="C44" s="106">
        <f>Utilidad!A43</f>
        <v>0</v>
      </c>
      <c r="D44" s="107">
        <f>IF(Utilidad!C43&gt;1,Utilidad!C43/100,Utilidad!C43)</f>
        <v>0</v>
      </c>
      <c r="F44" s="105" t="s">
        <v>55</v>
      </c>
      <c r="G44" s="106">
        <f>Utilidad!B43</f>
        <v>0</v>
      </c>
      <c r="H44" s="107">
        <f>IF(Utilidad!D43&gt;1,Utilidad!D43/100,Utilidad!D43)</f>
        <v>0</v>
      </c>
      <c r="J44" s="114">
        <f t="shared" si="2"/>
        <v>0</v>
      </c>
      <c r="K44" s="114">
        <f t="shared" si="0"/>
        <v>0</v>
      </c>
      <c r="M44" s="116">
        <f t="shared" si="3"/>
        <v>0</v>
      </c>
      <c r="N44" s="116">
        <f t="shared" si="1"/>
        <v>0</v>
      </c>
    </row>
    <row r="45" spans="2:14" ht="18.5">
      <c r="B45" s="105" t="s">
        <v>56</v>
      </c>
      <c r="C45" s="106">
        <f>Utilidad!A44</f>
        <v>0</v>
      </c>
      <c r="D45" s="107">
        <f>IF(Utilidad!C44&gt;1,Utilidad!C44/100,Utilidad!C44)</f>
        <v>0</v>
      </c>
      <c r="F45" s="105" t="s">
        <v>56</v>
      </c>
      <c r="G45" s="106">
        <f>Utilidad!B44</f>
        <v>0</v>
      </c>
      <c r="H45" s="107">
        <f>IF(Utilidad!D44&gt;1,Utilidad!D44/100,Utilidad!D44)</f>
        <v>0</v>
      </c>
      <c r="J45" s="114">
        <f t="shared" si="2"/>
        <v>0</v>
      </c>
      <c r="K45" s="114">
        <f t="shared" si="0"/>
        <v>0</v>
      </c>
      <c r="M45" s="116">
        <f t="shared" si="3"/>
        <v>0</v>
      </c>
      <c r="N45" s="116">
        <f t="shared" si="1"/>
        <v>0</v>
      </c>
    </row>
    <row r="46" spans="2:14" ht="18.5">
      <c r="B46" s="105" t="s">
        <v>57</v>
      </c>
      <c r="C46" s="106">
        <f>Utilidad!A45</f>
        <v>0</v>
      </c>
      <c r="D46" s="107">
        <f>IF(Utilidad!C45&gt;1,Utilidad!C45/100,Utilidad!C45)</f>
        <v>0</v>
      </c>
      <c r="F46" s="105" t="s">
        <v>57</v>
      </c>
      <c r="G46" s="106">
        <f>Utilidad!B45</f>
        <v>0</v>
      </c>
      <c r="H46" s="107">
        <f>IF(Utilidad!D45&gt;1,Utilidad!D45/100,Utilidad!D45)</f>
        <v>0</v>
      </c>
      <c r="J46" s="114">
        <f>+IF(C46&lt;&gt;0,(G46-C46)/C46,ABS(G46-C46))</f>
        <v>0</v>
      </c>
      <c r="K46" s="114">
        <f t="shared" si="0"/>
        <v>0</v>
      </c>
      <c r="M46" s="116">
        <f t="shared" si="3"/>
        <v>0</v>
      </c>
      <c r="N46" s="116">
        <f t="shared" si="1"/>
        <v>0</v>
      </c>
    </row>
    <row r="47" spans="2:14" ht="18.5">
      <c r="B47" s="105" t="s">
        <v>58</v>
      </c>
      <c r="C47" s="106">
        <f>Utilidad!A46</f>
        <v>0</v>
      </c>
      <c r="D47" s="107">
        <f>IF(Utilidad!C46&gt;1,Utilidad!C46/100,Utilidad!C46)</f>
        <v>0</v>
      </c>
      <c r="F47" s="105" t="s">
        <v>58</v>
      </c>
      <c r="G47" s="106">
        <f>Utilidad!B46</f>
        <v>0</v>
      </c>
      <c r="H47" s="107">
        <f>IF(Utilidad!D46&gt;1,Utilidad!D46/100,Utilidad!D46)</f>
        <v>0</v>
      </c>
      <c r="J47" s="114">
        <f t="shared" si="2"/>
        <v>0</v>
      </c>
      <c r="K47" s="114">
        <f t="shared" si="0"/>
        <v>0</v>
      </c>
      <c r="M47" s="116">
        <f t="shared" si="3"/>
        <v>0</v>
      </c>
      <c r="N47" s="116">
        <f t="shared" si="1"/>
        <v>0</v>
      </c>
    </row>
    <row r="48" spans="2:14" ht="18.5">
      <c r="B48" s="105" t="s">
        <v>59</v>
      </c>
      <c r="C48" s="106">
        <f>Utilidad!A47</f>
        <v>0</v>
      </c>
      <c r="D48" s="107">
        <f>IF(Utilidad!C47&gt;1,Utilidad!C47/100,Utilidad!C47)</f>
        <v>0</v>
      </c>
      <c r="F48" s="105" t="s">
        <v>59</v>
      </c>
      <c r="G48" s="106">
        <f>Utilidad!B47</f>
        <v>0</v>
      </c>
      <c r="H48" s="107">
        <f>IF(Utilidad!D47&gt;1,Utilidad!D47/100,Utilidad!D47)</f>
        <v>0</v>
      </c>
      <c r="J48" s="114">
        <f t="shared" si="2"/>
        <v>0</v>
      </c>
      <c r="K48" s="114">
        <f t="shared" si="0"/>
        <v>0</v>
      </c>
      <c r="M48" s="116">
        <f t="shared" si="3"/>
        <v>0</v>
      </c>
      <c r="N48" s="116">
        <f t="shared" si="1"/>
        <v>0</v>
      </c>
    </row>
    <row r="49" spans="2:14" ht="18.5">
      <c r="B49" s="105" t="s">
        <v>60</v>
      </c>
      <c r="C49" s="106">
        <f>Utilidad!A48</f>
        <v>0</v>
      </c>
      <c r="D49" s="107">
        <f>IF(Utilidad!C48&gt;1,Utilidad!C48/100,Utilidad!C48)</f>
        <v>0</v>
      </c>
      <c r="F49" s="105" t="s">
        <v>60</v>
      </c>
      <c r="G49" s="106">
        <f>Utilidad!B48</f>
        <v>0</v>
      </c>
      <c r="H49" s="107">
        <f>IF(Utilidad!D48&gt;1,Utilidad!D48/100,Utilidad!D48)</f>
        <v>0</v>
      </c>
      <c r="J49" s="114">
        <f t="shared" si="2"/>
        <v>0</v>
      </c>
      <c r="K49" s="114">
        <f t="shared" si="0"/>
        <v>0</v>
      </c>
      <c r="M49" s="116">
        <f t="shared" si="3"/>
        <v>0</v>
      </c>
      <c r="N49" s="116">
        <f t="shared" si="1"/>
        <v>0</v>
      </c>
    </row>
    <row r="50" spans="2:14" ht="18.5">
      <c r="B50" s="105" t="s">
        <v>61</v>
      </c>
      <c r="C50" s="106">
        <f>Utilidad!A49</f>
        <v>0</v>
      </c>
      <c r="D50" s="107">
        <f>IF(Utilidad!C49&gt;1,Utilidad!C49/100,Utilidad!C49)</f>
        <v>0</v>
      </c>
      <c r="F50" s="105" t="s">
        <v>61</v>
      </c>
      <c r="G50" s="106">
        <f>Utilidad!B49</f>
        <v>0</v>
      </c>
      <c r="H50" s="107">
        <f>IF(Utilidad!D49&gt;1,Utilidad!D49/100,Utilidad!D49)</f>
        <v>0</v>
      </c>
      <c r="J50" s="114">
        <f t="shared" si="2"/>
        <v>0</v>
      </c>
      <c r="K50" s="114">
        <f t="shared" si="0"/>
        <v>0</v>
      </c>
      <c r="M50" s="116">
        <f t="shared" si="3"/>
        <v>0</v>
      </c>
      <c r="N50" s="116">
        <f t="shared" si="1"/>
        <v>0</v>
      </c>
    </row>
    <row r="51" spans="2:14" ht="18.5">
      <c r="B51" s="105" t="s">
        <v>62</v>
      </c>
      <c r="C51" s="106">
        <f>Utilidad!A50</f>
        <v>0</v>
      </c>
      <c r="D51" s="107">
        <f>IF(Utilidad!C50&gt;1,Utilidad!C50/100,Utilidad!C50)</f>
        <v>0</v>
      </c>
      <c r="F51" s="105" t="s">
        <v>62</v>
      </c>
      <c r="G51" s="106">
        <f>Utilidad!B50</f>
        <v>0</v>
      </c>
      <c r="H51" s="107">
        <f>IF(Utilidad!D50&gt;1,Utilidad!D50/100,Utilidad!D50)</f>
        <v>0</v>
      </c>
      <c r="J51" s="114">
        <f t="shared" si="2"/>
        <v>0</v>
      </c>
      <c r="K51" s="114">
        <f t="shared" si="0"/>
        <v>0</v>
      </c>
      <c r="M51" s="116">
        <f t="shared" si="3"/>
        <v>0</v>
      </c>
      <c r="N51" s="116">
        <f t="shared" si="1"/>
        <v>0</v>
      </c>
    </row>
    <row r="52" spans="2:14" ht="18.5">
      <c r="B52" s="105" t="s">
        <v>63</v>
      </c>
      <c r="C52" s="106">
        <f>Utilidad!A51</f>
        <v>0</v>
      </c>
      <c r="D52" s="107">
        <f>IF(Utilidad!C51&gt;1,Utilidad!C51/100,Utilidad!C51)</f>
        <v>0</v>
      </c>
      <c r="F52" s="105" t="s">
        <v>63</v>
      </c>
      <c r="G52" s="106">
        <f>Utilidad!B51</f>
        <v>0</v>
      </c>
      <c r="H52" s="107">
        <f>IF(Utilidad!D51&gt;1,Utilidad!D51/100,Utilidad!D51)</f>
        <v>0</v>
      </c>
      <c r="J52" s="114">
        <f t="shared" si="2"/>
        <v>0</v>
      </c>
      <c r="K52" s="114">
        <f t="shared" si="0"/>
        <v>0</v>
      </c>
      <c r="M52" s="116">
        <f t="shared" si="3"/>
        <v>0</v>
      </c>
      <c r="N52" s="116">
        <f t="shared" si="1"/>
        <v>0</v>
      </c>
    </row>
    <row r="53" spans="2:14" ht="18.5">
      <c r="B53" s="105" t="s">
        <v>64</v>
      </c>
      <c r="C53" s="106">
        <f>Utilidad!A52</f>
        <v>0</v>
      </c>
      <c r="D53" s="107">
        <f>IF(Utilidad!C52&gt;1,Utilidad!C52/100,Utilidad!C52)</f>
        <v>0</v>
      </c>
      <c r="F53" s="105" t="s">
        <v>64</v>
      </c>
      <c r="G53" s="106">
        <f>Utilidad!B52</f>
        <v>0</v>
      </c>
      <c r="H53" s="107">
        <f>IF(Utilidad!D52&gt;1,Utilidad!D52/100,Utilidad!D52)</f>
        <v>0</v>
      </c>
      <c r="J53" s="114">
        <f t="shared" si="2"/>
        <v>0</v>
      </c>
      <c r="K53" s="114">
        <f t="shared" si="0"/>
        <v>0</v>
      </c>
      <c r="M53" s="116">
        <f t="shared" si="3"/>
        <v>0</v>
      </c>
      <c r="N53" s="116">
        <f t="shared" si="1"/>
        <v>0</v>
      </c>
    </row>
    <row r="54" spans="2:14" ht="18.5">
      <c r="B54" s="105" t="s">
        <v>65</v>
      </c>
      <c r="C54" s="106">
        <f>Utilidad!A53</f>
        <v>0</v>
      </c>
      <c r="D54" s="107">
        <f>IF(Utilidad!C53&gt;1,Utilidad!C53/100,Utilidad!C53)</f>
        <v>0</v>
      </c>
      <c r="F54" s="105" t="s">
        <v>65</v>
      </c>
      <c r="G54" s="106">
        <f>Utilidad!B53</f>
        <v>0</v>
      </c>
      <c r="H54" s="107">
        <f>IF(Utilidad!D53&gt;1,Utilidad!D53/100,Utilidad!D53)</f>
        <v>0</v>
      </c>
      <c r="J54" s="114">
        <f t="shared" si="2"/>
        <v>0</v>
      </c>
      <c r="K54" s="114">
        <f t="shared" si="0"/>
        <v>0</v>
      </c>
      <c r="M54" s="116">
        <f t="shared" si="3"/>
        <v>0</v>
      </c>
      <c r="N54" s="116">
        <f t="shared" si="1"/>
        <v>0</v>
      </c>
    </row>
    <row r="55" spans="2:14" ht="18.5">
      <c r="B55" s="105" t="s">
        <v>66</v>
      </c>
      <c r="C55" s="106">
        <f>Utilidad!A54</f>
        <v>80442</v>
      </c>
      <c r="D55" s="107">
        <f>IF(Utilidad!C54&gt;1,Utilidad!C54/100,Utilidad!C54)</f>
        <v>0.54359999999999997</v>
      </c>
      <c r="F55" s="105" t="s">
        <v>66</v>
      </c>
      <c r="G55" s="106">
        <f>Utilidad!B54</f>
        <v>80442</v>
      </c>
      <c r="H55" s="107">
        <f>IF(Utilidad!D54&gt;1,Utilidad!D54/100,Utilidad!D54)</f>
        <v>0.54359999999999997</v>
      </c>
      <c r="J55" s="114">
        <f t="shared" si="2"/>
        <v>0</v>
      </c>
      <c r="K55" s="114">
        <f t="shared" si="0"/>
        <v>0</v>
      </c>
      <c r="M55" s="116">
        <f t="shared" si="3"/>
        <v>0</v>
      </c>
      <c r="N55" s="116">
        <f t="shared" si="1"/>
        <v>0</v>
      </c>
    </row>
    <row r="56" spans="2:14" ht="18.5">
      <c r="B56" s="105" t="s">
        <v>67</v>
      </c>
      <c r="C56" s="106">
        <f>Utilidad!A55</f>
        <v>80442</v>
      </c>
      <c r="D56" s="107">
        <f>IF(Utilidad!C55&gt;1,Utilidad!C55/100,Utilidad!C55)</f>
        <v>0.54359999999999997</v>
      </c>
      <c r="F56" s="105" t="s">
        <v>67</v>
      </c>
      <c r="G56" s="106">
        <f>Utilidad!B55</f>
        <v>80442</v>
      </c>
      <c r="H56" s="107">
        <f>IF(Utilidad!D55&gt;1,Utilidad!D55/100,Utilidad!D55)</f>
        <v>0.54359999999999997</v>
      </c>
      <c r="J56" s="114">
        <f t="shared" si="2"/>
        <v>0</v>
      </c>
      <c r="K56" s="114">
        <f t="shared" si="0"/>
        <v>0</v>
      </c>
      <c r="M56" s="116">
        <f t="shared" si="3"/>
        <v>0</v>
      </c>
      <c r="N56" s="116">
        <f t="shared" si="1"/>
        <v>0</v>
      </c>
    </row>
    <row r="57" spans="2:14" ht="23.5">
      <c r="B57" s="155" t="s">
        <v>160</v>
      </c>
      <c r="C57" s="156">
        <f>Utilidad!A56</f>
        <v>0</v>
      </c>
      <c r="D57" s="157">
        <f>IF(Utilidad!C56&gt;1,Utilidad!C56/100,Utilidad!C56)</f>
        <v>0</v>
      </c>
      <c r="E57" s="158"/>
      <c r="F57" s="155" t="s">
        <v>160</v>
      </c>
      <c r="G57" s="156">
        <f>Utilidad!B56</f>
        <v>0</v>
      </c>
      <c r="H57" s="157">
        <f>IF(Utilidad!D56&gt;1,Utilidad!D56/100,Utilidad!D56)</f>
        <v>0</v>
      </c>
      <c r="I57" s="158"/>
      <c r="J57" s="159">
        <f t="shared" ref="J57:J58" si="4">+IF(C57&lt;&gt;0,(G57-C57)/C57,ABS(G57-C57))</f>
        <v>0</v>
      </c>
      <c r="K57" s="159">
        <f t="shared" ref="K57:K58" si="5">+IF(D57&lt;&gt;0,(H57-D57)/D57,0)</f>
        <v>0</v>
      </c>
      <c r="L57" s="158"/>
      <c r="M57" s="160">
        <f t="shared" ref="M57:M58" si="6">+IF(J57&lt;&gt;"",ABS(J57),0)</f>
        <v>0</v>
      </c>
      <c r="N57" s="160">
        <f t="shared" ref="N57:N58" si="7">+IF(J57&lt;&gt;"",ABS(K57),0)</f>
        <v>0</v>
      </c>
    </row>
    <row r="58" spans="2:14" ht="23.5">
      <c r="B58" s="155" t="s">
        <v>161</v>
      </c>
      <c r="C58" s="156">
        <f>Utilidad!A57</f>
        <v>0</v>
      </c>
      <c r="D58" s="157">
        <f>IF(Utilidad!C57&gt;1,Utilidad!C57/100,Utilidad!C57)</f>
        <v>0</v>
      </c>
      <c r="E58" s="158"/>
      <c r="F58" s="155" t="s">
        <v>161</v>
      </c>
      <c r="G58" s="156">
        <f>Utilidad!B57</f>
        <v>0</v>
      </c>
      <c r="H58" s="157">
        <f>IF(Utilidad!D57&gt;1,Utilidad!D57/100,Utilidad!D57)</f>
        <v>0</v>
      </c>
      <c r="I58" s="158"/>
      <c r="J58" s="159">
        <f t="shared" si="4"/>
        <v>0</v>
      </c>
      <c r="K58" s="159">
        <f t="shared" si="5"/>
        <v>0</v>
      </c>
      <c r="L58" s="158"/>
      <c r="M58" s="160">
        <f t="shared" si="6"/>
        <v>0</v>
      </c>
      <c r="N58" s="160">
        <f t="shared" si="7"/>
        <v>0</v>
      </c>
    </row>
  </sheetData>
  <mergeCells count="3">
    <mergeCell ref="B2:D2"/>
    <mergeCell ref="F2:H2"/>
    <mergeCell ref="J2:K2"/>
  </mergeCells>
  <conditionalFormatting sqref="J4:K58">
    <cfRule type="expression" dxfId="1" priority="1">
      <formula>ABS(J4)&gt;=10%</formula>
    </cfRule>
  </conditionalFormatting>
  <conditionalFormatting sqref="L4:L5">
    <cfRule type="expression" dxfId="0" priority="2">
      <formula>ABS(L4)&gt;=10%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FF4F9-97DA-0445-9F68-74756A3E2648}">
  <dimension ref="A1:D38"/>
  <sheetViews>
    <sheetView topLeftCell="A17" zoomScale="54" zoomScaleNormal="54" workbookViewId="0">
      <selection activeCell="B28" sqref="B28"/>
    </sheetView>
  </sheetViews>
  <sheetFormatPr baseColWidth="10" defaultRowHeight="14.5"/>
  <cols>
    <col min="1" max="1" width="58.6328125" customWidth="1"/>
    <col min="2" max="2" width="24" customWidth="1"/>
    <col min="3" max="3" width="16.453125" style="126" customWidth="1"/>
    <col min="4" max="4" width="23.1796875" customWidth="1"/>
  </cols>
  <sheetData>
    <row r="1" spans="1:4" ht="23.5">
      <c r="A1" s="168" t="s">
        <v>7</v>
      </c>
      <c r="B1" s="169">
        <v>74334.13764999999</v>
      </c>
      <c r="C1" s="174">
        <v>0.5</v>
      </c>
      <c r="D1" s="175">
        <v>0.01</v>
      </c>
    </row>
    <row r="2" spans="1:4" ht="23.5">
      <c r="A2" s="168" t="s">
        <v>8</v>
      </c>
      <c r="B2" s="169">
        <v>86387.124166666676</v>
      </c>
      <c r="C2" s="174">
        <v>0.5</v>
      </c>
      <c r="D2" s="175">
        <v>0.01</v>
      </c>
    </row>
    <row r="3" spans="1:4" ht="23.5">
      <c r="A3" s="168" t="s">
        <v>9</v>
      </c>
      <c r="B3" s="169">
        <v>826.28166666666766</v>
      </c>
      <c r="C3" s="174">
        <v>0.5</v>
      </c>
      <c r="D3" s="175">
        <v>8.7499999999999994E-2</v>
      </c>
    </row>
    <row r="4" spans="1:4" ht="23.5">
      <c r="A4" s="168" t="s">
        <v>3</v>
      </c>
      <c r="B4" s="169">
        <v>0</v>
      </c>
      <c r="C4" s="174">
        <v>0.5</v>
      </c>
      <c r="D4" s="175">
        <v>7.0000000000000001E-3</v>
      </c>
    </row>
    <row r="5" spans="1:4" ht="23.5">
      <c r="A5" s="168" t="s">
        <v>4</v>
      </c>
      <c r="B5" s="169">
        <v>121426.04949999998</v>
      </c>
      <c r="C5" s="174">
        <v>0.5</v>
      </c>
      <c r="D5" s="175">
        <v>8.8999999999999996E-2</v>
      </c>
    </row>
    <row r="6" spans="1:4" ht="23.5">
      <c r="A6" s="168" t="s">
        <v>105</v>
      </c>
      <c r="B6" s="169">
        <v>41594.870640000001</v>
      </c>
      <c r="C6" s="174">
        <v>0.5</v>
      </c>
      <c r="D6" s="175">
        <v>7.0000000000000001E-3</v>
      </c>
    </row>
    <row r="7" spans="1:4" ht="23.5">
      <c r="A7" s="168" t="s">
        <v>106</v>
      </c>
      <c r="B7" s="170">
        <v>67903.538449999993</v>
      </c>
      <c r="C7" s="174">
        <v>0.5</v>
      </c>
      <c r="D7" s="174">
        <v>7.0000000000000001E-3</v>
      </c>
    </row>
    <row r="8" spans="1:4" ht="23.5">
      <c r="A8" s="168" t="s">
        <v>150</v>
      </c>
      <c r="B8" s="170">
        <v>116566.58303612904</v>
      </c>
      <c r="C8" s="174">
        <v>0.68412600000000001</v>
      </c>
      <c r="D8" s="174">
        <v>0.01</v>
      </c>
    </row>
    <row r="9" spans="1:4" ht="23.5">
      <c r="A9" s="168" t="s">
        <v>116</v>
      </c>
      <c r="B9" s="169">
        <v>117320.38500000001</v>
      </c>
      <c r="C9" s="176">
        <v>0.68410599999999999</v>
      </c>
      <c r="D9" s="174">
        <v>0.01</v>
      </c>
    </row>
    <row r="10" spans="1:4" ht="23.5">
      <c r="A10" s="168" t="s">
        <v>151</v>
      </c>
      <c r="B10" s="169">
        <v>8463.7718062000004</v>
      </c>
      <c r="C10" s="176">
        <v>0.62109999999999999</v>
      </c>
      <c r="D10" s="174">
        <v>0.01</v>
      </c>
    </row>
    <row r="11" spans="1:4" ht="23.5">
      <c r="A11" s="168" t="s">
        <v>152</v>
      </c>
      <c r="B11" s="169">
        <v>6943.5007400000004</v>
      </c>
      <c r="C11" s="176">
        <v>0.61180000000000001</v>
      </c>
      <c r="D11" s="174">
        <v>0.01</v>
      </c>
    </row>
    <row r="12" spans="1:4" ht="23.5">
      <c r="A12" s="168" t="s">
        <v>153</v>
      </c>
      <c r="B12" s="169">
        <v>0</v>
      </c>
      <c r="C12" s="176">
        <v>0.6099</v>
      </c>
      <c r="D12" s="174">
        <v>0.01</v>
      </c>
    </row>
    <row r="13" spans="1:4" ht="23.5">
      <c r="A13" s="168" t="s">
        <v>122</v>
      </c>
      <c r="B13" s="170">
        <v>8560.9939799999975</v>
      </c>
      <c r="C13" s="174">
        <v>0.61070000000000002</v>
      </c>
      <c r="D13" s="174">
        <v>0.01</v>
      </c>
    </row>
    <row r="14" spans="1:4" ht="23.5">
      <c r="A14" s="168" t="s">
        <v>123</v>
      </c>
      <c r="B14" s="170">
        <v>0</v>
      </c>
      <c r="C14" s="174">
        <v>0.56729999999999992</v>
      </c>
      <c r="D14" s="174">
        <v>0.01</v>
      </c>
    </row>
    <row r="15" spans="1:4" ht="23.5">
      <c r="A15" s="168" t="s">
        <v>135</v>
      </c>
      <c r="B15" s="170">
        <v>152453.07</v>
      </c>
      <c r="C15" s="174">
        <v>0.36777300000000002</v>
      </c>
      <c r="D15" s="174">
        <v>0.01</v>
      </c>
    </row>
    <row r="16" spans="1:4" ht="23.5">
      <c r="A16" s="161" t="s">
        <v>6</v>
      </c>
      <c r="B16" s="171">
        <v>107865.3576</v>
      </c>
      <c r="C16" s="177">
        <v>0</v>
      </c>
      <c r="D16" s="174">
        <v>0.01</v>
      </c>
    </row>
    <row r="17" spans="1:4" ht="23.5">
      <c r="A17" s="161" t="s">
        <v>123</v>
      </c>
      <c r="B17" s="171"/>
      <c r="C17" s="162"/>
      <c r="D17" s="170"/>
    </row>
    <row r="18" spans="1:4" ht="23.5">
      <c r="A18" s="163" t="s">
        <v>135</v>
      </c>
      <c r="B18" s="172">
        <v>0.01</v>
      </c>
      <c r="C18" s="164"/>
      <c r="D18" s="165"/>
    </row>
    <row r="19" spans="1:4" ht="23.5">
      <c r="A19" s="163" t="s">
        <v>115</v>
      </c>
      <c r="B19" s="172">
        <v>0</v>
      </c>
      <c r="C19" s="164"/>
      <c r="D19" s="165"/>
    </row>
    <row r="20" spans="1:4" ht="23.5">
      <c r="A20" s="163" t="s">
        <v>117</v>
      </c>
      <c r="B20" s="172">
        <v>9.8680274571524181E-3</v>
      </c>
      <c r="C20" s="164"/>
      <c r="D20" s="165"/>
    </row>
    <row r="21" spans="1:4" ht="23.5">
      <c r="A21" s="163" t="s">
        <v>118</v>
      </c>
      <c r="B21" s="172">
        <v>2.1906666666666668E-2</v>
      </c>
      <c r="C21" s="164"/>
      <c r="D21" s="165"/>
    </row>
    <row r="22" spans="1:4" ht="23.5">
      <c r="A22" s="163" t="s">
        <v>120</v>
      </c>
      <c r="B22" s="172">
        <v>7.0000000000000001E-3</v>
      </c>
      <c r="C22" s="164"/>
      <c r="D22" s="165"/>
    </row>
    <row r="23" spans="1:4" ht="23.5">
      <c r="A23" s="163" t="s">
        <v>84</v>
      </c>
      <c r="B23" s="172">
        <v>8.0100000000000005E-2</v>
      </c>
      <c r="C23" s="164"/>
      <c r="D23" s="165"/>
    </row>
    <row r="24" spans="1:4" ht="23.5">
      <c r="A24" s="163" t="s">
        <v>162</v>
      </c>
      <c r="B24" s="172">
        <v>8.9999999999999993E-3</v>
      </c>
      <c r="C24" s="164"/>
      <c r="D24" s="165"/>
    </row>
    <row r="25" spans="1:4" ht="23.5">
      <c r="A25" s="163" t="s">
        <v>92</v>
      </c>
      <c r="B25" s="172">
        <v>0</v>
      </c>
      <c r="C25" s="164"/>
      <c r="D25" s="165"/>
    </row>
    <row r="26" spans="1:4" ht="23.5">
      <c r="A26" s="163" t="s">
        <v>132</v>
      </c>
      <c r="B26" s="172">
        <v>0</v>
      </c>
      <c r="C26" s="164"/>
      <c r="D26" s="165"/>
    </row>
    <row r="27" spans="1:4" ht="23.5">
      <c r="A27" s="163" t="s">
        <v>136</v>
      </c>
      <c r="B27" s="172">
        <v>8.8198064516128993E-2</v>
      </c>
      <c r="C27" s="164"/>
      <c r="D27" s="165"/>
    </row>
    <row r="28" spans="1:4" ht="23.5">
      <c r="A28" s="163" t="s">
        <v>116</v>
      </c>
      <c r="B28" s="172">
        <v>8.5000000000000006E-2</v>
      </c>
      <c r="C28" s="164"/>
      <c r="D28" s="165"/>
    </row>
    <row r="29" spans="1:4" ht="23.5">
      <c r="A29" s="163" t="s">
        <v>137</v>
      </c>
      <c r="B29" s="172">
        <v>7.0000000000000001E-3</v>
      </c>
      <c r="C29" s="164"/>
      <c r="D29" s="165"/>
    </row>
    <row r="30" spans="1:4" ht="23.5">
      <c r="A30" s="163" t="s">
        <v>119</v>
      </c>
      <c r="B30" s="172">
        <v>7.0000000000000001E-3</v>
      </c>
      <c r="C30" s="164"/>
      <c r="D30" s="165"/>
    </row>
    <row r="31" spans="1:4" ht="23.5">
      <c r="A31" s="163" t="s">
        <v>121</v>
      </c>
      <c r="B31" s="172">
        <v>1.4E-2</v>
      </c>
      <c r="C31" s="164"/>
      <c r="D31" s="165"/>
    </row>
    <row r="32" spans="1:4" ht="23.5">
      <c r="A32" s="163" t="s">
        <v>138</v>
      </c>
      <c r="B32" s="172">
        <v>0</v>
      </c>
      <c r="C32" s="164"/>
      <c r="D32" s="165"/>
    </row>
    <row r="33" spans="1:4" ht="23.5">
      <c r="A33" s="166" t="s">
        <v>122</v>
      </c>
      <c r="B33" s="172">
        <v>6.0000000000000001E-3</v>
      </c>
      <c r="C33" s="167"/>
      <c r="D33" s="165"/>
    </row>
    <row r="34" spans="1:4" ht="23.5">
      <c r="A34" s="166" t="s">
        <v>123</v>
      </c>
      <c r="B34" s="172">
        <v>0</v>
      </c>
      <c r="C34" s="167"/>
      <c r="D34" s="165"/>
    </row>
    <row r="35" spans="1:4" ht="23.5">
      <c r="A35" s="166" t="s">
        <v>128</v>
      </c>
      <c r="B35" s="172">
        <v>0.01</v>
      </c>
      <c r="C35" s="167"/>
      <c r="D35" s="165"/>
    </row>
    <row r="36" spans="1:4" ht="23.5">
      <c r="A36" s="166" t="s">
        <v>130</v>
      </c>
      <c r="B36" s="172">
        <v>0.1</v>
      </c>
      <c r="C36" s="167"/>
      <c r="D36" s="165"/>
    </row>
    <row r="37" spans="1:4" ht="23.5">
      <c r="A37" s="173" t="s">
        <v>131</v>
      </c>
      <c r="B37" s="165">
        <v>0</v>
      </c>
      <c r="C37" s="174"/>
      <c r="D37" s="165"/>
    </row>
    <row r="38" spans="1:4" ht="23.5">
      <c r="A38" s="173" t="s">
        <v>133</v>
      </c>
      <c r="B38" s="165">
        <v>0</v>
      </c>
      <c r="C38" s="174"/>
      <c r="D38" s="1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0942-FDE9-9742-9791-B717C09345EC}">
  <dimension ref="B1:U41"/>
  <sheetViews>
    <sheetView tabSelected="1" topLeftCell="D19" zoomScaleNormal="100" workbookViewId="0">
      <selection activeCell="N34" sqref="N34"/>
    </sheetView>
  </sheetViews>
  <sheetFormatPr baseColWidth="10" defaultColWidth="6.453125" defaultRowHeight="15" customHeight="1"/>
  <cols>
    <col min="1" max="2" width="2.453125" style="49" customWidth="1"/>
    <col min="3" max="3" width="15.453125" style="49" hidden="1" customWidth="1"/>
    <col min="4" max="5" width="12.453125" style="49" customWidth="1"/>
    <col min="6" max="6" width="15.453125" style="49" customWidth="1"/>
    <col min="7" max="8" width="12" style="49" customWidth="1"/>
    <col min="9" max="9" width="14.81640625" style="49" customWidth="1"/>
    <col min="10" max="10" width="15.6328125" style="49" customWidth="1"/>
    <col min="11" max="13" width="13" style="49" customWidth="1"/>
    <col min="14" max="15" width="14.453125" style="49" customWidth="1"/>
    <col min="16" max="17" width="13.453125" style="49" customWidth="1"/>
    <col min="18" max="18" width="2.453125" style="49" customWidth="1"/>
    <col min="19" max="19" width="13.453125" style="49" customWidth="1"/>
    <col min="20" max="20" width="10.453125" style="49" customWidth="1"/>
    <col min="21" max="21" width="12" style="49" customWidth="1"/>
    <col min="22" max="22" width="11.453125" style="49" customWidth="1"/>
    <col min="23" max="23" width="16" style="49" customWidth="1"/>
    <col min="24" max="25" width="10.453125" style="49" customWidth="1"/>
    <col min="26" max="26" width="15.453125" style="49" customWidth="1"/>
    <col min="27" max="27" width="11.453125" style="49" customWidth="1"/>
    <col min="28" max="28" width="12" style="49" customWidth="1"/>
    <col min="29" max="29" width="11.453125" style="49" customWidth="1"/>
    <col min="30" max="30" width="12" style="49" customWidth="1"/>
    <col min="31" max="31" width="11.453125" style="49" customWidth="1"/>
    <col min="32" max="32" width="12.453125" style="49" customWidth="1"/>
    <col min="33" max="33" width="10.453125" style="49" customWidth="1"/>
    <col min="34" max="34" width="19" style="49" customWidth="1"/>
    <col min="35" max="35" width="13.453125" style="49" customWidth="1"/>
    <col min="36" max="36" width="18" style="49" customWidth="1"/>
    <col min="37" max="37" width="42.453125" style="49" customWidth="1"/>
    <col min="38" max="38" width="31" style="49" customWidth="1"/>
    <col min="39" max="39" width="35" style="49" customWidth="1"/>
    <col min="40" max="40" width="31" style="49" customWidth="1"/>
    <col min="41" max="41" width="35" style="49" customWidth="1"/>
    <col min="42" max="42" width="31" style="49" customWidth="1"/>
    <col min="43" max="43" width="37.453125" style="49" customWidth="1"/>
    <col min="44" max="44" width="11.453125" style="49" customWidth="1"/>
    <col min="45" max="45" width="54" style="49" customWidth="1"/>
    <col min="46" max="46" width="43.453125" style="49" customWidth="1"/>
    <col min="47" max="47" width="44.453125" style="49" customWidth="1"/>
    <col min="48" max="257" width="6.453125" style="49"/>
    <col min="258" max="259" width="2.453125" style="49" customWidth="1"/>
    <col min="260" max="260" width="0" style="49" hidden="1" customWidth="1"/>
    <col min="261" max="263" width="12.453125" style="49" customWidth="1"/>
    <col min="264" max="264" width="12" style="49" customWidth="1"/>
    <col min="265" max="265" width="12.453125" style="49" customWidth="1"/>
    <col min="266" max="266" width="13.453125" style="49" customWidth="1"/>
    <col min="267" max="267" width="0" style="49" hidden="1" customWidth="1"/>
    <col min="268" max="270" width="13" style="49" customWidth="1"/>
    <col min="271" max="271" width="14.453125" style="49" customWidth="1"/>
    <col min="272" max="273" width="13.453125" style="49" customWidth="1"/>
    <col min="274" max="274" width="2.453125" style="49" customWidth="1"/>
    <col min="275" max="275" width="13.453125" style="49" customWidth="1"/>
    <col min="276" max="276" width="10.453125" style="49" customWidth="1"/>
    <col min="277" max="277" width="12" style="49" customWidth="1"/>
    <col min="278" max="278" width="11.453125" style="49" customWidth="1"/>
    <col min="279" max="279" width="16" style="49" customWidth="1"/>
    <col min="280" max="281" width="10.453125" style="49" customWidth="1"/>
    <col min="282" max="282" width="15.453125" style="49" customWidth="1"/>
    <col min="283" max="283" width="11.453125" style="49" customWidth="1"/>
    <col min="284" max="284" width="12" style="49" customWidth="1"/>
    <col min="285" max="285" width="11.453125" style="49" customWidth="1"/>
    <col min="286" max="286" width="12" style="49" customWidth="1"/>
    <col min="287" max="287" width="11.453125" style="49" customWidth="1"/>
    <col min="288" max="288" width="12.453125" style="49" customWidth="1"/>
    <col min="289" max="289" width="10.453125" style="49" customWidth="1"/>
    <col min="290" max="290" width="19" style="49" customWidth="1"/>
    <col min="291" max="291" width="13.453125" style="49" customWidth="1"/>
    <col min="292" max="292" width="18" style="49" customWidth="1"/>
    <col min="293" max="293" width="42.453125" style="49" customWidth="1"/>
    <col min="294" max="294" width="31" style="49" customWidth="1"/>
    <col min="295" max="295" width="35" style="49" customWidth="1"/>
    <col min="296" max="296" width="31" style="49" customWidth="1"/>
    <col min="297" max="297" width="35" style="49" customWidth="1"/>
    <col min="298" max="298" width="31" style="49" customWidth="1"/>
    <col min="299" max="299" width="37.453125" style="49" customWidth="1"/>
    <col min="300" max="300" width="11.453125" style="49" customWidth="1"/>
    <col min="301" max="301" width="54" style="49" customWidth="1"/>
    <col min="302" max="302" width="43.453125" style="49" customWidth="1"/>
    <col min="303" max="303" width="44.453125" style="49" customWidth="1"/>
    <col min="304" max="513" width="6.453125" style="49"/>
    <col min="514" max="515" width="2.453125" style="49" customWidth="1"/>
    <col min="516" max="516" width="0" style="49" hidden="1" customWidth="1"/>
    <col min="517" max="519" width="12.453125" style="49" customWidth="1"/>
    <col min="520" max="520" width="12" style="49" customWidth="1"/>
    <col min="521" max="521" width="12.453125" style="49" customWidth="1"/>
    <col min="522" max="522" width="13.453125" style="49" customWidth="1"/>
    <col min="523" max="523" width="0" style="49" hidden="1" customWidth="1"/>
    <col min="524" max="526" width="13" style="49" customWidth="1"/>
    <col min="527" max="527" width="14.453125" style="49" customWidth="1"/>
    <col min="528" max="529" width="13.453125" style="49" customWidth="1"/>
    <col min="530" max="530" width="2.453125" style="49" customWidth="1"/>
    <col min="531" max="531" width="13.453125" style="49" customWidth="1"/>
    <col min="532" max="532" width="10.453125" style="49" customWidth="1"/>
    <col min="533" max="533" width="12" style="49" customWidth="1"/>
    <col min="534" max="534" width="11.453125" style="49" customWidth="1"/>
    <col min="535" max="535" width="16" style="49" customWidth="1"/>
    <col min="536" max="537" width="10.453125" style="49" customWidth="1"/>
    <col min="538" max="538" width="15.453125" style="49" customWidth="1"/>
    <col min="539" max="539" width="11.453125" style="49" customWidth="1"/>
    <col min="540" max="540" width="12" style="49" customWidth="1"/>
    <col min="541" max="541" width="11.453125" style="49" customWidth="1"/>
    <col min="542" max="542" width="12" style="49" customWidth="1"/>
    <col min="543" max="543" width="11.453125" style="49" customWidth="1"/>
    <col min="544" max="544" width="12.453125" style="49" customWidth="1"/>
    <col min="545" max="545" width="10.453125" style="49" customWidth="1"/>
    <col min="546" max="546" width="19" style="49" customWidth="1"/>
    <col min="547" max="547" width="13.453125" style="49" customWidth="1"/>
    <col min="548" max="548" width="18" style="49" customWidth="1"/>
    <col min="549" max="549" width="42.453125" style="49" customWidth="1"/>
    <col min="550" max="550" width="31" style="49" customWidth="1"/>
    <col min="551" max="551" width="35" style="49" customWidth="1"/>
    <col min="552" max="552" width="31" style="49" customWidth="1"/>
    <col min="553" max="553" width="35" style="49" customWidth="1"/>
    <col min="554" max="554" width="31" style="49" customWidth="1"/>
    <col min="555" max="555" width="37.453125" style="49" customWidth="1"/>
    <col min="556" max="556" width="11.453125" style="49" customWidth="1"/>
    <col min="557" max="557" width="54" style="49" customWidth="1"/>
    <col min="558" max="558" width="43.453125" style="49" customWidth="1"/>
    <col min="559" max="559" width="44.453125" style="49" customWidth="1"/>
    <col min="560" max="769" width="6.453125" style="49"/>
    <col min="770" max="771" width="2.453125" style="49" customWidth="1"/>
    <col min="772" max="772" width="0" style="49" hidden="1" customWidth="1"/>
    <col min="773" max="775" width="12.453125" style="49" customWidth="1"/>
    <col min="776" max="776" width="12" style="49" customWidth="1"/>
    <col min="777" max="777" width="12.453125" style="49" customWidth="1"/>
    <col min="778" max="778" width="13.453125" style="49" customWidth="1"/>
    <col min="779" max="779" width="0" style="49" hidden="1" customWidth="1"/>
    <col min="780" max="782" width="13" style="49" customWidth="1"/>
    <col min="783" max="783" width="14.453125" style="49" customWidth="1"/>
    <col min="784" max="785" width="13.453125" style="49" customWidth="1"/>
    <col min="786" max="786" width="2.453125" style="49" customWidth="1"/>
    <col min="787" max="787" width="13.453125" style="49" customWidth="1"/>
    <col min="788" max="788" width="10.453125" style="49" customWidth="1"/>
    <col min="789" max="789" width="12" style="49" customWidth="1"/>
    <col min="790" max="790" width="11.453125" style="49" customWidth="1"/>
    <col min="791" max="791" width="16" style="49" customWidth="1"/>
    <col min="792" max="793" width="10.453125" style="49" customWidth="1"/>
    <col min="794" max="794" width="15.453125" style="49" customWidth="1"/>
    <col min="795" max="795" width="11.453125" style="49" customWidth="1"/>
    <col min="796" max="796" width="12" style="49" customWidth="1"/>
    <col min="797" max="797" width="11.453125" style="49" customWidth="1"/>
    <col min="798" max="798" width="12" style="49" customWidth="1"/>
    <col min="799" max="799" width="11.453125" style="49" customWidth="1"/>
    <col min="800" max="800" width="12.453125" style="49" customWidth="1"/>
    <col min="801" max="801" width="10.453125" style="49" customWidth="1"/>
    <col min="802" max="802" width="19" style="49" customWidth="1"/>
    <col min="803" max="803" width="13.453125" style="49" customWidth="1"/>
    <col min="804" max="804" width="18" style="49" customWidth="1"/>
    <col min="805" max="805" width="42.453125" style="49" customWidth="1"/>
    <col min="806" max="806" width="31" style="49" customWidth="1"/>
    <col min="807" max="807" width="35" style="49" customWidth="1"/>
    <col min="808" max="808" width="31" style="49" customWidth="1"/>
    <col min="809" max="809" width="35" style="49" customWidth="1"/>
    <col min="810" max="810" width="31" style="49" customWidth="1"/>
    <col min="811" max="811" width="37.453125" style="49" customWidth="1"/>
    <col min="812" max="812" width="11.453125" style="49" customWidth="1"/>
    <col min="813" max="813" width="54" style="49" customWidth="1"/>
    <col min="814" max="814" width="43.453125" style="49" customWidth="1"/>
    <col min="815" max="815" width="44.453125" style="49" customWidth="1"/>
    <col min="816" max="1025" width="6.453125" style="49"/>
    <col min="1026" max="1027" width="2.453125" style="49" customWidth="1"/>
    <col min="1028" max="1028" width="0" style="49" hidden="1" customWidth="1"/>
    <col min="1029" max="1031" width="12.453125" style="49" customWidth="1"/>
    <col min="1032" max="1032" width="12" style="49" customWidth="1"/>
    <col min="1033" max="1033" width="12.453125" style="49" customWidth="1"/>
    <col min="1034" max="1034" width="13.453125" style="49" customWidth="1"/>
    <col min="1035" max="1035" width="0" style="49" hidden="1" customWidth="1"/>
    <col min="1036" max="1038" width="13" style="49" customWidth="1"/>
    <col min="1039" max="1039" width="14.453125" style="49" customWidth="1"/>
    <col min="1040" max="1041" width="13.453125" style="49" customWidth="1"/>
    <col min="1042" max="1042" width="2.453125" style="49" customWidth="1"/>
    <col min="1043" max="1043" width="13.453125" style="49" customWidth="1"/>
    <col min="1044" max="1044" width="10.453125" style="49" customWidth="1"/>
    <col min="1045" max="1045" width="12" style="49" customWidth="1"/>
    <col min="1046" max="1046" width="11.453125" style="49" customWidth="1"/>
    <col min="1047" max="1047" width="16" style="49" customWidth="1"/>
    <col min="1048" max="1049" width="10.453125" style="49" customWidth="1"/>
    <col min="1050" max="1050" width="15.453125" style="49" customWidth="1"/>
    <col min="1051" max="1051" width="11.453125" style="49" customWidth="1"/>
    <col min="1052" max="1052" width="12" style="49" customWidth="1"/>
    <col min="1053" max="1053" width="11.453125" style="49" customWidth="1"/>
    <col min="1054" max="1054" width="12" style="49" customWidth="1"/>
    <col min="1055" max="1055" width="11.453125" style="49" customWidth="1"/>
    <col min="1056" max="1056" width="12.453125" style="49" customWidth="1"/>
    <col min="1057" max="1057" width="10.453125" style="49" customWidth="1"/>
    <col min="1058" max="1058" width="19" style="49" customWidth="1"/>
    <col min="1059" max="1059" width="13.453125" style="49" customWidth="1"/>
    <col min="1060" max="1060" width="18" style="49" customWidth="1"/>
    <col min="1061" max="1061" width="42.453125" style="49" customWidth="1"/>
    <col min="1062" max="1062" width="31" style="49" customWidth="1"/>
    <col min="1063" max="1063" width="35" style="49" customWidth="1"/>
    <col min="1064" max="1064" width="31" style="49" customWidth="1"/>
    <col min="1065" max="1065" width="35" style="49" customWidth="1"/>
    <col min="1066" max="1066" width="31" style="49" customWidth="1"/>
    <col min="1067" max="1067" width="37.453125" style="49" customWidth="1"/>
    <col min="1068" max="1068" width="11.453125" style="49" customWidth="1"/>
    <col min="1069" max="1069" width="54" style="49" customWidth="1"/>
    <col min="1070" max="1070" width="43.453125" style="49" customWidth="1"/>
    <col min="1071" max="1071" width="44.453125" style="49" customWidth="1"/>
    <col min="1072" max="1281" width="6.453125" style="49"/>
    <col min="1282" max="1283" width="2.453125" style="49" customWidth="1"/>
    <col min="1284" max="1284" width="0" style="49" hidden="1" customWidth="1"/>
    <col min="1285" max="1287" width="12.453125" style="49" customWidth="1"/>
    <col min="1288" max="1288" width="12" style="49" customWidth="1"/>
    <col min="1289" max="1289" width="12.453125" style="49" customWidth="1"/>
    <col min="1290" max="1290" width="13.453125" style="49" customWidth="1"/>
    <col min="1291" max="1291" width="0" style="49" hidden="1" customWidth="1"/>
    <col min="1292" max="1294" width="13" style="49" customWidth="1"/>
    <col min="1295" max="1295" width="14.453125" style="49" customWidth="1"/>
    <col min="1296" max="1297" width="13.453125" style="49" customWidth="1"/>
    <col min="1298" max="1298" width="2.453125" style="49" customWidth="1"/>
    <col min="1299" max="1299" width="13.453125" style="49" customWidth="1"/>
    <col min="1300" max="1300" width="10.453125" style="49" customWidth="1"/>
    <col min="1301" max="1301" width="12" style="49" customWidth="1"/>
    <col min="1302" max="1302" width="11.453125" style="49" customWidth="1"/>
    <col min="1303" max="1303" width="16" style="49" customWidth="1"/>
    <col min="1304" max="1305" width="10.453125" style="49" customWidth="1"/>
    <col min="1306" max="1306" width="15.453125" style="49" customWidth="1"/>
    <col min="1307" max="1307" width="11.453125" style="49" customWidth="1"/>
    <col min="1308" max="1308" width="12" style="49" customWidth="1"/>
    <col min="1309" max="1309" width="11.453125" style="49" customWidth="1"/>
    <col min="1310" max="1310" width="12" style="49" customWidth="1"/>
    <col min="1311" max="1311" width="11.453125" style="49" customWidth="1"/>
    <col min="1312" max="1312" width="12.453125" style="49" customWidth="1"/>
    <col min="1313" max="1313" width="10.453125" style="49" customWidth="1"/>
    <col min="1314" max="1314" width="19" style="49" customWidth="1"/>
    <col min="1315" max="1315" width="13.453125" style="49" customWidth="1"/>
    <col min="1316" max="1316" width="18" style="49" customWidth="1"/>
    <col min="1317" max="1317" width="42.453125" style="49" customWidth="1"/>
    <col min="1318" max="1318" width="31" style="49" customWidth="1"/>
    <col min="1319" max="1319" width="35" style="49" customWidth="1"/>
    <col min="1320" max="1320" width="31" style="49" customWidth="1"/>
    <col min="1321" max="1321" width="35" style="49" customWidth="1"/>
    <col min="1322" max="1322" width="31" style="49" customWidth="1"/>
    <col min="1323" max="1323" width="37.453125" style="49" customWidth="1"/>
    <col min="1324" max="1324" width="11.453125" style="49" customWidth="1"/>
    <col min="1325" max="1325" width="54" style="49" customWidth="1"/>
    <col min="1326" max="1326" width="43.453125" style="49" customWidth="1"/>
    <col min="1327" max="1327" width="44.453125" style="49" customWidth="1"/>
    <col min="1328" max="1537" width="6.453125" style="49"/>
    <col min="1538" max="1539" width="2.453125" style="49" customWidth="1"/>
    <col min="1540" max="1540" width="0" style="49" hidden="1" customWidth="1"/>
    <col min="1541" max="1543" width="12.453125" style="49" customWidth="1"/>
    <col min="1544" max="1544" width="12" style="49" customWidth="1"/>
    <col min="1545" max="1545" width="12.453125" style="49" customWidth="1"/>
    <col min="1546" max="1546" width="13.453125" style="49" customWidth="1"/>
    <col min="1547" max="1547" width="0" style="49" hidden="1" customWidth="1"/>
    <col min="1548" max="1550" width="13" style="49" customWidth="1"/>
    <col min="1551" max="1551" width="14.453125" style="49" customWidth="1"/>
    <col min="1552" max="1553" width="13.453125" style="49" customWidth="1"/>
    <col min="1554" max="1554" width="2.453125" style="49" customWidth="1"/>
    <col min="1555" max="1555" width="13.453125" style="49" customWidth="1"/>
    <col min="1556" max="1556" width="10.453125" style="49" customWidth="1"/>
    <col min="1557" max="1557" width="12" style="49" customWidth="1"/>
    <col min="1558" max="1558" width="11.453125" style="49" customWidth="1"/>
    <col min="1559" max="1559" width="16" style="49" customWidth="1"/>
    <col min="1560" max="1561" width="10.453125" style="49" customWidth="1"/>
    <col min="1562" max="1562" width="15.453125" style="49" customWidth="1"/>
    <col min="1563" max="1563" width="11.453125" style="49" customWidth="1"/>
    <col min="1564" max="1564" width="12" style="49" customWidth="1"/>
    <col min="1565" max="1565" width="11.453125" style="49" customWidth="1"/>
    <col min="1566" max="1566" width="12" style="49" customWidth="1"/>
    <col min="1567" max="1567" width="11.453125" style="49" customWidth="1"/>
    <col min="1568" max="1568" width="12.453125" style="49" customWidth="1"/>
    <col min="1569" max="1569" width="10.453125" style="49" customWidth="1"/>
    <col min="1570" max="1570" width="19" style="49" customWidth="1"/>
    <col min="1571" max="1571" width="13.453125" style="49" customWidth="1"/>
    <col min="1572" max="1572" width="18" style="49" customWidth="1"/>
    <col min="1573" max="1573" width="42.453125" style="49" customWidth="1"/>
    <col min="1574" max="1574" width="31" style="49" customWidth="1"/>
    <col min="1575" max="1575" width="35" style="49" customWidth="1"/>
    <col min="1576" max="1576" width="31" style="49" customWidth="1"/>
    <col min="1577" max="1577" width="35" style="49" customWidth="1"/>
    <col min="1578" max="1578" width="31" style="49" customWidth="1"/>
    <col min="1579" max="1579" width="37.453125" style="49" customWidth="1"/>
    <col min="1580" max="1580" width="11.453125" style="49" customWidth="1"/>
    <col min="1581" max="1581" width="54" style="49" customWidth="1"/>
    <col min="1582" max="1582" width="43.453125" style="49" customWidth="1"/>
    <col min="1583" max="1583" width="44.453125" style="49" customWidth="1"/>
    <col min="1584" max="1793" width="6.453125" style="49"/>
    <col min="1794" max="1795" width="2.453125" style="49" customWidth="1"/>
    <col min="1796" max="1796" width="0" style="49" hidden="1" customWidth="1"/>
    <col min="1797" max="1799" width="12.453125" style="49" customWidth="1"/>
    <col min="1800" max="1800" width="12" style="49" customWidth="1"/>
    <col min="1801" max="1801" width="12.453125" style="49" customWidth="1"/>
    <col min="1802" max="1802" width="13.453125" style="49" customWidth="1"/>
    <col min="1803" max="1803" width="0" style="49" hidden="1" customWidth="1"/>
    <col min="1804" max="1806" width="13" style="49" customWidth="1"/>
    <col min="1807" max="1807" width="14.453125" style="49" customWidth="1"/>
    <col min="1808" max="1809" width="13.453125" style="49" customWidth="1"/>
    <col min="1810" max="1810" width="2.453125" style="49" customWidth="1"/>
    <col min="1811" max="1811" width="13.453125" style="49" customWidth="1"/>
    <col min="1812" max="1812" width="10.453125" style="49" customWidth="1"/>
    <col min="1813" max="1813" width="12" style="49" customWidth="1"/>
    <col min="1814" max="1814" width="11.453125" style="49" customWidth="1"/>
    <col min="1815" max="1815" width="16" style="49" customWidth="1"/>
    <col min="1816" max="1817" width="10.453125" style="49" customWidth="1"/>
    <col min="1818" max="1818" width="15.453125" style="49" customWidth="1"/>
    <col min="1819" max="1819" width="11.453125" style="49" customWidth="1"/>
    <col min="1820" max="1820" width="12" style="49" customWidth="1"/>
    <col min="1821" max="1821" width="11.453125" style="49" customWidth="1"/>
    <col min="1822" max="1822" width="12" style="49" customWidth="1"/>
    <col min="1823" max="1823" width="11.453125" style="49" customWidth="1"/>
    <col min="1824" max="1824" width="12.453125" style="49" customWidth="1"/>
    <col min="1825" max="1825" width="10.453125" style="49" customWidth="1"/>
    <col min="1826" max="1826" width="19" style="49" customWidth="1"/>
    <col min="1827" max="1827" width="13.453125" style="49" customWidth="1"/>
    <col min="1828" max="1828" width="18" style="49" customWidth="1"/>
    <col min="1829" max="1829" width="42.453125" style="49" customWidth="1"/>
    <col min="1830" max="1830" width="31" style="49" customWidth="1"/>
    <col min="1831" max="1831" width="35" style="49" customWidth="1"/>
    <col min="1832" max="1832" width="31" style="49" customWidth="1"/>
    <col min="1833" max="1833" width="35" style="49" customWidth="1"/>
    <col min="1834" max="1834" width="31" style="49" customWidth="1"/>
    <col min="1835" max="1835" width="37.453125" style="49" customWidth="1"/>
    <col min="1836" max="1836" width="11.453125" style="49" customWidth="1"/>
    <col min="1837" max="1837" width="54" style="49" customWidth="1"/>
    <col min="1838" max="1838" width="43.453125" style="49" customWidth="1"/>
    <col min="1839" max="1839" width="44.453125" style="49" customWidth="1"/>
    <col min="1840" max="2049" width="6.453125" style="49"/>
    <col min="2050" max="2051" width="2.453125" style="49" customWidth="1"/>
    <col min="2052" max="2052" width="0" style="49" hidden="1" customWidth="1"/>
    <col min="2053" max="2055" width="12.453125" style="49" customWidth="1"/>
    <col min="2056" max="2056" width="12" style="49" customWidth="1"/>
    <col min="2057" max="2057" width="12.453125" style="49" customWidth="1"/>
    <col min="2058" max="2058" width="13.453125" style="49" customWidth="1"/>
    <col min="2059" max="2059" width="0" style="49" hidden="1" customWidth="1"/>
    <col min="2060" max="2062" width="13" style="49" customWidth="1"/>
    <col min="2063" max="2063" width="14.453125" style="49" customWidth="1"/>
    <col min="2064" max="2065" width="13.453125" style="49" customWidth="1"/>
    <col min="2066" max="2066" width="2.453125" style="49" customWidth="1"/>
    <col min="2067" max="2067" width="13.453125" style="49" customWidth="1"/>
    <col min="2068" max="2068" width="10.453125" style="49" customWidth="1"/>
    <col min="2069" max="2069" width="12" style="49" customWidth="1"/>
    <col min="2070" max="2070" width="11.453125" style="49" customWidth="1"/>
    <col min="2071" max="2071" width="16" style="49" customWidth="1"/>
    <col min="2072" max="2073" width="10.453125" style="49" customWidth="1"/>
    <col min="2074" max="2074" width="15.453125" style="49" customWidth="1"/>
    <col min="2075" max="2075" width="11.453125" style="49" customWidth="1"/>
    <col min="2076" max="2076" width="12" style="49" customWidth="1"/>
    <col min="2077" max="2077" width="11.453125" style="49" customWidth="1"/>
    <col min="2078" max="2078" width="12" style="49" customWidth="1"/>
    <col min="2079" max="2079" width="11.453125" style="49" customWidth="1"/>
    <col min="2080" max="2080" width="12.453125" style="49" customWidth="1"/>
    <col min="2081" max="2081" width="10.453125" style="49" customWidth="1"/>
    <col min="2082" max="2082" width="19" style="49" customWidth="1"/>
    <col min="2083" max="2083" width="13.453125" style="49" customWidth="1"/>
    <col min="2084" max="2084" width="18" style="49" customWidth="1"/>
    <col min="2085" max="2085" width="42.453125" style="49" customWidth="1"/>
    <col min="2086" max="2086" width="31" style="49" customWidth="1"/>
    <col min="2087" max="2087" width="35" style="49" customWidth="1"/>
    <col min="2088" max="2088" width="31" style="49" customWidth="1"/>
    <col min="2089" max="2089" width="35" style="49" customWidth="1"/>
    <col min="2090" max="2090" width="31" style="49" customWidth="1"/>
    <col min="2091" max="2091" width="37.453125" style="49" customWidth="1"/>
    <col min="2092" max="2092" width="11.453125" style="49" customWidth="1"/>
    <col min="2093" max="2093" width="54" style="49" customWidth="1"/>
    <col min="2094" max="2094" width="43.453125" style="49" customWidth="1"/>
    <col min="2095" max="2095" width="44.453125" style="49" customWidth="1"/>
    <col min="2096" max="2305" width="6.453125" style="49"/>
    <col min="2306" max="2307" width="2.453125" style="49" customWidth="1"/>
    <col min="2308" max="2308" width="0" style="49" hidden="1" customWidth="1"/>
    <col min="2309" max="2311" width="12.453125" style="49" customWidth="1"/>
    <col min="2312" max="2312" width="12" style="49" customWidth="1"/>
    <col min="2313" max="2313" width="12.453125" style="49" customWidth="1"/>
    <col min="2314" max="2314" width="13.453125" style="49" customWidth="1"/>
    <col min="2315" max="2315" width="0" style="49" hidden="1" customWidth="1"/>
    <col min="2316" max="2318" width="13" style="49" customWidth="1"/>
    <col min="2319" max="2319" width="14.453125" style="49" customWidth="1"/>
    <col min="2320" max="2321" width="13.453125" style="49" customWidth="1"/>
    <col min="2322" max="2322" width="2.453125" style="49" customWidth="1"/>
    <col min="2323" max="2323" width="13.453125" style="49" customWidth="1"/>
    <col min="2324" max="2324" width="10.453125" style="49" customWidth="1"/>
    <col min="2325" max="2325" width="12" style="49" customWidth="1"/>
    <col min="2326" max="2326" width="11.453125" style="49" customWidth="1"/>
    <col min="2327" max="2327" width="16" style="49" customWidth="1"/>
    <col min="2328" max="2329" width="10.453125" style="49" customWidth="1"/>
    <col min="2330" max="2330" width="15.453125" style="49" customWidth="1"/>
    <col min="2331" max="2331" width="11.453125" style="49" customWidth="1"/>
    <col min="2332" max="2332" width="12" style="49" customWidth="1"/>
    <col min="2333" max="2333" width="11.453125" style="49" customWidth="1"/>
    <col min="2334" max="2334" width="12" style="49" customWidth="1"/>
    <col min="2335" max="2335" width="11.453125" style="49" customWidth="1"/>
    <col min="2336" max="2336" width="12.453125" style="49" customWidth="1"/>
    <col min="2337" max="2337" width="10.453125" style="49" customWidth="1"/>
    <col min="2338" max="2338" width="19" style="49" customWidth="1"/>
    <col min="2339" max="2339" width="13.453125" style="49" customWidth="1"/>
    <col min="2340" max="2340" width="18" style="49" customWidth="1"/>
    <col min="2341" max="2341" width="42.453125" style="49" customWidth="1"/>
    <col min="2342" max="2342" width="31" style="49" customWidth="1"/>
    <col min="2343" max="2343" width="35" style="49" customWidth="1"/>
    <col min="2344" max="2344" width="31" style="49" customWidth="1"/>
    <col min="2345" max="2345" width="35" style="49" customWidth="1"/>
    <col min="2346" max="2346" width="31" style="49" customWidth="1"/>
    <col min="2347" max="2347" width="37.453125" style="49" customWidth="1"/>
    <col min="2348" max="2348" width="11.453125" style="49" customWidth="1"/>
    <col min="2349" max="2349" width="54" style="49" customWidth="1"/>
    <col min="2350" max="2350" width="43.453125" style="49" customWidth="1"/>
    <col min="2351" max="2351" width="44.453125" style="49" customWidth="1"/>
    <col min="2352" max="2561" width="6.453125" style="49"/>
    <col min="2562" max="2563" width="2.453125" style="49" customWidth="1"/>
    <col min="2564" max="2564" width="0" style="49" hidden="1" customWidth="1"/>
    <col min="2565" max="2567" width="12.453125" style="49" customWidth="1"/>
    <col min="2568" max="2568" width="12" style="49" customWidth="1"/>
    <col min="2569" max="2569" width="12.453125" style="49" customWidth="1"/>
    <col min="2570" max="2570" width="13.453125" style="49" customWidth="1"/>
    <col min="2571" max="2571" width="0" style="49" hidden="1" customWidth="1"/>
    <col min="2572" max="2574" width="13" style="49" customWidth="1"/>
    <col min="2575" max="2575" width="14.453125" style="49" customWidth="1"/>
    <col min="2576" max="2577" width="13.453125" style="49" customWidth="1"/>
    <col min="2578" max="2578" width="2.453125" style="49" customWidth="1"/>
    <col min="2579" max="2579" width="13.453125" style="49" customWidth="1"/>
    <col min="2580" max="2580" width="10.453125" style="49" customWidth="1"/>
    <col min="2581" max="2581" width="12" style="49" customWidth="1"/>
    <col min="2582" max="2582" width="11.453125" style="49" customWidth="1"/>
    <col min="2583" max="2583" width="16" style="49" customWidth="1"/>
    <col min="2584" max="2585" width="10.453125" style="49" customWidth="1"/>
    <col min="2586" max="2586" width="15.453125" style="49" customWidth="1"/>
    <col min="2587" max="2587" width="11.453125" style="49" customWidth="1"/>
    <col min="2588" max="2588" width="12" style="49" customWidth="1"/>
    <col min="2589" max="2589" width="11.453125" style="49" customWidth="1"/>
    <col min="2590" max="2590" width="12" style="49" customWidth="1"/>
    <col min="2591" max="2591" width="11.453125" style="49" customWidth="1"/>
    <col min="2592" max="2592" width="12.453125" style="49" customWidth="1"/>
    <col min="2593" max="2593" width="10.453125" style="49" customWidth="1"/>
    <col min="2594" max="2594" width="19" style="49" customWidth="1"/>
    <col min="2595" max="2595" width="13.453125" style="49" customWidth="1"/>
    <col min="2596" max="2596" width="18" style="49" customWidth="1"/>
    <col min="2597" max="2597" width="42.453125" style="49" customWidth="1"/>
    <col min="2598" max="2598" width="31" style="49" customWidth="1"/>
    <col min="2599" max="2599" width="35" style="49" customWidth="1"/>
    <col min="2600" max="2600" width="31" style="49" customWidth="1"/>
    <col min="2601" max="2601" width="35" style="49" customWidth="1"/>
    <col min="2602" max="2602" width="31" style="49" customWidth="1"/>
    <col min="2603" max="2603" width="37.453125" style="49" customWidth="1"/>
    <col min="2604" max="2604" width="11.453125" style="49" customWidth="1"/>
    <col min="2605" max="2605" width="54" style="49" customWidth="1"/>
    <col min="2606" max="2606" width="43.453125" style="49" customWidth="1"/>
    <col min="2607" max="2607" width="44.453125" style="49" customWidth="1"/>
    <col min="2608" max="2817" width="6.453125" style="49"/>
    <col min="2818" max="2819" width="2.453125" style="49" customWidth="1"/>
    <col min="2820" max="2820" width="0" style="49" hidden="1" customWidth="1"/>
    <col min="2821" max="2823" width="12.453125" style="49" customWidth="1"/>
    <col min="2824" max="2824" width="12" style="49" customWidth="1"/>
    <col min="2825" max="2825" width="12.453125" style="49" customWidth="1"/>
    <col min="2826" max="2826" width="13.453125" style="49" customWidth="1"/>
    <col min="2827" max="2827" width="0" style="49" hidden="1" customWidth="1"/>
    <col min="2828" max="2830" width="13" style="49" customWidth="1"/>
    <col min="2831" max="2831" width="14.453125" style="49" customWidth="1"/>
    <col min="2832" max="2833" width="13.453125" style="49" customWidth="1"/>
    <col min="2834" max="2834" width="2.453125" style="49" customWidth="1"/>
    <col min="2835" max="2835" width="13.453125" style="49" customWidth="1"/>
    <col min="2836" max="2836" width="10.453125" style="49" customWidth="1"/>
    <col min="2837" max="2837" width="12" style="49" customWidth="1"/>
    <col min="2838" max="2838" width="11.453125" style="49" customWidth="1"/>
    <col min="2839" max="2839" width="16" style="49" customWidth="1"/>
    <col min="2840" max="2841" width="10.453125" style="49" customWidth="1"/>
    <col min="2842" max="2842" width="15.453125" style="49" customWidth="1"/>
    <col min="2843" max="2843" width="11.453125" style="49" customWidth="1"/>
    <col min="2844" max="2844" width="12" style="49" customWidth="1"/>
    <col min="2845" max="2845" width="11.453125" style="49" customWidth="1"/>
    <col min="2846" max="2846" width="12" style="49" customWidth="1"/>
    <col min="2847" max="2847" width="11.453125" style="49" customWidth="1"/>
    <col min="2848" max="2848" width="12.453125" style="49" customWidth="1"/>
    <col min="2849" max="2849" width="10.453125" style="49" customWidth="1"/>
    <col min="2850" max="2850" width="19" style="49" customWidth="1"/>
    <col min="2851" max="2851" width="13.453125" style="49" customWidth="1"/>
    <col min="2852" max="2852" width="18" style="49" customWidth="1"/>
    <col min="2853" max="2853" width="42.453125" style="49" customWidth="1"/>
    <col min="2854" max="2854" width="31" style="49" customWidth="1"/>
    <col min="2855" max="2855" width="35" style="49" customWidth="1"/>
    <col min="2856" max="2856" width="31" style="49" customWidth="1"/>
    <col min="2857" max="2857" width="35" style="49" customWidth="1"/>
    <col min="2858" max="2858" width="31" style="49" customWidth="1"/>
    <col min="2859" max="2859" width="37.453125" style="49" customWidth="1"/>
    <col min="2860" max="2860" width="11.453125" style="49" customWidth="1"/>
    <col min="2861" max="2861" width="54" style="49" customWidth="1"/>
    <col min="2862" max="2862" width="43.453125" style="49" customWidth="1"/>
    <col min="2863" max="2863" width="44.453125" style="49" customWidth="1"/>
    <col min="2864" max="3073" width="6.453125" style="49"/>
    <col min="3074" max="3075" width="2.453125" style="49" customWidth="1"/>
    <col min="3076" max="3076" width="0" style="49" hidden="1" customWidth="1"/>
    <col min="3077" max="3079" width="12.453125" style="49" customWidth="1"/>
    <col min="3080" max="3080" width="12" style="49" customWidth="1"/>
    <col min="3081" max="3081" width="12.453125" style="49" customWidth="1"/>
    <col min="3082" max="3082" width="13.453125" style="49" customWidth="1"/>
    <col min="3083" max="3083" width="0" style="49" hidden="1" customWidth="1"/>
    <col min="3084" max="3086" width="13" style="49" customWidth="1"/>
    <col min="3087" max="3087" width="14.453125" style="49" customWidth="1"/>
    <col min="3088" max="3089" width="13.453125" style="49" customWidth="1"/>
    <col min="3090" max="3090" width="2.453125" style="49" customWidth="1"/>
    <col min="3091" max="3091" width="13.453125" style="49" customWidth="1"/>
    <col min="3092" max="3092" width="10.453125" style="49" customWidth="1"/>
    <col min="3093" max="3093" width="12" style="49" customWidth="1"/>
    <col min="3094" max="3094" width="11.453125" style="49" customWidth="1"/>
    <col min="3095" max="3095" width="16" style="49" customWidth="1"/>
    <col min="3096" max="3097" width="10.453125" style="49" customWidth="1"/>
    <col min="3098" max="3098" width="15.453125" style="49" customWidth="1"/>
    <col min="3099" max="3099" width="11.453125" style="49" customWidth="1"/>
    <col min="3100" max="3100" width="12" style="49" customWidth="1"/>
    <col min="3101" max="3101" width="11.453125" style="49" customWidth="1"/>
    <col min="3102" max="3102" width="12" style="49" customWidth="1"/>
    <col min="3103" max="3103" width="11.453125" style="49" customWidth="1"/>
    <col min="3104" max="3104" width="12.453125" style="49" customWidth="1"/>
    <col min="3105" max="3105" width="10.453125" style="49" customWidth="1"/>
    <col min="3106" max="3106" width="19" style="49" customWidth="1"/>
    <col min="3107" max="3107" width="13.453125" style="49" customWidth="1"/>
    <col min="3108" max="3108" width="18" style="49" customWidth="1"/>
    <col min="3109" max="3109" width="42.453125" style="49" customWidth="1"/>
    <col min="3110" max="3110" width="31" style="49" customWidth="1"/>
    <col min="3111" max="3111" width="35" style="49" customWidth="1"/>
    <col min="3112" max="3112" width="31" style="49" customWidth="1"/>
    <col min="3113" max="3113" width="35" style="49" customWidth="1"/>
    <col min="3114" max="3114" width="31" style="49" customWidth="1"/>
    <col min="3115" max="3115" width="37.453125" style="49" customWidth="1"/>
    <col min="3116" max="3116" width="11.453125" style="49" customWidth="1"/>
    <col min="3117" max="3117" width="54" style="49" customWidth="1"/>
    <col min="3118" max="3118" width="43.453125" style="49" customWidth="1"/>
    <col min="3119" max="3119" width="44.453125" style="49" customWidth="1"/>
    <col min="3120" max="3329" width="6.453125" style="49"/>
    <col min="3330" max="3331" width="2.453125" style="49" customWidth="1"/>
    <col min="3332" max="3332" width="0" style="49" hidden="1" customWidth="1"/>
    <col min="3333" max="3335" width="12.453125" style="49" customWidth="1"/>
    <col min="3336" max="3336" width="12" style="49" customWidth="1"/>
    <col min="3337" max="3337" width="12.453125" style="49" customWidth="1"/>
    <col min="3338" max="3338" width="13.453125" style="49" customWidth="1"/>
    <col min="3339" max="3339" width="0" style="49" hidden="1" customWidth="1"/>
    <col min="3340" max="3342" width="13" style="49" customWidth="1"/>
    <col min="3343" max="3343" width="14.453125" style="49" customWidth="1"/>
    <col min="3344" max="3345" width="13.453125" style="49" customWidth="1"/>
    <col min="3346" max="3346" width="2.453125" style="49" customWidth="1"/>
    <col min="3347" max="3347" width="13.453125" style="49" customWidth="1"/>
    <col min="3348" max="3348" width="10.453125" style="49" customWidth="1"/>
    <col min="3349" max="3349" width="12" style="49" customWidth="1"/>
    <col min="3350" max="3350" width="11.453125" style="49" customWidth="1"/>
    <col min="3351" max="3351" width="16" style="49" customWidth="1"/>
    <col min="3352" max="3353" width="10.453125" style="49" customWidth="1"/>
    <col min="3354" max="3354" width="15.453125" style="49" customWidth="1"/>
    <col min="3355" max="3355" width="11.453125" style="49" customWidth="1"/>
    <col min="3356" max="3356" width="12" style="49" customWidth="1"/>
    <col min="3357" max="3357" width="11.453125" style="49" customWidth="1"/>
    <col min="3358" max="3358" width="12" style="49" customWidth="1"/>
    <col min="3359" max="3359" width="11.453125" style="49" customWidth="1"/>
    <col min="3360" max="3360" width="12.453125" style="49" customWidth="1"/>
    <col min="3361" max="3361" width="10.453125" style="49" customWidth="1"/>
    <col min="3362" max="3362" width="19" style="49" customWidth="1"/>
    <col min="3363" max="3363" width="13.453125" style="49" customWidth="1"/>
    <col min="3364" max="3364" width="18" style="49" customWidth="1"/>
    <col min="3365" max="3365" width="42.453125" style="49" customWidth="1"/>
    <col min="3366" max="3366" width="31" style="49" customWidth="1"/>
    <col min="3367" max="3367" width="35" style="49" customWidth="1"/>
    <col min="3368" max="3368" width="31" style="49" customWidth="1"/>
    <col min="3369" max="3369" width="35" style="49" customWidth="1"/>
    <col min="3370" max="3370" width="31" style="49" customWidth="1"/>
    <col min="3371" max="3371" width="37.453125" style="49" customWidth="1"/>
    <col min="3372" max="3372" width="11.453125" style="49" customWidth="1"/>
    <col min="3373" max="3373" width="54" style="49" customWidth="1"/>
    <col min="3374" max="3374" width="43.453125" style="49" customWidth="1"/>
    <col min="3375" max="3375" width="44.453125" style="49" customWidth="1"/>
    <col min="3376" max="3585" width="6.453125" style="49"/>
    <col min="3586" max="3587" width="2.453125" style="49" customWidth="1"/>
    <col min="3588" max="3588" width="0" style="49" hidden="1" customWidth="1"/>
    <col min="3589" max="3591" width="12.453125" style="49" customWidth="1"/>
    <col min="3592" max="3592" width="12" style="49" customWidth="1"/>
    <col min="3593" max="3593" width="12.453125" style="49" customWidth="1"/>
    <col min="3594" max="3594" width="13.453125" style="49" customWidth="1"/>
    <col min="3595" max="3595" width="0" style="49" hidden="1" customWidth="1"/>
    <col min="3596" max="3598" width="13" style="49" customWidth="1"/>
    <col min="3599" max="3599" width="14.453125" style="49" customWidth="1"/>
    <col min="3600" max="3601" width="13.453125" style="49" customWidth="1"/>
    <col min="3602" max="3602" width="2.453125" style="49" customWidth="1"/>
    <col min="3603" max="3603" width="13.453125" style="49" customWidth="1"/>
    <col min="3604" max="3604" width="10.453125" style="49" customWidth="1"/>
    <col min="3605" max="3605" width="12" style="49" customWidth="1"/>
    <col min="3606" max="3606" width="11.453125" style="49" customWidth="1"/>
    <col min="3607" max="3607" width="16" style="49" customWidth="1"/>
    <col min="3608" max="3609" width="10.453125" style="49" customWidth="1"/>
    <col min="3610" max="3610" width="15.453125" style="49" customWidth="1"/>
    <col min="3611" max="3611" width="11.453125" style="49" customWidth="1"/>
    <col min="3612" max="3612" width="12" style="49" customWidth="1"/>
    <col min="3613" max="3613" width="11.453125" style="49" customWidth="1"/>
    <col min="3614" max="3614" width="12" style="49" customWidth="1"/>
    <col min="3615" max="3615" width="11.453125" style="49" customWidth="1"/>
    <col min="3616" max="3616" width="12.453125" style="49" customWidth="1"/>
    <col min="3617" max="3617" width="10.453125" style="49" customWidth="1"/>
    <col min="3618" max="3618" width="19" style="49" customWidth="1"/>
    <col min="3619" max="3619" width="13.453125" style="49" customWidth="1"/>
    <col min="3620" max="3620" width="18" style="49" customWidth="1"/>
    <col min="3621" max="3621" width="42.453125" style="49" customWidth="1"/>
    <col min="3622" max="3622" width="31" style="49" customWidth="1"/>
    <col min="3623" max="3623" width="35" style="49" customWidth="1"/>
    <col min="3624" max="3624" width="31" style="49" customWidth="1"/>
    <col min="3625" max="3625" width="35" style="49" customWidth="1"/>
    <col min="3626" max="3626" width="31" style="49" customWidth="1"/>
    <col min="3627" max="3627" width="37.453125" style="49" customWidth="1"/>
    <col min="3628" max="3628" width="11.453125" style="49" customWidth="1"/>
    <col min="3629" max="3629" width="54" style="49" customWidth="1"/>
    <col min="3630" max="3630" width="43.453125" style="49" customWidth="1"/>
    <col min="3631" max="3631" width="44.453125" style="49" customWidth="1"/>
    <col min="3632" max="3841" width="6.453125" style="49"/>
    <col min="3842" max="3843" width="2.453125" style="49" customWidth="1"/>
    <col min="3844" max="3844" width="0" style="49" hidden="1" customWidth="1"/>
    <col min="3845" max="3847" width="12.453125" style="49" customWidth="1"/>
    <col min="3848" max="3848" width="12" style="49" customWidth="1"/>
    <col min="3849" max="3849" width="12.453125" style="49" customWidth="1"/>
    <col min="3850" max="3850" width="13.453125" style="49" customWidth="1"/>
    <col min="3851" max="3851" width="0" style="49" hidden="1" customWidth="1"/>
    <col min="3852" max="3854" width="13" style="49" customWidth="1"/>
    <col min="3855" max="3855" width="14.453125" style="49" customWidth="1"/>
    <col min="3856" max="3857" width="13.453125" style="49" customWidth="1"/>
    <col min="3858" max="3858" width="2.453125" style="49" customWidth="1"/>
    <col min="3859" max="3859" width="13.453125" style="49" customWidth="1"/>
    <col min="3860" max="3860" width="10.453125" style="49" customWidth="1"/>
    <col min="3861" max="3861" width="12" style="49" customWidth="1"/>
    <col min="3862" max="3862" width="11.453125" style="49" customWidth="1"/>
    <col min="3863" max="3863" width="16" style="49" customWidth="1"/>
    <col min="3864" max="3865" width="10.453125" style="49" customWidth="1"/>
    <col min="3866" max="3866" width="15.453125" style="49" customWidth="1"/>
    <col min="3867" max="3867" width="11.453125" style="49" customWidth="1"/>
    <col min="3868" max="3868" width="12" style="49" customWidth="1"/>
    <col min="3869" max="3869" width="11.453125" style="49" customWidth="1"/>
    <col min="3870" max="3870" width="12" style="49" customWidth="1"/>
    <col min="3871" max="3871" width="11.453125" style="49" customWidth="1"/>
    <col min="3872" max="3872" width="12.453125" style="49" customWidth="1"/>
    <col min="3873" max="3873" width="10.453125" style="49" customWidth="1"/>
    <col min="3874" max="3874" width="19" style="49" customWidth="1"/>
    <col min="3875" max="3875" width="13.453125" style="49" customWidth="1"/>
    <col min="3876" max="3876" width="18" style="49" customWidth="1"/>
    <col min="3877" max="3877" width="42.453125" style="49" customWidth="1"/>
    <col min="3878" max="3878" width="31" style="49" customWidth="1"/>
    <col min="3879" max="3879" width="35" style="49" customWidth="1"/>
    <col min="3880" max="3880" width="31" style="49" customWidth="1"/>
    <col min="3881" max="3881" width="35" style="49" customWidth="1"/>
    <col min="3882" max="3882" width="31" style="49" customWidth="1"/>
    <col min="3883" max="3883" width="37.453125" style="49" customWidth="1"/>
    <col min="3884" max="3884" width="11.453125" style="49" customWidth="1"/>
    <col min="3885" max="3885" width="54" style="49" customWidth="1"/>
    <col min="3886" max="3886" width="43.453125" style="49" customWidth="1"/>
    <col min="3887" max="3887" width="44.453125" style="49" customWidth="1"/>
    <col min="3888" max="4097" width="6.453125" style="49"/>
    <col min="4098" max="4099" width="2.453125" style="49" customWidth="1"/>
    <col min="4100" max="4100" width="0" style="49" hidden="1" customWidth="1"/>
    <col min="4101" max="4103" width="12.453125" style="49" customWidth="1"/>
    <col min="4104" max="4104" width="12" style="49" customWidth="1"/>
    <col min="4105" max="4105" width="12.453125" style="49" customWidth="1"/>
    <col min="4106" max="4106" width="13.453125" style="49" customWidth="1"/>
    <col min="4107" max="4107" width="0" style="49" hidden="1" customWidth="1"/>
    <col min="4108" max="4110" width="13" style="49" customWidth="1"/>
    <col min="4111" max="4111" width="14.453125" style="49" customWidth="1"/>
    <col min="4112" max="4113" width="13.453125" style="49" customWidth="1"/>
    <col min="4114" max="4114" width="2.453125" style="49" customWidth="1"/>
    <col min="4115" max="4115" width="13.453125" style="49" customWidth="1"/>
    <col min="4116" max="4116" width="10.453125" style="49" customWidth="1"/>
    <col min="4117" max="4117" width="12" style="49" customWidth="1"/>
    <col min="4118" max="4118" width="11.453125" style="49" customWidth="1"/>
    <col min="4119" max="4119" width="16" style="49" customWidth="1"/>
    <col min="4120" max="4121" width="10.453125" style="49" customWidth="1"/>
    <col min="4122" max="4122" width="15.453125" style="49" customWidth="1"/>
    <col min="4123" max="4123" width="11.453125" style="49" customWidth="1"/>
    <col min="4124" max="4124" width="12" style="49" customWidth="1"/>
    <col min="4125" max="4125" width="11.453125" style="49" customWidth="1"/>
    <col min="4126" max="4126" width="12" style="49" customWidth="1"/>
    <col min="4127" max="4127" width="11.453125" style="49" customWidth="1"/>
    <col min="4128" max="4128" width="12.453125" style="49" customWidth="1"/>
    <col min="4129" max="4129" width="10.453125" style="49" customWidth="1"/>
    <col min="4130" max="4130" width="19" style="49" customWidth="1"/>
    <col min="4131" max="4131" width="13.453125" style="49" customWidth="1"/>
    <col min="4132" max="4132" width="18" style="49" customWidth="1"/>
    <col min="4133" max="4133" width="42.453125" style="49" customWidth="1"/>
    <col min="4134" max="4134" width="31" style="49" customWidth="1"/>
    <col min="4135" max="4135" width="35" style="49" customWidth="1"/>
    <col min="4136" max="4136" width="31" style="49" customWidth="1"/>
    <col min="4137" max="4137" width="35" style="49" customWidth="1"/>
    <col min="4138" max="4138" width="31" style="49" customWidth="1"/>
    <col min="4139" max="4139" width="37.453125" style="49" customWidth="1"/>
    <col min="4140" max="4140" width="11.453125" style="49" customWidth="1"/>
    <col min="4141" max="4141" width="54" style="49" customWidth="1"/>
    <col min="4142" max="4142" width="43.453125" style="49" customWidth="1"/>
    <col min="4143" max="4143" width="44.453125" style="49" customWidth="1"/>
    <col min="4144" max="4353" width="6.453125" style="49"/>
    <col min="4354" max="4355" width="2.453125" style="49" customWidth="1"/>
    <col min="4356" max="4356" width="0" style="49" hidden="1" customWidth="1"/>
    <col min="4357" max="4359" width="12.453125" style="49" customWidth="1"/>
    <col min="4360" max="4360" width="12" style="49" customWidth="1"/>
    <col min="4361" max="4361" width="12.453125" style="49" customWidth="1"/>
    <col min="4362" max="4362" width="13.453125" style="49" customWidth="1"/>
    <col min="4363" max="4363" width="0" style="49" hidden="1" customWidth="1"/>
    <col min="4364" max="4366" width="13" style="49" customWidth="1"/>
    <col min="4367" max="4367" width="14.453125" style="49" customWidth="1"/>
    <col min="4368" max="4369" width="13.453125" style="49" customWidth="1"/>
    <col min="4370" max="4370" width="2.453125" style="49" customWidth="1"/>
    <col min="4371" max="4371" width="13.453125" style="49" customWidth="1"/>
    <col min="4372" max="4372" width="10.453125" style="49" customWidth="1"/>
    <col min="4373" max="4373" width="12" style="49" customWidth="1"/>
    <col min="4374" max="4374" width="11.453125" style="49" customWidth="1"/>
    <col min="4375" max="4375" width="16" style="49" customWidth="1"/>
    <col min="4376" max="4377" width="10.453125" style="49" customWidth="1"/>
    <col min="4378" max="4378" width="15.453125" style="49" customWidth="1"/>
    <col min="4379" max="4379" width="11.453125" style="49" customWidth="1"/>
    <col min="4380" max="4380" width="12" style="49" customWidth="1"/>
    <col min="4381" max="4381" width="11.453125" style="49" customWidth="1"/>
    <col min="4382" max="4382" width="12" style="49" customWidth="1"/>
    <col min="4383" max="4383" width="11.453125" style="49" customWidth="1"/>
    <col min="4384" max="4384" width="12.453125" style="49" customWidth="1"/>
    <col min="4385" max="4385" width="10.453125" style="49" customWidth="1"/>
    <col min="4386" max="4386" width="19" style="49" customWidth="1"/>
    <col min="4387" max="4387" width="13.453125" style="49" customWidth="1"/>
    <col min="4388" max="4388" width="18" style="49" customWidth="1"/>
    <col min="4389" max="4389" width="42.453125" style="49" customWidth="1"/>
    <col min="4390" max="4390" width="31" style="49" customWidth="1"/>
    <col min="4391" max="4391" width="35" style="49" customWidth="1"/>
    <col min="4392" max="4392" width="31" style="49" customWidth="1"/>
    <col min="4393" max="4393" width="35" style="49" customWidth="1"/>
    <col min="4394" max="4394" width="31" style="49" customWidth="1"/>
    <col min="4395" max="4395" width="37.453125" style="49" customWidth="1"/>
    <col min="4396" max="4396" width="11.453125" style="49" customWidth="1"/>
    <col min="4397" max="4397" width="54" style="49" customWidth="1"/>
    <col min="4398" max="4398" width="43.453125" style="49" customWidth="1"/>
    <col min="4399" max="4399" width="44.453125" style="49" customWidth="1"/>
    <col min="4400" max="4609" width="6.453125" style="49"/>
    <col min="4610" max="4611" width="2.453125" style="49" customWidth="1"/>
    <col min="4612" max="4612" width="0" style="49" hidden="1" customWidth="1"/>
    <col min="4613" max="4615" width="12.453125" style="49" customWidth="1"/>
    <col min="4616" max="4616" width="12" style="49" customWidth="1"/>
    <col min="4617" max="4617" width="12.453125" style="49" customWidth="1"/>
    <col min="4618" max="4618" width="13.453125" style="49" customWidth="1"/>
    <col min="4619" max="4619" width="0" style="49" hidden="1" customWidth="1"/>
    <col min="4620" max="4622" width="13" style="49" customWidth="1"/>
    <col min="4623" max="4623" width="14.453125" style="49" customWidth="1"/>
    <col min="4624" max="4625" width="13.453125" style="49" customWidth="1"/>
    <col min="4626" max="4626" width="2.453125" style="49" customWidth="1"/>
    <col min="4627" max="4627" width="13.453125" style="49" customWidth="1"/>
    <col min="4628" max="4628" width="10.453125" style="49" customWidth="1"/>
    <col min="4629" max="4629" width="12" style="49" customWidth="1"/>
    <col min="4630" max="4630" width="11.453125" style="49" customWidth="1"/>
    <col min="4631" max="4631" width="16" style="49" customWidth="1"/>
    <col min="4632" max="4633" width="10.453125" style="49" customWidth="1"/>
    <col min="4634" max="4634" width="15.453125" style="49" customWidth="1"/>
    <col min="4635" max="4635" width="11.453125" style="49" customWidth="1"/>
    <col min="4636" max="4636" width="12" style="49" customWidth="1"/>
    <col min="4637" max="4637" width="11.453125" style="49" customWidth="1"/>
    <col min="4638" max="4638" width="12" style="49" customWidth="1"/>
    <col min="4639" max="4639" width="11.453125" style="49" customWidth="1"/>
    <col min="4640" max="4640" width="12.453125" style="49" customWidth="1"/>
    <col min="4641" max="4641" width="10.453125" style="49" customWidth="1"/>
    <col min="4642" max="4642" width="19" style="49" customWidth="1"/>
    <col min="4643" max="4643" width="13.453125" style="49" customWidth="1"/>
    <col min="4644" max="4644" width="18" style="49" customWidth="1"/>
    <col min="4645" max="4645" width="42.453125" style="49" customWidth="1"/>
    <col min="4646" max="4646" width="31" style="49" customWidth="1"/>
    <col min="4647" max="4647" width="35" style="49" customWidth="1"/>
    <col min="4648" max="4648" width="31" style="49" customWidth="1"/>
    <col min="4649" max="4649" width="35" style="49" customWidth="1"/>
    <col min="4650" max="4650" width="31" style="49" customWidth="1"/>
    <col min="4651" max="4651" width="37.453125" style="49" customWidth="1"/>
    <col min="4652" max="4652" width="11.453125" style="49" customWidth="1"/>
    <col min="4653" max="4653" width="54" style="49" customWidth="1"/>
    <col min="4654" max="4654" width="43.453125" style="49" customWidth="1"/>
    <col min="4655" max="4655" width="44.453125" style="49" customWidth="1"/>
    <col min="4656" max="4865" width="6.453125" style="49"/>
    <col min="4866" max="4867" width="2.453125" style="49" customWidth="1"/>
    <col min="4868" max="4868" width="0" style="49" hidden="1" customWidth="1"/>
    <col min="4869" max="4871" width="12.453125" style="49" customWidth="1"/>
    <col min="4872" max="4872" width="12" style="49" customWidth="1"/>
    <col min="4873" max="4873" width="12.453125" style="49" customWidth="1"/>
    <col min="4874" max="4874" width="13.453125" style="49" customWidth="1"/>
    <col min="4875" max="4875" width="0" style="49" hidden="1" customWidth="1"/>
    <col min="4876" max="4878" width="13" style="49" customWidth="1"/>
    <col min="4879" max="4879" width="14.453125" style="49" customWidth="1"/>
    <col min="4880" max="4881" width="13.453125" style="49" customWidth="1"/>
    <col min="4882" max="4882" width="2.453125" style="49" customWidth="1"/>
    <col min="4883" max="4883" width="13.453125" style="49" customWidth="1"/>
    <col min="4884" max="4884" width="10.453125" style="49" customWidth="1"/>
    <col min="4885" max="4885" width="12" style="49" customWidth="1"/>
    <col min="4886" max="4886" width="11.453125" style="49" customWidth="1"/>
    <col min="4887" max="4887" width="16" style="49" customWidth="1"/>
    <col min="4888" max="4889" width="10.453125" style="49" customWidth="1"/>
    <col min="4890" max="4890" width="15.453125" style="49" customWidth="1"/>
    <col min="4891" max="4891" width="11.453125" style="49" customWidth="1"/>
    <col min="4892" max="4892" width="12" style="49" customWidth="1"/>
    <col min="4893" max="4893" width="11.453125" style="49" customWidth="1"/>
    <col min="4894" max="4894" width="12" style="49" customWidth="1"/>
    <col min="4895" max="4895" width="11.453125" style="49" customWidth="1"/>
    <col min="4896" max="4896" width="12.453125" style="49" customWidth="1"/>
    <col min="4897" max="4897" width="10.453125" style="49" customWidth="1"/>
    <col min="4898" max="4898" width="19" style="49" customWidth="1"/>
    <col min="4899" max="4899" width="13.453125" style="49" customWidth="1"/>
    <col min="4900" max="4900" width="18" style="49" customWidth="1"/>
    <col min="4901" max="4901" width="42.453125" style="49" customWidth="1"/>
    <col min="4902" max="4902" width="31" style="49" customWidth="1"/>
    <col min="4903" max="4903" width="35" style="49" customWidth="1"/>
    <col min="4904" max="4904" width="31" style="49" customWidth="1"/>
    <col min="4905" max="4905" width="35" style="49" customWidth="1"/>
    <col min="4906" max="4906" width="31" style="49" customWidth="1"/>
    <col min="4907" max="4907" width="37.453125" style="49" customWidth="1"/>
    <col min="4908" max="4908" width="11.453125" style="49" customWidth="1"/>
    <col min="4909" max="4909" width="54" style="49" customWidth="1"/>
    <col min="4910" max="4910" width="43.453125" style="49" customWidth="1"/>
    <col min="4911" max="4911" width="44.453125" style="49" customWidth="1"/>
    <col min="4912" max="5121" width="6.453125" style="49"/>
    <col min="5122" max="5123" width="2.453125" style="49" customWidth="1"/>
    <col min="5124" max="5124" width="0" style="49" hidden="1" customWidth="1"/>
    <col min="5125" max="5127" width="12.453125" style="49" customWidth="1"/>
    <col min="5128" max="5128" width="12" style="49" customWidth="1"/>
    <col min="5129" max="5129" width="12.453125" style="49" customWidth="1"/>
    <col min="5130" max="5130" width="13.453125" style="49" customWidth="1"/>
    <col min="5131" max="5131" width="0" style="49" hidden="1" customWidth="1"/>
    <col min="5132" max="5134" width="13" style="49" customWidth="1"/>
    <col min="5135" max="5135" width="14.453125" style="49" customWidth="1"/>
    <col min="5136" max="5137" width="13.453125" style="49" customWidth="1"/>
    <col min="5138" max="5138" width="2.453125" style="49" customWidth="1"/>
    <col min="5139" max="5139" width="13.453125" style="49" customWidth="1"/>
    <col min="5140" max="5140" width="10.453125" style="49" customWidth="1"/>
    <col min="5141" max="5141" width="12" style="49" customWidth="1"/>
    <col min="5142" max="5142" width="11.453125" style="49" customWidth="1"/>
    <col min="5143" max="5143" width="16" style="49" customWidth="1"/>
    <col min="5144" max="5145" width="10.453125" style="49" customWidth="1"/>
    <col min="5146" max="5146" width="15.453125" style="49" customWidth="1"/>
    <col min="5147" max="5147" width="11.453125" style="49" customWidth="1"/>
    <col min="5148" max="5148" width="12" style="49" customWidth="1"/>
    <col min="5149" max="5149" width="11.453125" style="49" customWidth="1"/>
    <col min="5150" max="5150" width="12" style="49" customWidth="1"/>
    <col min="5151" max="5151" width="11.453125" style="49" customWidth="1"/>
    <col min="5152" max="5152" width="12.453125" style="49" customWidth="1"/>
    <col min="5153" max="5153" width="10.453125" style="49" customWidth="1"/>
    <col min="5154" max="5154" width="19" style="49" customWidth="1"/>
    <col min="5155" max="5155" width="13.453125" style="49" customWidth="1"/>
    <col min="5156" max="5156" width="18" style="49" customWidth="1"/>
    <col min="5157" max="5157" width="42.453125" style="49" customWidth="1"/>
    <col min="5158" max="5158" width="31" style="49" customWidth="1"/>
    <col min="5159" max="5159" width="35" style="49" customWidth="1"/>
    <col min="5160" max="5160" width="31" style="49" customWidth="1"/>
    <col min="5161" max="5161" width="35" style="49" customWidth="1"/>
    <col min="5162" max="5162" width="31" style="49" customWidth="1"/>
    <col min="5163" max="5163" width="37.453125" style="49" customWidth="1"/>
    <col min="5164" max="5164" width="11.453125" style="49" customWidth="1"/>
    <col min="5165" max="5165" width="54" style="49" customWidth="1"/>
    <col min="5166" max="5166" width="43.453125" style="49" customWidth="1"/>
    <col min="5167" max="5167" width="44.453125" style="49" customWidth="1"/>
    <col min="5168" max="5377" width="6.453125" style="49"/>
    <col min="5378" max="5379" width="2.453125" style="49" customWidth="1"/>
    <col min="5380" max="5380" width="0" style="49" hidden="1" customWidth="1"/>
    <col min="5381" max="5383" width="12.453125" style="49" customWidth="1"/>
    <col min="5384" max="5384" width="12" style="49" customWidth="1"/>
    <col min="5385" max="5385" width="12.453125" style="49" customWidth="1"/>
    <col min="5386" max="5386" width="13.453125" style="49" customWidth="1"/>
    <col min="5387" max="5387" width="0" style="49" hidden="1" customWidth="1"/>
    <col min="5388" max="5390" width="13" style="49" customWidth="1"/>
    <col min="5391" max="5391" width="14.453125" style="49" customWidth="1"/>
    <col min="5392" max="5393" width="13.453125" style="49" customWidth="1"/>
    <col min="5394" max="5394" width="2.453125" style="49" customWidth="1"/>
    <col min="5395" max="5395" width="13.453125" style="49" customWidth="1"/>
    <col min="5396" max="5396" width="10.453125" style="49" customWidth="1"/>
    <col min="5397" max="5397" width="12" style="49" customWidth="1"/>
    <col min="5398" max="5398" width="11.453125" style="49" customWidth="1"/>
    <col min="5399" max="5399" width="16" style="49" customWidth="1"/>
    <col min="5400" max="5401" width="10.453125" style="49" customWidth="1"/>
    <col min="5402" max="5402" width="15.453125" style="49" customWidth="1"/>
    <col min="5403" max="5403" width="11.453125" style="49" customWidth="1"/>
    <col min="5404" max="5404" width="12" style="49" customWidth="1"/>
    <col min="5405" max="5405" width="11.453125" style="49" customWidth="1"/>
    <col min="5406" max="5406" width="12" style="49" customWidth="1"/>
    <col min="5407" max="5407" width="11.453125" style="49" customWidth="1"/>
    <col min="5408" max="5408" width="12.453125" style="49" customWidth="1"/>
    <col min="5409" max="5409" width="10.453125" style="49" customWidth="1"/>
    <col min="5410" max="5410" width="19" style="49" customWidth="1"/>
    <col min="5411" max="5411" width="13.453125" style="49" customWidth="1"/>
    <col min="5412" max="5412" width="18" style="49" customWidth="1"/>
    <col min="5413" max="5413" width="42.453125" style="49" customWidth="1"/>
    <col min="5414" max="5414" width="31" style="49" customWidth="1"/>
    <col min="5415" max="5415" width="35" style="49" customWidth="1"/>
    <col min="5416" max="5416" width="31" style="49" customWidth="1"/>
    <col min="5417" max="5417" width="35" style="49" customWidth="1"/>
    <col min="5418" max="5418" width="31" style="49" customWidth="1"/>
    <col min="5419" max="5419" width="37.453125" style="49" customWidth="1"/>
    <col min="5420" max="5420" width="11.453125" style="49" customWidth="1"/>
    <col min="5421" max="5421" width="54" style="49" customWidth="1"/>
    <col min="5422" max="5422" width="43.453125" style="49" customWidth="1"/>
    <col min="5423" max="5423" width="44.453125" style="49" customWidth="1"/>
    <col min="5424" max="5633" width="6.453125" style="49"/>
    <col min="5634" max="5635" width="2.453125" style="49" customWidth="1"/>
    <col min="5636" max="5636" width="0" style="49" hidden="1" customWidth="1"/>
    <col min="5637" max="5639" width="12.453125" style="49" customWidth="1"/>
    <col min="5640" max="5640" width="12" style="49" customWidth="1"/>
    <col min="5641" max="5641" width="12.453125" style="49" customWidth="1"/>
    <col min="5642" max="5642" width="13.453125" style="49" customWidth="1"/>
    <col min="5643" max="5643" width="0" style="49" hidden="1" customWidth="1"/>
    <col min="5644" max="5646" width="13" style="49" customWidth="1"/>
    <col min="5647" max="5647" width="14.453125" style="49" customWidth="1"/>
    <col min="5648" max="5649" width="13.453125" style="49" customWidth="1"/>
    <col min="5650" max="5650" width="2.453125" style="49" customWidth="1"/>
    <col min="5651" max="5651" width="13.453125" style="49" customWidth="1"/>
    <col min="5652" max="5652" width="10.453125" style="49" customWidth="1"/>
    <col min="5653" max="5653" width="12" style="49" customWidth="1"/>
    <col min="5654" max="5654" width="11.453125" style="49" customWidth="1"/>
    <col min="5655" max="5655" width="16" style="49" customWidth="1"/>
    <col min="5656" max="5657" width="10.453125" style="49" customWidth="1"/>
    <col min="5658" max="5658" width="15.453125" style="49" customWidth="1"/>
    <col min="5659" max="5659" width="11.453125" style="49" customWidth="1"/>
    <col min="5660" max="5660" width="12" style="49" customWidth="1"/>
    <col min="5661" max="5661" width="11.453125" style="49" customWidth="1"/>
    <col min="5662" max="5662" width="12" style="49" customWidth="1"/>
    <col min="5663" max="5663" width="11.453125" style="49" customWidth="1"/>
    <col min="5664" max="5664" width="12.453125" style="49" customWidth="1"/>
    <col min="5665" max="5665" width="10.453125" style="49" customWidth="1"/>
    <col min="5666" max="5666" width="19" style="49" customWidth="1"/>
    <col min="5667" max="5667" width="13.453125" style="49" customWidth="1"/>
    <col min="5668" max="5668" width="18" style="49" customWidth="1"/>
    <col min="5669" max="5669" width="42.453125" style="49" customWidth="1"/>
    <col min="5670" max="5670" width="31" style="49" customWidth="1"/>
    <col min="5671" max="5671" width="35" style="49" customWidth="1"/>
    <col min="5672" max="5672" width="31" style="49" customWidth="1"/>
    <col min="5673" max="5673" width="35" style="49" customWidth="1"/>
    <col min="5674" max="5674" width="31" style="49" customWidth="1"/>
    <col min="5675" max="5675" width="37.453125" style="49" customWidth="1"/>
    <col min="5676" max="5676" width="11.453125" style="49" customWidth="1"/>
    <col min="5677" max="5677" width="54" style="49" customWidth="1"/>
    <col min="5678" max="5678" width="43.453125" style="49" customWidth="1"/>
    <col min="5679" max="5679" width="44.453125" style="49" customWidth="1"/>
    <col min="5680" max="5889" width="6.453125" style="49"/>
    <col min="5890" max="5891" width="2.453125" style="49" customWidth="1"/>
    <col min="5892" max="5892" width="0" style="49" hidden="1" customWidth="1"/>
    <col min="5893" max="5895" width="12.453125" style="49" customWidth="1"/>
    <col min="5896" max="5896" width="12" style="49" customWidth="1"/>
    <col min="5897" max="5897" width="12.453125" style="49" customWidth="1"/>
    <col min="5898" max="5898" width="13.453125" style="49" customWidth="1"/>
    <col min="5899" max="5899" width="0" style="49" hidden="1" customWidth="1"/>
    <col min="5900" max="5902" width="13" style="49" customWidth="1"/>
    <col min="5903" max="5903" width="14.453125" style="49" customWidth="1"/>
    <col min="5904" max="5905" width="13.453125" style="49" customWidth="1"/>
    <col min="5906" max="5906" width="2.453125" style="49" customWidth="1"/>
    <col min="5907" max="5907" width="13.453125" style="49" customWidth="1"/>
    <col min="5908" max="5908" width="10.453125" style="49" customWidth="1"/>
    <col min="5909" max="5909" width="12" style="49" customWidth="1"/>
    <col min="5910" max="5910" width="11.453125" style="49" customWidth="1"/>
    <col min="5911" max="5911" width="16" style="49" customWidth="1"/>
    <col min="5912" max="5913" width="10.453125" style="49" customWidth="1"/>
    <col min="5914" max="5914" width="15.453125" style="49" customWidth="1"/>
    <col min="5915" max="5915" width="11.453125" style="49" customWidth="1"/>
    <col min="5916" max="5916" width="12" style="49" customWidth="1"/>
    <col min="5917" max="5917" width="11.453125" style="49" customWidth="1"/>
    <col min="5918" max="5918" width="12" style="49" customWidth="1"/>
    <col min="5919" max="5919" width="11.453125" style="49" customWidth="1"/>
    <col min="5920" max="5920" width="12.453125" style="49" customWidth="1"/>
    <col min="5921" max="5921" width="10.453125" style="49" customWidth="1"/>
    <col min="5922" max="5922" width="19" style="49" customWidth="1"/>
    <col min="5923" max="5923" width="13.453125" style="49" customWidth="1"/>
    <col min="5924" max="5924" width="18" style="49" customWidth="1"/>
    <col min="5925" max="5925" width="42.453125" style="49" customWidth="1"/>
    <col min="5926" max="5926" width="31" style="49" customWidth="1"/>
    <col min="5927" max="5927" width="35" style="49" customWidth="1"/>
    <col min="5928" max="5928" width="31" style="49" customWidth="1"/>
    <col min="5929" max="5929" width="35" style="49" customWidth="1"/>
    <col min="5930" max="5930" width="31" style="49" customWidth="1"/>
    <col min="5931" max="5931" width="37.453125" style="49" customWidth="1"/>
    <col min="5932" max="5932" width="11.453125" style="49" customWidth="1"/>
    <col min="5933" max="5933" width="54" style="49" customWidth="1"/>
    <col min="5934" max="5934" width="43.453125" style="49" customWidth="1"/>
    <col min="5935" max="5935" width="44.453125" style="49" customWidth="1"/>
    <col min="5936" max="6145" width="6.453125" style="49"/>
    <col min="6146" max="6147" width="2.453125" style="49" customWidth="1"/>
    <col min="6148" max="6148" width="0" style="49" hidden="1" customWidth="1"/>
    <col min="6149" max="6151" width="12.453125" style="49" customWidth="1"/>
    <col min="6152" max="6152" width="12" style="49" customWidth="1"/>
    <col min="6153" max="6153" width="12.453125" style="49" customWidth="1"/>
    <col min="6154" max="6154" width="13.453125" style="49" customWidth="1"/>
    <col min="6155" max="6155" width="0" style="49" hidden="1" customWidth="1"/>
    <col min="6156" max="6158" width="13" style="49" customWidth="1"/>
    <col min="6159" max="6159" width="14.453125" style="49" customWidth="1"/>
    <col min="6160" max="6161" width="13.453125" style="49" customWidth="1"/>
    <col min="6162" max="6162" width="2.453125" style="49" customWidth="1"/>
    <col min="6163" max="6163" width="13.453125" style="49" customWidth="1"/>
    <col min="6164" max="6164" width="10.453125" style="49" customWidth="1"/>
    <col min="6165" max="6165" width="12" style="49" customWidth="1"/>
    <col min="6166" max="6166" width="11.453125" style="49" customWidth="1"/>
    <col min="6167" max="6167" width="16" style="49" customWidth="1"/>
    <col min="6168" max="6169" width="10.453125" style="49" customWidth="1"/>
    <col min="6170" max="6170" width="15.453125" style="49" customWidth="1"/>
    <col min="6171" max="6171" width="11.453125" style="49" customWidth="1"/>
    <col min="6172" max="6172" width="12" style="49" customWidth="1"/>
    <col min="6173" max="6173" width="11.453125" style="49" customWidth="1"/>
    <col min="6174" max="6174" width="12" style="49" customWidth="1"/>
    <col min="6175" max="6175" width="11.453125" style="49" customWidth="1"/>
    <col min="6176" max="6176" width="12.453125" style="49" customWidth="1"/>
    <col min="6177" max="6177" width="10.453125" style="49" customWidth="1"/>
    <col min="6178" max="6178" width="19" style="49" customWidth="1"/>
    <col min="6179" max="6179" width="13.453125" style="49" customWidth="1"/>
    <col min="6180" max="6180" width="18" style="49" customWidth="1"/>
    <col min="6181" max="6181" width="42.453125" style="49" customWidth="1"/>
    <col min="6182" max="6182" width="31" style="49" customWidth="1"/>
    <col min="6183" max="6183" width="35" style="49" customWidth="1"/>
    <col min="6184" max="6184" width="31" style="49" customWidth="1"/>
    <col min="6185" max="6185" width="35" style="49" customWidth="1"/>
    <col min="6186" max="6186" width="31" style="49" customWidth="1"/>
    <col min="6187" max="6187" width="37.453125" style="49" customWidth="1"/>
    <col min="6188" max="6188" width="11.453125" style="49" customWidth="1"/>
    <col min="6189" max="6189" width="54" style="49" customWidth="1"/>
    <col min="6190" max="6190" width="43.453125" style="49" customWidth="1"/>
    <col min="6191" max="6191" width="44.453125" style="49" customWidth="1"/>
    <col min="6192" max="6401" width="6.453125" style="49"/>
    <col min="6402" max="6403" width="2.453125" style="49" customWidth="1"/>
    <col min="6404" max="6404" width="0" style="49" hidden="1" customWidth="1"/>
    <col min="6405" max="6407" width="12.453125" style="49" customWidth="1"/>
    <col min="6408" max="6408" width="12" style="49" customWidth="1"/>
    <col min="6409" max="6409" width="12.453125" style="49" customWidth="1"/>
    <col min="6410" max="6410" width="13.453125" style="49" customWidth="1"/>
    <col min="6411" max="6411" width="0" style="49" hidden="1" customWidth="1"/>
    <col min="6412" max="6414" width="13" style="49" customWidth="1"/>
    <col min="6415" max="6415" width="14.453125" style="49" customWidth="1"/>
    <col min="6416" max="6417" width="13.453125" style="49" customWidth="1"/>
    <col min="6418" max="6418" width="2.453125" style="49" customWidth="1"/>
    <col min="6419" max="6419" width="13.453125" style="49" customWidth="1"/>
    <col min="6420" max="6420" width="10.453125" style="49" customWidth="1"/>
    <col min="6421" max="6421" width="12" style="49" customWidth="1"/>
    <col min="6422" max="6422" width="11.453125" style="49" customWidth="1"/>
    <col min="6423" max="6423" width="16" style="49" customWidth="1"/>
    <col min="6424" max="6425" width="10.453125" style="49" customWidth="1"/>
    <col min="6426" max="6426" width="15.453125" style="49" customWidth="1"/>
    <col min="6427" max="6427" width="11.453125" style="49" customWidth="1"/>
    <col min="6428" max="6428" width="12" style="49" customWidth="1"/>
    <col min="6429" max="6429" width="11.453125" style="49" customWidth="1"/>
    <col min="6430" max="6430" width="12" style="49" customWidth="1"/>
    <col min="6431" max="6431" width="11.453125" style="49" customWidth="1"/>
    <col min="6432" max="6432" width="12.453125" style="49" customWidth="1"/>
    <col min="6433" max="6433" width="10.453125" style="49" customWidth="1"/>
    <col min="6434" max="6434" width="19" style="49" customWidth="1"/>
    <col min="6435" max="6435" width="13.453125" style="49" customWidth="1"/>
    <col min="6436" max="6436" width="18" style="49" customWidth="1"/>
    <col min="6437" max="6437" width="42.453125" style="49" customWidth="1"/>
    <col min="6438" max="6438" width="31" style="49" customWidth="1"/>
    <col min="6439" max="6439" width="35" style="49" customWidth="1"/>
    <col min="6440" max="6440" width="31" style="49" customWidth="1"/>
    <col min="6441" max="6441" width="35" style="49" customWidth="1"/>
    <col min="6442" max="6442" width="31" style="49" customWidth="1"/>
    <col min="6443" max="6443" width="37.453125" style="49" customWidth="1"/>
    <col min="6444" max="6444" width="11.453125" style="49" customWidth="1"/>
    <col min="6445" max="6445" width="54" style="49" customWidth="1"/>
    <col min="6446" max="6446" width="43.453125" style="49" customWidth="1"/>
    <col min="6447" max="6447" width="44.453125" style="49" customWidth="1"/>
    <col min="6448" max="6657" width="6.453125" style="49"/>
    <col min="6658" max="6659" width="2.453125" style="49" customWidth="1"/>
    <col min="6660" max="6660" width="0" style="49" hidden="1" customWidth="1"/>
    <col min="6661" max="6663" width="12.453125" style="49" customWidth="1"/>
    <col min="6664" max="6664" width="12" style="49" customWidth="1"/>
    <col min="6665" max="6665" width="12.453125" style="49" customWidth="1"/>
    <col min="6666" max="6666" width="13.453125" style="49" customWidth="1"/>
    <col min="6667" max="6667" width="0" style="49" hidden="1" customWidth="1"/>
    <col min="6668" max="6670" width="13" style="49" customWidth="1"/>
    <col min="6671" max="6671" width="14.453125" style="49" customWidth="1"/>
    <col min="6672" max="6673" width="13.453125" style="49" customWidth="1"/>
    <col min="6674" max="6674" width="2.453125" style="49" customWidth="1"/>
    <col min="6675" max="6675" width="13.453125" style="49" customWidth="1"/>
    <col min="6676" max="6676" width="10.453125" style="49" customWidth="1"/>
    <col min="6677" max="6677" width="12" style="49" customWidth="1"/>
    <col min="6678" max="6678" width="11.453125" style="49" customWidth="1"/>
    <col min="6679" max="6679" width="16" style="49" customWidth="1"/>
    <col min="6680" max="6681" width="10.453125" style="49" customWidth="1"/>
    <col min="6682" max="6682" width="15.453125" style="49" customWidth="1"/>
    <col min="6683" max="6683" width="11.453125" style="49" customWidth="1"/>
    <col min="6684" max="6684" width="12" style="49" customWidth="1"/>
    <col min="6685" max="6685" width="11.453125" style="49" customWidth="1"/>
    <col min="6686" max="6686" width="12" style="49" customWidth="1"/>
    <col min="6687" max="6687" width="11.453125" style="49" customWidth="1"/>
    <col min="6688" max="6688" width="12.453125" style="49" customWidth="1"/>
    <col min="6689" max="6689" width="10.453125" style="49" customWidth="1"/>
    <col min="6690" max="6690" width="19" style="49" customWidth="1"/>
    <col min="6691" max="6691" width="13.453125" style="49" customWidth="1"/>
    <col min="6692" max="6692" width="18" style="49" customWidth="1"/>
    <col min="6693" max="6693" width="42.453125" style="49" customWidth="1"/>
    <col min="6694" max="6694" width="31" style="49" customWidth="1"/>
    <col min="6695" max="6695" width="35" style="49" customWidth="1"/>
    <col min="6696" max="6696" width="31" style="49" customWidth="1"/>
    <col min="6697" max="6697" width="35" style="49" customWidth="1"/>
    <col min="6698" max="6698" width="31" style="49" customWidth="1"/>
    <col min="6699" max="6699" width="37.453125" style="49" customWidth="1"/>
    <col min="6700" max="6700" width="11.453125" style="49" customWidth="1"/>
    <col min="6701" max="6701" width="54" style="49" customWidth="1"/>
    <col min="6702" max="6702" width="43.453125" style="49" customWidth="1"/>
    <col min="6703" max="6703" width="44.453125" style="49" customWidth="1"/>
    <col min="6704" max="6913" width="6.453125" style="49"/>
    <col min="6914" max="6915" width="2.453125" style="49" customWidth="1"/>
    <col min="6916" max="6916" width="0" style="49" hidden="1" customWidth="1"/>
    <col min="6917" max="6919" width="12.453125" style="49" customWidth="1"/>
    <col min="6920" max="6920" width="12" style="49" customWidth="1"/>
    <col min="6921" max="6921" width="12.453125" style="49" customWidth="1"/>
    <col min="6922" max="6922" width="13.453125" style="49" customWidth="1"/>
    <col min="6923" max="6923" width="0" style="49" hidden="1" customWidth="1"/>
    <col min="6924" max="6926" width="13" style="49" customWidth="1"/>
    <col min="6927" max="6927" width="14.453125" style="49" customWidth="1"/>
    <col min="6928" max="6929" width="13.453125" style="49" customWidth="1"/>
    <col min="6930" max="6930" width="2.453125" style="49" customWidth="1"/>
    <col min="6931" max="6931" width="13.453125" style="49" customWidth="1"/>
    <col min="6932" max="6932" width="10.453125" style="49" customWidth="1"/>
    <col min="6933" max="6933" width="12" style="49" customWidth="1"/>
    <col min="6934" max="6934" width="11.453125" style="49" customWidth="1"/>
    <col min="6935" max="6935" width="16" style="49" customWidth="1"/>
    <col min="6936" max="6937" width="10.453125" style="49" customWidth="1"/>
    <col min="6938" max="6938" width="15.453125" style="49" customWidth="1"/>
    <col min="6939" max="6939" width="11.453125" style="49" customWidth="1"/>
    <col min="6940" max="6940" width="12" style="49" customWidth="1"/>
    <col min="6941" max="6941" width="11.453125" style="49" customWidth="1"/>
    <col min="6942" max="6942" width="12" style="49" customWidth="1"/>
    <col min="6943" max="6943" width="11.453125" style="49" customWidth="1"/>
    <col min="6944" max="6944" width="12.453125" style="49" customWidth="1"/>
    <col min="6945" max="6945" width="10.453125" style="49" customWidth="1"/>
    <col min="6946" max="6946" width="19" style="49" customWidth="1"/>
    <col min="6947" max="6947" width="13.453125" style="49" customWidth="1"/>
    <col min="6948" max="6948" width="18" style="49" customWidth="1"/>
    <col min="6949" max="6949" width="42.453125" style="49" customWidth="1"/>
    <col min="6950" max="6950" width="31" style="49" customWidth="1"/>
    <col min="6951" max="6951" width="35" style="49" customWidth="1"/>
    <col min="6952" max="6952" width="31" style="49" customWidth="1"/>
    <col min="6953" max="6953" width="35" style="49" customWidth="1"/>
    <col min="6954" max="6954" width="31" style="49" customWidth="1"/>
    <col min="6955" max="6955" width="37.453125" style="49" customWidth="1"/>
    <col min="6956" max="6956" width="11.453125" style="49" customWidth="1"/>
    <col min="6957" max="6957" width="54" style="49" customWidth="1"/>
    <col min="6958" max="6958" width="43.453125" style="49" customWidth="1"/>
    <col min="6959" max="6959" width="44.453125" style="49" customWidth="1"/>
    <col min="6960" max="7169" width="6.453125" style="49"/>
    <col min="7170" max="7171" width="2.453125" style="49" customWidth="1"/>
    <col min="7172" max="7172" width="0" style="49" hidden="1" customWidth="1"/>
    <col min="7173" max="7175" width="12.453125" style="49" customWidth="1"/>
    <col min="7176" max="7176" width="12" style="49" customWidth="1"/>
    <col min="7177" max="7177" width="12.453125" style="49" customWidth="1"/>
    <col min="7178" max="7178" width="13.453125" style="49" customWidth="1"/>
    <col min="7179" max="7179" width="0" style="49" hidden="1" customWidth="1"/>
    <col min="7180" max="7182" width="13" style="49" customWidth="1"/>
    <col min="7183" max="7183" width="14.453125" style="49" customWidth="1"/>
    <col min="7184" max="7185" width="13.453125" style="49" customWidth="1"/>
    <col min="7186" max="7186" width="2.453125" style="49" customWidth="1"/>
    <col min="7187" max="7187" width="13.453125" style="49" customWidth="1"/>
    <col min="7188" max="7188" width="10.453125" style="49" customWidth="1"/>
    <col min="7189" max="7189" width="12" style="49" customWidth="1"/>
    <col min="7190" max="7190" width="11.453125" style="49" customWidth="1"/>
    <col min="7191" max="7191" width="16" style="49" customWidth="1"/>
    <col min="7192" max="7193" width="10.453125" style="49" customWidth="1"/>
    <col min="7194" max="7194" width="15.453125" style="49" customWidth="1"/>
    <col min="7195" max="7195" width="11.453125" style="49" customWidth="1"/>
    <col min="7196" max="7196" width="12" style="49" customWidth="1"/>
    <col min="7197" max="7197" width="11.453125" style="49" customWidth="1"/>
    <col min="7198" max="7198" width="12" style="49" customWidth="1"/>
    <col min="7199" max="7199" width="11.453125" style="49" customWidth="1"/>
    <col min="7200" max="7200" width="12.453125" style="49" customWidth="1"/>
    <col min="7201" max="7201" width="10.453125" style="49" customWidth="1"/>
    <col min="7202" max="7202" width="19" style="49" customWidth="1"/>
    <col min="7203" max="7203" width="13.453125" style="49" customWidth="1"/>
    <col min="7204" max="7204" width="18" style="49" customWidth="1"/>
    <col min="7205" max="7205" width="42.453125" style="49" customWidth="1"/>
    <col min="7206" max="7206" width="31" style="49" customWidth="1"/>
    <col min="7207" max="7207" width="35" style="49" customWidth="1"/>
    <col min="7208" max="7208" width="31" style="49" customWidth="1"/>
    <col min="7209" max="7209" width="35" style="49" customWidth="1"/>
    <col min="7210" max="7210" width="31" style="49" customWidth="1"/>
    <col min="7211" max="7211" width="37.453125" style="49" customWidth="1"/>
    <col min="7212" max="7212" width="11.453125" style="49" customWidth="1"/>
    <col min="7213" max="7213" width="54" style="49" customWidth="1"/>
    <col min="7214" max="7214" width="43.453125" style="49" customWidth="1"/>
    <col min="7215" max="7215" width="44.453125" style="49" customWidth="1"/>
    <col min="7216" max="7425" width="6.453125" style="49"/>
    <col min="7426" max="7427" width="2.453125" style="49" customWidth="1"/>
    <col min="7428" max="7428" width="0" style="49" hidden="1" customWidth="1"/>
    <col min="7429" max="7431" width="12.453125" style="49" customWidth="1"/>
    <col min="7432" max="7432" width="12" style="49" customWidth="1"/>
    <col min="7433" max="7433" width="12.453125" style="49" customWidth="1"/>
    <col min="7434" max="7434" width="13.453125" style="49" customWidth="1"/>
    <col min="7435" max="7435" width="0" style="49" hidden="1" customWidth="1"/>
    <col min="7436" max="7438" width="13" style="49" customWidth="1"/>
    <col min="7439" max="7439" width="14.453125" style="49" customWidth="1"/>
    <col min="7440" max="7441" width="13.453125" style="49" customWidth="1"/>
    <col min="7442" max="7442" width="2.453125" style="49" customWidth="1"/>
    <col min="7443" max="7443" width="13.453125" style="49" customWidth="1"/>
    <col min="7444" max="7444" width="10.453125" style="49" customWidth="1"/>
    <col min="7445" max="7445" width="12" style="49" customWidth="1"/>
    <col min="7446" max="7446" width="11.453125" style="49" customWidth="1"/>
    <col min="7447" max="7447" width="16" style="49" customWidth="1"/>
    <col min="7448" max="7449" width="10.453125" style="49" customWidth="1"/>
    <col min="7450" max="7450" width="15.453125" style="49" customWidth="1"/>
    <col min="7451" max="7451" width="11.453125" style="49" customWidth="1"/>
    <col min="7452" max="7452" width="12" style="49" customWidth="1"/>
    <col min="7453" max="7453" width="11.453125" style="49" customWidth="1"/>
    <col min="7454" max="7454" width="12" style="49" customWidth="1"/>
    <col min="7455" max="7455" width="11.453125" style="49" customWidth="1"/>
    <col min="7456" max="7456" width="12.453125" style="49" customWidth="1"/>
    <col min="7457" max="7457" width="10.453125" style="49" customWidth="1"/>
    <col min="7458" max="7458" width="19" style="49" customWidth="1"/>
    <col min="7459" max="7459" width="13.453125" style="49" customWidth="1"/>
    <col min="7460" max="7460" width="18" style="49" customWidth="1"/>
    <col min="7461" max="7461" width="42.453125" style="49" customWidth="1"/>
    <col min="7462" max="7462" width="31" style="49" customWidth="1"/>
    <col min="7463" max="7463" width="35" style="49" customWidth="1"/>
    <col min="7464" max="7464" width="31" style="49" customWidth="1"/>
    <col min="7465" max="7465" width="35" style="49" customWidth="1"/>
    <col min="7466" max="7466" width="31" style="49" customWidth="1"/>
    <col min="7467" max="7467" width="37.453125" style="49" customWidth="1"/>
    <col min="7468" max="7468" width="11.453125" style="49" customWidth="1"/>
    <col min="7469" max="7469" width="54" style="49" customWidth="1"/>
    <col min="7470" max="7470" width="43.453125" style="49" customWidth="1"/>
    <col min="7471" max="7471" width="44.453125" style="49" customWidth="1"/>
    <col min="7472" max="7681" width="6.453125" style="49"/>
    <col min="7682" max="7683" width="2.453125" style="49" customWidth="1"/>
    <col min="7684" max="7684" width="0" style="49" hidden="1" customWidth="1"/>
    <col min="7685" max="7687" width="12.453125" style="49" customWidth="1"/>
    <col min="7688" max="7688" width="12" style="49" customWidth="1"/>
    <col min="7689" max="7689" width="12.453125" style="49" customWidth="1"/>
    <col min="7690" max="7690" width="13.453125" style="49" customWidth="1"/>
    <col min="7691" max="7691" width="0" style="49" hidden="1" customWidth="1"/>
    <col min="7692" max="7694" width="13" style="49" customWidth="1"/>
    <col min="7695" max="7695" width="14.453125" style="49" customWidth="1"/>
    <col min="7696" max="7697" width="13.453125" style="49" customWidth="1"/>
    <col min="7698" max="7698" width="2.453125" style="49" customWidth="1"/>
    <col min="7699" max="7699" width="13.453125" style="49" customWidth="1"/>
    <col min="7700" max="7700" width="10.453125" style="49" customWidth="1"/>
    <col min="7701" max="7701" width="12" style="49" customWidth="1"/>
    <col min="7702" max="7702" width="11.453125" style="49" customWidth="1"/>
    <col min="7703" max="7703" width="16" style="49" customWidth="1"/>
    <col min="7704" max="7705" width="10.453125" style="49" customWidth="1"/>
    <col min="7706" max="7706" width="15.453125" style="49" customWidth="1"/>
    <col min="7707" max="7707" width="11.453125" style="49" customWidth="1"/>
    <col min="7708" max="7708" width="12" style="49" customWidth="1"/>
    <col min="7709" max="7709" width="11.453125" style="49" customWidth="1"/>
    <col min="7710" max="7710" width="12" style="49" customWidth="1"/>
    <col min="7711" max="7711" width="11.453125" style="49" customWidth="1"/>
    <col min="7712" max="7712" width="12.453125" style="49" customWidth="1"/>
    <col min="7713" max="7713" width="10.453125" style="49" customWidth="1"/>
    <col min="7714" max="7714" width="19" style="49" customWidth="1"/>
    <col min="7715" max="7715" width="13.453125" style="49" customWidth="1"/>
    <col min="7716" max="7716" width="18" style="49" customWidth="1"/>
    <col min="7717" max="7717" width="42.453125" style="49" customWidth="1"/>
    <col min="7718" max="7718" width="31" style="49" customWidth="1"/>
    <col min="7719" max="7719" width="35" style="49" customWidth="1"/>
    <col min="7720" max="7720" width="31" style="49" customWidth="1"/>
    <col min="7721" max="7721" width="35" style="49" customWidth="1"/>
    <col min="7722" max="7722" width="31" style="49" customWidth="1"/>
    <col min="7723" max="7723" width="37.453125" style="49" customWidth="1"/>
    <col min="7724" max="7724" width="11.453125" style="49" customWidth="1"/>
    <col min="7725" max="7725" width="54" style="49" customWidth="1"/>
    <col min="7726" max="7726" width="43.453125" style="49" customWidth="1"/>
    <col min="7727" max="7727" width="44.453125" style="49" customWidth="1"/>
    <col min="7728" max="7937" width="6.453125" style="49"/>
    <col min="7938" max="7939" width="2.453125" style="49" customWidth="1"/>
    <col min="7940" max="7940" width="0" style="49" hidden="1" customWidth="1"/>
    <col min="7941" max="7943" width="12.453125" style="49" customWidth="1"/>
    <col min="7944" max="7944" width="12" style="49" customWidth="1"/>
    <col min="7945" max="7945" width="12.453125" style="49" customWidth="1"/>
    <col min="7946" max="7946" width="13.453125" style="49" customWidth="1"/>
    <col min="7947" max="7947" width="0" style="49" hidden="1" customWidth="1"/>
    <col min="7948" max="7950" width="13" style="49" customWidth="1"/>
    <col min="7951" max="7951" width="14.453125" style="49" customWidth="1"/>
    <col min="7952" max="7953" width="13.453125" style="49" customWidth="1"/>
    <col min="7954" max="7954" width="2.453125" style="49" customWidth="1"/>
    <col min="7955" max="7955" width="13.453125" style="49" customWidth="1"/>
    <col min="7956" max="7956" width="10.453125" style="49" customWidth="1"/>
    <col min="7957" max="7957" width="12" style="49" customWidth="1"/>
    <col min="7958" max="7958" width="11.453125" style="49" customWidth="1"/>
    <col min="7959" max="7959" width="16" style="49" customWidth="1"/>
    <col min="7960" max="7961" width="10.453125" style="49" customWidth="1"/>
    <col min="7962" max="7962" width="15.453125" style="49" customWidth="1"/>
    <col min="7963" max="7963" width="11.453125" style="49" customWidth="1"/>
    <col min="7964" max="7964" width="12" style="49" customWidth="1"/>
    <col min="7965" max="7965" width="11.453125" style="49" customWidth="1"/>
    <col min="7966" max="7966" width="12" style="49" customWidth="1"/>
    <col min="7967" max="7967" width="11.453125" style="49" customWidth="1"/>
    <col min="7968" max="7968" width="12.453125" style="49" customWidth="1"/>
    <col min="7969" max="7969" width="10.453125" style="49" customWidth="1"/>
    <col min="7970" max="7970" width="19" style="49" customWidth="1"/>
    <col min="7971" max="7971" width="13.453125" style="49" customWidth="1"/>
    <col min="7972" max="7972" width="18" style="49" customWidth="1"/>
    <col min="7973" max="7973" width="42.453125" style="49" customWidth="1"/>
    <col min="7974" max="7974" width="31" style="49" customWidth="1"/>
    <col min="7975" max="7975" width="35" style="49" customWidth="1"/>
    <col min="7976" max="7976" width="31" style="49" customWidth="1"/>
    <col min="7977" max="7977" width="35" style="49" customWidth="1"/>
    <col min="7978" max="7978" width="31" style="49" customWidth="1"/>
    <col min="7979" max="7979" width="37.453125" style="49" customWidth="1"/>
    <col min="7980" max="7980" width="11.453125" style="49" customWidth="1"/>
    <col min="7981" max="7981" width="54" style="49" customWidth="1"/>
    <col min="7982" max="7982" width="43.453125" style="49" customWidth="1"/>
    <col min="7983" max="7983" width="44.453125" style="49" customWidth="1"/>
    <col min="7984" max="8193" width="6.453125" style="49"/>
    <col min="8194" max="8195" width="2.453125" style="49" customWidth="1"/>
    <col min="8196" max="8196" width="0" style="49" hidden="1" customWidth="1"/>
    <col min="8197" max="8199" width="12.453125" style="49" customWidth="1"/>
    <col min="8200" max="8200" width="12" style="49" customWidth="1"/>
    <col min="8201" max="8201" width="12.453125" style="49" customWidth="1"/>
    <col min="8202" max="8202" width="13.453125" style="49" customWidth="1"/>
    <col min="8203" max="8203" width="0" style="49" hidden="1" customWidth="1"/>
    <col min="8204" max="8206" width="13" style="49" customWidth="1"/>
    <col min="8207" max="8207" width="14.453125" style="49" customWidth="1"/>
    <col min="8208" max="8209" width="13.453125" style="49" customWidth="1"/>
    <col min="8210" max="8210" width="2.453125" style="49" customWidth="1"/>
    <col min="8211" max="8211" width="13.453125" style="49" customWidth="1"/>
    <col min="8212" max="8212" width="10.453125" style="49" customWidth="1"/>
    <col min="8213" max="8213" width="12" style="49" customWidth="1"/>
    <col min="8214" max="8214" width="11.453125" style="49" customWidth="1"/>
    <col min="8215" max="8215" width="16" style="49" customWidth="1"/>
    <col min="8216" max="8217" width="10.453125" style="49" customWidth="1"/>
    <col min="8218" max="8218" width="15.453125" style="49" customWidth="1"/>
    <col min="8219" max="8219" width="11.453125" style="49" customWidth="1"/>
    <col min="8220" max="8220" width="12" style="49" customWidth="1"/>
    <col min="8221" max="8221" width="11.453125" style="49" customWidth="1"/>
    <col min="8222" max="8222" width="12" style="49" customWidth="1"/>
    <col min="8223" max="8223" width="11.453125" style="49" customWidth="1"/>
    <col min="8224" max="8224" width="12.453125" style="49" customWidth="1"/>
    <col min="8225" max="8225" width="10.453125" style="49" customWidth="1"/>
    <col min="8226" max="8226" width="19" style="49" customWidth="1"/>
    <col min="8227" max="8227" width="13.453125" style="49" customWidth="1"/>
    <col min="8228" max="8228" width="18" style="49" customWidth="1"/>
    <col min="8229" max="8229" width="42.453125" style="49" customWidth="1"/>
    <col min="8230" max="8230" width="31" style="49" customWidth="1"/>
    <col min="8231" max="8231" width="35" style="49" customWidth="1"/>
    <col min="8232" max="8232" width="31" style="49" customWidth="1"/>
    <col min="8233" max="8233" width="35" style="49" customWidth="1"/>
    <col min="8234" max="8234" width="31" style="49" customWidth="1"/>
    <col min="8235" max="8235" width="37.453125" style="49" customWidth="1"/>
    <col min="8236" max="8236" width="11.453125" style="49" customWidth="1"/>
    <col min="8237" max="8237" width="54" style="49" customWidth="1"/>
    <col min="8238" max="8238" width="43.453125" style="49" customWidth="1"/>
    <col min="8239" max="8239" width="44.453125" style="49" customWidth="1"/>
    <col min="8240" max="8449" width="6.453125" style="49"/>
    <col min="8450" max="8451" width="2.453125" style="49" customWidth="1"/>
    <col min="8452" max="8452" width="0" style="49" hidden="1" customWidth="1"/>
    <col min="8453" max="8455" width="12.453125" style="49" customWidth="1"/>
    <col min="8456" max="8456" width="12" style="49" customWidth="1"/>
    <col min="8457" max="8457" width="12.453125" style="49" customWidth="1"/>
    <col min="8458" max="8458" width="13.453125" style="49" customWidth="1"/>
    <col min="8459" max="8459" width="0" style="49" hidden="1" customWidth="1"/>
    <col min="8460" max="8462" width="13" style="49" customWidth="1"/>
    <col min="8463" max="8463" width="14.453125" style="49" customWidth="1"/>
    <col min="8464" max="8465" width="13.453125" style="49" customWidth="1"/>
    <col min="8466" max="8466" width="2.453125" style="49" customWidth="1"/>
    <col min="8467" max="8467" width="13.453125" style="49" customWidth="1"/>
    <col min="8468" max="8468" width="10.453125" style="49" customWidth="1"/>
    <col min="8469" max="8469" width="12" style="49" customWidth="1"/>
    <col min="8470" max="8470" width="11.453125" style="49" customWidth="1"/>
    <col min="8471" max="8471" width="16" style="49" customWidth="1"/>
    <col min="8472" max="8473" width="10.453125" style="49" customWidth="1"/>
    <col min="8474" max="8474" width="15.453125" style="49" customWidth="1"/>
    <col min="8475" max="8475" width="11.453125" style="49" customWidth="1"/>
    <col min="8476" max="8476" width="12" style="49" customWidth="1"/>
    <col min="8477" max="8477" width="11.453125" style="49" customWidth="1"/>
    <col min="8478" max="8478" width="12" style="49" customWidth="1"/>
    <col min="8479" max="8479" width="11.453125" style="49" customWidth="1"/>
    <col min="8480" max="8480" width="12.453125" style="49" customWidth="1"/>
    <col min="8481" max="8481" width="10.453125" style="49" customWidth="1"/>
    <col min="8482" max="8482" width="19" style="49" customWidth="1"/>
    <col min="8483" max="8483" width="13.453125" style="49" customWidth="1"/>
    <col min="8484" max="8484" width="18" style="49" customWidth="1"/>
    <col min="8485" max="8485" width="42.453125" style="49" customWidth="1"/>
    <col min="8486" max="8486" width="31" style="49" customWidth="1"/>
    <col min="8487" max="8487" width="35" style="49" customWidth="1"/>
    <col min="8488" max="8488" width="31" style="49" customWidth="1"/>
    <col min="8489" max="8489" width="35" style="49" customWidth="1"/>
    <col min="8490" max="8490" width="31" style="49" customWidth="1"/>
    <col min="8491" max="8491" width="37.453125" style="49" customWidth="1"/>
    <col min="8492" max="8492" width="11.453125" style="49" customWidth="1"/>
    <col min="8493" max="8493" width="54" style="49" customWidth="1"/>
    <col min="8494" max="8494" width="43.453125" style="49" customWidth="1"/>
    <col min="8495" max="8495" width="44.453125" style="49" customWidth="1"/>
    <col min="8496" max="8705" width="6.453125" style="49"/>
    <col min="8706" max="8707" width="2.453125" style="49" customWidth="1"/>
    <col min="8708" max="8708" width="0" style="49" hidden="1" customWidth="1"/>
    <col min="8709" max="8711" width="12.453125" style="49" customWidth="1"/>
    <col min="8712" max="8712" width="12" style="49" customWidth="1"/>
    <col min="8713" max="8713" width="12.453125" style="49" customWidth="1"/>
    <col min="8714" max="8714" width="13.453125" style="49" customWidth="1"/>
    <col min="8715" max="8715" width="0" style="49" hidden="1" customWidth="1"/>
    <col min="8716" max="8718" width="13" style="49" customWidth="1"/>
    <col min="8719" max="8719" width="14.453125" style="49" customWidth="1"/>
    <col min="8720" max="8721" width="13.453125" style="49" customWidth="1"/>
    <col min="8722" max="8722" width="2.453125" style="49" customWidth="1"/>
    <col min="8723" max="8723" width="13.453125" style="49" customWidth="1"/>
    <col min="8724" max="8724" width="10.453125" style="49" customWidth="1"/>
    <col min="8725" max="8725" width="12" style="49" customWidth="1"/>
    <col min="8726" max="8726" width="11.453125" style="49" customWidth="1"/>
    <col min="8727" max="8727" width="16" style="49" customWidth="1"/>
    <col min="8728" max="8729" width="10.453125" style="49" customWidth="1"/>
    <col min="8730" max="8730" width="15.453125" style="49" customWidth="1"/>
    <col min="8731" max="8731" width="11.453125" style="49" customWidth="1"/>
    <col min="8732" max="8732" width="12" style="49" customWidth="1"/>
    <col min="8733" max="8733" width="11.453125" style="49" customWidth="1"/>
    <col min="8734" max="8734" width="12" style="49" customWidth="1"/>
    <col min="8735" max="8735" width="11.453125" style="49" customWidth="1"/>
    <col min="8736" max="8736" width="12.453125" style="49" customWidth="1"/>
    <col min="8737" max="8737" width="10.453125" style="49" customWidth="1"/>
    <col min="8738" max="8738" width="19" style="49" customWidth="1"/>
    <col min="8739" max="8739" width="13.453125" style="49" customWidth="1"/>
    <col min="8740" max="8740" width="18" style="49" customWidth="1"/>
    <col min="8741" max="8741" width="42.453125" style="49" customWidth="1"/>
    <col min="8742" max="8742" width="31" style="49" customWidth="1"/>
    <col min="8743" max="8743" width="35" style="49" customWidth="1"/>
    <col min="8744" max="8744" width="31" style="49" customWidth="1"/>
    <col min="8745" max="8745" width="35" style="49" customWidth="1"/>
    <col min="8746" max="8746" width="31" style="49" customWidth="1"/>
    <col min="8747" max="8747" width="37.453125" style="49" customWidth="1"/>
    <col min="8748" max="8748" width="11.453125" style="49" customWidth="1"/>
    <col min="8749" max="8749" width="54" style="49" customWidth="1"/>
    <col min="8750" max="8750" width="43.453125" style="49" customWidth="1"/>
    <col min="8751" max="8751" width="44.453125" style="49" customWidth="1"/>
    <col min="8752" max="8961" width="6.453125" style="49"/>
    <col min="8962" max="8963" width="2.453125" style="49" customWidth="1"/>
    <col min="8964" max="8964" width="0" style="49" hidden="1" customWidth="1"/>
    <col min="8965" max="8967" width="12.453125" style="49" customWidth="1"/>
    <col min="8968" max="8968" width="12" style="49" customWidth="1"/>
    <col min="8969" max="8969" width="12.453125" style="49" customWidth="1"/>
    <col min="8970" max="8970" width="13.453125" style="49" customWidth="1"/>
    <col min="8971" max="8971" width="0" style="49" hidden="1" customWidth="1"/>
    <col min="8972" max="8974" width="13" style="49" customWidth="1"/>
    <col min="8975" max="8975" width="14.453125" style="49" customWidth="1"/>
    <col min="8976" max="8977" width="13.453125" style="49" customWidth="1"/>
    <col min="8978" max="8978" width="2.453125" style="49" customWidth="1"/>
    <col min="8979" max="8979" width="13.453125" style="49" customWidth="1"/>
    <col min="8980" max="8980" width="10.453125" style="49" customWidth="1"/>
    <col min="8981" max="8981" width="12" style="49" customWidth="1"/>
    <col min="8982" max="8982" width="11.453125" style="49" customWidth="1"/>
    <col min="8983" max="8983" width="16" style="49" customWidth="1"/>
    <col min="8984" max="8985" width="10.453125" style="49" customWidth="1"/>
    <col min="8986" max="8986" width="15.453125" style="49" customWidth="1"/>
    <col min="8987" max="8987" width="11.453125" style="49" customWidth="1"/>
    <col min="8988" max="8988" width="12" style="49" customWidth="1"/>
    <col min="8989" max="8989" width="11.453125" style="49" customWidth="1"/>
    <col min="8990" max="8990" width="12" style="49" customWidth="1"/>
    <col min="8991" max="8991" width="11.453125" style="49" customWidth="1"/>
    <col min="8992" max="8992" width="12.453125" style="49" customWidth="1"/>
    <col min="8993" max="8993" width="10.453125" style="49" customWidth="1"/>
    <col min="8994" max="8994" width="19" style="49" customWidth="1"/>
    <col min="8995" max="8995" width="13.453125" style="49" customWidth="1"/>
    <col min="8996" max="8996" width="18" style="49" customWidth="1"/>
    <col min="8997" max="8997" width="42.453125" style="49" customWidth="1"/>
    <col min="8998" max="8998" width="31" style="49" customWidth="1"/>
    <col min="8999" max="8999" width="35" style="49" customWidth="1"/>
    <col min="9000" max="9000" width="31" style="49" customWidth="1"/>
    <col min="9001" max="9001" width="35" style="49" customWidth="1"/>
    <col min="9002" max="9002" width="31" style="49" customWidth="1"/>
    <col min="9003" max="9003" width="37.453125" style="49" customWidth="1"/>
    <col min="9004" max="9004" width="11.453125" style="49" customWidth="1"/>
    <col min="9005" max="9005" width="54" style="49" customWidth="1"/>
    <col min="9006" max="9006" width="43.453125" style="49" customWidth="1"/>
    <col min="9007" max="9007" width="44.453125" style="49" customWidth="1"/>
    <col min="9008" max="9217" width="6.453125" style="49"/>
    <col min="9218" max="9219" width="2.453125" style="49" customWidth="1"/>
    <col min="9220" max="9220" width="0" style="49" hidden="1" customWidth="1"/>
    <col min="9221" max="9223" width="12.453125" style="49" customWidth="1"/>
    <col min="9224" max="9224" width="12" style="49" customWidth="1"/>
    <col min="9225" max="9225" width="12.453125" style="49" customWidth="1"/>
    <col min="9226" max="9226" width="13.453125" style="49" customWidth="1"/>
    <col min="9227" max="9227" width="0" style="49" hidden="1" customWidth="1"/>
    <col min="9228" max="9230" width="13" style="49" customWidth="1"/>
    <col min="9231" max="9231" width="14.453125" style="49" customWidth="1"/>
    <col min="9232" max="9233" width="13.453125" style="49" customWidth="1"/>
    <col min="9234" max="9234" width="2.453125" style="49" customWidth="1"/>
    <col min="9235" max="9235" width="13.453125" style="49" customWidth="1"/>
    <col min="9236" max="9236" width="10.453125" style="49" customWidth="1"/>
    <col min="9237" max="9237" width="12" style="49" customWidth="1"/>
    <col min="9238" max="9238" width="11.453125" style="49" customWidth="1"/>
    <col min="9239" max="9239" width="16" style="49" customWidth="1"/>
    <col min="9240" max="9241" width="10.453125" style="49" customWidth="1"/>
    <col min="9242" max="9242" width="15.453125" style="49" customWidth="1"/>
    <col min="9243" max="9243" width="11.453125" style="49" customWidth="1"/>
    <col min="9244" max="9244" width="12" style="49" customWidth="1"/>
    <col min="9245" max="9245" width="11.453125" style="49" customWidth="1"/>
    <col min="9246" max="9246" width="12" style="49" customWidth="1"/>
    <col min="9247" max="9247" width="11.453125" style="49" customWidth="1"/>
    <col min="9248" max="9248" width="12.453125" style="49" customWidth="1"/>
    <col min="9249" max="9249" width="10.453125" style="49" customWidth="1"/>
    <col min="9250" max="9250" width="19" style="49" customWidth="1"/>
    <col min="9251" max="9251" width="13.453125" style="49" customWidth="1"/>
    <col min="9252" max="9252" width="18" style="49" customWidth="1"/>
    <col min="9253" max="9253" width="42.453125" style="49" customWidth="1"/>
    <col min="9254" max="9254" width="31" style="49" customWidth="1"/>
    <col min="9255" max="9255" width="35" style="49" customWidth="1"/>
    <col min="9256" max="9256" width="31" style="49" customWidth="1"/>
    <col min="9257" max="9257" width="35" style="49" customWidth="1"/>
    <col min="9258" max="9258" width="31" style="49" customWidth="1"/>
    <col min="9259" max="9259" width="37.453125" style="49" customWidth="1"/>
    <col min="9260" max="9260" width="11.453125" style="49" customWidth="1"/>
    <col min="9261" max="9261" width="54" style="49" customWidth="1"/>
    <col min="9262" max="9262" width="43.453125" style="49" customWidth="1"/>
    <col min="9263" max="9263" width="44.453125" style="49" customWidth="1"/>
    <col min="9264" max="9473" width="6.453125" style="49"/>
    <col min="9474" max="9475" width="2.453125" style="49" customWidth="1"/>
    <col min="9476" max="9476" width="0" style="49" hidden="1" customWidth="1"/>
    <col min="9477" max="9479" width="12.453125" style="49" customWidth="1"/>
    <col min="9480" max="9480" width="12" style="49" customWidth="1"/>
    <col min="9481" max="9481" width="12.453125" style="49" customWidth="1"/>
    <col min="9482" max="9482" width="13.453125" style="49" customWidth="1"/>
    <col min="9483" max="9483" width="0" style="49" hidden="1" customWidth="1"/>
    <col min="9484" max="9486" width="13" style="49" customWidth="1"/>
    <col min="9487" max="9487" width="14.453125" style="49" customWidth="1"/>
    <col min="9488" max="9489" width="13.453125" style="49" customWidth="1"/>
    <col min="9490" max="9490" width="2.453125" style="49" customWidth="1"/>
    <col min="9491" max="9491" width="13.453125" style="49" customWidth="1"/>
    <col min="9492" max="9492" width="10.453125" style="49" customWidth="1"/>
    <col min="9493" max="9493" width="12" style="49" customWidth="1"/>
    <col min="9494" max="9494" width="11.453125" style="49" customWidth="1"/>
    <col min="9495" max="9495" width="16" style="49" customWidth="1"/>
    <col min="9496" max="9497" width="10.453125" style="49" customWidth="1"/>
    <col min="9498" max="9498" width="15.453125" style="49" customWidth="1"/>
    <col min="9499" max="9499" width="11.453125" style="49" customWidth="1"/>
    <col min="9500" max="9500" width="12" style="49" customWidth="1"/>
    <col min="9501" max="9501" width="11.453125" style="49" customWidth="1"/>
    <col min="9502" max="9502" width="12" style="49" customWidth="1"/>
    <col min="9503" max="9503" width="11.453125" style="49" customWidth="1"/>
    <col min="9504" max="9504" width="12.453125" style="49" customWidth="1"/>
    <col min="9505" max="9505" width="10.453125" style="49" customWidth="1"/>
    <col min="9506" max="9506" width="19" style="49" customWidth="1"/>
    <col min="9507" max="9507" width="13.453125" style="49" customWidth="1"/>
    <col min="9508" max="9508" width="18" style="49" customWidth="1"/>
    <col min="9509" max="9509" width="42.453125" style="49" customWidth="1"/>
    <col min="9510" max="9510" width="31" style="49" customWidth="1"/>
    <col min="9511" max="9511" width="35" style="49" customWidth="1"/>
    <col min="9512" max="9512" width="31" style="49" customWidth="1"/>
    <col min="9513" max="9513" width="35" style="49" customWidth="1"/>
    <col min="9514" max="9514" width="31" style="49" customWidth="1"/>
    <col min="9515" max="9515" width="37.453125" style="49" customWidth="1"/>
    <col min="9516" max="9516" width="11.453125" style="49" customWidth="1"/>
    <col min="9517" max="9517" width="54" style="49" customWidth="1"/>
    <col min="9518" max="9518" width="43.453125" style="49" customWidth="1"/>
    <col min="9519" max="9519" width="44.453125" style="49" customWidth="1"/>
    <col min="9520" max="9729" width="6.453125" style="49"/>
    <col min="9730" max="9731" width="2.453125" style="49" customWidth="1"/>
    <col min="9732" max="9732" width="0" style="49" hidden="1" customWidth="1"/>
    <col min="9733" max="9735" width="12.453125" style="49" customWidth="1"/>
    <col min="9736" max="9736" width="12" style="49" customWidth="1"/>
    <col min="9737" max="9737" width="12.453125" style="49" customWidth="1"/>
    <col min="9738" max="9738" width="13.453125" style="49" customWidth="1"/>
    <col min="9739" max="9739" width="0" style="49" hidden="1" customWidth="1"/>
    <col min="9740" max="9742" width="13" style="49" customWidth="1"/>
    <col min="9743" max="9743" width="14.453125" style="49" customWidth="1"/>
    <col min="9744" max="9745" width="13.453125" style="49" customWidth="1"/>
    <col min="9746" max="9746" width="2.453125" style="49" customWidth="1"/>
    <col min="9747" max="9747" width="13.453125" style="49" customWidth="1"/>
    <col min="9748" max="9748" width="10.453125" style="49" customWidth="1"/>
    <col min="9749" max="9749" width="12" style="49" customWidth="1"/>
    <col min="9750" max="9750" width="11.453125" style="49" customWidth="1"/>
    <col min="9751" max="9751" width="16" style="49" customWidth="1"/>
    <col min="9752" max="9753" width="10.453125" style="49" customWidth="1"/>
    <col min="9754" max="9754" width="15.453125" style="49" customWidth="1"/>
    <col min="9755" max="9755" width="11.453125" style="49" customWidth="1"/>
    <col min="9756" max="9756" width="12" style="49" customWidth="1"/>
    <col min="9757" max="9757" width="11.453125" style="49" customWidth="1"/>
    <col min="9758" max="9758" width="12" style="49" customWidth="1"/>
    <col min="9759" max="9759" width="11.453125" style="49" customWidth="1"/>
    <col min="9760" max="9760" width="12.453125" style="49" customWidth="1"/>
    <col min="9761" max="9761" width="10.453125" style="49" customWidth="1"/>
    <col min="9762" max="9762" width="19" style="49" customWidth="1"/>
    <col min="9763" max="9763" width="13.453125" style="49" customWidth="1"/>
    <col min="9764" max="9764" width="18" style="49" customWidth="1"/>
    <col min="9765" max="9765" width="42.453125" style="49" customWidth="1"/>
    <col min="9766" max="9766" width="31" style="49" customWidth="1"/>
    <col min="9767" max="9767" width="35" style="49" customWidth="1"/>
    <col min="9768" max="9768" width="31" style="49" customWidth="1"/>
    <col min="9769" max="9769" width="35" style="49" customWidth="1"/>
    <col min="9770" max="9770" width="31" style="49" customWidth="1"/>
    <col min="9771" max="9771" width="37.453125" style="49" customWidth="1"/>
    <col min="9772" max="9772" width="11.453125" style="49" customWidth="1"/>
    <col min="9773" max="9773" width="54" style="49" customWidth="1"/>
    <col min="9774" max="9774" width="43.453125" style="49" customWidth="1"/>
    <col min="9775" max="9775" width="44.453125" style="49" customWidth="1"/>
    <col min="9776" max="9985" width="6.453125" style="49"/>
    <col min="9986" max="9987" width="2.453125" style="49" customWidth="1"/>
    <col min="9988" max="9988" width="0" style="49" hidden="1" customWidth="1"/>
    <col min="9989" max="9991" width="12.453125" style="49" customWidth="1"/>
    <col min="9992" max="9992" width="12" style="49" customWidth="1"/>
    <col min="9993" max="9993" width="12.453125" style="49" customWidth="1"/>
    <col min="9994" max="9994" width="13.453125" style="49" customWidth="1"/>
    <col min="9995" max="9995" width="0" style="49" hidden="1" customWidth="1"/>
    <col min="9996" max="9998" width="13" style="49" customWidth="1"/>
    <col min="9999" max="9999" width="14.453125" style="49" customWidth="1"/>
    <col min="10000" max="10001" width="13.453125" style="49" customWidth="1"/>
    <col min="10002" max="10002" width="2.453125" style="49" customWidth="1"/>
    <col min="10003" max="10003" width="13.453125" style="49" customWidth="1"/>
    <col min="10004" max="10004" width="10.453125" style="49" customWidth="1"/>
    <col min="10005" max="10005" width="12" style="49" customWidth="1"/>
    <col min="10006" max="10006" width="11.453125" style="49" customWidth="1"/>
    <col min="10007" max="10007" width="16" style="49" customWidth="1"/>
    <col min="10008" max="10009" width="10.453125" style="49" customWidth="1"/>
    <col min="10010" max="10010" width="15.453125" style="49" customWidth="1"/>
    <col min="10011" max="10011" width="11.453125" style="49" customWidth="1"/>
    <col min="10012" max="10012" width="12" style="49" customWidth="1"/>
    <col min="10013" max="10013" width="11.453125" style="49" customWidth="1"/>
    <col min="10014" max="10014" width="12" style="49" customWidth="1"/>
    <col min="10015" max="10015" width="11.453125" style="49" customWidth="1"/>
    <col min="10016" max="10016" width="12.453125" style="49" customWidth="1"/>
    <col min="10017" max="10017" width="10.453125" style="49" customWidth="1"/>
    <col min="10018" max="10018" width="19" style="49" customWidth="1"/>
    <col min="10019" max="10019" width="13.453125" style="49" customWidth="1"/>
    <col min="10020" max="10020" width="18" style="49" customWidth="1"/>
    <col min="10021" max="10021" width="42.453125" style="49" customWidth="1"/>
    <col min="10022" max="10022" width="31" style="49" customWidth="1"/>
    <col min="10023" max="10023" width="35" style="49" customWidth="1"/>
    <col min="10024" max="10024" width="31" style="49" customWidth="1"/>
    <col min="10025" max="10025" width="35" style="49" customWidth="1"/>
    <col min="10026" max="10026" width="31" style="49" customWidth="1"/>
    <col min="10027" max="10027" width="37.453125" style="49" customWidth="1"/>
    <col min="10028" max="10028" width="11.453125" style="49" customWidth="1"/>
    <col min="10029" max="10029" width="54" style="49" customWidth="1"/>
    <col min="10030" max="10030" width="43.453125" style="49" customWidth="1"/>
    <col min="10031" max="10031" width="44.453125" style="49" customWidth="1"/>
    <col min="10032" max="10241" width="6.453125" style="49"/>
    <col min="10242" max="10243" width="2.453125" style="49" customWidth="1"/>
    <col min="10244" max="10244" width="0" style="49" hidden="1" customWidth="1"/>
    <col min="10245" max="10247" width="12.453125" style="49" customWidth="1"/>
    <col min="10248" max="10248" width="12" style="49" customWidth="1"/>
    <col min="10249" max="10249" width="12.453125" style="49" customWidth="1"/>
    <col min="10250" max="10250" width="13.453125" style="49" customWidth="1"/>
    <col min="10251" max="10251" width="0" style="49" hidden="1" customWidth="1"/>
    <col min="10252" max="10254" width="13" style="49" customWidth="1"/>
    <col min="10255" max="10255" width="14.453125" style="49" customWidth="1"/>
    <col min="10256" max="10257" width="13.453125" style="49" customWidth="1"/>
    <col min="10258" max="10258" width="2.453125" style="49" customWidth="1"/>
    <col min="10259" max="10259" width="13.453125" style="49" customWidth="1"/>
    <col min="10260" max="10260" width="10.453125" style="49" customWidth="1"/>
    <col min="10261" max="10261" width="12" style="49" customWidth="1"/>
    <col min="10262" max="10262" width="11.453125" style="49" customWidth="1"/>
    <col min="10263" max="10263" width="16" style="49" customWidth="1"/>
    <col min="10264" max="10265" width="10.453125" style="49" customWidth="1"/>
    <col min="10266" max="10266" width="15.453125" style="49" customWidth="1"/>
    <col min="10267" max="10267" width="11.453125" style="49" customWidth="1"/>
    <col min="10268" max="10268" width="12" style="49" customWidth="1"/>
    <col min="10269" max="10269" width="11.453125" style="49" customWidth="1"/>
    <col min="10270" max="10270" width="12" style="49" customWidth="1"/>
    <col min="10271" max="10271" width="11.453125" style="49" customWidth="1"/>
    <col min="10272" max="10272" width="12.453125" style="49" customWidth="1"/>
    <col min="10273" max="10273" width="10.453125" style="49" customWidth="1"/>
    <col min="10274" max="10274" width="19" style="49" customWidth="1"/>
    <col min="10275" max="10275" width="13.453125" style="49" customWidth="1"/>
    <col min="10276" max="10276" width="18" style="49" customWidth="1"/>
    <col min="10277" max="10277" width="42.453125" style="49" customWidth="1"/>
    <col min="10278" max="10278" width="31" style="49" customWidth="1"/>
    <col min="10279" max="10279" width="35" style="49" customWidth="1"/>
    <col min="10280" max="10280" width="31" style="49" customWidth="1"/>
    <col min="10281" max="10281" width="35" style="49" customWidth="1"/>
    <col min="10282" max="10282" width="31" style="49" customWidth="1"/>
    <col min="10283" max="10283" width="37.453125" style="49" customWidth="1"/>
    <col min="10284" max="10284" width="11.453125" style="49" customWidth="1"/>
    <col min="10285" max="10285" width="54" style="49" customWidth="1"/>
    <col min="10286" max="10286" width="43.453125" style="49" customWidth="1"/>
    <col min="10287" max="10287" width="44.453125" style="49" customWidth="1"/>
    <col min="10288" max="10497" width="6.453125" style="49"/>
    <col min="10498" max="10499" width="2.453125" style="49" customWidth="1"/>
    <col min="10500" max="10500" width="0" style="49" hidden="1" customWidth="1"/>
    <col min="10501" max="10503" width="12.453125" style="49" customWidth="1"/>
    <col min="10504" max="10504" width="12" style="49" customWidth="1"/>
    <col min="10505" max="10505" width="12.453125" style="49" customWidth="1"/>
    <col min="10506" max="10506" width="13.453125" style="49" customWidth="1"/>
    <col min="10507" max="10507" width="0" style="49" hidden="1" customWidth="1"/>
    <col min="10508" max="10510" width="13" style="49" customWidth="1"/>
    <col min="10511" max="10511" width="14.453125" style="49" customWidth="1"/>
    <col min="10512" max="10513" width="13.453125" style="49" customWidth="1"/>
    <col min="10514" max="10514" width="2.453125" style="49" customWidth="1"/>
    <col min="10515" max="10515" width="13.453125" style="49" customWidth="1"/>
    <col min="10516" max="10516" width="10.453125" style="49" customWidth="1"/>
    <col min="10517" max="10517" width="12" style="49" customWidth="1"/>
    <col min="10518" max="10518" width="11.453125" style="49" customWidth="1"/>
    <col min="10519" max="10519" width="16" style="49" customWidth="1"/>
    <col min="10520" max="10521" width="10.453125" style="49" customWidth="1"/>
    <col min="10522" max="10522" width="15.453125" style="49" customWidth="1"/>
    <col min="10523" max="10523" width="11.453125" style="49" customWidth="1"/>
    <col min="10524" max="10524" width="12" style="49" customWidth="1"/>
    <col min="10525" max="10525" width="11.453125" style="49" customWidth="1"/>
    <col min="10526" max="10526" width="12" style="49" customWidth="1"/>
    <col min="10527" max="10527" width="11.453125" style="49" customWidth="1"/>
    <col min="10528" max="10528" width="12.453125" style="49" customWidth="1"/>
    <col min="10529" max="10529" width="10.453125" style="49" customWidth="1"/>
    <col min="10530" max="10530" width="19" style="49" customWidth="1"/>
    <col min="10531" max="10531" width="13.453125" style="49" customWidth="1"/>
    <col min="10532" max="10532" width="18" style="49" customWidth="1"/>
    <col min="10533" max="10533" width="42.453125" style="49" customWidth="1"/>
    <col min="10534" max="10534" width="31" style="49" customWidth="1"/>
    <col min="10535" max="10535" width="35" style="49" customWidth="1"/>
    <col min="10536" max="10536" width="31" style="49" customWidth="1"/>
    <col min="10537" max="10537" width="35" style="49" customWidth="1"/>
    <col min="10538" max="10538" width="31" style="49" customWidth="1"/>
    <col min="10539" max="10539" width="37.453125" style="49" customWidth="1"/>
    <col min="10540" max="10540" width="11.453125" style="49" customWidth="1"/>
    <col min="10541" max="10541" width="54" style="49" customWidth="1"/>
    <col min="10542" max="10542" width="43.453125" style="49" customWidth="1"/>
    <col min="10543" max="10543" width="44.453125" style="49" customWidth="1"/>
    <col min="10544" max="10753" width="6.453125" style="49"/>
    <col min="10754" max="10755" width="2.453125" style="49" customWidth="1"/>
    <col min="10756" max="10756" width="0" style="49" hidden="1" customWidth="1"/>
    <col min="10757" max="10759" width="12.453125" style="49" customWidth="1"/>
    <col min="10760" max="10760" width="12" style="49" customWidth="1"/>
    <col min="10761" max="10761" width="12.453125" style="49" customWidth="1"/>
    <col min="10762" max="10762" width="13.453125" style="49" customWidth="1"/>
    <col min="10763" max="10763" width="0" style="49" hidden="1" customWidth="1"/>
    <col min="10764" max="10766" width="13" style="49" customWidth="1"/>
    <col min="10767" max="10767" width="14.453125" style="49" customWidth="1"/>
    <col min="10768" max="10769" width="13.453125" style="49" customWidth="1"/>
    <col min="10770" max="10770" width="2.453125" style="49" customWidth="1"/>
    <col min="10771" max="10771" width="13.453125" style="49" customWidth="1"/>
    <col min="10772" max="10772" width="10.453125" style="49" customWidth="1"/>
    <col min="10773" max="10773" width="12" style="49" customWidth="1"/>
    <col min="10774" max="10774" width="11.453125" style="49" customWidth="1"/>
    <col min="10775" max="10775" width="16" style="49" customWidth="1"/>
    <col min="10776" max="10777" width="10.453125" style="49" customWidth="1"/>
    <col min="10778" max="10778" width="15.453125" style="49" customWidth="1"/>
    <col min="10779" max="10779" width="11.453125" style="49" customWidth="1"/>
    <col min="10780" max="10780" width="12" style="49" customWidth="1"/>
    <col min="10781" max="10781" width="11.453125" style="49" customWidth="1"/>
    <col min="10782" max="10782" width="12" style="49" customWidth="1"/>
    <col min="10783" max="10783" width="11.453125" style="49" customWidth="1"/>
    <col min="10784" max="10784" width="12.453125" style="49" customWidth="1"/>
    <col min="10785" max="10785" width="10.453125" style="49" customWidth="1"/>
    <col min="10786" max="10786" width="19" style="49" customWidth="1"/>
    <col min="10787" max="10787" width="13.453125" style="49" customWidth="1"/>
    <col min="10788" max="10788" width="18" style="49" customWidth="1"/>
    <col min="10789" max="10789" width="42.453125" style="49" customWidth="1"/>
    <col min="10790" max="10790" width="31" style="49" customWidth="1"/>
    <col min="10791" max="10791" width="35" style="49" customWidth="1"/>
    <col min="10792" max="10792" width="31" style="49" customWidth="1"/>
    <col min="10793" max="10793" width="35" style="49" customWidth="1"/>
    <col min="10794" max="10794" width="31" style="49" customWidth="1"/>
    <col min="10795" max="10795" width="37.453125" style="49" customWidth="1"/>
    <col min="10796" max="10796" width="11.453125" style="49" customWidth="1"/>
    <col min="10797" max="10797" width="54" style="49" customWidth="1"/>
    <col min="10798" max="10798" width="43.453125" style="49" customWidth="1"/>
    <col min="10799" max="10799" width="44.453125" style="49" customWidth="1"/>
    <col min="10800" max="11009" width="6.453125" style="49"/>
    <col min="11010" max="11011" width="2.453125" style="49" customWidth="1"/>
    <col min="11012" max="11012" width="0" style="49" hidden="1" customWidth="1"/>
    <col min="11013" max="11015" width="12.453125" style="49" customWidth="1"/>
    <col min="11016" max="11016" width="12" style="49" customWidth="1"/>
    <col min="11017" max="11017" width="12.453125" style="49" customWidth="1"/>
    <col min="11018" max="11018" width="13.453125" style="49" customWidth="1"/>
    <col min="11019" max="11019" width="0" style="49" hidden="1" customWidth="1"/>
    <col min="11020" max="11022" width="13" style="49" customWidth="1"/>
    <col min="11023" max="11023" width="14.453125" style="49" customWidth="1"/>
    <col min="11024" max="11025" width="13.453125" style="49" customWidth="1"/>
    <col min="11026" max="11026" width="2.453125" style="49" customWidth="1"/>
    <col min="11027" max="11027" width="13.453125" style="49" customWidth="1"/>
    <col min="11028" max="11028" width="10.453125" style="49" customWidth="1"/>
    <col min="11029" max="11029" width="12" style="49" customWidth="1"/>
    <col min="11030" max="11030" width="11.453125" style="49" customWidth="1"/>
    <col min="11031" max="11031" width="16" style="49" customWidth="1"/>
    <col min="11032" max="11033" width="10.453125" style="49" customWidth="1"/>
    <col min="11034" max="11034" width="15.453125" style="49" customWidth="1"/>
    <col min="11035" max="11035" width="11.453125" style="49" customWidth="1"/>
    <col min="11036" max="11036" width="12" style="49" customWidth="1"/>
    <col min="11037" max="11037" width="11.453125" style="49" customWidth="1"/>
    <col min="11038" max="11038" width="12" style="49" customWidth="1"/>
    <col min="11039" max="11039" width="11.453125" style="49" customWidth="1"/>
    <col min="11040" max="11040" width="12.453125" style="49" customWidth="1"/>
    <col min="11041" max="11041" width="10.453125" style="49" customWidth="1"/>
    <col min="11042" max="11042" width="19" style="49" customWidth="1"/>
    <col min="11043" max="11043" width="13.453125" style="49" customWidth="1"/>
    <col min="11044" max="11044" width="18" style="49" customWidth="1"/>
    <col min="11045" max="11045" width="42.453125" style="49" customWidth="1"/>
    <col min="11046" max="11046" width="31" style="49" customWidth="1"/>
    <col min="11047" max="11047" width="35" style="49" customWidth="1"/>
    <col min="11048" max="11048" width="31" style="49" customWidth="1"/>
    <col min="11049" max="11049" width="35" style="49" customWidth="1"/>
    <col min="11050" max="11050" width="31" style="49" customWidth="1"/>
    <col min="11051" max="11051" width="37.453125" style="49" customWidth="1"/>
    <col min="11052" max="11052" width="11.453125" style="49" customWidth="1"/>
    <col min="11053" max="11053" width="54" style="49" customWidth="1"/>
    <col min="11054" max="11054" width="43.453125" style="49" customWidth="1"/>
    <col min="11055" max="11055" width="44.453125" style="49" customWidth="1"/>
    <col min="11056" max="11265" width="6.453125" style="49"/>
    <col min="11266" max="11267" width="2.453125" style="49" customWidth="1"/>
    <col min="11268" max="11268" width="0" style="49" hidden="1" customWidth="1"/>
    <col min="11269" max="11271" width="12.453125" style="49" customWidth="1"/>
    <col min="11272" max="11272" width="12" style="49" customWidth="1"/>
    <col min="11273" max="11273" width="12.453125" style="49" customWidth="1"/>
    <col min="11274" max="11274" width="13.453125" style="49" customWidth="1"/>
    <col min="11275" max="11275" width="0" style="49" hidden="1" customWidth="1"/>
    <col min="11276" max="11278" width="13" style="49" customWidth="1"/>
    <col min="11279" max="11279" width="14.453125" style="49" customWidth="1"/>
    <col min="11280" max="11281" width="13.453125" style="49" customWidth="1"/>
    <col min="11282" max="11282" width="2.453125" style="49" customWidth="1"/>
    <col min="11283" max="11283" width="13.453125" style="49" customWidth="1"/>
    <col min="11284" max="11284" width="10.453125" style="49" customWidth="1"/>
    <col min="11285" max="11285" width="12" style="49" customWidth="1"/>
    <col min="11286" max="11286" width="11.453125" style="49" customWidth="1"/>
    <col min="11287" max="11287" width="16" style="49" customWidth="1"/>
    <col min="11288" max="11289" width="10.453125" style="49" customWidth="1"/>
    <col min="11290" max="11290" width="15.453125" style="49" customWidth="1"/>
    <col min="11291" max="11291" width="11.453125" style="49" customWidth="1"/>
    <col min="11292" max="11292" width="12" style="49" customWidth="1"/>
    <col min="11293" max="11293" width="11.453125" style="49" customWidth="1"/>
    <col min="11294" max="11294" width="12" style="49" customWidth="1"/>
    <col min="11295" max="11295" width="11.453125" style="49" customWidth="1"/>
    <col min="11296" max="11296" width="12.453125" style="49" customWidth="1"/>
    <col min="11297" max="11297" width="10.453125" style="49" customWidth="1"/>
    <col min="11298" max="11298" width="19" style="49" customWidth="1"/>
    <col min="11299" max="11299" width="13.453125" style="49" customWidth="1"/>
    <col min="11300" max="11300" width="18" style="49" customWidth="1"/>
    <col min="11301" max="11301" width="42.453125" style="49" customWidth="1"/>
    <col min="11302" max="11302" width="31" style="49" customWidth="1"/>
    <col min="11303" max="11303" width="35" style="49" customWidth="1"/>
    <col min="11304" max="11304" width="31" style="49" customWidth="1"/>
    <col min="11305" max="11305" width="35" style="49" customWidth="1"/>
    <col min="11306" max="11306" width="31" style="49" customWidth="1"/>
    <col min="11307" max="11307" width="37.453125" style="49" customWidth="1"/>
    <col min="11308" max="11308" width="11.453125" style="49" customWidth="1"/>
    <col min="11309" max="11309" width="54" style="49" customWidth="1"/>
    <col min="11310" max="11310" width="43.453125" style="49" customWidth="1"/>
    <col min="11311" max="11311" width="44.453125" style="49" customWidth="1"/>
    <col min="11312" max="11521" width="6.453125" style="49"/>
    <col min="11522" max="11523" width="2.453125" style="49" customWidth="1"/>
    <col min="11524" max="11524" width="0" style="49" hidden="1" customWidth="1"/>
    <col min="11525" max="11527" width="12.453125" style="49" customWidth="1"/>
    <col min="11528" max="11528" width="12" style="49" customWidth="1"/>
    <col min="11529" max="11529" width="12.453125" style="49" customWidth="1"/>
    <col min="11530" max="11530" width="13.453125" style="49" customWidth="1"/>
    <col min="11531" max="11531" width="0" style="49" hidden="1" customWidth="1"/>
    <col min="11532" max="11534" width="13" style="49" customWidth="1"/>
    <col min="11535" max="11535" width="14.453125" style="49" customWidth="1"/>
    <col min="11536" max="11537" width="13.453125" style="49" customWidth="1"/>
    <col min="11538" max="11538" width="2.453125" style="49" customWidth="1"/>
    <col min="11539" max="11539" width="13.453125" style="49" customWidth="1"/>
    <col min="11540" max="11540" width="10.453125" style="49" customWidth="1"/>
    <col min="11541" max="11541" width="12" style="49" customWidth="1"/>
    <col min="11542" max="11542" width="11.453125" style="49" customWidth="1"/>
    <col min="11543" max="11543" width="16" style="49" customWidth="1"/>
    <col min="11544" max="11545" width="10.453125" style="49" customWidth="1"/>
    <col min="11546" max="11546" width="15.453125" style="49" customWidth="1"/>
    <col min="11547" max="11547" width="11.453125" style="49" customWidth="1"/>
    <col min="11548" max="11548" width="12" style="49" customWidth="1"/>
    <col min="11549" max="11549" width="11.453125" style="49" customWidth="1"/>
    <col min="11550" max="11550" width="12" style="49" customWidth="1"/>
    <col min="11551" max="11551" width="11.453125" style="49" customWidth="1"/>
    <col min="11552" max="11552" width="12.453125" style="49" customWidth="1"/>
    <col min="11553" max="11553" width="10.453125" style="49" customWidth="1"/>
    <col min="11554" max="11554" width="19" style="49" customWidth="1"/>
    <col min="11555" max="11555" width="13.453125" style="49" customWidth="1"/>
    <col min="11556" max="11556" width="18" style="49" customWidth="1"/>
    <col min="11557" max="11557" width="42.453125" style="49" customWidth="1"/>
    <col min="11558" max="11558" width="31" style="49" customWidth="1"/>
    <col min="11559" max="11559" width="35" style="49" customWidth="1"/>
    <col min="11560" max="11560" width="31" style="49" customWidth="1"/>
    <col min="11561" max="11561" width="35" style="49" customWidth="1"/>
    <col min="11562" max="11562" width="31" style="49" customWidth="1"/>
    <col min="11563" max="11563" width="37.453125" style="49" customWidth="1"/>
    <col min="11564" max="11564" width="11.453125" style="49" customWidth="1"/>
    <col min="11565" max="11565" width="54" style="49" customWidth="1"/>
    <col min="11566" max="11566" width="43.453125" style="49" customWidth="1"/>
    <col min="11567" max="11567" width="44.453125" style="49" customWidth="1"/>
    <col min="11568" max="11777" width="6.453125" style="49"/>
    <col min="11778" max="11779" width="2.453125" style="49" customWidth="1"/>
    <col min="11780" max="11780" width="0" style="49" hidden="1" customWidth="1"/>
    <col min="11781" max="11783" width="12.453125" style="49" customWidth="1"/>
    <col min="11784" max="11784" width="12" style="49" customWidth="1"/>
    <col min="11785" max="11785" width="12.453125" style="49" customWidth="1"/>
    <col min="11786" max="11786" width="13.453125" style="49" customWidth="1"/>
    <col min="11787" max="11787" width="0" style="49" hidden="1" customWidth="1"/>
    <col min="11788" max="11790" width="13" style="49" customWidth="1"/>
    <col min="11791" max="11791" width="14.453125" style="49" customWidth="1"/>
    <col min="11792" max="11793" width="13.453125" style="49" customWidth="1"/>
    <col min="11794" max="11794" width="2.453125" style="49" customWidth="1"/>
    <col min="11795" max="11795" width="13.453125" style="49" customWidth="1"/>
    <col min="11796" max="11796" width="10.453125" style="49" customWidth="1"/>
    <col min="11797" max="11797" width="12" style="49" customWidth="1"/>
    <col min="11798" max="11798" width="11.453125" style="49" customWidth="1"/>
    <col min="11799" max="11799" width="16" style="49" customWidth="1"/>
    <col min="11800" max="11801" width="10.453125" style="49" customWidth="1"/>
    <col min="11802" max="11802" width="15.453125" style="49" customWidth="1"/>
    <col min="11803" max="11803" width="11.453125" style="49" customWidth="1"/>
    <col min="11804" max="11804" width="12" style="49" customWidth="1"/>
    <col min="11805" max="11805" width="11.453125" style="49" customWidth="1"/>
    <col min="11806" max="11806" width="12" style="49" customWidth="1"/>
    <col min="11807" max="11807" width="11.453125" style="49" customWidth="1"/>
    <col min="11808" max="11808" width="12.453125" style="49" customWidth="1"/>
    <col min="11809" max="11809" width="10.453125" style="49" customWidth="1"/>
    <col min="11810" max="11810" width="19" style="49" customWidth="1"/>
    <col min="11811" max="11811" width="13.453125" style="49" customWidth="1"/>
    <col min="11812" max="11812" width="18" style="49" customWidth="1"/>
    <col min="11813" max="11813" width="42.453125" style="49" customWidth="1"/>
    <col min="11814" max="11814" width="31" style="49" customWidth="1"/>
    <col min="11815" max="11815" width="35" style="49" customWidth="1"/>
    <col min="11816" max="11816" width="31" style="49" customWidth="1"/>
    <col min="11817" max="11817" width="35" style="49" customWidth="1"/>
    <col min="11818" max="11818" width="31" style="49" customWidth="1"/>
    <col min="11819" max="11819" width="37.453125" style="49" customWidth="1"/>
    <col min="11820" max="11820" width="11.453125" style="49" customWidth="1"/>
    <col min="11821" max="11821" width="54" style="49" customWidth="1"/>
    <col min="11822" max="11822" width="43.453125" style="49" customWidth="1"/>
    <col min="11823" max="11823" width="44.453125" style="49" customWidth="1"/>
    <col min="11824" max="12033" width="6.453125" style="49"/>
    <col min="12034" max="12035" width="2.453125" style="49" customWidth="1"/>
    <col min="12036" max="12036" width="0" style="49" hidden="1" customWidth="1"/>
    <col min="12037" max="12039" width="12.453125" style="49" customWidth="1"/>
    <col min="12040" max="12040" width="12" style="49" customWidth="1"/>
    <col min="12041" max="12041" width="12.453125" style="49" customWidth="1"/>
    <col min="12042" max="12042" width="13.453125" style="49" customWidth="1"/>
    <col min="12043" max="12043" width="0" style="49" hidden="1" customWidth="1"/>
    <col min="12044" max="12046" width="13" style="49" customWidth="1"/>
    <col min="12047" max="12047" width="14.453125" style="49" customWidth="1"/>
    <col min="12048" max="12049" width="13.453125" style="49" customWidth="1"/>
    <col min="12050" max="12050" width="2.453125" style="49" customWidth="1"/>
    <col min="12051" max="12051" width="13.453125" style="49" customWidth="1"/>
    <col min="12052" max="12052" width="10.453125" style="49" customWidth="1"/>
    <col min="12053" max="12053" width="12" style="49" customWidth="1"/>
    <col min="12054" max="12054" width="11.453125" style="49" customWidth="1"/>
    <col min="12055" max="12055" width="16" style="49" customWidth="1"/>
    <col min="12056" max="12057" width="10.453125" style="49" customWidth="1"/>
    <col min="12058" max="12058" width="15.453125" style="49" customWidth="1"/>
    <col min="12059" max="12059" width="11.453125" style="49" customWidth="1"/>
    <col min="12060" max="12060" width="12" style="49" customWidth="1"/>
    <col min="12061" max="12061" width="11.453125" style="49" customWidth="1"/>
    <col min="12062" max="12062" width="12" style="49" customWidth="1"/>
    <col min="12063" max="12063" width="11.453125" style="49" customWidth="1"/>
    <col min="12064" max="12064" width="12.453125" style="49" customWidth="1"/>
    <col min="12065" max="12065" width="10.453125" style="49" customWidth="1"/>
    <col min="12066" max="12066" width="19" style="49" customWidth="1"/>
    <col min="12067" max="12067" width="13.453125" style="49" customWidth="1"/>
    <col min="12068" max="12068" width="18" style="49" customWidth="1"/>
    <col min="12069" max="12069" width="42.453125" style="49" customWidth="1"/>
    <col min="12070" max="12070" width="31" style="49" customWidth="1"/>
    <col min="12071" max="12071" width="35" style="49" customWidth="1"/>
    <col min="12072" max="12072" width="31" style="49" customWidth="1"/>
    <col min="12073" max="12073" width="35" style="49" customWidth="1"/>
    <col min="12074" max="12074" width="31" style="49" customWidth="1"/>
    <col min="12075" max="12075" width="37.453125" style="49" customWidth="1"/>
    <col min="12076" max="12076" width="11.453125" style="49" customWidth="1"/>
    <col min="12077" max="12077" width="54" style="49" customWidth="1"/>
    <col min="12078" max="12078" width="43.453125" style="49" customWidth="1"/>
    <col min="12079" max="12079" width="44.453125" style="49" customWidth="1"/>
    <col min="12080" max="12289" width="6.453125" style="49"/>
    <col min="12290" max="12291" width="2.453125" style="49" customWidth="1"/>
    <col min="12292" max="12292" width="0" style="49" hidden="1" customWidth="1"/>
    <col min="12293" max="12295" width="12.453125" style="49" customWidth="1"/>
    <col min="12296" max="12296" width="12" style="49" customWidth="1"/>
    <col min="12297" max="12297" width="12.453125" style="49" customWidth="1"/>
    <col min="12298" max="12298" width="13.453125" style="49" customWidth="1"/>
    <col min="12299" max="12299" width="0" style="49" hidden="1" customWidth="1"/>
    <col min="12300" max="12302" width="13" style="49" customWidth="1"/>
    <col min="12303" max="12303" width="14.453125" style="49" customWidth="1"/>
    <col min="12304" max="12305" width="13.453125" style="49" customWidth="1"/>
    <col min="12306" max="12306" width="2.453125" style="49" customWidth="1"/>
    <col min="12307" max="12307" width="13.453125" style="49" customWidth="1"/>
    <col min="12308" max="12308" width="10.453125" style="49" customWidth="1"/>
    <col min="12309" max="12309" width="12" style="49" customWidth="1"/>
    <col min="12310" max="12310" width="11.453125" style="49" customWidth="1"/>
    <col min="12311" max="12311" width="16" style="49" customWidth="1"/>
    <col min="12312" max="12313" width="10.453125" style="49" customWidth="1"/>
    <col min="12314" max="12314" width="15.453125" style="49" customWidth="1"/>
    <col min="12315" max="12315" width="11.453125" style="49" customWidth="1"/>
    <col min="12316" max="12316" width="12" style="49" customWidth="1"/>
    <col min="12317" max="12317" width="11.453125" style="49" customWidth="1"/>
    <col min="12318" max="12318" width="12" style="49" customWidth="1"/>
    <col min="12319" max="12319" width="11.453125" style="49" customWidth="1"/>
    <col min="12320" max="12320" width="12.453125" style="49" customWidth="1"/>
    <col min="12321" max="12321" width="10.453125" style="49" customWidth="1"/>
    <col min="12322" max="12322" width="19" style="49" customWidth="1"/>
    <col min="12323" max="12323" width="13.453125" style="49" customWidth="1"/>
    <col min="12324" max="12324" width="18" style="49" customWidth="1"/>
    <col min="12325" max="12325" width="42.453125" style="49" customWidth="1"/>
    <col min="12326" max="12326" width="31" style="49" customWidth="1"/>
    <col min="12327" max="12327" width="35" style="49" customWidth="1"/>
    <col min="12328" max="12328" width="31" style="49" customWidth="1"/>
    <col min="12329" max="12329" width="35" style="49" customWidth="1"/>
    <col min="12330" max="12330" width="31" style="49" customWidth="1"/>
    <col min="12331" max="12331" width="37.453125" style="49" customWidth="1"/>
    <col min="12332" max="12332" width="11.453125" style="49" customWidth="1"/>
    <col min="12333" max="12333" width="54" style="49" customWidth="1"/>
    <col min="12334" max="12334" width="43.453125" style="49" customWidth="1"/>
    <col min="12335" max="12335" width="44.453125" style="49" customWidth="1"/>
    <col min="12336" max="12545" width="6.453125" style="49"/>
    <col min="12546" max="12547" width="2.453125" style="49" customWidth="1"/>
    <col min="12548" max="12548" width="0" style="49" hidden="1" customWidth="1"/>
    <col min="12549" max="12551" width="12.453125" style="49" customWidth="1"/>
    <col min="12552" max="12552" width="12" style="49" customWidth="1"/>
    <col min="12553" max="12553" width="12.453125" style="49" customWidth="1"/>
    <col min="12554" max="12554" width="13.453125" style="49" customWidth="1"/>
    <col min="12555" max="12555" width="0" style="49" hidden="1" customWidth="1"/>
    <col min="12556" max="12558" width="13" style="49" customWidth="1"/>
    <col min="12559" max="12559" width="14.453125" style="49" customWidth="1"/>
    <col min="12560" max="12561" width="13.453125" style="49" customWidth="1"/>
    <col min="12562" max="12562" width="2.453125" style="49" customWidth="1"/>
    <col min="12563" max="12563" width="13.453125" style="49" customWidth="1"/>
    <col min="12564" max="12564" width="10.453125" style="49" customWidth="1"/>
    <col min="12565" max="12565" width="12" style="49" customWidth="1"/>
    <col min="12566" max="12566" width="11.453125" style="49" customWidth="1"/>
    <col min="12567" max="12567" width="16" style="49" customWidth="1"/>
    <col min="12568" max="12569" width="10.453125" style="49" customWidth="1"/>
    <col min="12570" max="12570" width="15.453125" style="49" customWidth="1"/>
    <col min="12571" max="12571" width="11.453125" style="49" customWidth="1"/>
    <col min="12572" max="12572" width="12" style="49" customWidth="1"/>
    <col min="12573" max="12573" width="11.453125" style="49" customWidth="1"/>
    <col min="12574" max="12574" width="12" style="49" customWidth="1"/>
    <col min="12575" max="12575" width="11.453125" style="49" customWidth="1"/>
    <col min="12576" max="12576" width="12.453125" style="49" customWidth="1"/>
    <col min="12577" max="12577" width="10.453125" style="49" customWidth="1"/>
    <col min="12578" max="12578" width="19" style="49" customWidth="1"/>
    <col min="12579" max="12579" width="13.453125" style="49" customWidth="1"/>
    <col min="12580" max="12580" width="18" style="49" customWidth="1"/>
    <col min="12581" max="12581" width="42.453125" style="49" customWidth="1"/>
    <col min="12582" max="12582" width="31" style="49" customWidth="1"/>
    <col min="12583" max="12583" width="35" style="49" customWidth="1"/>
    <col min="12584" max="12584" width="31" style="49" customWidth="1"/>
    <col min="12585" max="12585" width="35" style="49" customWidth="1"/>
    <col min="12586" max="12586" width="31" style="49" customWidth="1"/>
    <col min="12587" max="12587" width="37.453125" style="49" customWidth="1"/>
    <col min="12588" max="12588" width="11.453125" style="49" customWidth="1"/>
    <col min="12589" max="12589" width="54" style="49" customWidth="1"/>
    <col min="12590" max="12590" width="43.453125" style="49" customWidth="1"/>
    <col min="12591" max="12591" width="44.453125" style="49" customWidth="1"/>
    <col min="12592" max="12801" width="6.453125" style="49"/>
    <col min="12802" max="12803" width="2.453125" style="49" customWidth="1"/>
    <col min="12804" max="12804" width="0" style="49" hidden="1" customWidth="1"/>
    <col min="12805" max="12807" width="12.453125" style="49" customWidth="1"/>
    <col min="12808" max="12808" width="12" style="49" customWidth="1"/>
    <col min="12809" max="12809" width="12.453125" style="49" customWidth="1"/>
    <col min="12810" max="12810" width="13.453125" style="49" customWidth="1"/>
    <col min="12811" max="12811" width="0" style="49" hidden="1" customWidth="1"/>
    <col min="12812" max="12814" width="13" style="49" customWidth="1"/>
    <col min="12815" max="12815" width="14.453125" style="49" customWidth="1"/>
    <col min="12816" max="12817" width="13.453125" style="49" customWidth="1"/>
    <col min="12818" max="12818" width="2.453125" style="49" customWidth="1"/>
    <col min="12819" max="12819" width="13.453125" style="49" customWidth="1"/>
    <col min="12820" max="12820" width="10.453125" style="49" customWidth="1"/>
    <col min="12821" max="12821" width="12" style="49" customWidth="1"/>
    <col min="12822" max="12822" width="11.453125" style="49" customWidth="1"/>
    <col min="12823" max="12823" width="16" style="49" customWidth="1"/>
    <col min="12824" max="12825" width="10.453125" style="49" customWidth="1"/>
    <col min="12826" max="12826" width="15.453125" style="49" customWidth="1"/>
    <col min="12827" max="12827" width="11.453125" style="49" customWidth="1"/>
    <col min="12828" max="12828" width="12" style="49" customWidth="1"/>
    <col min="12829" max="12829" width="11.453125" style="49" customWidth="1"/>
    <col min="12830" max="12830" width="12" style="49" customWidth="1"/>
    <col min="12831" max="12831" width="11.453125" style="49" customWidth="1"/>
    <col min="12832" max="12832" width="12.453125" style="49" customWidth="1"/>
    <col min="12833" max="12833" width="10.453125" style="49" customWidth="1"/>
    <col min="12834" max="12834" width="19" style="49" customWidth="1"/>
    <col min="12835" max="12835" width="13.453125" style="49" customWidth="1"/>
    <col min="12836" max="12836" width="18" style="49" customWidth="1"/>
    <col min="12837" max="12837" width="42.453125" style="49" customWidth="1"/>
    <col min="12838" max="12838" width="31" style="49" customWidth="1"/>
    <col min="12839" max="12839" width="35" style="49" customWidth="1"/>
    <col min="12840" max="12840" width="31" style="49" customWidth="1"/>
    <col min="12841" max="12841" width="35" style="49" customWidth="1"/>
    <col min="12842" max="12842" width="31" style="49" customWidth="1"/>
    <col min="12843" max="12843" width="37.453125" style="49" customWidth="1"/>
    <col min="12844" max="12844" width="11.453125" style="49" customWidth="1"/>
    <col min="12845" max="12845" width="54" style="49" customWidth="1"/>
    <col min="12846" max="12846" width="43.453125" style="49" customWidth="1"/>
    <col min="12847" max="12847" width="44.453125" style="49" customWidth="1"/>
    <col min="12848" max="13057" width="6.453125" style="49"/>
    <col min="13058" max="13059" width="2.453125" style="49" customWidth="1"/>
    <col min="13060" max="13060" width="0" style="49" hidden="1" customWidth="1"/>
    <col min="13061" max="13063" width="12.453125" style="49" customWidth="1"/>
    <col min="13064" max="13064" width="12" style="49" customWidth="1"/>
    <col min="13065" max="13065" width="12.453125" style="49" customWidth="1"/>
    <col min="13066" max="13066" width="13.453125" style="49" customWidth="1"/>
    <col min="13067" max="13067" width="0" style="49" hidden="1" customWidth="1"/>
    <col min="13068" max="13070" width="13" style="49" customWidth="1"/>
    <col min="13071" max="13071" width="14.453125" style="49" customWidth="1"/>
    <col min="13072" max="13073" width="13.453125" style="49" customWidth="1"/>
    <col min="13074" max="13074" width="2.453125" style="49" customWidth="1"/>
    <col min="13075" max="13075" width="13.453125" style="49" customWidth="1"/>
    <col min="13076" max="13076" width="10.453125" style="49" customWidth="1"/>
    <col min="13077" max="13077" width="12" style="49" customWidth="1"/>
    <col min="13078" max="13078" width="11.453125" style="49" customWidth="1"/>
    <col min="13079" max="13079" width="16" style="49" customWidth="1"/>
    <col min="13080" max="13081" width="10.453125" style="49" customWidth="1"/>
    <col min="13082" max="13082" width="15.453125" style="49" customWidth="1"/>
    <col min="13083" max="13083" width="11.453125" style="49" customWidth="1"/>
    <col min="13084" max="13084" width="12" style="49" customWidth="1"/>
    <col min="13085" max="13085" width="11.453125" style="49" customWidth="1"/>
    <col min="13086" max="13086" width="12" style="49" customWidth="1"/>
    <col min="13087" max="13087" width="11.453125" style="49" customWidth="1"/>
    <col min="13088" max="13088" width="12.453125" style="49" customWidth="1"/>
    <col min="13089" max="13089" width="10.453125" style="49" customWidth="1"/>
    <col min="13090" max="13090" width="19" style="49" customWidth="1"/>
    <col min="13091" max="13091" width="13.453125" style="49" customWidth="1"/>
    <col min="13092" max="13092" width="18" style="49" customWidth="1"/>
    <col min="13093" max="13093" width="42.453125" style="49" customWidth="1"/>
    <col min="13094" max="13094" width="31" style="49" customWidth="1"/>
    <col min="13095" max="13095" width="35" style="49" customWidth="1"/>
    <col min="13096" max="13096" width="31" style="49" customWidth="1"/>
    <col min="13097" max="13097" width="35" style="49" customWidth="1"/>
    <col min="13098" max="13098" width="31" style="49" customWidth="1"/>
    <col min="13099" max="13099" width="37.453125" style="49" customWidth="1"/>
    <col min="13100" max="13100" width="11.453125" style="49" customWidth="1"/>
    <col min="13101" max="13101" width="54" style="49" customWidth="1"/>
    <col min="13102" max="13102" width="43.453125" style="49" customWidth="1"/>
    <col min="13103" max="13103" width="44.453125" style="49" customWidth="1"/>
    <col min="13104" max="13313" width="6.453125" style="49"/>
    <col min="13314" max="13315" width="2.453125" style="49" customWidth="1"/>
    <col min="13316" max="13316" width="0" style="49" hidden="1" customWidth="1"/>
    <col min="13317" max="13319" width="12.453125" style="49" customWidth="1"/>
    <col min="13320" max="13320" width="12" style="49" customWidth="1"/>
    <col min="13321" max="13321" width="12.453125" style="49" customWidth="1"/>
    <col min="13322" max="13322" width="13.453125" style="49" customWidth="1"/>
    <col min="13323" max="13323" width="0" style="49" hidden="1" customWidth="1"/>
    <col min="13324" max="13326" width="13" style="49" customWidth="1"/>
    <col min="13327" max="13327" width="14.453125" style="49" customWidth="1"/>
    <col min="13328" max="13329" width="13.453125" style="49" customWidth="1"/>
    <col min="13330" max="13330" width="2.453125" style="49" customWidth="1"/>
    <col min="13331" max="13331" width="13.453125" style="49" customWidth="1"/>
    <col min="13332" max="13332" width="10.453125" style="49" customWidth="1"/>
    <col min="13333" max="13333" width="12" style="49" customWidth="1"/>
    <col min="13334" max="13334" width="11.453125" style="49" customWidth="1"/>
    <col min="13335" max="13335" width="16" style="49" customWidth="1"/>
    <col min="13336" max="13337" width="10.453125" style="49" customWidth="1"/>
    <col min="13338" max="13338" width="15.453125" style="49" customWidth="1"/>
    <col min="13339" max="13339" width="11.453125" style="49" customWidth="1"/>
    <col min="13340" max="13340" width="12" style="49" customWidth="1"/>
    <col min="13341" max="13341" width="11.453125" style="49" customWidth="1"/>
    <col min="13342" max="13342" width="12" style="49" customWidth="1"/>
    <col min="13343" max="13343" width="11.453125" style="49" customWidth="1"/>
    <col min="13344" max="13344" width="12.453125" style="49" customWidth="1"/>
    <col min="13345" max="13345" width="10.453125" style="49" customWidth="1"/>
    <col min="13346" max="13346" width="19" style="49" customWidth="1"/>
    <col min="13347" max="13347" width="13.453125" style="49" customWidth="1"/>
    <col min="13348" max="13348" width="18" style="49" customWidth="1"/>
    <col min="13349" max="13349" width="42.453125" style="49" customWidth="1"/>
    <col min="13350" max="13350" width="31" style="49" customWidth="1"/>
    <col min="13351" max="13351" width="35" style="49" customWidth="1"/>
    <col min="13352" max="13352" width="31" style="49" customWidth="1"/>
    <col min="13353" max="13353" width="35" style="49" customWidth="1"/>
    <col min="13354" max="13354" width="31" style="49" customWidth="1"/>
    <col min="13355" max="13355" width="37.453125" style="49" customWidth="1"/>
    <col min="13356" max="13356" width="11.453125" style="49" customWidth="1"/>
    <col min="13357" max="13357" width="54" style="49" customWidth="1"/>
    <col min="13358" max="13358" width="43.453125" style="49" customWidth="1"/>
    <col min="13359" max="13359" width="44.453125" style="49" customWidth="1"/>
    <col min="13360" max="13569" width="6.453125" style="49"/>
    <col min="13570" max="13571" width="2.453125" style="49" customWidth="1"/>
    <col min="13572" max="13572" width="0" style="49" hidden="1" customWidth="1"/>
    <col min="13573" max="13575" width="12.453125" style="49" customWidth="1"/>
    <col min="13576" max="13576" width="12" style="49" customWidth="1"/>
    <col min="13577" max="13577" width="12.453125" style="49" customWidth="1"/>
    <col min="13578" max="13578" width="13.453125" style="49" customWidth="1"/>
    <col min="13579" max="13579" width="0" style="49" hidden="1" customWidth="1"/>
    <col min="13580" max="13582" width="13" style="49" customWidth="1"/>
    <col min="13583" max="13583" width="14.453125" style="49" customWidth="1"/>
    <col min="13584" max="13585" width="13.453125" style="49" customWidth="1"/>
    <col min="13586" max="13586" width="2.453125" style="49" customWidth="1"/>
    <col min="13587" max="13587" width="13.453125" style="49" customWidth="1"/>
    <col min="13588" max="13588" width="10.453125" style="49" customWidth="1"/>
    <col min="13589" max="13589" width="12" style="49" customWidth="1"/>
    <col min="13590" max="13590" width="11.453125" style="49" customWidth="1"/>
    <col min="13591" max="13591" width="16" style="49" customWidth="1"/>
    <col min="13592" max="13593" width="10.453125" style="49" customWidth="1"/>
    <col min="13594" max="13594" width="15.453125" style="49" customWidth="1"/>
    <col min="13595" max="13595" width="11.453125" style="49" customWidth="1"/>
    <col min="13596" max="13596" width="12" style="49" customWidth="1"/>
    <col min="13597" max="13597" width="11.453125" style="49" customWidth="1"/>
    <col min="13598" max="13598" width="12" style="49" customWidth="1"/>
    <col min="13599" max="13599" width="11.453125" style="49" customWidth="1"/>
    <col min="13600" max="13600" width="12.453125" style="49" customWidth="1"/>
    <col min="13601" max="13601" width="10.453125" style="49" customWidth="1"/>
    <col min="13602" max="13602" width="19" style="49" customWidth="1"/>
    <col min="13603" max="13603" width="13.453125" style="49" customWidth="1"/>
    <col min="13604" max="13604" width="18" style="49" customWidth="1"/>
    <col min="13605" max="13605" width="42.453125" style="49" customWidth="1"/>
    <col min="13606" max="13606" width="31" style="49" customWidth="1"/>
    <col min="13607" max="13607" width="35" style="49" customWidth="1"/>
    <col min="13608" max="13608" width="31" style="49" customWidth="1"/>
    <col min="13609" max="13609" width="35" style="49" customWidth="1"/>
    <col min="13610" max="13610" width="31" style="49" customWidth="1"/>
    <col min="13611" max="13611" width="37.453125" style="49" customWidth="1"/>
    <col min="13612" max="13612" width="11.453125" style="49" customWidth="1"/>
    <col min="13613" max="13613" width="54" style="49" customWidth="1"/>
    <col min="13614" max="13614" width="43.453125" style="49" customWidth="1"/>
    <col min="13615" max="13615" width="44.453125" style="49" customWidth="1"/>
    <col min="13616" max="13825" width="6.453125" style="49"/>
    <col min="13826" max="13827" width="2.453125" style="49" customWidth="1"/>
    <col min="13828" max="13828" width="0" style="49" hidden="1" customWidth="1"/>
    <col min="13829" max="13831" width="12.453125" style="49" customWidth="1"/>
    <col min="13832" max="13832" width="12" style="49" customWidth="1"/>
    <col min="13833" max="13833" width="12.453125" style="49" customWidth="1"/>
    <col min="13834" max="13834" width="13.453125" style="49" customWidth="1"/>
    <col min="13835" max="13835" width="0" style="49" hidden="1" customWidth="1"/>
    <col min="13836" max="13838" width="13" style="49" customWidth="1"/>
    <col min="13839" max="13839" width="14.453125" style="49" customWidth="1"/>
    <col min="13840" max="13841" width="13.453125" style="49" customWidth="1"/>
    <col min="13842" max="13842" width="2.453125" style="49" customWidth="1"/>
    <col min="13843" max="13843" width="13.453125" style="49" customWidth="1"/>
    <col min="13844" max="13844" width="10.453125" style="49" customWidth="1"/>
    <col min="13845" max="13845" width="12" style="49" customWidth="1"/>
    <col min="13846" max="13846" width="11.453125" style="49" customWidth="1"/>
    <col min="13847" max="13847" width="16" style="49" customWidth="1"/>
    <col min="13848" max="13849" width="10.453125" style="49" customWidth="1"/>
    <col min="13850" max="13850" width="15.453125" style="49" customWidth="1"/>
    <col min="13851" max="13851" width="11.453125" style="49" customWidth="1"/>
    <col min="13852" max="13852" width="12" style="49" customWidth="1"/>
    <col min="13853" max="13853" width="11.453125" style="49" customWidth="1"/>
    <col min="13854" max="13854" width="12" style="49" customWidth="1"/>
    <col min="13855" max="13855" width="11.453125" style="49" customWidth="1"/>
    <col min="13856" max="13856" width="12.453125" style="49" customWidth="1"/>
    <col min="13857" max="13857" width="10.453125" style="49" customWidth="1"/>
    <col min="13858" max="13858" width="19" style="49" customWidth="1"/>
    <col min="13859" max="13859" width="13.453125" style="49" customWidth="1"/>
    <col min="13860" max="13860" width="18" style="49" customWidth="1"/>
    <col min="13861" max="13861" width="42.453125" style="49" customWidth="1"/>
    <col min="13862" max="13862" width="31" style="49" customWidth="1"/>
    <col min="13863" max="13863" width="35" style="49" customWidth="1"/>
    <col min="13864" max="13864" width="31" style="49" customWidth="1"/>
    <col min="13865" max="13865" width="35" style="49" customWidth="1"/>
    <col min="13866" max="13866" width="31" style="49" customWidth="1"/>
    <col min="13867" max="13867" width="37.453125" style="49" customWidth="1"/>
    <col min="13868" max="13868" width="11.453125" style="49" customWidth="1"/>
    <col min="13869" max="13869" width="54" style="49" customWidth="1"/>
    <col min="13870" max="13870" width="43.453125" style="49" customWidth="1"/>
    <col min="13871" max="13871" width="44.453125" style="49" customWidth="1"/>
    <col min="13872" max="14081" width="6.453125" style="49"/>
    <col min="14082" max="14083" width="2.453125" style="49" customWidth="1"/>
    <col min="14084" max="14084" width="0" style="49" hidden="1" customWidth="1"/>
    <col min="14085" max="14087" width="12.453125" style="49" customWidth="1"/>
    <col min="14088" max="14088" width="12" style="49" customWidth="1"/>
    <col min="14089" max="14089" width="12.453125" style="49" customWidth="1"/>
    <col min="14090" max="14090" width="13.453125" style="49" customWidth="1"/>
    <col min="14091" max="14091" width="0" style="49" hidden="1" customWidth="1"/>
    <col min="14092" max="14094" width="13" style="49" customWidth="1"/>
    <col min="14095" max="14095" width="14.453125" style="49" customWidth="1"/>
    <col min="14096" max="14097" width="13.453125" style="49" customWidth="1"/>
    <col min="14098" max="14098" width="2.453125" style="49" customWidth="1"/>
    <col min="14099" max="14099" width="13.453125" style="49" customWidth="1"/>
    <col min="14100" max="14100" width="10.453125" style="49" customWidth="1"/>
    <col min="14101" max="14101" width="12" style="49" customWidth="1"/>
    <col min="14102" max="14102" width="11.453125" style="49" customWidth="1"/>
    <col min="14103" max="14103" width="16" style="49" customWidth="1"/>
    <col min="14104" max="14105" width="10.453125" style="49" customWidth="1"/>
    <col min="14106" max="14106" width="15.453125" style="49" customWidth="1"/>
    <col min="14107" max="14107" width="11.453125" style="49" customWidth="1"/>
    <col min="14108" max="14108" width="12" style="49" customWidth="1"/>
    <col min="14109" max="14109" width="11.453125" style="49" customWidth="1"/>
    <col min="14110" max="14110" width="12" style="49" customWidth="1"/>
    <col min="14111" max="14111" width="11.453125" style="49" customWidth="1"/>
    <col min="14112" max="14112" width="12.453125" style="49" customWidth="1"/>
    <col min="14113" max="14113" width="10.453125" style="49" customWidth="1"/>
    <col min="14114" max="14114" width="19" style="49" customWidth="1"/>
    <col min="14115" max="14115" width="13.453125" style="49" customWidth="1"/>
    <col min="14116" max="14116" width="18" style="49" customWidth="1"/>
    <col min="14117" max="14117" width="42.453125" style="49" customWidth="1"/>
    <col min="14118" max="14118" width="31" style="49" customWidth="1"/>
    <col min="14119" max="14119" width="35" style="49" customWidth="1"/>
    <col min="14120" max="14120" width="31" style="49" customWidth="1"/>
    <col min="14121" max="14121" width="35" style="49" customWidth="1"/>
    <col min="14122" max="14122" width="31" style="49" customWidth="1"/>
    <col min="14123" max="14123" width="37.453125" style="49" customWidth="1"/>
    <col min="14124" max="14124" width="11.453125" style="49" customWidth="1"/>
    <col min="14125" max="14125" width="54" style="49" customWidth="1"/>
    <col min="14126" max="14126" width="43.453125" style="49" customWidth="1"/>
    <col min="14127" max="14127" width="44.453125" style="49" customWidth="1"/>
    <col min="14128" max="14337" width="6.453125" style="49"/>
    <col min="14338" max="14339" width="2.453125" style="49" customWidth="1"/>
    <col min="14340" max="14340" width="0" style="49" hidden="1" customWidth="1"/>
    <col min="14341" max="14343" width="12.453125" style="49" customWidth="1"/>
    <col min="14344" max="14344" width="12" style="49" customWidth="1"/>
    <col min="14345" max="14345" width="12.453125" style="49" customWidth="1"/>
    <col min="14346" max="14346" width="13.453125" style="49" customWidth="1"/>
    <col min="14347" max="14347" width="0" style="49" hidden="1" customWidth="1"/>
    <col min="14348" max="14350" width="13" style="49" customWidth="1"/>
    <col min="14351" max="14351" width="14.453125" style="49" customWidth="1"/>
    <col min="14352" max="14353" width="13.453125" style="49" customWidth="1"/>
    <col min="14354" max="14354" width="2.453125" style="49" customWidth="1"/>
    <col min="14355" max="14355" width="13.453125" style="49" customWidth="1"/>
    <col min="14356" max="14356" width="10.453125" style="49" customWidth="1"/>
    <col min="14357" max="14357" width="12" style="49" customWidth="1"/>
    <col min="14358" max="14358" width="11.453125" style="49" customWidth="1"/>
    <col min="14359" max="14359" width="16" style="49" customWidth="1"/>
    <col min="14360" max="14361" width="10.453125" style="49" customWidth="1"/>
    <col min="14362" max="14362" width="15.453125" style="49" customWidth="1"/>
    <col min="14363" max="14363" width="11.453125" style="49" customWidth="1"/>
    <col min="14364" max="14364" width="12" style="49" customWidth="1"/>
    <col min="14365" max="14365" width="11.453125" style="49" customWidth="1"/>
    <col min="14366" max="14366" width="12" style="49" customWidth="1"/>
    <col min="14367" max="14367" width="11.453125" style="49" customWidth="1"/>
    <col min="14368" max="14368" width="12.453125" style="49" customWidth="1"/>
    <col min="14369" max="14369" width="10.453125" style="49" customWidth="1"/>
    <col min="14370" max="14370" width="19" style="49" customWidth="1"/>
    <col min="14371" max="14371" width="13.453125" style="49" customWidth="1"/>
    <col min="14372" max="14372" width="18" style="49" customWidth="1"/>
    <col min="14373" max="14373" width="42.453125" style="49" customWidth="1"/>
    <col min="14374" max="14374" width="31" style="49" customWidth="1"/>
    <col min="14375" max="14375" width="35" style="49" customWidth="1"/>
    <col min="14376" max="14376" width="31" style="49" customWidth="1"/>
    <col min="14377" max="14377" width="35" style="49" customWidth="1"/>
    <col min="14378" max="14378" width="31" style="49" customWidth="1"/>
    <col min="14379" max="14379" width="37.453125" style="49" customWidth="1"/>
    <col min="14380" max="14380" width="11.453125" style="49" customWidth="1"/>
    <col min="14381" max="14381" width="54" style="49" customWidth="1"/>
    <col min="14382" max="14382" width="43.453125" style="49" customWidth="1"/>
    <col min="14383" max="14383" width="44.453125" style="49" customWidth="1"/>
    <col min="14384" max="14593" width="6.453125" style="49"/>
    <col min="14594" max="14595" width="2.453125" style="49" customWidth="1"/>
    <col min="14596" max="14596" width="0" style="49" hidden="1" customWidth="1"/>
    <col min="14597" max="14599" width="12.453125" style="49" customWidth="1"/>
    <col min="14600" max="14600" width="12" style="49" customWidth="1"/>
    <col min="14601" max="14601" width="12.453125" style="49" customWidth="1"/>
    <col min="14602" max="14602" width="13.453125" style="49" customWidth="1"/>
    <col min="14603" max="14603" width="0" style="49" hidden="1" customWidth="1"/>
    <col min="14604" max="14606" width="13" style="49" customWidth="1"/>
    <col min="14607" max="14607" width="14.453125" style="49" customWidth="1"/>
    <col min="14608" max="14609" width="13.453125" style="49" customWidth="1"/>
    <col min="14610" max="14610" width="2.453125" style="49" customWidth="1"/>
    <col min="14611" max="14611" width="13.453125" style="49" customWidth="1"/>
    <col min="14612" max="14612" width="10.453125" style="49" customWidth="1"/>
    <col min="14613" max="14613" width="12" style="49" customWidth="1"/>
    <col min="14614" max="14614" width="11.453125" style="49" customWidth="1"/>
    <col min="14615" max="14615" width="16" style="49" customWidth="1"/>
    <col min="14616" max="14617" width="10.453125" style="49" customWidth="1"/>
    <col min="14618" max="14618" width="15.453125" style="49" customWidth="1"/>
    <col min="14619" max="14619" width="11.453125" style="49" customWidth="1"/>
    <col min="14620" max="14620" width="12" style="49" customWidth="1"/>
    <col min="14621" max="14621" width="11.453125" style="49" customWidth="1"/>
    <col min="14622" max="14622" width="12" style="49" customWidth="1"/>
    <col min="14623" max="14623" width="11.453125" style="49" customWidth="1"/>
    <col min="14624" max="14624" width="12.453125" style="49" customWidth="1"/>
    <col min="14625" max="14625" width="10.453125" style="49" customWidth="1"/>
    <col min="14626" max="14626" width="19" style="49" customWidth="1"/>
    <col min="14627" max="14627" width="13.453125" style="49" customWidth="1"/>
    <col min="14628" max="14628" width="18" style="49" customWidth="1"/>
    <col min="14629" max="14629" width="42.453125" style="49" customWidth="1"/>
    <col min="14630" max="14630" width="31" style="49" customWidth="1"/>
    <col min="14631" max="14631" width="35" style="49" customWidth="1"/>
    <col min="14632" max="14632" width="31" style="49" customWidth="1"/>
    <col min="14633" max="14633" width="35" style="49" customWidth="1"/>
    <col min="14634" max="14634" width="31" style="49" customWidth="1"/>
    <col min="14635" max="14635" width="37.453125" style="49" customWidth="1"/>
    <col min="14636" max="14636" width="11.453125" style="49" customWidth="1"/>
    <col min="14637" max="14637" width="54" style="49" customWidth="1"/>
    <col min="14638" max="14638" width="43.453125" style="49" customWidth="1"/>
    <col min="14639" max="14639" width="44.453125" style="49" customWidth="1"/>
    <col min="14640" max="14849" width="6.453125" style="49"/>
    <col min="14850" max="14851" width="2.453125" style="49" customWidth="1"/>
    <col min="14852" max="14852" width="0" style="49" hidden="1" customWidth="1"/>
    <col min="14853" max="14855" width="12.453125" style="49" customWidth="1"/>
    <col min="14856" max="14856" width="12" style="49" customWidth="1"/>
    <col min="14857" max="14857" width="12.453125" style="49" customWidth="1"/>
    <col min="14858" max="14858" width="13.453125" style="49" customWidth="1"/>
    <col min="14859" max="14859" width="0" style="49" hidden="1" customWidth="1"/>
    <col min="14860" max="14862" width="13" style="49" customWidth="1"/>
    <col min="14863" max="14863" width="14.453125" style="49" customWidth="1"/>
    <col min="14864" max="14865" width="13.453125" style="49" customWidth="1"/>
    <col min="14866" max="14866" width="2.453125" style="49" customWidth="1"/>
    <col min="14867" max="14867" width="13.453125" style="49" customWidth="1"/>
    <col min="14868" max="14868" width="10.453125" style="49" customWidth="1"/>
    <col min="14869" max="14869" width="12" style="49" customWidth="1"/>
    <col min="14870" max="14870" width="11.453125" style="49" customWidth="1"/>
    <col min="14871" max="14871" width="16" style="49" customWidth="1"/>
    <col min="14872" max="14873" width="10.453125" style="49" customWidth="1"/>
    <col min="14874" max="14874" width="15.453125" style="49" customWidth="1"/>
    <col min="14875" max="14875" width="11.453125" style="49" customWidth="1"/>
    <col min="14876" max="14876" width="12" style="49" customWidth="1"/>
    <col min="14877" max="14877" width="11.453125" style="49" customWidth="1"/>
    <col min="14878" max="14878" width="12" style="49" customWidth="1"/>
    <col min="14879" max="14879" width="11.453125" style="49" customWidth="1"/>
    <col min="14880" max="14880" width="12.453125" style="49" customWidth="1"/>
    <col min="14881" max="14881" width="10.453125" style="49" customWidth="1"/>
    <col min="14882" max="14882" width="19" style="49" customWidth="1"/>
    <col min="14883" max="14883" width="13.453125" style="49" customWidth="1"/>
    <col min="14884" max="14884" width="18" style="49" customWidth="1"/>
    <col min="14885" max="14885" width="42.453125" style="49" customWidth="1"/>
    <col min="14886" max="14886" width="31" style="49" customWidth="1"/>
    <col min="14887" max="14887" width="35" style="49" customWidth="1"/>
    <col min="14888" max="14888" width="31" style="49" customWidth="1"/>
    <col min="14889" max="14889" width="35" style="49" customWidth="1"/>
    <col min="14890" max="14890" width="31" style="49" customWidth="1"/>
    <col min="14891" max="14891" width="37.453125" style="49" customWidth="1"/>
    <col min="14892" max="14892" width="11.453125" style="49" customWidth="1"/>
    <col min="14893" max="14893" width="54" style="49" customWidth="1"/>
    <col min="14894" max="14894" width="43.453125" style="49" customWidth="1"/>
    <col min="14895" max="14895" width="44.453125" style="49" customWidth="1"/>
    <col min="14896" max="15105" width="6.453125" style="49"/>
    <col min="15106" max="15107" width="2.453125" style="49" customWidth="1"/>
    <col min="15108" max="15108" width="0" style="49" hidden="1" customWidth="1"/>
    <col min="15109" max="15111" width="12.453125" style="49" customWidth="1"/>
    <col min="15112" max="15112" width="12" style="49" customWidth="1"/>
    <col min="15113" max="15113" width="12.453125" style="49" customWidth="1"/>
    <col min="15114" max="15114" width="13.453125" style="49" customWidth="1"/>
    <col min="15115" max="15115" width="0" style="49" hidden="1" customWidth="1"/>
    <col min="15116" max="15118" width="13" style="49" customWidth="1"/>
    <col min="15119" max="15119" width="14.453125" style="49" customWidth="1"/>
    <col min="15120" max="15121" width="13.453125" style="49" customWidth="1"/>
    <col min="15122" max="15122" width="2.453125" style="49" customWidth="1"/>
    <col min="15123" max="15123" width="13.453125" style="49" customWidth="1"/>
    <col min="15124" max="15124" width="10.453125" style="49" customWidth="1"/>
    <col min="15125" max="15125" width="12" style="49" customWidth="1"/>
    <col min="15126" max="15126" width="11.453125" style="49" customWidth="1"/>
    <col min="15127" max="15127" width="16" style="49" customWidth="1"/>
    <col min="15128" max="15129" width="10.453125" style="49" customWidth="1"/>
    <col min="15130" max="15130" width="15.453125" style="49" customWidth="1"/>
    <col min="15131" max="15131" width="11.453125" style="49" customWidth="1"/>
    <col min="15132" max="15132" width="12" style="49" customWidth="1"/>
    <col min="15133" max="15133" width="11.453125" style="49" customWidth="1"/>
    <col min="15134" max="15134" width="12" style="49" customWidth="1"/>
    <col min="15135" max="15135" width="11.453125" style="49" customWidth="1"/>
    <col min="15136" max="15136" width="12.453125" style="49" customWidth="1"/>
    <col min="15137" max="15137" width="10.453125" style="49" customWidth="1"/>
    <col min="15138" max="15138" width="19" style="49" customWidth="1"/>
    <col min="15139" max="15139" width="13.453125" style="49" customWidth="1"/>
    <col min="15140" max="15140" width="18" style="49" customWidth="1"/>
    <col min="15141" max="15141" width="42.453125" style="49" customWidth="1"/>
    <col min="15142" max="15142" width="31" style="49" customWidth="1"/>
    <col min="15143" max="15143" width="35" style="49" customWidth="1"/>
    <col min="15144" max="15144" width="31" style="49" customWidth="1"/>
    <col min="15145" max="15145" width="35" style="49" customWidth="1"/>
    <col min="15146" max="15146" width="31" style="49" customWidth="1"/>
    <col min="15147" max="15147" width="37.453125" style="49" customWidth="1"/>
    <col min="15148" max="15148" width="11.453125" style="49" customWidth="1"/>
    <col min="15149" max="15149" width="54" style="49" customWidth="1"/>
    <col min="15150" max="15150" width="43.453125" style="49" customWidth="1"/>
    <col min="15151" max="15151" width="44.453125" style="49" customWidth="1"/>
    <col min="15152" max="15361" width="6.453125" style="49"/>
    <col min="15362" max="15363" width="2.453125" style="49" customWidth="1"/>
    <col min="15364" max="15364" width="0" style="49" hidden="1" customWidth="1"/>
    <col min="15365" max="15367" width="12.453125" style="49" customWidth="1"/>
    <col min="15368" max="15368" width="12" style="49" customWidth="1"/>
    <col min="15369" max="15369" width="12.453125" style="49" customWidth="1"/>
    <col min="15370" max="15370" width="13.453125" style="49" customWidth="1"/>
    <col min="15371" max="15371" width="0" style="49" hidden="1" customWidth="1"/>
    <col min="15372" max="15374" width="13" style="49" customWidth="1"/>
    <col min="15375" max="15375" width="14.453125" style="49" customWidth="1"/>
    <col min="15376" max="15377" width="13.453125" style="49" customWidth="1"/>
    <col min="15378" max="15378" width="2.453125" style="49" customWidth="1"/>
    <col min="15379" max="15379" width="13.453125" style="49" customWidth="1"/>
    <col min="15380" max="15380" width="10.453125" style="49" customWidth="1"/>
    <col min="15381" max="15381" width="12" style="49" customWidth="1"/>
    <col min="15382" max="15382" width="11.453125" style="49" customWidth="1"/>
    <col min="15383" max="15383" width="16" style="49" customWidth="1"/>
    <col min="15384" max="15385" width="10.453125" style="49" customWidth="1"/>
    <col min="15386" max="15386" width="15.453125" style="49" customWidth="1"/>
    <col min="15387" max="15387" width="11.453125" style="49" customWidth="1"/>
    <col min="15388" max="15388" width="12" style="49" customWidth="1"/>
    <col min="15389" max="15389" width="11.453125" style="49" customWidth="1"/>
    <col min="15390" max="15390" width="12" style="49" customWidth="1"/>
    <col min="15391" max="15391" width="11.453125" style="49" customWidth="1"/>
    <col min="15392" max="15392" width="12.453125" style="49" customWidth="1"/>
    <col min="15393" max="15393" width="10.453125" style="49" customWidth="1"/>
    <col min="15394" max="15394" width="19" style="49" customWidth="1"/>
    <col min="15395" max="15395" width="13.453125" style="49" customWidth="1"/>
    <col min="15396" max="15396" width="18" style="49" customWidth="1"/>
    <col min="15397" max="15397" width="42.453125" style="49" customWidth="1"/>
    <col min="15398" max="15398" width="31" style="49" customWidth="1"/>
    <col min="15399" max="15399" width="35" style="49" customWidth="1"/>
    <col min="15400" max="15400" width="31" style="49" customWidth="1"/>
    <col min="15401" max="15401" width="35" style="49" customWidth="1"/>
    <col min="15402" max="15402" width="31" style="49" customWidth="1"/>
    <col min="15403" max="15403" width="37.453125" style="49" customWidth="1"/>
    <col min="15404" max="15404" width="11.453125" style="49" customWidth="1"/>
    <col min="15405" max="15405" width="54" style="49" customWidth="1"/>
    <col min="15406" max="15406" width="43.453125" style="49" customWidth="1"/>
    <col min="15407" max="15407" width="44.453125" style="49" customWidth="1"/>
    <col min="15408" max="15617" width="6.453125" style="49"/>
    <col min="15618" max="15619" width="2.453125" style="49" customWidth="1"/>
    <col min="15620" max="15620" width="0" style="49" hidden="1" customWidth="1"/>
    <col min="15621" max="15623" width="12.453125" style="49" customWidth="1"/>
    <col min="15624" max="15624" width="12" style="49" customWidth="1"/>
    <col min="15625" max="15625" width="12.453125" style="49" customWidth="1"/>
    <col min="15626" max="15626" width="13.453125" style="49" customWidth="1"/>
    <col min="15627" max="15627" width="0" style="49" hidden="1" customWidth="1"/>
    <col min="15628" max="15630" width="13" style="49" customWidth="1"/>
    <col min="15631" max="15631" width="14.453125" style="49" customWidth="1"/>
    <col min="15632" max="15633" width="13.453125" style="49" customWidth="1"/>
    <col min="15634" max="15634" width="2.453125" style="49" customWidth="1"/>
    <col min="15635" max="15635" width="13.453125" style="49" customWidth="1"/>
    <col min="15636" max="15636" width="10.453125" style="49" customWidth="1"/>
    <col min="15637" max="15637" width="12" style="49" customWidth="1"/>
    <col min="15638" max="15638" width="11.453125" style="49" customWidth="1"/>
    <col min="15639" max="15639" width="16" style="49" customWidth="1"/>
    <col min="15640" max="15641" width="10.453125" style="49" customWidth="1"/>
    <col min="15642" max="15642" width="15.453125" style="49" customWidth="1"/>
    <col min="15643" max="15643" width="11.453125" style="49" customWidth="1"/>
    <col min="15644" max="15644" width="12" style="49" customWidth="1"/>
    <col min="15645" max="15645" width="11.453125" style="49" customWidth="1"/>
    <col min="15646" max="15646" width="12" style="49" customWidth="1"/>
    <col min="15647" max="15647" width="11.453125" style="49" customWidth="1"/>
    <col min="15648" max="15648" width="12.453125" style="49" customWidth="1"/>
    <col min="15649" max="15649" width="10.453125" style="49" customWidth="1"/>
    <col min="15650" max="15650" width="19" style="49" customWidth="1"/>
    <col min="15651" max="15651" width="13.453125" style="49" customWidth="1"/>
    <col min="15652" max="15652" width="18" style="49" customWidth="1"/>
    <col min="15653" max="15653" width="42.453125" style="49" customWidth="1"/>
    <col min="15654" max="15654" width="31" style="49" customWidth="1"/>
    <col min="15655" max="15655" width="35" style="49" customWidth="1"/>
    <col min="15656" max="15656" width="31" style="49" customWidth="1"/>
    <col min="15657" max="15657" width="35" style="49" customWidth="1"/>
    <col min="15658" max="15658" width="31" style="49" customWidth="1"/>
    <col min="15659" max="15659" width="37.453125" style="49" customWidth="1"/>
    <col min="15660" max="15660" width="11.453125" style="49" customWidth="1"/>
    <col min="15661" max="15661" width="54" style="49" customWidth="1"/>
    <col min="15662" max="15662" width="43.453125" style="49" customWidth="1"/>
    <col min="15663" max="15663" width="44.453125" style="49" customWidth="1"/>
    <col min="15664" max="15873" width="6.453125" style="49"/>
    <col min="15874" max="15875" width="2.453125" style="49" customWidth="1"/>
    <col min="15876" max="15876" width="0" style="49" hidden="1" customWidth="1"/>
    <col min="15877" max="15879" width="12.453125" style="49" customWidth="1"/>
    <col min="15880" max="15880" width="12" style="49" customWidth="1"/>
    <col min="15881" max="15881" width="12.453125" style="49" customWidth="1"/>
    <col min="15882" max="15882" width="13.453125" style="49" customWidth="1"/>
    <col min="15883" max="15883" width="0" style="49" hidden="1" customWidth="1"/>
    <col min="15884" max="15886" width="13" style="49" customWidth="1"/>
    <col min="15887" max="15887" width="14.453125" style="49" customWidth="1"/>
    <col min="15888" max="15889" width="13.453125" style="49" customWidth="1"/>
    <col min="15890" max="15890" width="2.453125" style="49" customWidth="1"/>
    <col min="15891" max="15891" width="13.453125" style="49" customWidth="1"/>
    <col min="15892" max="15892" width="10.453125" style="49" customWidth="1"/>
    <col min="15893" max="15893" width="12" style="49" customWidth="1"/>
    <col min="15894" max="15894" width="11.453125" style="49" customWidth="1"/>
    <col min="15895" max="15895" width="16" style="49" customWidth="1"/>
    <col min="15896" max="15897" width="10.453125" style="49" customWidth="1"/>
    <col min="15898" max="15898" width="15.453125" style="49" customWidth="1"/>
    <col min="15899" max="15899" width="11.453125" style="49" customWidth="1"/>
    <col min="15900" max="15900" width="12" style="49" customWidth="1"/>
    <col min="15901" max="15901" width="11.453125" style="49" customWidth="1"/>
    <col min="15902" max="15902" width="12" style="49" customWidth="1"/>
    <col min="15903" max="15903" width="11.453125" style="49" customWidth="1"/>
    <col min="15904" max="15904" width="12.453125" style="49" customWidth="1"/>
    <col min="15905" max="15905" width="10.453125" style="49" customWidth="1"/>
    <col min="15906" max="15906" width="19" style="49" customWidth="1"/>
    <col min="15907" max="15907" width="13.453125" style="49" customWidth="1"/>
    <col min="15908" max="15908" width="18" style="49" customWidth="1"/>
    <col min="15909" max="15909" width="42.453125" style="49" customWidth="1"/>
    <col min="15910" max="15910" width="31" style="49" customWidth="1"/>
    <col min="15911" max="15911" width="35" style="49" customWidth="1"/>
    <col min="15912" max="15912" width="31" style="49" customWidth="1"/>
    <col min="15913" max="15913" width="35" style="49" customWidth="1"/>
    <col min="15914" max="15914" width="31" style="49" customWidth="1"/>
    <col min="15915" max="15915" width="37.453125" style="49" customWidth="1"/>
    <col min="15916" max="15916" width="11.453125" style="49" customWidth="1"/>
    <col min="15917" max="15917" width="54" style="49" customWidth="1"/>
    <col min="15918" max="15918" width="43.453125" style="49" customWidth="1"/>
    <col min="15919" max="15919" width="44.453125" style="49" customWidth="1"/>
    <col min="15920" max="16129" width="6.453125" style="49"/>
    <col min="16130" max="16131" width="2.453125" style="49" customWidth="1"/>
    <col min="16132" max="16132" width="0" style="49" hidden="1" customWidth="1"/>
    <col min="16133" max="16135" width="12.453125" style="49" customWidth="1"/>
    <col min="16136" max="16136" width="12" style="49" customWidth="1"/>
    <col min="16137" max="16137" width="12.453125" style="49" customWidth="1"/>
    <col min="16138" max="16138" width="13.453125" style="49" customWidth="1"/>
    <col min="16139" max="16139" width="0" style="49" hidden="1" customWidth="1"/>
    <col min="16140" max="16142" width="13" style="49" customWidth="1"/>
    <col min="16143" max="16143" width="14.453125" style="49" customWidth="1"/>
    <col min="16144" max="16145" width="13.453125" style="49" customWidth="1"/>
    <col min="16146" max="16146" width="2.453125" style="49" customWidth="1"/>
    <col min="16147" max="16147" width="13.453125" style="49" customWidth="1"/>
    <col min="16148" max="16148" width="10.453125" style="49" customWidth="1"/>
    <col min="16149" max="16149" width="12" style="49" customWidth="1"/>
    <col min="16150" max="16150" width="11.453125" style="49" customWidth="1"/>
    <col min="16151" max="16151" width="16" style="49" customWidth="1"/>
    <col min="16152" max="16153" width="10.453125" style="49" customWidth="1"/>
    <col min="16154" max="16154" width="15.453125" style="49" customWidth="1"/>
    <col min="16155" max="16155" width="11.453125" style="49" customWidth="1"/>
    <col min="16156" max="16156" width="12" style="49" customWidth="1"/>
    <col min="16157" max="16157" width="11.453125" style="49" customWidth="1"/>
    <col min="16158" max="16158" width="12" style="49" customWidth="1"/>
    <col min="16159" max="16159" width="11.453125" style="49" customWidth="1"/>
    <col min="16160" max="16160" width="12.453125" style="49" customWidth="1"/>
    <col min="16161" max="16161" width="10.453125" style="49" customWidth="1"/>
    <col min="16162" max="16162" width="19" style="49" customWidth="1"/>
    <col min="16163" max="16163" width="13.453125" style="49" customWidth="1"/>
    <col min="16164" max="16164" width="18" style="49" customWidth="1"/>
    <col min="16165" max="16165" width="42.453125" style="49" customWidth="1"/>
    <col min="16166" max="16166" width="31" style="49" customWidth="1"/>
    <col min="16167" max="16167" width="35" style="49" customWidth="1"/>
    <col min="16168" max="16168" width="31" style="49" customWidth="1"/>
    <col min="16169" max="16169" width="35" style="49" customWidth="1"/>
    <col min="16170" max="16170" width="31" style="49" customWidth="1"/>
    <col min="16171" max="16171" width="37.453125" style="49" customWidth="1"/>
    <col min="16172" max="16172" width="11.453125" style="49" customWidth="1"/>
    <col min="16173" max="16173" width="54" style="49" customWidth="1"/>
    <col min="16174" max="16174" width="43.453125" style="49" customWidth="1"/>
    <col min="16175" max="16175" width="44.453125" style="49" customWidth="1"/>
    <col min="16176" max="16384" width="6.453125" style="49"/>
  </cols>
  <sheetData>
    <row r="1" spans="2:20" ht="13.5" thickBot="1">
      <c r="B1" s="45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7"/>
      <c r="Q1" s="47"/>
      <c r="R1" s="48"/>
    </row>
    <row r="2" spans="2:20" ht="13">
      <c r="B2" s="50"/>
      <c r="C2" s="51"/>
      <c r="D2" s="246"/>
      <c r="E2" s="247"/>
      <c r="F2" s="252" t="s">
        <v>107</v>
      </c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3"/>
      <c r="R2" s="52"/>
    </row>
    <row r="3" spans="2:20" ht="13">
      <c r="B3" s="50"/>
      <c r="C3" s="51"/>
      <c r="D3" s="248"/>
      <c r="E3" s="249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5"/>
      <c r="R3" s="52"/>
    </row>
    <row r="4" spans="2:20" ht="15.5">
      <c r="B4" s="50"/>
      <c r="C4" s="51"/>
      <c r="D4" s="248"/>
      <c r="E4" s="249"/>
      <c r="F4" s="254" t="s">
        <v>108</v>
      </c>
      <c r="G4" s="254"/>
      <c r="H4" s="254"/>
      <c r="I4" s="254"/>
      <c r="J4" s="254"/>
      <c r="K4" s="254"/>
      <c r="L4" s="254"/>
      <c r="M4" s="254" t="s">
        <v>109</v>
      </c>
      <c r="N4" s="254"/>
      <c r="O4" s="130"/>
      <c r="P4" s="257">
        <f ca="1">TODAY()</f>
        <v>45183</v>
      </c>
      <c r="Q4" s="258"/>
      <c r="R4" s="52"/>
    </row>
    <row r="5" spans="2:20" ht="16" thickBot="1">
      <c r="B5" s="50"/>
      <c r="C5" s="51"/>
      <c r="D5" s="250"/>
      <c r="E5" s="251"/>
      <c r="F5" s="256"/>
      <c r="G5" s="256"/>
      <c r="H5" s="256"/>
      <c r="I5" s="256"/>
      <c r="J5" s="256"/>
      <c r="K5" s="256"/>
      <c r="L5" s="256"/>
      <c r="M5" s="256"/>
      <c r="N5" s="256"/>
      <c r="O5" s="131"/>
      <c r="P5" s="259"/>
      <c r="Q5" s="260"/>
      <c r="R5" s="52"/>
    </row>
    <row r="6" spans="2:20" ht="13.5" thickBot="1">
      <c r="B6" s="50"/>
      <c r="C6" s="51"/>
      <c r="D6" s="53"/>
      <c r="E6" s="53"/>
      <c r="F6" s="53"/>
      <c r="G6" s="53"/>
      <c r="H6" s="53"/>
      <c r="I6" s="53"/>
      <c r="J6" s="53"/>
      <c r="K6" s="53"/>
      <c r="L6" s="53"/>
      <c r="M6" s="54"/>
      <c r="N6" s="51"/>
      <c r="O6" s="51"/>
      <c r="R6" s="52"/>
    </row>
    <row r="7" spans="2:20" ht="15" customHeight="1">
      <c r="B7" s="55"/>
      <c r="C7" s="56"/>
      <c r="D7" s="238"/>
      <c r="E7" s="239"/>
      <c r="F7" s="239"/>
      <c r="G7" s="261" t="s">
        <v>110</v>
      </c>
      <c r="H7" s="262"/>
      <c r="I7" s="57" t="s">
        <v>111</v>
      </c>
      <c r="J7" s="58" t="s">
        <v>112</v>
      </c>
      <c r="K7" s="242"/>
      <c r="L7" s="243"/>
      <c r="M7" s="243"/>
      <c r="N7" s="261" t="s">
        <v>110</v>
      </c>
      <c r="O7" s="262"/>
      <c r="P7" s="57" t="s">
        <v>111</v>
      </c>
      <c r="Q7" s="58" t="s">
        <v>112</v>
      </c>
      <c r="R7" s="52"/>
    </row>
    <row r="8" spans="2:20" ht="13.5" thickBot="1">
      <c r="B8" s="55"/>
      <c r="C8" s="56"/>
      <c r="D8" s="240"/>
      <c r="E8" s="241"/>
      <c r="F8" s="241"/>
      <c r="G8" s="59" t="s">
        <v>1</v>
      </c>
      <c r="H8" s="59" t="s">
        <v>104</v>
      </c>
      <c r="I8" s="59" t="s">
        <v>113</v>
      </c>
      <c r="J8" s="60" t="s">
        <v>34</v>
      </c>
      <c r="K8" s="244"/>
      <c r="L8" s="245"/>
      <c r="M8" s="245"/>
      <c r="N8" s="59" t="s">
        <v>1</v>
      </c>
      <c r="O8" s="59" t="s">
        <v>104</v>
      </c>
      <c r="P8" s="59" t="s">
        <v>113</v>
      </c>
      <c r="Q8" s="60" t="s">
        <v>34</v>
      </c>
      <c r="R8" s="52"/>
    </row>
    <row r="9" spans="2:20" ht="13">
      <c r="B9" s="55"/>
      <c r="C9" s="56"/>
      <c r="D9" s="218" t="s">
        <v>71</v>
      </c>
      <c r="E9" s="219"/>
      <c r="F9" s="219"/>
      <c r="G9" s="219"/>
      <c r="H9" s="219"/>
      <c r="I9" s="219"/>
      <c r="J9" s="231"/>
      <c r="K9" s="215" t="s">
        <v>154</v>
      </c>
      <c r="L9" s="216"/>
      <c r="M9" s="216"/>
      <c r="N9" s="216"/>
      <c r="O9" s="216"/>
      <c r="P9" s="216"/>
      <c r="Q9" s="217"/>
      <c r="R9" s="52"/>
    </row>
    <row r="10" spans="2:20" ht="13.5" thickBot="1">
      <c r="B10" s="55"/>
      <c r="C10" s="56" t="s">
        <v>114</v>
      </c>
      <c r="D10" s="204" t="s">
        <v>135</v>
      </c>
      <c r="E10" s="205"/>
      <c r="F10" s="221"/>
      <c r="G10" s="63">
        <f>Flujos!G4</f>
        <v>109880.56415999999</v>
      </c>
      <c r="H10" s="63">
        <f>G10*'Datos Extra'!B18+Report!G10</f>
        <v>110979.3698016</v>
      </c>
      <c r="I10" s="64">
        <f>Flujos!H4</f>
        <v>0.26251920328</v>
      </c>
      <c r="J10" s="94">
        <f>+I10*G10</f>
        <v>28845.758159240122</v>
      </c>
      <c r="K10" s="207" t="s">
        <v>116</v>
      </c>
      <c r="L10" s="208"/>
      <c r="M10" s="222"/>
      <c r="N10" s="117">
        <f>Flujos!G20</f>
        <v>118650.26698</v>
      </c>
      <c r="O10" s="117">
        <f>N10*'Datos Extra'!B28+Report!N10</f>
        <v>128735.53967329999</v>
      </c>
      <c r="P10" s="65">
        <f>Flujos!H20</f>
        <v>0.66476157069999997</v>
      </c>
      <c r="Q10" s="117">
        <f>+P10*N10</f>
        <v>78874.137841599149</v>
      </c>
      <c r="R10" s="52"/>
      <c r="T10" s="89"/>
    </row>
    <row r="11" spans="2:20" ht="13">
      <c r="B11" s="55"/>
      <c r="C11" s="56"/>
      <c r="D11" s="207" t="s">
        <v>115</v>
      </c>
      <c r="E11" s="208"/>
      <c r="F11" s="222"/>
      <c r="G11" s="66">
        <f>Flujos!G5</f>
        <v>0</v>
      </c>
      <c r="H11" s="66">
        <f>G11*'Datos Extra'!B19+Report!G11</f>
        <v>0</v>
      </c>
      <c r="I11" s="66">
        <f>Flujos!H5</f>
        <v>0</v>
      </c>
      <c r="J11" s="66">
        <f>+I11*G11</f>
        <v>0</v>
      </c>
      <c r="K11" s="235" t="s">
        <v>127</v>
      </c>
      <c r="L11" s="236"/>
      <c r="M11" s="236"/>
      <c r="N11" s="236"/>
      <c r="O11" s="236"/>
      <c r="P11" s="236"/>
      <c r="Q11" s="237"/>
      <c r="R11" s="52"/>
      <c r="T11" s="89"/>
    </row>
    <row r="12" spans="2:20" ht="13">
      <c r="B12" s="55"/>
      <c r="C12" s="56"/>
      <c r="D12" s="204" t="s">
        <v>117</v>
      </c>
      <c r="E12" s="205"/>
      <c r="F12" s="221"/>
      <c r="G12" s="61">
        <f>Flujos!G8</f>
        <v>61069</v>
      </c>
      <c r="H12" s="61">
        <f>G12*'Datos Extra'!B20+Report!G12</f>
        <v>61671.630568780842</v>
      </c>
      <c r="I12" s="67">
        <f>Flujos!H8</f>
        <v>0.49819999999999998</v>
      </c>
      <c r="J12" s="61">
        <f>+I12*G12</f>
        <v>30424.575799999999</v>
      </c>
      <c r="K12" s="225" t="s">
        <v>128</v>
      </c>
      <c r="L12" s="226"/>
      <c r="M12" s="227"/>
      <c r="N12" s="61">
        <f>Flujos!G6</f>
        <v>52195.728946000003</v>
      </c>
      <c r="O12" s="61">
        <f>N12*'Datos Extra'!B35+Report!N12</f>
        <v>52717.686235460002</v>
      </c>
      <c r="P12" s="67">
        <f>Flujos!H6</f>
        <v>0.16656782351999999</v>
      </c>
      <c r="Q12" s="61">
        <f>+P12*N12</f>
        <v>8694.1289675750832</v>
      </c>
      <c r="R12" s="52"/>
    </row>
    <row r="13" spans="2:20" ht="13">
      <c r="B13" s="55"/>
      <c r="C13" s="56"/>
      <c r="D13" s="207" t="s">
        <v>118</v>
      </c>
      <c r="E13" s="208"/>
      <c r="F13" s="222"/>
      <c r="G13" s="66">
        <f>Flujos!G55</f>
        <v>80442</v>
      </c>
      <c r="H13" s="66">
        <f>G13*'Datos Extra'!B21+Report!G13</f>
        <v>82204.216079999998</v>
      </c>
      <c r="I13" s="68">
        <f>Flujos!H55</f>
        <v>0.54359999999999997</v>
      </c>
      <c r="J13" s="66">
        <f>+I13*G13</f>
        <v>43728.271199999996</v>
      </c>
      <c r="K13" s="228" t="s">
        <v>130</v>
      </c>
      <c r="L13" s="229"/>
      <c r="M13" s="230"/>
      <c r="N13" s="74">
        <f>Flujos!G12</f>
        <v>19654.716090000002</v>
      </c>
      <c r="O13" s="74">
        <f>N13*'Datos Extra'!B36+Report!N13</f>
        <v>21620.187699000002</v>
      </c>
      <c r="P13" s="75">
        <f>Flujos!H12</f>
        <v>0.27382140926999998</v>
      </c>
      <c r="Q13" s="66">
        <f>+P13*N13</f>
        <v>5381.882058565544</v>
      </c>
      <c r="R13" s="52"/>
    </row>
    <row r="14" spans="2:20" ht="13">
      <c r="B14" s="55"/>
      <c r="C14" s="56"/>
      <c r="D14" s="204" t="s">
        <v>120</v>
      </c>
      <c r="E14" s="205"/>
      <c r="F14" s="221"/>
      <c r="G14" s="61">
        <f>Flujos!G31</f>
        <v>0</v>
      </c>
      <c r="H14" s="61">
        <f>G14*'Datos Extra'!B22+Report!G14</f>
        <v>0</v>
      </c>
      <c r="I14" s="67">
        <f>Flujos!H31</f>
        <v>0</v>
      </c>
      <c r="J14" s="61">
        <f>+I14*G14</f>
        <v>0</v>
      </c>
      <c r="K14" s="225" t="s">
        <v>131</v>
      </c>
      <c r="L14" s="226"/>
      <c r="M14" s="227"/>
      <c r="N14" s="76">
        <f>Flujos!G13</f>
        <v>7183.3611259999998</v>
      </c>
      <c r="O14" s="76" t="s">
        <v>163</v>
      </c>
      <c r="P14" s="77">
        <f>Flujos!H13</f>
        <v>0.14657961259999999</v>
      </c>
      <c r="Q14" s="61">
        <f>+P14*N14</f>
        <v>1052.9342910149796</v>
      </c>
      <c r="R14" s="52"/>
    </row>
    <row r="15" spans="2:20" ht="13">
      <c r="B15" s="55"/>
      <c r="C15" s="56"/>
      <c r="D15" s="273"/>
      <c r="E15" s="274"/>
      <c r="F15" s="275"/>
      <c r="G15" s="61"/>
      <c r="H15" s="61"/>
      <c r="I15" s="67"/>
      <c r="J15" s="61"/>
      <c r="K15" s="102" t="s">
        <v>133</v>
      </c>
      <c r="L15" s="103"/>
      <c r="M15" s="104"/>
      <c r="N15" s="78">
        <f>Flujos!G19</f>
        <v>38270.682962999999</v>
      </c>
      <c r="O15" s="78" t="s">
        <v>163</v>
      </c>
      <c r="P15" s="79">
        <f>Flujos!H19</f>
        <v>7.7623959584999999E-2</v>
      </c>
      <c r="Q15" s="66">
        <f>+P15*N15</f>
        <v>2970.72194761026</v>
      </c>
      <c r="R15" s="52"/>
    </row>
    <row r="16" spans="2:20" ht="13.5" thickBot="1">
      <c r="B16" s="55"/>
      <c r="C16" s="56"/>
      <c r="D16" s="204"/>
      <c r="E16" s="205"/>
      <c r="F16" s="221"/>
      <c r="G16" s="61"/>
      <c r="H16" s="61"/>
      <c r="I16" s="62"/>
      <c r="J16" s="61"/>
      <c r="K16" s="292" t="s">
        <v>125</v>
      </c>
      <c r="L16" s="293"/>
      <c r="M16" s="294"/>
      <c r="N16" s="295">
        <f>+SUM(N12:N15)</f>
        <v>117304.48912500001</v>
      </c>
      <c r="O16" s="295">
        <f>+SUM(O12:O15)</f>
        <v>74337.873934460004</v>
      </c>
      <c r="P16" s="296"/>
      <c r="Q16" s="276">
        <f>+SUM(Q12:Q15)</f>
        <v>18099.667264765863</v>
      </c>
      <c r="R16" s="52"/>
    </row>
    <row r="17" spans="2:21" ht="13.5" thickBot="1">
      <c r="B17" s="55"/>
      <c r="C17" s="56"/>
      <c r="D17" s="277"/>
      <c r="E17" s="278"/>
      <c r="F17" s="279"/>
      <c r="G17" s="280"/>
      <c r="H17" s="280"/>
      <c r="I17" s="281"/>
      <c r="J17" s="280"/>
      <c r="K17" s="215" t="s">
        <v>155</v>
      </c>
      <c r="L17" s="216"/>
      <c r="M17" s="216"/>
      <c r="N17" s="216"/>
      <c r="O17" s="216"/>
      <c r="P17" s="216"/>
      <c r="Q17" s="217"/>
      <c r="R17" s="52"/>
    </row>
    <row r="18" spans="2:21" ht="13.5" thickBot="1">
      <c r="B18" s="55"/>
      <c r="C18" s="56" t="s">
        <v>124</v>
      </c>
      <c r="D18" s="282" t="s">
        <v>125</v>
      </c>
      <c r="E18" s="283"/>
      <c r="F18" s="284"/>
      <c r="G18" s="285">
        <f>+SUM(G10:G17)</f>
        <v>251391.56416000001</v>
      </c>
      <c r="H18" s="285">
        <f>+SUM(H10:H17)</f>
        <v>254855.21645038086</v>
      </c>
      <c r="I18" s="286"/>
      <c r="J18" s="287">
        <f>+SUM(J10:J17)</f>
        <v>102998.60515924011</v>
      </c>
      <c r="K18" s="232" t="s">
        <v>136</v>
      </c>
      <c r="L18" s="233"/>
      <c r="M18" s="234"/>
      <c r="N18" s="63">
        <f>Flujos!G25</f>
        <v>118355.04962999999</v>
      </c>
      <c r="O18" s="63">
        <f>N18*'Datos Extra'!B27+Report!N18</f>
        <v>128793.73593307639</v>
      </c>
      <c r="P18" s="64">
        <f>Flujos!H25</f>
        <v>0.66476278802</v>
      </c>
      <c r="Q18" s="61">
        <f t="shared" ref="Q18:Q23" si="0">+P18*N18</f>
        <v>78678.032768284262</v>
      </c>
      <c r="R18" s="52"/>
      <c r="S18" s="69"/>
      <c r="T18" s="70"/>
    </row>
    <row r="19" spans="2:21" ht="13">
      <c r="B19" s="55"/>
      <c r="C19" s="56"/>
      <c r="D19" s="218" t="s">
        <v>126</v>
      </c>
      <c r="E19" s="219"/>
      <c r="F19" s="219"/>
      <c r="G19" s="219"/>
      <c r="H19" s="219"/>
      <c r="I19" s="219"/>
      <c r="J19" s="220"/>
      <c r="K19" s="207" t="s">
        <v>119</v>
      </c>
      <c r="L19" s="208"/>
      <c r="M19" s="222"/>
      <c r="N19" s="117">
        <f>Flujos!G35</f>
        <v>13748</v>
      </c>
      <c r="O19" s="117">
        <f>N19*'Datos Extra'!B30+Report!N19</f>
        <v>13844.236000000001</v>
      </c>
      <c r="P19" s="68">
        <f>Flujos!H35</f>
        <v>0.61299999999999999</v>
      </c>
      <c r="Q19" s="117">
        <f t="shared" si="0"/>
        <v>8427.5239999999994</v>
      </c>
      <c r="R19" s="52"/>
    </row>
    <row r="20" spans="2:21" ht="13">
      <c r="B20" s="55"/>
      <c r="C20" s="56"/>
      <c r="D20" s="204" t="s">
        <v>6</v>
      </c>
      <c r="E20" s="205"/>
      <c r="F20" s="221"/>
      <c r="G20" s="134">
        <f>Flujos!G27</f>
        <v>101766</v>
      </c>
      <c r="H20" s="134">
        <f>G20*'Datos Extra'!B23+Report!G20</f>
        <v>109917.4566</v>
      </c>
      <c r="I20" s="133">
        <f>Flujos!H27</f>
        <v>0.6633</v>
      </c>
      <c r="J20" s="61">
        <f>+I20*G20</f>
        <v>67501.387799999997</v>
      </c>
      <c r="K20" s="204" t="s">
        <v>121</v>
      </c>
      <c r="L20" s="205"/>
      <c r="M20" s="221"/>
      <c r="N20" s="63">
        <f>Flujos!G36</f>
        <v>6944</v>
      </c>
      <c r="O20" s="63">
        <f>N20*'Datos Extra'!B31+Report!N20</f>
        <v>7041.2160000000003</v>
      </c>
      <c r="P20" s="67">
        <f>Flujos!H36</f>
        <v>0.58599999999999997</v>
      </c>
      <c r="Q20" s="61">
        <f t="shared" si="0"/>
        <v>4069.1839999999997</v>
      </c>
      <c r="R20" s="52"/>
      <c r="S20" s="71"/>
    </row>
    <row r="21" spans="2:21" ht="13">
      <c r="B21" s="55"/>
      <c r="C21" s="56"/>
      <c r="D21" s="207" t="s">
        <v>129</v>
      </c>
      <c r="E21" s="208"/>
      <c r="F21" s="222"/>
      <c r="G21" s="72">
        <f>Flujos!G33</f>
        <v>59464</v>
      </c>
      <c r="H21" s="72">
        <f>G21*'Datos Extra'!B24+Report!G21</f>
        <v>59999.175999999999</v>
      </c>
      <c r="I21" s="73">
        <f>Flujos!H33</f>
        <v>0.60354921523000005</v>
      </c>
      <c r="J21" s="66">
        <f>+I21*G21</f>
        <v>35889.450534436721</v>
      </c>
      <c r="K21" s="207" t="s">
        <v>138</v>
      </c>
      <c r="L21" s="208"/>
      <c r="M21" s="222"/>
      <c r="N21" s="117">
        <f>Flujos!G57</f>
        <v>0</v>
      </c>
      <c r="O21" s="117">
        <f>N21*'Datos Extra'!B32+Report!N21</f>
        <v>0</v>
      </c>
      <c r="P21" s="68">
        <f>Flujos!H57</f>
        <v>0</v>
      </c>
      <c r="Q21" s="117">
        <f t="shared" si="0"/>
        <v>0</v>
      </c>
      <c r="R21" s="52"/>
      <c r="S21" s="71"/>
    </row>
    <row r="22" spans="2:21" ht="13">
      <c r="B22" s="55"/>
      <c r="C22" s="56"/>
      <c r="D22" s="204" t="s">
        <v>5</v>
      </c>
      <c r="E22" s="205"/>
      <c r="F22" s="221"/>
      <c r="G22" s="61">
        <f>Flujos!G40</f>
        <v>0</v>
      </c>
      <c r="H22" s="61">
        <f>G22*'Datos Extra'!B25+Report!G22</f>
        <v>0</v>
      </c>
      <c r="I22" s="67">
        <f>Flujos!H39</f>
        <v>0.58360000000000001</v>
      </c>
      <c r="J22" s="61">
        <f>+I22*G22</f>
        <v>0</v>
      </c>
      <c r="K22" s="204" t="s">
        <v>122</v>
      </c>
      <c r="L22" s="205"/>
      <c r="M22" s="221"/>
      <c r="N22" s="63">
        <f>Flujos!G37</f>
        <v>8561</v>
      </c>
      <c r="O22" s="63">
        <f>Report!N22*'Datos Extra'!B33+Report!N22</f>
        <v>8612.366</v>
      </c>
      <c r="P22" s="67">
        <f>Flujos!H37</f>
        <v>0.58360000000000001</v>
      </c>
      <c r="Q22" s="61">
        <f t="shared" si="0"/>
        <v>4996.1995999999999</v>
      </c>
      <c r="R22" s="52"/>
      <c r="S22" s="71"/>
    </row>
    <row r="23" spans="2:21" ht="13.5" thickBot="1">
      <c r="B23" s="55"/>
      <c r="C23" s="56"/>
      <c r="D23" s="288" t="s">
        <v>132</v>
      </c>
      <c r="E23" s="289"/>
      <c r="F23" s="290"/>
      <c r="G23" s="72">
        <f>Flujos!G57</f>
        <v>0</v>
      </c>
      <c r="H23" s="72">
        <f>G23*'Datos Extra'!B27+Report!G23</f>
        <v>0</v>
      </c>
      <c r="I23" s="73">
        <f>Flujos!H57</f>
        <v>0</v>
      </c>
      <c r="J23" s="72">
        <f>G23*I23</f>
        <v>0</v>
      </c>
      <c r="K23" s="288" t="s">
        <v>123</v>
      </c>
      <c r="L23" s="289"/>
      <c r="M23" s="290"/>
      <c r="N23" s="297">
        <f>Flujos!G38</f>
        <v>0</v>
      </c>
      <c r="O23" s="297">
        <f>N23*'Datos Extra'!B34+Report!N23</f>
        <v>0</v>
      </c>
      <c r="P23" s="73">
        <f>Flujos!H38</f>
        <v>0</v>
      </c>
      <c r="Q23" s="72">
        <f t="shared" si="0"/>
        <v>0</v>
      </c>
      <c r="R23" s="52"/>
      <c r="S23" s="71"/>
    </row>
    <row r="24" spans="2:21" ht="13.5" thickBot="1">
      <c r="B24" s="55"/>
      <c r="C24" s="56"/>
      <c r="D24" s="282" t="s">
        <v>125</v>
      </c>
      <c r="E24" s="283"/>
      <c r="F24" s="284"/>
      <c r="G24" s="285">
        <f>+SUM(G20:G23)</f>
        <v>161230</v>
      </c>
      <c r="H24" s="285">
        <f>+SUM(H20:H23)</f>
        <v>169916.63260000001</v>
      </c>
      <c r="I24" s="291"/>
      <c r="J24" s="287">
        <f t="shared" ref="J24" si="1">+SUM(J20:J23)</f>
        <v>103390.83833443672</v>
      </c>
      <c r="K24" s="282" t="s">
        <v>125</v>
      </c>
      <c r="L24" s="283"/>
      <c r="M24" s="300"/>
      <c r="N24" s="299">
        <f>SUM(N18:N23)</f>
        <v>147608.04962999999</v>
      </c>
      <c r="O24" s="298">
        <f>SUM(O18,O19:O23)</f>
        <v>158291.55393307641</v>
      </c>
      <c r="P24" s="291"/>
      <c r="Q24" s="287">
        <f>SUM(Q18,Q18:Q23)</f>
        <v>174848.97313656853</v>
      </c>
      <c r="R24" s="52"/>
    </row>
    <row r="25" spans="2:21" ht="13">
      <c r="B25" s="55"/>
      <c r="C25" s="56"/>
      <c r="D25" s="209"/>
      <c r="E25" s="209"/>
      <c r="F25" s="209"/>
      <c r="G25" s="80"/>
      <c r="H25" s="80"/>
      <c r="I25" s="81"/>
      <c r="J25" s="82"/>
      <c r="R25" s="52"/>
    </row>
    <row r="26" spans="2:21" ht="14.5" customHeight="1">
      <c r="B26" s="55"/>
      <c r="C26" s="56"/>
      <c r="D26" s="223" t="s">
        <v>134</v>
      </c>
      <c r="E26" s="224"/>
      <c r="F26" s="224"/>
      <c r="G26" s="224"/>
      <c r="H26" s="224"/>
      <c r="I26" s="224"/>
      <c r="J26" s="224"/>
      <c r="R26" s="83"/>
    </row>
    <row r="27" spans="2:21" ht="13.5" thickBot="1">
      <c r="B27" s="55"/>
      <c r="C27" s="56"/>
      <c r="D27" s="210"/>
      <c r="E27" s="211"/>
      <c r="F27" s="212"/>
      <c r="G27" s="92" t="s">
        <v>104</v>
      </c>
      <c r="H27" s="93" t="s">
        <v>1</v>
      </c>
      <c r="I27" s="93" t="s">
        <v>158</v>
      </c>
      <c r="J27" s="93" t="s">
        <v>159</v>
      </c>
      <c r="R27" s="52"/>
      <c r="U27" s="84"/>
    </row>
    <row r="28" spans="2:21" ht="13.5" thickBot="1">
      <c r="B28" s="55"/>
      <c r="C28" s="56"/>
      <c r="D28" s="265" t="s">
        <v>7</v>
      </c>
      <c r="E28" s="266"/>
      <c r="F28" s="267"/>
      <c r="G28" s="263">
        <f>'Datos Extra'!B1</f>
        <v>74334.13764999999</v>
      </c>
      <c r="H28" s="263">
        <f>G29*(1-'Datos Extra'!D1)</f>
        <v>85523.252925000008</v>
      </c>
      <c r="I28" s="145">
        <f>Flujos!G9</f>
        <v>36608.483217000001</v>
      </c>
      <c r="J28" s="145">
        <f>'Mapa de Procesos'!L118</f>
        <v>16383.943621352266</v>
      </c>
      <c r="R28" s="83"/>
      <c r="U28" s="84"/>
    </row>
    <row r="29" spans="2:21" ht="13">
      <c r="B29" s="55"/>
      <c r="C29" s="56"/>
      <c r="D29" s="204" t="s">
        <v>8</v>
      </c>
      <c r="E29" s="205"/>
      <c r="F29" s="268"/>
      <c r="G29" s="146">
        <f>'Datos Extra'!B2</f>
        <v>86387.124166666676</v>
      </c>
      <c r="H29" s="146">
        <f>G30*(1-'Datos Extra'!D2)</f>
        <v>818.01885000000095</v>
      </c>
      <c r="I29" s="91">
        <f>Flujos!G17</f>
        <v>-20891.867204999999</v>
      </c>
      <c r="J29" s="91">
        <f>'Mapa de Procesos'!L119</f>
        <v>-10173.361477469398</v>
      </c>
      <c r="L29" s="151"/>
      <c r="M29" s="301" t="s">
        <v>71</v>
      </c>
      <c r="N29" s="301" t="s">
        <v>73</v>
      </c>
      <c r="O29" s="301" t="s">
        <v>156</v>
      </c>
      <c r="P29" s="302" t="s">
        <v>157</v>
      </c>
      <c r="R29" s="52"/>
      <c r="U29" s="84"/>
    </row>
    <row r="30" spans="2:21" ht="13">
      <c r="B30" s="55"/>
      <c r="C30" s="56"/>
      <c r="D30" s="204" t="s">
        <v>9</v>
      </c>
      <c r="E30" s="205"/>
      <c r="F30" s="268"/>
      <c r="G30" s="146">
        <f>'Datos Extra'!B3</f>
        <v>826.28166666666766</v>
      </c>
      <c r="H30" s="146">
        <f>G31*(1-'Datos Extra'!D3)</f>
        <v>0</v>
      </c>
      <c r="I30" s="91">
        <f>Flujos!G21</f>
        <v>295.21734726</v>
      </c>
      <c r="J30" s="91">
        <f>'Mapa de Procesos'!L121</f>
        <v>196.10507007834894</v>
      </c>
      <c r="L30" s="55" t="s">
        <v>1</v>
      </c>
      <c r="M30" s="148">
        <f>G18+N19+N20+N21+N22+N23</f>
        <v>280644.56416000001</v>
      </c>
      <c r="N30" s="148">
        <f>G20+G21+G22+N16+G23</f>
        <v>278534.48912500002</v>
      </c>
      <c r="O30" s="152">
        <f>I35</f>
        <v>2109.8829922600016</v>
      </c>
      <c r="P30" s="83">
        <f>M30-N30-O30</f>
        <v>0.1920427399854816</v>
      </c>
      <c r="R30" s="52"/>
      <c r="U30" s="84"/>
    </row>
    <row r="31" spans="2:21" ht="13.5" thickBot="1">
      <c r="B31" s="55"/>
      <c r="C31" s="56"/>
      <c r="D31" s="204" t="s">
        <v>3</v>
      </c>
      <c r="E31" s="205"/>
      <c r="F31" s="268"/>
      <c r="G31" s="146">
        <f>'Datos Extra'!B4</f>
        <v>0</v>
      </c>
      <c r="H31" s="146">
        <f>G32*(1-'Datos Extra'!D4)</f>
        <v>120576.06715349999</v>
      </c>
      <c r="I31" s="91">
        <f>Flujos!G31</f>
        <v>0</v>
      </c>
      <c r="J31" s="91">
        <f>'Mapa de Procesos'!L122</f>
        <v>0</v>
      </c>
      <c r="L31" s="85" t="s">
        <v>34</v>
      </c>
      <c r="M31" s="150">
        <f>J18+Q19+Q20+Q21+Q22+Q23</f>
        <v>120491.51275924011</v>
      </c>
      <c r="N31" s="150">
        <f>Q16+J20+J21+J22+J23</f>
        <v>121490.50559920257</v>
      </c>
      <c r="O31" s="153">
        <f>J35</f>
        <v>-999.21080572256324</v>
      </c>
      <c r="P31" s="154">
        <f>M31-N31-O31</f>
        <v>0.21796576010092394</v>
      </c>
      <c r="R31" s="83"/>
      <c r="U31" s="84"/>
    </row>
    <row r="32" spans="2:21" ht="13">
      <c r="B32" s="55"/>
      <c r="C32" s="56"/>
      <c r="D32" s="213" t="s">
        <v>4</v>
      </c>
      <c r="E32" s="214"/>
      <c r="F32" s="269"/>
      <c r="G32" s="146">
        <f>'Datos Extra'!B5</f>
        <v>121426.04949999998</v>
      </c>
      <c r="H32" s="146">
        <f>G33*(1-'Datos Extra'!D5)</f>
        <v>37892.92715304</v>
      </c>
      <c r="I32" s="91">
        <f>Flujos!G26</f>
        <v>16589.049632999999</v>
      </c>
      <c r="J32" s="91">
        <f>'Mapa de Procesos'!L128</f>
        <v>11176.644914613498</v>
      </c>
      <c r="L32" s="148"/>
      <c r="R32" s="52"/>
      <c r="U32" s="84"/>
    </row>
    <row r="33" spans="2:21" ht="13">
      <c r="B33" s="55"/>
      <c r="C33" s="56"/>
      <c r="D33" s="213" t="s">
        <v>105</v>
      </c>
      <c r="E33" s="214"/>
      <c r="F33" s="269"/>
      <c r="G33" s="146">
        <f>'Datos Extra'!B6</f>
        <v>41594.870640000001</v>
      </c>
      <c r="H33" s="146">
        <f>G34*(1-'Datos Extra'!D6)</f>
        <v>67428.213680849993</v>
      </c>
      <c r="I33" s="91">
        <f>Flujos!G34</f>
        <v>-38772</v>
      </c>
      <c r="J33" s="91">
        <f>'Mapa de Procesos'!L129</f>
        <v>-23392.742534297278</v>
      </c>
      <c r="R33" s="83"/>
      <c r="U33" s="84"/>
    </row>
    <row r="34" spans="2:21" ht="13.5" thickBot="1">
      <c r="B34" s="55"/>
      <c r="C34" s="56"/>
      <c r="D34" s="270" t="s">
        <v>106</v>
      </c>
      <c r="E34" s="271"/>
      <c r="F34" s="272"/>
      <c r="G34" s="264">
        <f>'Datos Extra'!B7</f>
        <v>67903.538449999993</v>
      </c>
      <c r="H34" s="264">
        <f>G35*(1-'Datos Extra'!D7)</f>
        <v>0</v>
      </c>
      <c r="I34" s="147">
        <f>Flujos!G39</f>
        <v>8561</v>
      </c>
      <c r="J34" s="147">
        <f>'Mapa de Procesos'!L130</f>
        <v>4996.1995999999999</v>
      </c>
      <c r="R34" s="52"/>
      <c r="U34" s="84"/>
    </row>
    <row r="35" spans="2:21" ht="13.5" thickBot="1">
      <c r="B35" s="85"/>
      <c r="C35" s="86"/>
      <c r="D35" s="86"/>
      <c r="E35" s="86"/>
      <c r="F35" s="86"/>
      <c r="G35" s="86"/>
      <c r="H35" s="86"/>
      <c r="I35" s="149">
        <f>SUM(I28:I34)-280</f>
        <v>2109.8829922600016</v>
      </c>
      <c r="J35" s="149">
        <f>SUM(J28:J34)-186</f>
        <v>-999.21080572256324</v>
      </c>
      <c r="K35" s="85"/>
      <c r="L35" s="86"/>
      <c r="M35" s="86"/>
      <c r="N35" s="86"/>
      <c r="O35" s="86"/>
      <c r="P35" s="86"/>
      <c r="Q35" s="86"/>
      <c r="R35" s="87"/>
    </row>
    <row r="38" spans="2:21" ht="15" customHeight="1">
      <c r="E38" s="129"/>
      <c r="F38" s="129"/>
      <c r="G38" s="129"/>
      <c r="H38" s="129"/>
      <c r="I38" s="128"/>
      <c r="J38" s="128"/>
    </row>
    <row r="39" spans="2:21" ht="13">
      <c r="E39" s="129"/>
      <c r="F39" s="129"/>
      <c r="G39" s="129"/>
      <c r="H39" s="129"/>
      <c r="I39" s="128"/>
      <c r="J39" s="128"/>
    </row>
    <row r="40" spans="2:21" ht="13">
      <c r="E40" s="88"/>
      <c r="F40" s="88"/>
      <c r="G40" s="88"/>
      <c r="H40" s="88"/>
      <c r="I40" s="88"/>
      <c r="J40" s="88"/>
      <c r="K40" s="88"/>
    </row>
    <row r="41" spans="2:21" ht="15" customHeight="1">
      <c r="E41" s="206"/>
      <c r="F41" s="206"/>
      <c r="G41" s="206"/>
      <c r="H41" s="132"/>
      <c r="I41" s="90"/>
      <c r="J41" s="127"/>
      <c r="K41" s="89"/>
    </row>
  </sheetData>
  <mergeCells count="51">
    <mergeCell ref="D7:F8"/>
    <mergeCell ref="K7:M8"/>
    <mergeCell ref="D2:E5"/>
    <mergeCell ref="F2:Q3"/>
    <mergeCell ref="F4:L5"/>
    <mergeCell ref="M4:N5"/>
    <mergeCell ref="P4:Q5"/>
    <mergeCell ref="N7:O7"/>
    <mergeCell ref="G7:H7"/>
    <mergeCell ref="D9:J9"/>
    <mergeCell ref="K9:Q9"/>
    <mergeCell ref="D10:F10"/>
    <mergeCell ref="K18:M18"/>
    <mergeCell ref="D11:F11"/>
    <mergeCell ref="K10:M10"/>
    <mergeCell ref="K11:Q11"/>
    <mergeCell ref="D15:F15"/>
    <mergeCell ref="K12:M12"/>
    <mergeCell ref="D21:F21"/>
    <mergeCell ref="K13:M13"/>
    <mergeCell ref="D18:F18"/>
    <mergeCell ref="D12:F12"/>
    <mergeCell ref="D13:F13"/>
    <mergeCell ref="K19:M19"/>
    <mergeCell ref="D14:F14"/>
    <mergeCell ref="K20:M20"/>
    <mergeCell ref="K21:M21"/>
    <mergeCell ref="D16:F16"/>
    <mergeCell ref="D17:F17"/>
    <mergeCell ref="K14:M14"/>
    <mergeCell ref="K16:M16"/>
    <mergeCell ref="D25:F25"/>
    <mergeCell ref="D27:F27"/>
    <mergeCell ref="D28:F28"/>
    <mergeCell ref="D29:F29"/>
    <mergeCell ref="K17:Q17"/>
    <mergeCell ref="D19:J19"/>
    <mergeCell ref="K24:M24"/>
    <mergeCell ref="K22:M22"/>
    <mergeCell ref="K23:M23"/>
    <mergeCell ref="D22:F22"/>
    <mergeCell ref="D23:F23"/>
    <mergeCell ref="D24:F24"/>
    <mergeCell ref="D26:J26"/>
    <mergeCell ref="D20:F20"/>
    <mergeCell ref="D30:F30"/>
    <mergeCell ref="E41:G41"/>
    <mergeCell ref="D31:F31"/>
    <mergeCell ref="D32:F32"/>
    <mergeCell ref="D33:F33"/>
    <mergeCell ref="D34:F34"/>
  </mergeCells>
  <pageMargins left="0.7" right="0.7" top="0.75" bottom="0.75" header="0.3" footer="0.3"/>
  <pageSetup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756668BF342349B2041C16AA74819C" ma:contentTypeVersion="15" ma:contentTypeDescription="Crear nuevo documento." ma:contentTypeScope="" ma:versionID="08eddba80e67fcdf0e7dbb3dbc3e0d70">
  <xsd:schema xmlns:xsd="http://www.w3.org/2001/XMLSchema" xmlns:xs="http://www.w3.org/2001/XMLSchema" xmlns:p="http://schemas.microsoft.com/office/2006/metadata/properties" xmlns:ns2="6f53f264-df38-4c5e-a089-ad7f07a2b911" xmlns:ns3="1490ee3b-8825-4a14-a799-bb3413729370" targetNamespace="http://schemas.microsoft.com/office/2006/metadata/properties" ma:root="true" ma:fieldsID="31c7a2af7ff0f9db171af585e46ec1a5" ns2:_="" ns3:_="">
    <xsd:import namespace="6f53f264-df38-4c5e-a089-ad7f07a2b911"/>
    <xsd:import namespace="1490ee3b-8825-4a14-a799-bb34137293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f264-df38-4c5e-a089-ad7f07a2b9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073516ef-4520-404e-ac3f-ac1cf3bdf19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90ee3b-8825-4a14-a799-bb3413729370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863dda92-6f1d-4962-b131-17191bdb72a0}" ma:internalName="TaxCatchAll" ma:showField="CatchAllData" ma:web="1490ee3b-8825-4a14-a799-bb34137293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f53f264-df38-4c5e-a089-ad7f07a2b911">
      <Terms xmlns="http://schemas.microsoft.com/office/infopath/2007/PartnerControls"/>
    </lcf76f155ced4ddcb4097134ff3c332f>
    <TaxCatchAll xmlns="1490ee3b-8825-4a14-a799-bb341372937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1DD2B5-8036-4C02-853A-E0965342EF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53f264-df38-4c5e-a089-ad7f07a2b911"/>
    <ds:schemaRef ds:uri="1490ee3b-8825-4a14-a799-bb34137293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956576-308D-4576-AFE1-2F4C0F3C33E9}">
  <ds:schemaRefs>
    <ds:schemaRef ds:uri="http://schemas.microsoft.com/office/2006/metadata/properties"/>
    <ds:schemaRef ds:uri="http://purl.org/dc/terms/"/>
    <ds:schemaRef ds:uri="1490ee3b-8825-4a14-a799-bb3413729370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6f53f264-df38-4c5e-a089-ad7f07a2b91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FCA9A7-8661-43F7-BFD7-3C6B027F5C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Utilidad</vt:lpstr>
      <vt:lpstr>Mapa de Procesos</vt:lpstr>
      <vt:lpstr>Flujos</vt:lpstr>
      <vt:lpstr>Datos Extra</vt:lpstr>
      <vt:lpstr>Report</vt:lpstr>
      <vt:lpstr>vector1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Arru</dc:creator>
  <cp:keywords/>
  <dc:description/>
  <cp:lastModifiedBy>Daniela Alejandra Gonzalez Rojas</cp:lastModifiedBy>
  <cp:revision/>
  <dcterms:created xsi:type="dcterms:W3CDTF">2021-08-15T22:35:05Z</dcterms:created>
  <dcterms:modified xsi:type="dcterms:W3CDTF">2023-09-14T16:19:42Z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0x010100A6756668BF342349B2041C16AA74819C</vt:lpwstr>
  </property>
  <property fmtid="{D5CDD505-2E9C-101B-9397-08002B2CF9AE}" pid="3" name="MediaServiceImageTags">
    <vt:lpwstr/>
  </property>
</Properties>
</file>